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5.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4.xml" ContentType="application/vnd.openxmlformats-officedocument.spreadsheetml.comments+xml"/>
  <Override PartName="/xl/drawings/drawing7.xml" ContentType="application/vnd.openxmlformats-officedocument.drawing+xml"/>
  <Override PartName="/xl/ctrlProps/ctrlProp107.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108.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defaultThemeVersion="124226"/>
  <mc:AlternateContent xmlns:mc="http://schemas.openxmlformats.org/markup-compatibility/2006">
    <mc:Choice Requires="x15">
      <x15ac:absPath xmlns:x15ac="http://schemas.microsoft.com/office/spreadsheetml/2010/11/ac" url="D:\한국농업기술진흥원\[중요]평가관련자료\vray\"/>
    </mc:Choice>
  </mc:AlternateContent>
  <xr:revisionPtr revIDLastSave="0" documentId="13_ncr:1_{E640B89F-7365-43F4-8BE8-8336424323C4}" xr6:coauthVersionLast="47" xr6:coauthVersionMax="47" xr10:uidLastSave="{00000000-0000-0000-0000-000000000000}"/>
  <bookViews>
    <workbookView xWindow="-120" yWindow="-120" windowWidth="29040" windowHeight="15840" tabRatio="870" firstSheet="2" activeTab="2" xr2:uid="{00000000-000D-0000-FFFF-FFFF00000000}"/>
  </bookViews>
  <sheets>
    <sheet name="Manual" sheetId="29" r:id="rId1"/>
    <sheet name="History" sheetId="31" r:id="rId2"/>
    <sheet name="INPUT" sheetId="26" r:id="rId3"/>
    <sheet name="OUTPUT" sheetId="28" r:id="rId4"/>
    <sheet name="품질관리" sheetId="49" state="hidden" r:id="rId5"/>
    <sheet name="현금흐름" sheetId="21" r:id="rId6"/>
    <sheet name="기술수명" sheetId="16" r:id="rId7"/>
    <sheet name="기술비중산정표" sheetId="60" r:id="rId8"/>
    <sheet name="(DCF,로열티1) 기술기여도 및 조정계수1" sheetId="18" r:id="rId9"/>
    <sheet name="(로열티2) 조정계수2 및 지식재산 유효성" sheetId="61" r:id="rId10"/>
    <sheet name="할인율" sheetId="19" r:id="rId11"/>
    <sheet name="경상로열티" sheetId="30" r:id="rId12"/>
    <sheet name="재무" sheetId="45" r:id="rId13"/>
    <sheet name="업종분류" sheetId="25" r:id="rId14"/>
    <sheet name="농림축수산식품 재무비율 원본데이터(2017년-2019년)" sheetId="58" state="hidden" r:id="rId15"/>
    <sheet name="업종분류 검수용" sheetId="57" state="hidden" r:id="rId16"/>
    <sheet name="표준산업분류" sheetId="27" r:id="rId17"/>
    <sheet name="산업기술요소(보조)" sheetId="51" r:id="rId18"/>
    <sheet name="TCT" sheetId="24" r:id="rId19"/>
    <sheet name="IPC" sheetId="23" r:id="rId20"/>
    <sheet name="Total" sheetId="42" state="hidden" r:id="rId21"/>
    <sheet name="Y_2017" sheetId="46" state="hidden" r:id="rId22"/>
    <sheet name="Y_2018" sheetId="47" state="hidden" r:id="rId23"/>
    <sheet name="Y_2019" sheetId="48" state="hidden" r:id="rId24"/>
    <sheet name="상관행법로열티" sheetId="52" state="hidden" r:id="rId25"/>
    <sheet name="2017-2019 농업" sheetId="53" state="hidden" r:id="rId26"/>
    <sheet name="2017-2019 임업" sheetId="54" state="hidden" r:id="rId27"/>
    <sheet name="2017-2019 어업" sheetId="55" state="hidden" r:id="rId28"/>
    <sheet name="2017-2019 식품" sheetId="56" state="hidden" r:id="rId29"/>
    <sheet name="2015_전체" sheetId="39" state="hidden" r:id="rId30"/>
    <sheet name="2014_전체" sheetId="36" state="hidden" r:id="rId31"/>
    <sheet name="2013_전체" sheetId="33" state="hidden" r:id="rId32"/>
    <sheet name="2013_상위25" sheetId="34" state="hidden" r:id="rId33"/>
    <sheet name="2014_상위25" sheetId="37" state="hidden" r:id="rId34"/>
    <sheet name="2013_하위25" sheetId="35" state="hidden" r:id="rId35"/>
    <sheet name="2014_하위25" sheetId="38" state="hidden" r:id="rId36"/>
    <sheet name="2015_상위25" sheetId="40" state="hidden" r:id="rId37"/>
    <sheet name="2015_하위25" sheetId="41" state="hidden" r:id="rId38"/>
  </sheets>
  <definedNames>
    <definedName name="_xlnm._FilterDatabase" localSheetId="20" hidden="1">Total!$A$1:$N$340</definedName>
    <definedName name="_xlnm._FilterDatabase" localSheetId="21" hidden="1">Y_2017!$A$1:$N$340</definedName>
    <definedName name="_xlnm._FilterDatabase" localSheetId="11" hidden="1">경상로열티!$B$14:$M$193</definedName>
    <definedName name="_xlnm._FilterDatabase" localSheetId="17" hidden="1">'산업기술요소(보조)'!$A$1:$T$180</definedName>
    <definedName name="Clear범위">INPUT!$D$6:$L$6,INPUT!$D$10:$G$10,INPUT!$I$10:$L$10,INPUT!$E$15:$E$17,INPUT!$G$21:$G$30,INPUT!$L$21:$L$30,INPUT!$G$34:$G$44,INPUT!$L$34:$L$45,INPUT!$E$86:$F$87,INPUT!$J$86:$K$87,INPUT!$L$74</definedName>
    <definedName name="DCF현금흐름">IF(OUTPUT!$K$16="수익접근법",OFFSET(OUTPUT!$Y$4,1,1,15,OUTPUT!$L$20+2),OFFSET(OUTPUT!$Y$23,1,1,7,OUTPUT!$L$20+2))</definedName>
    <definedName name="_xlnm.Print_Area" localSheetId="8">'(DCF,로열티1) 기술기여도 및 조정계수1'!$A$1:$R$40</definedName>
    <definedName name="_xlnm.Print_Area" localSheetId="1">History!$A$1:$H$40</definedName>
    <definedName name="_xlnm.Print_Area" localSheetId="2">INPUT!$B$2:$N$87</definedName>
    <definedName name="_xlnm.Print_Area" localSheetId="0">Manual!$B$2:$J$38</definedName>
    <definedName name="_xlnm.Print_Area" localSheetId="3">OUTPUT!$B$2:$W$57</definedName>
    <definedName name="_xlnm.Print_Area" localSheetId="12">재무!$B$4:$O$16</definedName>
    <definedName name="_xlnm.Print_Area" localSheetId="4">품질관리!$A$1:$I$87</definedName>
    <definedName name="_xlnm.Print_Area" localSheetId="10">할인율!$A$2:$R$42</definedName>
    <definedName name="_xlnm.Print_Area" localSheetId="5">현금흐름!$B$4:$Y$75</definedName>
    <definedName name="Total">Total!$A$1:$N$340</definedName>
    <definedName name="Y_2017">Y_2017!$A$1:$N$340</definedName>
    <definedName name="Y_2018">Y_2018!$A$1:$N$340</definedName>
    <definedName name="Y_2019">Y_2019!$A$1:$N$340</definedName>
    <definedName name="과제명범위">"VLOOKUP($C5,$Q$6:$R$16,2,0)"</definedName>
    <definedName name="그래프1">OFFSET(현금흐름!#REF!,1,0,현금흐름!#REF!,1)</definedName>
    <definedName name="그래프2">OFFSET(현금흐름!$C$5,1,1,1,현금흐름!#REF!)</definedName>
    <definedName name="기술기여도붙여넣기">OFFSET(IF(OUTPUT!$K$16="수익접근법",OUTPUT!$Y$34,OUTPUT!$AD$34),1,1,7,4)</definedName>
    <definedName name="로열티공제법현금흐름">OFFSET(OUTPUT!$Y$23,1,1,7,OUTPUT!$L$20+2)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54" i="21" l="1"/>
  <c r="U55" i="21"/>
  <c r="U56" i="21"/>
  <c r="U57" i="21"/>
  <c r="U58" i="21"/>
  <c r="U59" i="21"/>
  <c r="U60" i="21"/>
  <c r="U61" i="21"/>
  <c r="U62" i="21"/>
  <c r="U63" i="21"/>
  <c r="U64" i="21"/>
  <c r="U65" i="21"/>
  <c r="U66" i="21"/>
  <c r="U67" i="21"/>
  <c r="U68" i="21"/>
  <c r="U69" i="21"/>
  <c r="U70" i="21"/>
  <c r="U71" i="21"/>
  <c r="U72" i="21"/>
  <c r="U73" i="21"/>
  <c r="U53" i="21"/>
  <c r="H50" i="16" l="1"/>
  <c r="G85" i="26"/>
  <c r="D13" i="19"/>
  <c r="E30" i="61"/>
  <c r="J30" i="61" s="1"/>
  <c r="F30" i="61"/>
  <c r="G30" i="61"/>
  <c r="H30" i="61"/>
  <c r="I30" i="61"/>
  <c r="E31" i="61"/>
  <c r="J31" i="61" s="1"/>
  <c r="F31" i="61"/>
  <c r="G31" i="61"/>
  <c r="H31" i="61"/>
  <c r="I31" i="61"/>
  <c r="E32" i="61"/>
  <c r="J32" i="61" s="1"/>
  <c r="F32" i="61"/>
  <c r="G32" i="61"/>
  <c r="H32" i="61"/>
  <c r="I32" i="61"/>
  <c r="F29" i="61"/>
  <c r="G29" i="61"/>
  <c r="H29" i="61"/>
  <c r="I29" i="61"/>
  <c r="E29" i="61"/>
  <c r="J29" i="61" s="1"/>
  <c r="E26" i="61"/>
  <c r="J26" i="61" s="1"/>
  <c r="F26" i="61"/>
  <c r="G26" i="61"/>
  <c r="H26" i="61"/>
  <c r="I26" i="61"/>
  <c r="E27" i="61"/>
  <c r="J27" i="61" s="1"/>
  <c r="F27" i="61"/>
  <c r="G27" i="61"/>
  <c r="H27" i="61"/>
  <c r="I27" i="61"/>
  <c r="E28" i="61"/>
  <c r="J28" i="61" s="1"/>
  <c r="F28" i="61"/>
  <c r="G28" i="61"/>
  <c r="H28" i="61"/>
  <c r="I28" i="61"/>
  <c r="F25" i="61"/>
  <c r="G25" i="61"/>
  <c r="H25" i="61"/>
  <c r="I25" i="61"/>
  <c r="E25" i="61"/>
  <c r="J25" i="61" s="1"/>
  <c r="E14" i="60" l="1"/>
  <c r="G14" i="60" s="1"/>
  <c r="E15" i="60"/>
  <c r="G15" i="60" s="1"/>
  <c r="E16" i="60"/>
  <c r="G16" i="60" s="1"/>
  <c r="F14" i="60"/>
  <c r="F15" i="60"/>
  <c r="F16" i="60"/>
  <c r="F13" i="60"/>
  <c r="F9" i="60"/>
  <c r="F10" i="60"/>
  <c r="F11" i="60"/>
  <c r="F8" i="60"/>
  <c r="E13" i="60"/>
  <c r="D14" i="60"/>
  <c r="D15" i="60"/>
  <c r="D16" i="60"/>
  <c r="D13" i="60"/>
  <c r="E9" i="60"/>
  <c r="G9" i="60" s="1"/>
  <c r="E10" i="60"/>
  <c r="G10" i="60" s="1"/>
  <c r="E11" i="60"/>
  <c r="G11" i="60" s="1"/>
  <c r="E8" i="60"/>
  <c r="D9" i="60"/>
  <c r="D10" i="60"/>
  <c r="D11" i="60"/>
  <c r="D8" i="60"/>
  <c r="F4" i="60"/>
  <c r="F5" i="60"/>
  <c r="F6" i="60"/>
  <c r="F3" i="60"/>
  <c r="E4" i="60"/>
  <c r="G4" i="60" s="1"/>
  <c r="E5" i="60"/>
  <c r="G5" i="60" s="1"/>
  <c r="E6" i="60"/>
  <c r="G6" i="60" s="1"/>
  <c r="E3" i="60"/>
  <c r="D4" i="60"/>
  <c r="D5" i="60"/>
  <c r="D6" i="60"/>
  <c r="D3" i="60"/>
  <c r="C13" i="60"/>
  <c r="C8" i="60"/>
  <c r="C3" i="60"/>
  <c r="B13" i="60"/>
  <c r="B8" i="60"/>
  <c r="B3" i="60"/>
  <c r="L67" i="26"/>
  <c r="L68" i="26"/>
  <c r="L69" i="26"/>
  <c r="L66" i="26"/>
  <c r="L61" i="26"/>
  <c r="L64" i="26"/>
  <c r="L63" i="26"/>
  <c r="L62" i="26"/>
  <c r="L57" i="26"/>
  <c r="L58" i="26"/>
  <c r="L59" i="26"/>
  <c r="L56" i="26"/>
  <c r="D4" i="19"/>
  <c r="D5" i="21"/>
  <c r="L70" i="26" l="1"/>
  <c r="L60" i="26"/>
  <c r="L65" i="26"/>
  <c r="D77" i="26"/>
  <c r="L71" i="26" l="1"/>
  <c r="L75" i="26" s="1"/>
  <c r="I19" i="61"/>
  <c r="H19" i="61"/>
  <c r="G19" i="61"/>
  <c r="F19" i="61"/>
  <c r="E19" i="61"/>
  <c r="I18" i="61"/>
  <c r="H18" i="61"/>
  <c r="G18" i="61"/>
  <c r="F18" i="61"/>
  <c r="E18" i="61"/>
  <c r="I17" i="61"/>
  <c r="H17" i="61"/>
  <c r="G17" i="61"/>
  <c r="F17" i="61"/>
  <c r="E17" i="61"/>
  <c r="I16" i="61"/>
  <c r="H16" i="61"/>
  <c r="G16" i="61"/>
  <c r="F16" i="61"/>
  <c r="E16" i="61"/>
  <c r="I15" i="61"/>
  <c r="H15" i="61"/>
  <c r="G15" i="61"/>
  <c r="F15" i="61"/>
  <c r="E15" i="61"/>
  <c r="I14" i="61"/>
  <c r="H14" i="61"/>
  <c r="G14" i="61"/>
  <c r="F14" i="61"/>
  <c r="E14" i="61"/>
  <c r="I13" i="61"/>
  <c r="H13" i="61"/>
  <c r="G13" i="61"/>
  <c r="F13" i="61"/>
  <c r="E13" i="61"/>
  <c r="I12" i="61"/>
  <c r="H12" i="61"/>
  <c r="G12" i="61"/>
  <c r="F12" i="61"/>
  <c r="E12" i="61"/>
  <c r="I11" i="61"/>
  <c r="H11" i="61"/>
  <c r="G11" i="61"/>
  <c r="F11" i="61"/>
  <c r="E11" i="61"/>
  <c r="I10" i="61"/>
  <c r="H10" i="61"/>
  <c r="G10" i="61"/>
  <c r="F10" i="61"/>
  <c r="E10" i="61"/>
  <c r="H22" i="19"/>
  <c r="G22" i="19"/>
  <c r="F22" i="19"/>
  <c r="E22" i="19"/>
  <c r="D22" i="19"/>
  <c r="H21" i="19"/>
  <c r="G21" i="19"/>
  <c r="F21" i="19"/>
  <c r="E21" i="19"/>
  <c r="D21" i="19"/>
  <c r="H20" i="19"/>
  <c r="G20" i="19"/>
  <c r="F20" i="19"/>
  <c r="E20" i="19"/>
  <c r="D20" i="19"/>
  <c r="H19" i="19"/>
  <c r="G19" i="19"/>
  <c r="F19" i="19"/>
  <c r="E19" i="19"/>
  <c r="D19" i="19"/>
  <c r="H18" i="19"/>
  <c r="G18" i="19"/>
  <c r="F18" i="19"/>
  <c r="E18" i="19"/>
  <c r="D18" i="19"/>
  <c r="H17" i="19"/>
  <c r="G17" i="19"/>
  <c r="F17" i="19"/>
  <c r="E17" i="19"/>
  <c r="D17" i="19"/>
  <c r="H16" i="19"/>
  <c r="G16" i="19"/>
  <c r="F16" i="19"/>
  <c r="E16" i="19"/>
  <c r="D16" i="19"/>
  <c r="H15" i="19"/>
  <c r="G15" i="19"/>
  <c r="F15" i="19"/>
  <c r="E15" i="19"/>
  <c r="D15" i="19"/>
  <c r="E14" i="19"/>
  <c r="H13" i="19"/>
  <c r="G13" i="19"/>
  <c r="F13" i="19"/>
  <c r="E13" i="19"/>
  <c r="H14" i="19"/>
  <c r="H26" i="18"/>
  <c r="G26" i="18"/>
  <c r="F26" i="18"/>
  <c r="E26" i="18"/>
  <c r="D26" i="18"/>
  <c r="H25" i="18"/>
  <c r="G25" i="18"/>
  <c r="F25" i="18"/>
  <c r="E25" i="18"/>
  <c r="D25" i="18"/>
  <c r="H24" i="18"/>
  <c r="G24" i="18"/>
  <c r="F24" i="18"/>
  <c r="E24" i="18"/>
  <c r="D24" i="18"/>
  <c r="H23" i="18"/>
  <c r="G23" i="18"/>
  <c r="F23" i="18"/>
  <c r="E23" i="18"/>
  <c r="D23" i="18"/>
  <c r="H22" i="18"/>
  <c r="G22" i="18"/>
  <c r="F22" i="18"/>
  <c r="E22" i="18"/>
  <c r="D22" i="18"/>
  <c r="H21" i="18"/>
  <c r="G21" i="18"/>
  <c r="F21" i="18"/>
  <c r="E21" i="18"/>
  <c r="D21" i="18"/>
  <c r="H20" i="18"/>
  <c r="G20" i="18"/>
  <c r="F20" i="18"/>
  <c r="E20" i="18"/>
  <c r="D20" i="18"/>
  <c r="H19" i="18"/>
  <c r="G19" i="18"/>
  <c r="F19" i="18"/>
  <c r="E19" i="18"/>
  <c r="D19" i="18"/>
  <c r="H18" i="18"/>
  <c r="G18" i="18"/>
  <c r="F18" i="18"/>
  <c r="E18" i="18"/>
  <c r="D18" i="18"/>
  <c r="H17" i="18"/>
  <c r="G17" i="18"/>
  <c r="F17" i="18"/>
  <c r="E17" i="18"/>
  <c r="D17" i="18"/>
  <c r="H13" i="18"/>
  <c r="G13" i="18"/>
  <c r="F13" i="18"/>
  <c r="E13" i="18"/>
  <c r="D13" i="18"/>
  <c r="H12" i="18"/>
  <c r="G12" i="18"/>
  <c r="F12" i="18"/>
  <c r="E12" i="18"/>
  <c r="D12" i="18"/>
  <c r="H11" i="18"/>
  <c r="G11" i="18"/>
  <c r="F11" i="18"/>
  <c r="E11" i="18"/>
  <c r="D11" i="18"/>
  <c r="H10" i="18"/>
  <c r="G10" i="18"/>
  <c r="F10" i="18"/>
  <c r="E10" i="18"/>
  <c r="D10" i="18"/>
  <c r="H9" i="18"/>
  <c r="G9" i="18"/>
  <c r="F9" i="18"/>
  <c r="E9" i="18"/>
  <c r="D9" i="18"/>
  <c r="H8" i="18"/>
  <c r="G8" i="18"/>
  <c r="F8" i="18"/>
  <c r="E8" i="18"/>
  <c r="D8" i="18"/>
  <c r="H7" i="18"/>
  <c r="G7" i="18"/>
  <c r="F7" i="18"/>
  <c r="E7" i="18"/>
  <c r="D7" i="18"/>
  <c r="H6" i="18"/>
  <c r="G6" i="18"/>
  <c r="F6" i="18"/>
  <c r="E6" i="18"/>
  <c r="D6" i="18"/>
  <c r="H5" i="18"/>
  <c r="G5" i="18"/>
  <c r="F5" i="18"/>
  <c r="E5" i="18"/>
  <c r="D5" i="18"/>
  <c r="H4" i="18"/>
  <c r="G4" i="18"/>
  <c r="F4" i="18"/>
  <c r="E4" i="18"/>
  <c r="D4" i="18"/>
  <c r="J42" i="16"/>
  <c r="I42" i="16"/>
  <c r="H42" i="16"/>
  <c r="G42" i="16"/>
  <c r="F42" i="16"/>
  <c r="J41" i="16"/>
  <c r="I41" i="16"/>
  <c r="H41" i="16"/>
  <c r="G41" i="16"/>
  <c r="F41" i="16"/>
  <c r="J40" i="16"/>
  <c r="I40" i="16"/>
  <c r="H40" i="16"/>
  <c r="G40" i="16"/>
  <c r="F40" i="16"/>
  <c r="J39" i="16"/>
  <c r="I39" i="16"/>
  <c r="H39" i="16"/>
  <c r="G39" i="16"/>
  <c r="F39" i="16"/>
  <c r="J38" i="16"/>
  <c r="I38" i="16"/>
  <c r="H38" i="16"/>
  <c r="G38" i="16"/>
  <c r="F38" i="16"/>
  <c r="J37" i="16"/>
  <c r="I37" i="16"/>
  <c r="H37" i="16"/>
  <c r="G37" i="16"/>
  <c r="F37" i="16"/>
  <c r="J36" i="16"/>
  <c r="I36" i="16"/>
  <c r="H36" i="16"/>
  <c r="G36" i="16"/>
  <c r="F36" i="16"/>
  <c r="J35" i="16"/>
  <c r="I35" i="16"/>
  <c r="H35" i="16"/>
  <c r="G35" i="16"/>
  <c r="F35" i="16"/>
  <c r="J34" i="16"/>
  <c r="I34" i="16"/>
  <c r="H34" i="16"/>
  <c r="G34" i="16"/>
  <c r="F34" i="16"/>
  <c r="J33" i="16"/>
  <c r="I33" i="16"/>
  <c r="H33" i="16"/>
  <c r="G33" i="16"/>
  <c r="F33" i="16"/>
  <c r="Q18" i="18"/>
  <c r="P18" i="18"/>
  <c r="O18" i="18"/>
  <c r="N18" i="18"/>
  <c r="M18" i="18"/>
  <c r="Q17" i="18"/>
  <c r="P17" i="18"/>
  <c r="O17" i="18"/>
  <c r="N17" i="18"/>
  <c r="M17" i="18"/>
  <c r="Q16" i="18"/>
  <c r="P16" i="18"/>
  <c r="O16" i="18"/>
  <c r="N16" i="18"/>
  <c r="M16" i="18"/>
  <c r="Q15" i="18"/>
  <c r="P15" i="18"/>
  <c r="O15" i="18"/>
  <c r="N15" i="18"/>
  <c r="M15" i="18"/>
  <c r="Q14" i="18"/>
  <c r="P14" i="18"/>
  <c r="O14" i="18"/>
  <c r="N14" i="18"/>
  <c r="M14" i="18"/>
  <c r="Q13" i="18"/>
  <c r="P13" i="18"/>
  <c r="O13" i="18"/>
  <c r="N13" i="18"/>
  <c r="M13" i="18"/>
  <c r="Q12" i="18"/>
  <c r="P12" i="18"/>
  <c r="O12" i="18"/>
  <c r="N12" i="18"/>
  <c r="M12" i="18"/>
  <c r="Q11" i="18"/>
  <c r="P11" i="18"/>
  <c r="O11" i="18"/>
  <c r="N11" i="18"/>
  <c r="M11" i="18"/>
  <c r="Q10" i="18"/>
  <c r="P10" i="18"/>
  <c r="O10" i="18"/>
  <c r="N10" i="18"/>
  <c r="M10" i="18"/>
  <c r="Q9" i="18"/>
  <c r="P9" i="18"/>
  <c r="O9" i="18"/>
  <c r="N9" i="18"/>
  <c r="M9" i="18"/>
  <c r="Q8" i="18"/>
  <c r="P8" i="18"/>
  <c r="O8" i="18"/>
  <c r="N8" i="18"/>
  <c r="M8" i="18"/>
  <c r="Q7" i="18"/>
  <c r="P7" i="18"/>
  <c r="O7" i="18"/>
  <c r="N7" i="18"/>
  <c r="M7" i="18"/>
  <c r="Q6" i="18"/>
  <c r="P6" i="18"/>
  <c r="O6" i="18"/>
  <c r="N6" i="18"/>
  <c r="M6" i="18"/>
  <c r="Q5" i="18"/>
  <c r="P5" i="18"/>
  <c r="O5" i="18"/>
  <c r="N5" i="18"/>
  <c r="M5" i="18"/>
  <c r="Q4" i="18"/>
  <c r="P4" i="18"/>
  <c r="O4" i="18"/>
  <c r="N4" i="18"/>
  <c r="M4" i="18"/>
  <c r="D38" i="18" l="1"/>
  <c r="AC40" i="28"/>
  <c r="F37" i="21"/>
  <c r="G14" i="19"/>
  <c r="F14" i="19"/>
  <c r="D14" i="19"/>
  <c r="R13" i="18"/>
  <c r="R15" i="18"/>
  <c r="R16" i="18"/>
  <c r="R17" i="18"/>
  <c r="R12" i="18"/>
  <c r="R14" i="18"/>
  <c r="R18" i="18"/>
  <c r="R10" i="18"/>
  <c r="R11" i="18"/>
  <c r="R8" i="18"/>
  <c r="R9" i="18"/>
  <c r="R7" i="18"/>
  <c r="R6" i="18"/>
  <c r="R5" i="18"/>
  <c r="R4" i="18"/>
  <c r="R19" i="18" l="1"/>
  <c r="R20" i="18" s="1"/>
  <c r="E37" i="21" s="1"/>
  <c r="G75" i="26" l="1"/>
  <c r="C85" i="26"/>
  <c r="M85" i="26"/>
  <c r="L85" i="26"/>
  <c r="K85" i="26"/>
  <c r="J85" i="26"/>
  <c r="I85" i="26"/>
  <c r="H85" i="26"/>
  <c r="F85" i="26"/>
  <c r="E85" i="26"/>
  <c r="D85" i="26"/>
  <c r="C84" i="26"/>
  <c r="C83" i="26"/>
  <c r="M80" i="26"/>
  <c r="L80" i="26"/>
  <c r="K80" i="26"/>
  <c r="J80" i="26"/>
  <c r="I80" i="26"/>
  <c r="H80" i="26"/>
  <c r="G80" i="26"/>
  <c r="F80" i="26"/>
  <c r="E80" i="26"/>
  <c r="D80" i="26"/>
  <c r="C80" i="26"/>
  <c r="C79" i="26"/>
  <c r="C7" i="21" s="1"/>
  <c r="C78" i="26"/>
  <c r="C6" i="21" s="1"/>
  <c r="D2" i="21" l="1"/>
  <c r="J33" i="61"/>
  <c r="C35" i="21" l="1"/>
  <c r="M56" i="28"/>
  <c r="K32" i="61"/>
  <c r="D11" i="26"/>
  <c r="A3" i="61"/>
  <c r="E3" i="61" s="1"/>
  <c r="I37" i="21"/>
  <c r="D3" i="61" l="1"/>
  <c r="J16" i="61"/>
  <c r="J15" i="61"/>
  <c r="J17" i="61"/>
  <c r="J19" i="61"/>
  <c r="J18" i="61"/>
  <c r="J14" i="61"/>
  <c r="J13" i="61"/>
  <c r="J11" i="61"/>
  <c r="J12" i="61"/>
  <c r="I13" i="19"/>
  <c r="I17" i="19"/>
  <c r="I20" i="19"/>
  <c r="I21" i="19"/>
  <c r="I18" i="19"/>
  <c r="I22" i="19"/>
  <c r="I19" i="19"/>
  <c r="I14" i="19"/>
  <c r="I16" i="19"/>
  <c r="I15" i="19"/>
  <c r="C3" i="61"/>
  <c r="J10" i="61" l="1"/>
  <c r="J20" i="61" s="1"/>
  <c r="B4" i="61" s="1"/>
  <c r="J21" i="61" l="1"/>
  <c r="B5" i="61"/>
  <c r="B6" i="61" s="1"/>
  <c r="G13" i="60" l="1"/>
  <c r="G17" i="60" s="1"/>
  <c r="G8" i="60"/>
  <c r="G12" i="60" s="1"/>
  <c r="G3" i="60"/>
  <c r="G7" i="60" l="1"/>
  <c r="G18" i="60" s="1"/>
  <c r="I4" i="18" l="1"/>
  <c r="O73" i="21" l="1"/>
  <c r="O54" i="21" l="1"/>
  <c r="O55" i="21"/>
  <c r="O56" i="21"/>
  <c r="O57" i="21"/>
  <c r="O58" i="21"/>
  <c r="O59" i="21"/>
  <c r="O60" i="21"/>
  <c r="O61" i="21"/>
  <c r="O62" i="21"/>
  <c r="O63" i="21"/>
  <c r="O64" i="21"/>
  <c r="O65" i="21"/>
  <c r="O66" i="21"/>
  <c r="O67" i="21"/>
  <c r="O68" i="21"/>
  <c r="O69" i="21"/>
  <c r="O70" i="21"/>
  <c r="O71" i="21"/>
  <c r="O72" i="21"/>
  <c r="O53" i="21"/>
  <c r="D121" i="25" l="1"/>
  <c r="D120" i="25"/>
  <c r="D119" i="25"/>
  <c r="D118" i="25"/>
  <c r="D117" i="25"/>
  <c r="D116" i="25"/>
  <c r="D115" i="25"/>
  <c r="D114" i="25"/>
  <c r="D113" i="25"/>
  <c r="D112" i="25"/>
  <c r="D111" i="25"/>
  <c r="D110" i="25"/>
  <c r="D109" i="25"/>
  <c r="D108" i="25"/>
  <c r="D107" i="25"/>
  <c r="D106" i="25"/>
  <c r="D105" i="25"/>
  <c r="D104" i="25"/>
  <c r="D103" i="25"/>
  <c r="D102" i="25"/>
  <c r="D101" i="25"/>
  <c r="D100" i="25"/>
  <c r="D99" i="25"/>
  <c r="D98" i="25"/>
  <c r="D97" i="25"/>
  <c r="D96" i="25"/>
  <c r="D95" i="25"/>
  <c r="D94" i="25"/>
  <c r="D93" i="25"/>
  <c r="D92" i="25"/>
  <c r="D91" i="25"/>
  <c r="D90" i="25"/>
  <c r="D89" i="25"/>
  <c r="D88" i="25"/>
  <c r="D87" i="25"/>
  <c r="D86" i="25"/>
  <c r="D85" i="25"/>
  <c r="D84" i="25"/>
  <c r="D83" i="25"/>
  <c r="D82" i="25"/>
  <c r="D81" i="25"/>
  <c r="D80" i="25"/>
  <c r="D79" i="25"/>
  <c r="D78" i="25"/>
  <c r="D77" i="25"/>
  <c r="D76" i="25"/>
  <c r="D75" i="25"/>
  <c r="D74" i="25"/>
  <c r="D73" i="25"/>
  <c r="D72" i="25"/>
  <c r="D71" i="25"/>
  <c r="D70" i="25"/>
  <c r="D69" i="25"/>
  <c r="D68" i="25"/>
  <c r="D67" i="25"/>
  <c r="D66" i="25"/>
  <c r="D65" i="25"/>
  <c r="D64" i="25"/>
  <c r="D63" i="25"/>
  <c r="D62" i="25"/>
  <c r="D61" i="25"/>
  <c r="D60" i="25"/>
  <c r="D59" i="25"/>
  <c r="D58" i="25"/>
  <c r="D57" i="25"/>
  <c r="D56" i="25"/>
  <c r="D55" i="25"/>
  <c r="D54" i="25"/>
  <c r="D53" i="25"/>
  <c r="D52" i="25"/>
  <c r="D51" i="25"/>
  <c r="D50" i="25"/>
  <c r="D49" i="25"/>
  <c r="D48" i="25"/>
  <c r="D47" i="25"/>
  <c r="D46" i="25"/>
  <c r="D45" i="25"/>
  <c r="D44" i="25"/>
  <c r="D43" i="25"/>
  <c r="D42" i="25"/>
  <c r="D41" i="25"/>
  <c r="D40" i="25"/>
  <c r="D39" i="25"/>
  <c r="D38" i="25"/>
  <c r="D37" i="25"/>
  <c r="D36" i="25"/>
  <c r="D35" i="25"/>
  <c r="D34" i="25"/>
  <c r="D33" i="25"/>
  <c r="D32" i="25"/>
  <c r="D31" i="25"/>
  <c r="D30" i="25"/>
  <c r="D29" i="25"/>
  <c r="D28" i="25"/>
  <c r="D27" i="25"/>
  <c r="D26" i="25"/>
  <c r="D25" i="25"/>
  <c r="D24" i="25"/>
  <c r="D23" i="25"/>
  <c r="D22" i="25"/>
  <c r="D21" i="25"/>
  <c r="D20" i="25"/>
  <c r="D19" i="25"/>
  <c r="D18" i="25"/>
  <c r="D17" i="25"/>
  <c r="D16" i="25"/>
  <c r="D15" i="25"/>
  <c r="D14" i="25"/>
  <c r="D13" i="25"/>
  <c r="D12" i="25"/>
  <c r="D11" i="25"/>
  <c r="D10" i="25"/>
  <c r="D9" i="25"/>
  <c r="I62" i="25" l="1"/>
  <c r="G62" i="25"/>
  <c r="I33" i="25"/>
  <c r="G33" i="25"/>
  <c r="I39" i="25"/>
  <c r="G39" i="25"/>
  <c r="G45" i="25"/>
  <c r="I45" i="25"/>
  <c r="I51" i="25"/>
  <c r="G51" i="25"/>
  <c r="G57" i="25"/>
  <c r="I57" i="25"/>
  <c r="I63" i="25"/>
  <c r="G63" i="25"/>
  <c r="I69" i="25"/>
  <c r="G69" i="25"/>
  <c r="G75" i="25"/>
  <c r="I75" i="25"/>
  <c r="I81" i="25"/>
  <c r="G81" i="25"/>
  <c r="I87" i="25"/>
  <c r="G87" i="25"/>
  <c r="G93" i="25"/>
  <c r="I93" i="25"/>
  <c r="I99" i="25"/>
  <c r="G99" i="25"/>
  <c r="I105" i="25"/>
  <c r="G105" i="25"/>
  <c r="G111" i="25"/>
  <c r="I111" i="25"/>
  <c r="I117" i="25"/>
  <c r="G117" i="25"/>
  <c r="G32" i="25"/>
  <c r="I32" i="25"/>
  <c r="G50" i="25"/>
  <c r="I50" i="25"/>
  <c r="G68" i="25"/>
  <c r="I68" i="25"/>
  <c r="I80" i="25"/>
  <c r="G80" i="25"/>
  <c r="G92" i="25"/>
  <c r="I92" i="25"/>
  <c r="I98" i="25"/>
  <c r="G98" i="25"/>
  <c r="G104" i="25"/>
  <c r="I104" i="25"/>
  <c r="G116" i="25"/>
  <c r="I116" i="25"/>
  <c r="I15" i="25"/>
  <c r="G15" i="25"/>
  <c r="G27" i="25"/>
  <c r="I27" i="25"/>
  <c r="G16" i="25"/>
  <c r="I16" i="25"/>
  <c r="G22" i="25"/>
  <c r="I22" i="25"/>
  <c r="G28" i="25"/>
  <c r="I28" i="25"/>
  <c r="G34" i="25"/>
  <c r="I34" i="25"/>
  <c r="G40" i="25"/>
  <c r="I40" i="25"/>
  <c r="G46" i="25"/>
  <c r="I46" i="25"/>
  <c r="G52" i="25"/>
  <c r="I52" i="25"/>
  <c r="G58" i="25"/>
  <c r="I58" i="25"/>
  <c r="G64" i="25"/>
  <c r="I64" i="25"/>
  <c r="G70" i="25"/>
  <c r="I70" i="25"/>
  <c r="G76" i="25"/>
  <c r="I76" i="25"/>
  <c r="G82" i="25"/>
  <c r="I82" i="25"/>
  <c r="G88" i="25"/>
  <c r="I88" i="25"/>
  <c r="G94" i="25"/>
  <c r="I94" i="25"/>
  <c r="G100" i="25"/>
  <c r="I100" i="25"/>
  <c r="G106" i="25"/>
  <c r="I106" i="25"/>
  <c r="G112" i="25"/>
  <c r="I112" i="25"/>
  <c r="G118" i="25"/>
  <c r="I118" i="25"/>
  <c r="G14" i="25"/>
  <c r="I14" i="25"/>
  <c r="I26" i="25"/>
  <c r="G26" i="25"/>
  <c r="G38" i="25"/>
  <c r="I38" i="25"/>
  <c r="G56" i="25"/>
  <c r="I56" i="25"/>
  <c r="G74" i="25"/>
  <c r="I74" i="25"/>
  <c r="G110" i="25"/>
  <c r="I110" i="25"/>
  <c r="G9" i="25"/>
  <c r="I9" i="25"/>
  <c r="I21" i="25"/>
  <c r="G21" i="25"/>
  <c r="G10" i="25"/>
  <c r="I10" i="25"/>
  <c r="G11" i="25"/>
  <c r="I11" i="25"/>
  <c r="G17" i="25"/>
  <c r="I17" i="25"/>
  <c r="G23" i="25"/>
  <c r="I23" i="25"/>
  <c r="G29" i="25"/>
  <c r="I29" i="25"/>
  <c r="G35" i="25"/>
  <c r="I35" i="25"/>
  <c r="G41" i="25"/>
  <c r="I41" i="25"/>
  <c r="G47" i="25"/>
  <c r="I47" i="25"/>
  <c r="G53" i="25"/>
  <c r="I53" i="25"/>
  <c r="G59" i="25"/>
  <c r="I59" i="25"/>
  <c r="G65" i="25"/>
  <c r="I65" i="25"/>
  <c r="G71" i="25"/>
  <c r="I71" i="25"/>
  <c r="G77" i="25"/>
  <c r="I77" i="25"/>
  <c r="G83" i="25"/>
  <c r="I83" i="25"/>
  <c r="G89" i="25"/>
  <c r="I89" i="25"/>
  <c r="G95" i="25"/>
  <c r="I95" i="25"/>
  <c r="G101" i="25"/>
  <c r="I101" i="25"/>
  <c r="G107" i="25"/>
  <c r="I107" i="25"/>
  <c r="G113" i="25"/>
  <c r="I113" i="25"/>
  <c r="G119" i="25"/>
  <c r="I119" i="25"/>
  <c r="G72" i="25"/>
  <c r="I72" i="25"/>
  <c r="I78" i="25"/>
  <c r="G78" i="25"/>
  <c r="I84" i="25"/>
  <c r="G84" i="25"/>
  <c r="I90" i="25"/>
  <c r="G90" i="25"/>
  <c r="I96" i="25"/>
  <c r="G96" i="25"/>
  <c r="I102" i="25"/>
  <c r="G102" i="25"/>
  <c r="I108" i="25"/>
  <c r="G108" i="25"/>
  <c r="I114" i="25"/>
  <c r="G114" i="25"/>
  <c r="G120" i="25"/>
  <c r="I120" i="25"/>
  <c r="I20" i="25"/>
  <c r="G20" i="25"/>
  <c r="G44" i="25"/>
  <c r="I44" i="25"/>
  <c r="G86" i="25"/>
  <c r="I86" i="25"/>
  <c r="I12" i="25"/>
  <c r="G12" i="25"/>
  <c r="G18" i="25"/>
  <c r="I18" i="25"/>
  <c r="I24" i="25"/>
  <c r="G24" i="25"/>
  <c r="I30" i="25"/>
  <c r="G30" i="25"/>
  <c r="I36" i="25"/>
  <c r="G36" i="25"/>
  <c r="I42" i="25"/>
  <c r="G42" i="25"/>
  <c r="I48" i="25"/>
  <c r="G48" i="25"/>
  <c r="I54" i="25"/>
  <c r="G54" i="25"/>
  <c r="I60" i="25"/>
  <c r="G60" i="25"/>
  <c r="I66" i="25"/>
  <c r="G66" i="25"/>
  <c r="G13" i="25"/>
  <c r="I13" i="25"/>
  <c r="I19" i="25"/>
  <c r="G19" i="25"/>
  <c r="I25" i="25"/>
  <c r="G25" i="25"/>
  <c r="I31" i="25"/>
  <c r="G31" i="25"/>
  <c r="G37" i="25"/>
  <c r="I37" i="25"/>
  <c r="I43" i="25"/>
  <c r="G43" i="25"/>
  <c r="G49" i="25"/>
  <c r="I49" i="25"/>
  <c r="I55" i="25"/>
  <c r="G55" i="25"/>
  <c r="I61" i="25"/>
  <c r="G61" i="25"/>
  <c r="I67" i="25"/>
  <c r="G67" i="25"/>
  <c r="I73" i="25"/>
  <c r="G73" i="25"/>
  <c r="I79" i="25"/>
  <c r="G79" i="25"/>
  <c r="I85" i="25"/>
  <c r="G85" i="25"/>
  <c r="I91" i="25"/>
  <c r="G91" i="25"/>
  <c r="I97" i="25"/>
  <c r="G97" i="25"/>
  <c r="I103" i="25"/>
  <c r="G103" i="25"/>
  <c r="I109" i="25"/>
  <c r="G109" i="25"/>
  <c r="I115" i="25"/>
  <c r="G115" i="25"/>
  <c r="I121" i="25"/>
  <c r="G121" i="25"/>
  <c r="C9" i="16"/>
  <c r="C2" i="45" l="1"/>
  <c r="AI9" i="25" l="1"/>
  <c r="K146" i="30" l="1"/>
  <c r="J146" i="30"/>
  <c r="J100" i="51" l="1"/>
  <c r="K100" i="51"/>
  <c r="G171" i="51"/>
  <c r="K171" i="51"/>
  <c r="J171" i="51"/>
  <c r="I171" i="51"/>
  <c r="A171" i="51"/>
  <c r="J57" i="30"/>
  <c r="K57" i="30"/>
  <c r="F7" i="30" l="1"/>
  <c r="F8" i="30"/>
  <c r="F17" i="26" l="1"/>
  <c r="D4" i="23" l="1"/>
  <c r="D5" i="23"/>
  <c r="D6" i="23"/>
  <c r="D7" i="23"/>
  <c r="D8" i="23"/>
  <c r="D9" i="23"/>
  <c r="D10" i="23"/>
  <c r="D11" i="23"/>
  <c r="D12" i="23"/>
  <c r="D13" i="23"/>
  <c r="D14" i="23"/>
  <c r="D15" i="23"/>
  <c r="D16" i="23"/>
  <c r="D17" i="23"/>
  <c r="D18" i="23"/>
  <c r="D19" i="23"/>
  <c r="D20" i="23"/>
  <c r="D21" i="23"/>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113" i="23"/>
  <c r="D114" i="23"/>
  <c r="D115" i="23"/>
  <c r="D116" i="23"/>
  <c r="D117" i="23"/>
  <c r="D118" i="23"/>
  <c r="D119" i="23"/>
  <c r="D120" i="23"/>
  <c r="D121" i="23"/>
  <c r="D122" i="23"/>
  <c r="D123" i="23"/>
  <c r="D124" i="23"/>
  <c r="D125" i="23"/>
  <c r="D126" i="23"/>
  <c r="D127" i="23"/>
  <c r="D128" i="23"/>
  <c r="D129" i="23"/>
  <c r="D130" i="23"/>
  <c r="D131" i="23"/>
  <c r="D132" i="23"/>
  <c r="D133" i="23"/>
  <c r="D134" i="23"/>
  <c r="D135" i="23"/>
  <c r="D136" i="23"/>
  <c r="D137" i="23"/>
  <c r="D138" i="23"/>
  <c r="D139" i="23"/>
  <c r="D140" i="23"/>
  <c r="D141" i="23"/>
  <c r="D142" i="23"/>
  <c r="D143" i="23"/>
  <c r="D144" i="23"/>
  <c r="D145" i="23"/>
  <c r="D146" i="23"/>
  <c r="D147" i="23"/>
  <c r="D148" i="23"/>
  <c r="D149" i="23"/>
  <c r="D150" i="23"/>
  <c r="D151" i="23"/>
  <c r="D152" i="23"/>
  <c r="D153" i="23"/>
  <c r="D154" i="23"/>
  <c r="D155" i="23"/>
  <c r="D156" i="23"/>
  <c r="D157" i="23"/>
  <c r="D158" i="23"/>
  <c r="D159" i="23"/>
  <c r="D160" i="23"/>
  <c r="D161" i="23"/>
  <c r="D162" i="23"/>
  <c r="D163" i="23"/>
  <c r="D164" i="23"/>
  <c r="D165" i="23"/>
  <c r="D166" i="23"/>
  <c r="D167" i="23"/>
  <c r="D168" i="23"/>
  <c r="D169" i="23"/>
  <c r="D170" i="23"/>
  <c r="D171" i="23"/>
  <c r="D172" i="23"/>
  <c r="D173" i="23"/>
  <c r="D174" i="23"/>
  <c r="D175" i="23"/>
  <c r="D176" i="23"/>
  <c r="D177" i="23"/>
  <c r="D178" i="23"/>
  <c r="D179" i="23"/>
  <c r="D180" i="23"/>
  <c r="D181" i="23"/>
  <c r="D182" i="23"/>
  <c r="D183" i="23"/>
  <c r="D184" i="23"/>
  <c r="D185" i="23"/>
  <c r="D186" i="23"/>
  <c r="D187" i="23"/>
  <c r="D188" i="23"/>
  <c r="D189" i="23"/>
  <c r="D190" i="23"/>
  <c r="D191" i="23"/>
  <c r="D192" i="23"/>
  <c r="D193" i="23"/>
  <c r="D194" i="23"/>
  <c r="D195" i="23"/>
  <c r="D196" i="23"/>
  <c r="D197" i="23"/>
  <c r="D198" i="23"/>
  <c r="D199" i="23"/>
  <c r="D200" i="23"/>
  <c r="D201" i="23"/>
  <c r="D202" i="23"/>
  <c r="D203" i="23"/>
  <c r="D204" i="23"/>
  <c r="D205" i="23"/>
  <c r="D206" i="23"/>
  <c r="D207" i="23"/>
  <c r="D208" i="23"/>
  <c r="D209" i="23"/>
  <c r="D210" i="23"/>
  <c r="D211" i="23"/>
  <c r="D212" i="23"/>
  <c r="D213" i="23"/>
  <c r="D214" i="23"/>
  <c r="D215" i="23"/>
  <c r="D216" i="23"/>
  <c r="D217" i="23"/>
  <c r="D218" i="23"/>
  <c r="D219" i="23"/>
  <c r="D220" i="23"/>
  <c r="D221" i="23"/>
  <c r="D222" i="23"/>
  <c r="D223" i="23"/>
  <c r="D224" i="23"/>
  <c r="D225" i="23"/>
  <c r="D226" i="23"/>
  <c r="D227" i="23"/>
  <c r="D228" i="23"/>
  <c r="D229" i="23"/>
  <c r="D230" i="23"/>
  <c r="D231" i="23"/>
  <c r="D232" i="23"/>
  <c r="D233" i="23"/>
  <c r="D234" i="23"/>
  <c r="D235" i="23"/>
  <c r="D236" i="23"/>
  <c r="D237" i="23"/>
  <c r="D238" i="23"/>
  <c r="D239" i="23"/>
  <c r="D240" i="23"/>
  <c r="D241" i="23"/>
  <c r="D242" i="23"/>
  <c r="D243" i="23"/>
  <c r="D244" i="23"/>
  <c r="D245" i="23"/>
  <c r="D246" i="23"/>
  <c r="D247" i="23"/>
  <c r="D248" i="23"/>
  <c r="D249" i="23"/>
  <c r="D250" i="23"/>
  <c r="D251" i="23"/>
  <c r="D252" i="23"/>
  <c r="D253" i="23"/>
  <c r="D254" i="23"/>
  <c r="D255" i="23"/>
  <c r="D256" i="23"/>
  <c r="D257" i="23"/>
  <c r="D258" i="23"/>
  <c r="D259" i="23"/>
  <c r="D260" i="23"/>
  <c r="D261" i="23"/>
  <c r="D262" i="23"/>
  <c r="D263" i="23"/>
  <c r="D264" i="23"/>
  <c r="D265" i="23"/>
  <c r="D266" i="23"/>
  <c r="D267" i="23"/>
  <c r="D268" i="23"/>
  <c r="D269" i="23"/>
  <c r="D270" i="23"/>
  <c r="D271" i="23"/>
  <c r="D272" i="23"/>
  <c r="D273" i="23"/>
  <c r="D274" i="23"/>
  <c r="D275" i="23"/>
  <c r="D276" i="23"/>
  <c r="D277" i="23"/>
  <c r="D278" i="23"/>
  <c r="D279" i="23"/>
  <c r="D280" i="23"/>
  <c r="D281" i="23"/>
  <c r="D282" i="23"/>
  <c r="D283" i="23"/>
  <c r="D284" i="23"/>
  <c r="D285" i="23"/>
  <c r="D286" i="23"/>
  <c r="D287" i="23"/>
  <c r="D288" i="23"/>
  <c r="D289" i="23"/>
  <c r="D290" i="23"/>
  <c r="D291" i="23"/>
  <c r="D292" i="23"/>
  <c r="D293" i="23"/>
  <c r="D294" i="23"/>
  <c r="D295" i="23"/>
  <c r="D296" i="23"/>
  <c r="D297" i="23"/>
  <c r="D298" i="23"/>
  <c r="D299" i="23"/>
  <c r="D300" i="23"/>
  <c r="D301" i="23"/>
  <c r="D302" i="23"/>
  <c r="D303" i="23"/>
  <c r="D304" i="23"/>
  <c r="D305" i="23"/>
  <c r="D306" i="23"/>
  <c r="D307" i="23"/>
  <c r="D308" i="23"/>
  <c r="D309" i="23"/>
  <c r="D310" i="23"/>
  <c r="D311" i="23"/>
  <c r="D312" i="23"/>
  <c r="D313" i="23"/>
  <c r="D314" i="23"/>
  <c r="D315" i="23"/>
  <c r="D316" i="23"/>
  <c r="D317" i="23"/>
  <c r="D318" i="23"/>
  <c r="D319" i="23"/>
  <c r="D320" i="23"/>
  <c r="D321" i="23"/>
  <c r="D322" i="23"/>
  <c r="D323" i="23"/>
  <c r="D324" i="23"/>
  <c r="D325" i="23"/>
  <c r="D326" i="23"/>
  <c r="D327" i="23"/>
  <c r="D328" i="23"/>
  <c r="D329" i="23"/>
  <c r="D330" i="23"/>
  <c r="D331" i="23"/>
  <c r="D332" i="23"/>
  <c r="D333" i="23"/>
  <c r="D334" i="23"/>
  <c r="D335" i="23"/>
  <c r="D336" i="23"/>
  <c r="D337" i="23"/>
  <c r="D338" i="23"/>
  <c r="D339" i="23"/>
  <c r="D340" i="23"/>
  <c r="D341" i="23"/>
  <c r="D342" i="23"/>
  <c r="D343" i="23"/>
  <c r="D344" i="23"/>
  <c r="D345" i="23"/>
  <c r="D346" i="23"/>
  <c r="D347" i="23"/>
  <c r="D348" i="23"/>
  <c r="D349" i="23"/>
  <c r="D350" i="23"/>
  <c r="D351" i="23"/>
  <c r="D352" i="23"/>
  <c r="D353" i="23"/>
  <c r="D354" i="23"/>
  <c r="D355" i="23"/>
  <c r="D356" i="23"/>
  <c r="D357" i="23"/>
  <c r="D358" i="23"/>
  <c r="D359" i="23"/>
  <c r="D360" i="23"/>
  <c r="D361" i="23"/>
  <c r="D362" i="23"/>
  <c r="D363" i="23"/>
  <c r="D364" i="23"/>
  <c r="D365" i="23"/>
  <c r="D366" i="23"/>
  <c r="D367" i="23"/>
  <c r="D368" i="23"/>
  <c r="D369" i="23"/>
  <c r="D370" i="23"/>
  <c r="D371" i="23"/>
  <c r="D372" i="23"/>
  <c r="D373" i="23"/>
  <c r="D374" i="23"/>
  <c r="D375" i="23"/>
  <c r="D376" i="23"/>
  <c r="D377" i="23"/>
  <c r="D378" i="23"/>
  <c r="D379" i="23"/>
  <c r="D380" i="23"/>
  <c r="D381" i="23"/>
  <c r="D382" i="23"/>
  <c r="D383" i="23"/>
  <c r="D384" i="23"/>
  <c r="D385" i="23"/>
  <c r="D386" i="23"/>
  <c r="D387" i="23"/>
  <c r="D388" i="23"/>
  <c r="D389" i="23"/>
  <c r="D390" i="23"/>
  <c r="D391" i="23"/>
  <c r="D392" i="23"/>
  <c r="D393" i="23"/>
  <c r="D394" i="23"/>
  <c r="D395" i="23"/>
  <c r="D396" i="23"/>
  <c r="D397" i="23"/>
  <c r="D398" i="23"/>
  <c r="D399" i="23"/>
  <c r="D400" i="23"/>
  <c r="D401" i="23"/>
  <c r="D402" i="23"/>
  <c r="D403" i="23"/>
  <c r="D404" i="23"/>
  <c r="D405" i="23"/>
  <c r="D406" i="23"/>
  <c r="D407" i="23"/>
  <c r="D408" i="23"/>
  <c r="D409" i="23"/>
  <c r="D410" i="23"/>
  <c r="D411" i="23"/>
  <c r="D412" i="23"/>
  <c r="D413" i="23"/>
  <c r="D414" i="23"/>
  <c r="D415" i="23"/>
  <c r="D416" i="23"/>
  <c r="D417" i="23"/>
  <c r="D418" i="23"/>
  <c r="D419" i="23"/>
  <c r="D420" i="23"/>
  <c r="D421" i="23"/>
  <c r="D422" i="23"/>
  <c r="D423" i="23"/>
  <c r="D424" i="23"/>
  <c r="D425" i="23"/>
  <c r="D426" i="23"/>
  <c r="D427" i="23"/>
  <c r="D428" i="23"/>
  <c r="D429" i="23"/>
  <c r="D430" i="23"/>
  <c r="D431" i="23"/>
  <c r="D432" i="23"/>
  <c r="D433" i="23"/>
  <c r="D434" i="23"/>
  <c r="D435" i="23"/>
  <c r="D436" i="23"/>
  <c r="D437" i="23"/>
  <c r="D438" i="23"/>
  <c r="D439" i="23"/>
  <c r="D440" i="23"/>
  <c r="D441" i="23"/>
  <c r="D442" i="23"/>
  <c r="D443" i="23"/>
  <c r="D444" i="23"/>
  <c r="D445" i="23"/>
  <c r="D446" i="23"/>
  <c r="D447" i="23"/>
  <c r="D448" i="23"/>
  <c r="D449" i="23"/>
  <c r="D450" i="23"/>
  <c r="D451" i="23"/>
  <c r="D452" i="23"/>
  <c r="D453" i="23"/>
  <c r="D454" i="23"/>
  <c r="D455" i="23"/>
  <c r="D456" i="23"/>
  <c r="D457" i="23"/>
  <c r="D458" i="23"/>
  <c r="D459" i="23"/>
  <c r="D460" i="23"/>
  <c r="D461" i="23"/>
  <c r="D462" i="23"/>
  <c r="D463" i="23"/>
  <c r="D464" i="23"/>
  <c r="D465" i="23"/>
  <c r="D466" i="23"/>
  <c r="D467" i="23"/>
  <c r="D468" i="23"/>
  <c r="D469" i="23"/>
  <c r="D470" i="23"/>
  <c r="D471" i="23"/>
  <c r="D472" i="23"/>
  <c r="D473" i="23"/>
  <c r="D474" i="23"/>
  <c r="D475" i="23"/>
  <c r="D476" i="23"/>
  <c r="D477" i="23"/>
  <c r="D478" i="23"/>
  <c r="D479" i="23"/>
  <c r="D480" i="23"/>
  <c r="D481" i="23"/>
  <c r="D482" i="23"/>
  <c r="D483" i="23"/>
  <c r="D484" i="23"/>
  <c r="D485" i="23"/>
  <c r="D486" i="23"/>
  <c r="D487" i="23"/>
  <c r="D488" i="23"/>
  <c r="D489" i="23"/>
  <c r="D490" i="23"/>
  <c r="D491" i="23"/>
  <c r="D492" i="23"/>
  <c r="D493" i="23"/>
  <c r="D494" i="23"/>
  <c r="D495" i="23"/>
  <c r="D496" i="23"/>
  <c r="D497" i="23"/>
  <c r="D498" i="23"/>
  <c r="D499" i="23"/>
  <c r="D500" i="23"/>
  <c r="D501" i="23"/>
  <c r="D502" i="23"/>
  <c r="D503" i="23"/>
  <c r="D504" i="23"/>
  <c r="D505" i="23"/>
  <c r="D506" i="23"/>
  <c r="D507" i="23"/>
  <c r="D508" i="23"/>
  <c r="D509" i="23"/>
  <c r="D510" i="23"/>
  <c r="D511" i="23"/>
  <c r="D512" i="23"/>
  <c r="D513" i="23"/>
  <c r="D514" i="23"/>
  <c r="D515" i="23"/>
  <c r="D516" i="23"/>
  <c r="D517" i="23"/>
  <c r="D518" i="23"/>
  <c r="D519" i="23"/>
  <c r="D520" i="23"/>
  <c r="D521" i="23"/>
  <c r="D522" i="23"/>
  <c r="D523" i="23"/>
  <c r="D524" i="23"/>
  <c r="D525" i="23"/>
  <c r="D526" i="23"/>
  <c r="D527" i="23"/>
  <c r="D528" i="23"/>
  <c r="D529" i="23"/>
  <c r="D530" i="23"/>
  <c r="D531" i="23"/>
  <c r="D532" i="23"/>
  <c r="D533" i="23"/>
  <c r="D534" i="23"/>
  <c r="D535" i="23"/>
  <c r="D536" i="23"/>
  <c r="D537" i="23"/>
  <c r="D538" i="23"/>
  <c r="D539" i="23"/>
  <c r="D540" i="23"/>
  <c r="D541" i="23"/>
  <c r="D542" i="23"/>
  <c r="D543" i="23"/>
  <c r="D544" i="23"/>
  <c r="D545" i="23"/>
  <c r="D546" i="23"/>
  <c r="D547" i="23"/>
  <c r="D548" i="23"/>
  <c r="D549" i="23"/>
  <c r="D550" i="23"/>
  <c r="D551" i="23"/>
  <c r="D552" i="23"/>
  <c r="D553" i="23"/>
  <c r="D554" i="23"/>
  <c r="D555" i="23"/>
  <c r="D556" i="23"/>
  <c r="D557" i="23"/>
  <c r="D558" i="23"/>
  <c r="D559" i="23"/>
  <c r="D560" i="23"/>
  <c r="D561" i="23"/>
  <c r="D562" i="23"/>
  <c r="D563" i="23"/>
  <c r="D564" i="23"/>
  <c r="D565" i="23"/>
  <c r="D566" i="23"/>
  <c r="D567" i="23"/>
  <c r="D568" i="23"/>
  <c r="D569" i="23"/>
  <c r="D570" i="23"/>
  <c r="D571" i="23"/>
  <c r="D572" i="23"/>
  <c r="D573" i="23"/>
  <c r="D574" i="23"/>
  <c r="D575" i="23"/>
  <c r="D576" i="23"/>
  <c r="D577" i="23"/>
  <c r="D578" i="23"/>
  <c r="D579" i="23"/>
  <c r="D580" i="23"/>
  <c r="D581" i="23"/>
  <c r="D582" i="23"/>
  <c r="D583" i="23"/>
  <c r="D584" i="23"/>
  <c r="D585" i="23"/>
  <c r="D586" i="23"/>
  <c r="D587" i="23"/>
  <c r="D588" i="23"/>
  <c r="D589" i="23"/>
  <c r="D590" i="23"/>
  <c r="D591" i="23"/>
  <c r="D592" i="23"/>
  <c r="D593" i="23"/>
  <c r="D594" i="23"/>
  <c r="D595" i="23"/>
  <c r="D596" i="23"/>
  <c r="D597" i="23"/>
  <c r="D598" i="23"/>
  <c r="D599" i="23"/>
  <c r="D600" i="23"/>
  <c r="D601" i="23"/>
  <c r="D602" i="23"/>
  <c r="D603" i="23"/>
  <c r="D604" i="23"/>
  <c r="D605" i="23"/>
  <c r="D606" i="23"/>
  <c r="D607" i="23"/>
  <c r="D608" i="23"/>
  <c r="D609" i="23"/>
  <c r="D610" i="23"/>
  <c r="D611" i="23"/>
  <c r="D612" i="23"/>
  <c r="D613" i="23"/>
  <c r="D614" i="23"/>
  <c r="D615" i="23"/>
  <c r="D616" i="23"/>
  <c r="D617" i="23"/>
  <c r="D618" i="23"/>
  <c r="D619" i="23"/>
  <c r="D620" i="23"/>
  <c r="D621" i="23"/>
  <c r="D622" i="23"/>
  <c r="D623" i="23"/>
  <c r="D624" i="23"/>
  <c r="D625" i="23"/>
  <c r="D626" i="23"/>
  <c r="D627" i="23"/>
  <c r="D628" i="23"/>
  <c r="D629" i="23"/>
  <c r="D630" i="23"/>
  <c r="Z4" i="24"/>
  <c r="Z5" i="24"/>
  <c r="Z6" i="24"/>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Z48" i="24"/>
  <c r="Z49" i="24"/>
  <c r="Z50" i="24"/>
  <c r="Z51" i="24"/>
  <c r="Z52" i="24"/>
  <c r="Z53" i="24"/>
  <c r="Z54" i="24"/>
  <c r="Z55" i="24"/>
  <c r="Z56" i="24"/>
  <c r="Z57" i="24"/>
  <c r="Z58" i="24"/>
  <c r="Z59" i="24"/>
  <c r="Z60" i="24"/>
  <c r="Z61" i="24"/>
  <c r="Z62" i="24"/>
  <c r="Z63" i="24"/>
  <c r="Z64" i="24"/>
  <c r="Z65" i="24"/>
  <c r="Z66" i="24"/>
  <c r="Z67" i="24"/>
  <c r="Z68" i="24"/>
  <c r="Z69" i="24"/>
  <c r="Z70" i="24"/>
  <c r="Z71" i="24"/>
  <c r="Z72" i="24"/>
  <c r="Z73" i="24"/>
  <c r="Z74" i="24"/>
  <c r="Z75" i="24"/>
  <c r="Z76" i="24"/>
  <c r="Z77" i="24"/>
  <c r="Z78" i="24"/>
  <c r="Z79" i="24"/>
  <c r="Z80" i="24"/>
  <c r="Z81" i="24"/>
  <c r="Z82" i="24"/>
  <c r="Z83" i="24"/>
  <c r="Z84" i="24"/>
  <c r="Z85" i="24"/>
  <c r="Z86" i="24"/>
  <c r="Z87" i="24"/>
  <c r="Z88" i="24"/>
  <c r="Z89" i="24"/>
  <c r="Z90" i="24"/>
  <c r="Z91" i="24"/>
  <c r="Z92" i="24"/>
  <c r="Z93" i="24"/>
  <c r="Z94" i="24"/>
  <c r="Z95" i="24"/>
  <c r="Z96" i="24"/>
  <c r="Z97" i="24"/>
  <c r="Z98" i="24"/>
  <c r="Z99" i="24"/>
  <c r="Z100" i="24"/>
  <c r="Z101" i="24"/>
  <c r="Z102" i="24"/>
  <c r="Z103" i="24"/>
  <c r="Z104" i="24"/>
  <c r="Z105" i="24"/>
  <c r="Z106" i="24"/>
  <c r="Z107" i="24"/>
  <c r="Z108" i="24"/>
  <c r="Z109" i="24"/>
  <c r="Z110" i="24"/>
  <c r="Z111" i="24"/>
  <c r="Z112" i="24"/>
  <c r="Z113" i="24"/>
  <c r="Z114" i="24"/>
  <c r="Z115" i="24"/>
  <c r="Z116" i="24"/>
  <c r="Z117" i="24"/>
  <c r="Z118" i="24"/>
  <c r="Z119" i="24"/>
  <c r="Z120" i="24"/>
  <c r="Z121" i="24"/>
  <c r="Z122" i="24"/>
  <c r="Z123" i="24"/>
  <c r="Z124" i="24"/>
  <c r="Z125" i="24"/>
  <c r="Z126" i="24"/>
  <c r="Z127" i="24"/>
  <c r="Z128" i="24"/>
  <c r="Z129" i="24"/>
  <c r="Z130" i="24"/>
  <c r="Z131" i="24"/>
  <c r="Z132" i="24"/>
  <c r="Z133" i="24"/>
  <c r="Z134" i="24"/>
  <c r="Z135" i="24"/>
  <c r="Z136" i="24"/>
  <c r="Z137" i="24"/>
  <c r="Z138" i="24"/>
  <c r="Z139" i="24"/>
  <c r="Z140" i="24"/>
  <c r="Z141" i="24"/>
  <c r="Z142" i="24"/>
  <c r="Z143" i="24"/>
  <c r="Z144" i="24"/>
  <c r="Z145" i="24"/>
  <c r="Z146" i="24"/>
  <c r="Z147" i="24"/>
  <c r="Z148" i="24"/>
  <c r="Z149" i="24"/>
  <c r="Z150" i="24"/>
  <c r="Z151" i="24"/>
  <c r="Z152" i="24"/>
  <c r="Z153" i="24"/>
  <c r="Z154" i="24"/>
  <c r="Z155" i="24"/>
  <c r="Z156" i="24"/>
  <c r="Z157" i="24"/>
  <c r="Z158" i="24"/>
  <c r="Z159" i="24"/>
  <c r="Z160" i="24"/>
  <c r="Z161" i="24"/>
  <c r="Z162" i="24"/>
  <c r="Z163" i="24"/>
  <c r="Z164" i="24"/>
  <c r="Z165" i="24"/>
  <c r="Z166" i="24"/>
  <c r="Z167" i="24"/>
  <c r="Z168" i="24"/>
  <c r="Z169" i="24"/>
  <c r="Z170" i="24"/>
  <c r="Z171" i="24"/>
  <c r="Z172" i="24"/>
  <c r="Z173" i="24"/>
  <c r="Z174" i="24"/>
  <c r="Z175" i="24"/>
  <c r="Z176" i="24"/>
  <c r="Z177" i="24"/>
  <c r="Z178" i="24"/>
  <c r="Z179" i="24"/>
  <c r="Z180" i="24"/>
  <c r="Z181" i="24"/>
  <c r="Z182" i="24"/>
  <c r="Z183" i="24"/>
  <c r="Z184" i="24"/>
  <c r="Z185" i="24"/>
  <c r="Z186" i="24"/>
  <c r="Z187" i="24"/>
  <c r="Z188" i="24"/>
  <c r="Z189" i="24"/>
  <c r="Z190" i="24"/>
  <c r="Z191" i="24"/>
  <c r="Z192" i="24"/>
  <c r="Z193" i="24"/>
  <c r="Z194" i="24"/>
  <c r="Z195" i="24"/>
  <c r="Z196" i="24"/>
  <c r="Z197" i="24"/>
  <c r="Z198" i="24"/>
  <c r="Z199" i="24"/>
  <c r="Z200" i="24"/>
  <c r="Z201" i="24"/>
  <c r="Z202" i="24"/>
  <c r="Z203" i="24"/>
  <c r="Z204" i="24"/>
  <c r="Z205" i="24"/>
  <c r="Z206" i="24"/>
  <c r="Z207" i="24"/>
  <c r="Z208" i="24"/>
  <c r="Z209" i="24"/>
  <c r="Z210" i="24"/>
  <c r="Z211" i="24"/>
  <c r="Z212" i="24"/>
  <c r="Z213" i="24"/>
  <c r="Z214" i="24"/>
  <c r="Z215" i="24"/>
  <c r="Z216" i="24"/>
  <c r="Z217" i="24"/>
  <c r="Z218" i="24"/>
  <c r="Z219" i="24"/>
  <c r="Z220" i="24"/>
  <c r="Z221" i="24"/>
  <c r="Z222" i="24"/>
  <c r="Z223" i="24"/>
  <c r="Z224" i="24"/>
  <c r="Z225" i="24"/>
  <c r="Z226" i="24"/>
  <c r="Z227" i="24"/>
  <c r="Z228" i="24"/>
  <c r="Z229" i="24"/>
  <c r="Z230" i="24"/>
  <c r="Z231" i="24"/>
  <c r="Z232" i="24"/>
  <c r="Z233" i="24"/>
  <c r="Z234" i="24"/>
  <c r="Z235" i="24"/>
  <c r="Z236" i="24"/>
  <c r="Z237" i="24"/>
  <c r="Z238" i="24"/>
  <c r="Z239" i="24"/>
  <c r="Z240" i="24"/>
  <c r="Z241" i="24"/>
  <c r="Z242" i="24"/>
  <c r="Z243" i="24"/>
  <c r="Z244" i="24"/>
  <c r="Z245" i="24"/>
  <c r="Z246" i="24"/>
  <c r="Z247" i="24"/>
  <c r="Z248" i="24"/>
  <c r="Z249" i="24"/>
  <c r="Z250" i="24"/>
  <c r="Z251" i="24"/>
  <c r="Z252" i="24"/>
  <c r="Z253" i="24"/>
  <c r="Z254" i="24"/>
  <c r="Z255" i="24"/>
  <c r="Z256" i="24"/>
  <c r="Z257" i="24"/>
  <c r="Z258" i="24"/>
  <c r="Z259" i="24"/>
  <c r="Z260" i="24"/>
  <c r="Z261" i="24"/>
  <c r="Z262" i="24"/>
  <c r="Z263" i="24"/>
  <c r="Z264" i="24"/>
  <c r="Z265" i="24"/>
  <c r="Z266" i="24"/>
  <c r="Z267" i="24"/>
  <c r="Z268" i="24"/>
  <c r="Z269" i="24"/>
  <c r="Z270" i="24"/>
  <c r="Z271" i="24"/>
  <c r="Z272" i="24"/>
  <c r="Z273" i="24"/>
  <c r="Z274" i="24"/>
  <c r="Z275" i="24"/>
  <c r="Z276" i="24"/>
  <c r="Z277" i="24"/>
  <c r="Z278" i="24"/>
  <c r="Z279" i="24"/>
  <c r="Z280" i="24"/>
  <c r="Z281" i="24"/>
  <c r="Z282" i="24"/>
  <c r="Z283" i="24"/>
  <c r="Z284" i="24"/>
  <c r="Z285" i="24"/>
  <c r="Z286" i="24"/>
  <c r="Z287" i="24"/>
  <c r="Z288" i="24"/>
  <c r="Z289" i="24"/>
  <c r="Z290" i="24"/>
  <c r="Z291" i="24"/>
  <c r="Z292" i="24"/>
  <c r="Z293" i="24"/>
  <c r="Z294" i="24"/>
  <c r="Z295" i="24"/>
  <c r="Z296" i="24"/>
  <c r="Z297" i="24"/>
  <c r="Z298" i="24"/>
  <c r="Z299" i="24"/>
  <c r="Z300" i="24"/>
  <c r="Z301" i="24"/>
  <c r="Z302" i="24"/>
  <c r="Z303" i="24"/>
  <c r="Z304" i="24"/>
  <c r="Z305" i="24"/>
  <c r="Z306" i="24"/>
  <c r="Z307" i="24"/>
  <c r="Z308" i="24"/>
  <c r="Z309" i="24"/>
  <c r="Z310" i="24"/>
  <c r="Z311" i="24"/>
  <c r="Z312" i="24"/>
  <c r="Z313" i="24"/>
  <c r="Z314" i="24"/>
  <c r="Z315" i="24"/>
  <c r="Z316" i="24"/>
  <c r="Z317" i="24"/>
  <c r="Z318" i="24"/>
  <c r="Z319" i="24"/>
  <c r="Z320" i="24"/>
  <c r="Z321" i="24"/>
  <c r="Z322" i="24"/>
  <c r="Z323" i="24"/>
  <c r="Z324" i="24"/>
  <c r="Z325" i="24"/>
  <c r="Z326" i="24"/>
  <c r="Z327" i="24"/>
  <c r="Z328" i="24"/>
  <c r="Z329" i="24"/>
  <c r="Z330" i="24"/>
  <c r="Z331" i="24"/>
  <c r="Z332" i="24"/>
  <c r="Z333" i="24"/>
  <c r="Z334" i="24"/>
  <c r="Z335" i="24"/>
  <c r="Z336" i="24"/>
  <c r="Z337" i="24"/>
  <c r="Z338" i="24"/>
  <c r="Z339" i="24"/>
  <c r="Z340" i="24"/>
  <c r="Z341" i="24"/>
  <c r="Z342" i="24"/>
  <c r="Z343" i="24"/>
  <c r="Z344" i="24"/>
  <c r="Z345" i="24"/>
  <c r="Z346" i="24"/>
  <c r="Z347" i="24"/>
  <c r="Z348" i="24"/>
  <c r="Z349" i="24"/>
  <c r="Z350" i="24"/>
  <c r="Z351" i="24"/>
  <c r="Z352" i="24"/>
  <c r="Z353" i="24"/>
  <c r="Z354" i="24"/>
  <c r="Z355" i="24"/>
  <c r="Z356" i="24"/>
  <c r="Z357" i="24"/>
  <c r="Z358" i="24"/>
  <c r="Z359" i="24"/>
  <c r="Z360" i="24"/>
  <c r="Z361" i="24"/>
  <c r="Z362" i="24"/>
  <c r="Z363" i="24"/>
  <c r="Z364" i="24"/>
  <c r="Z365" i="24"/>
  <c r="Z366" i="24"/>
  <c r="Z367" i="24"/>
  <c r="Z368" i="24"/>
  <c r="Z369" i="24"/>
  <c r="Z370" i="24"/>
  <c r="Z371" i="24"/>
  <c r="Z372" i="24"/>
  <c r="Z373" i="24"/>
  <c r="Z374" i="24"/>
  <c r="Z375" i="24"/>
  <c r="Z376" i="24"/>
  <c r="Z377" i="24"/>
  <c r="Z378" i="24"/>
  <c r="Z379" i="24"/>
  <c r="Z380" i="24"/>
  <c r="Z381" i="24"/>
  <c r="Z382" i="24"/>
  <c r="Z383" i="24"/>
  <c r="Z384" i="24"/>
  <c r="Z385" i="24"/>
  <c r="Z386" i="24"/>
  <c r="Z387" i="24"/>
  <c r="Z388" i="24"/>
  <c r="Z389" i="24"/>
  <c r="Z390" i="24"/>
  <c r="Z391" i="24"/>
  <c r="Z392" i="24"/>
  <c r="Z393" i="24"/>
  <c r="Z394" i="24"/>
  <c r="Z395" i="24"/>
  <c r="Z396" i="24"/>
  <c r="Z397" i="24"/>
  <c r="Z398" i="24"/>
  <c r="Z399" i="24"/>
  <c r="Z400" i="24"/>
  <c r="Z401" i="24"/>
  <c r="Z402" i="24"/>
  <c r="Z403" i="24"/>
  <c r="Z404" i="24"/>
  <c r="Z405" i="24"/>
  <c r="Z406" i="24"/>
  <c r="Z407" i="24"/>
  <c r="Z408" i="24"/>
  <c r="Z409" i="24"/>
  <c r="Z410" i="24"/>
  <c r="Z411" i="24"/>
  <c r="Z412" i="24"/>
  <c r="Z413" i="24"/>
  <c r="Z414" i="24"/>
  <c r="Z415" i="24"/>
  <c r="Z416" i="24"/>
  <c r="Z417" i="24"/>
  <c r="Z418" i="24"/>
  <c r="Z419" i="24"/>
  <c r="Z420" i="24"/>
  <c r="Z421" i="24"/>
  <c r="Z422" i="24"/>
  <c r="Z423" i="24"/>
  <c r="Z424" i="24"/>
  <c r="Z425" i="24"/>
  <c r="Z426" i="24"/>
  <c r="Z427" i="24"/>
  <c r="Z428" i="24"/>
  <c r="Z429" i="24"/>
  <c r="Z430" i="24"/>
  <c r="Z431" i="24"/>
  <c r="Z432" i="24"/>
  <c r="Z433" i="24"/>
  <c r="Z434" i="24"/>
  <c r="Z435" i="24"/>
  <c r="Z436" i="24"/>
  <c r="Z437" i="24"/>
  <c r="Z438" i="24"/>
  <c r="Z439" i="24"/>
  <c r="Z440" i="24"/>
  <c r="Z441" i="24"/>
  <c r="Z442" i="24"/>
  <c r="Z443" i="24"/>
  <c r="Z444" i="24"/>
  <c r="Z445" i="24"/>
  <c r="Z446" i="24"/>
  <c r="Z447" i="24"/>
  <c r="Z448" i="24"/>
  <c r="Z449" i="24"/>
  <c r="Z450" i="24"/>
  <c r="Z451" i="24"/>
  <c r="Z452" i="24"/>
  <c r="Z453" i="24"/>
  <c r="Z454" i="24"/>
  <c r="Z455" i="24"/>
  <c r="Z456" i="24"/>
  <c r="Z457" i="24"/>
  <c r="Z458" i="24"/>
  <c r="Z459" i="24"/>
  <c r="Z460" i="24"/>
  <c r="Z461" i="24"/>
  <c r="Z462" i="24"/>
  <c r="Z463" i="24"/>
  <c r="Z464" i="24"/>
  <c r="Z465" i="24"/>
  <c r="Z466" i="24"/>
  <c r="Z467" i="24"/>
  <c r="Z468" i="24"/>
  <c r="Z469" i="24"/>
  <c r="Z470" i="24"/>
  <c r="Z471" i="24"/>
  <c r="Z472" i="24"/>
  <c r="Z473" i="24"/>
  <c r="Z474" i="24"/>
  <c r="Z475" i="24"/>
  <c r="Z476" i="24"/>
  <c r="Z477" i="24"/>
  <c r="Z478" i="24"/>
  <c r="Z479" i="24"/>
  <c r="Z480" i="24"/>
  <c r="Z481" i="24"/>
  <c r="Z482" i="24"/>
  <c r="Z483" i="24"/>
  <c r="Z484" i="24"/>
  <c r="Z485" i="24"/>
  <c r="Z486" i="24"/>
  <c r="Z487" i="24"/>
  <c r="Z488" i="24"/>
  <c r="Z489" i="24"/>
  <c r="Z490" i="24"/>
  <c r="Z491" i="24"/>
  <c r="Z492" i="24"/>
  <c r="Z493" i="24"/>
  <c r="Z494" i="24"/>
  <c r="Z495" i="24"/>
  <c r="Z496" i="24"/>
  <c r="Z497" i="24"/>
  <c r="Z498" i="24"/>
  <c r="Z499" i="24"/>
  <c r="Z500" i="24"/>
  <c r="Z501" i="24"/>
  <c r="Z502" i="24"/>
  <c r="Z503" i="24"/>
  <c r="Z504" i="24"/>
  <c r="Z505" i="24"/>
  <c r="Z506" i="24"/>
  <c r="Z507" i="24"/>
  <c r="Z508" i="24"/>
  <c r="Z509" i="24"/>
  <c r="Z510" i="24"/>
  <c r="Z511" i="24"/>
  <c r="Z512" i="24"/>
  <c r="Z513" i="24"/>
  <c r="Z514" i="24"/>
  <c r="Z515" i="24"/>
  <c r="Z516" i="24"/>
  <c r="Z517" i="24"/>
  <c r="Z518" i="24"/>
  <c r="Z519" i="24"/>
  <c r="Z520" i="24"/>
  <c r="Z521" i="24"/>
  <c r="Z522" i="24"/>
  <c r="Z523" i="24"/>
  <c r="Z524" i="24"/>
  <c r="Z525" i="24"/>
  <c r="Z526" i="24"/>
  <c r="Z527" i="24"/>
  <c r="Z528" i="24"/>
  <c r="Z529" i="24"/>
  <c r="Z530" i="24"/>
  <c r="Z531" i="24"/>
  <c r="Z532" i="24"/>
  <c r="Z533" i="24"/>
  <c r="Z534" i="24"/>
  <c r="Z535" i="24"/>
  <c r="Z536" i="24"/>
  <c r="Z537" i="24"/>
  <c r="Z538" i="24"/>
  <c r="Z539" i="24"/>
  <c r="Z540" i="24"/>
  <c r="Z541" i="24"/>
  <c r="Z542" i="24"/>
  <c r="Z543" i="24"/>
  <c r="Z544" i="24"/>
  <c r="Z545" i="24"/>
  <c r="Z546" i="24"/>
  <c r="Z547" i="24"/>
  <c r="Z548" i="24"/>
  <c r="Z549" i="24"/>
  <c r="Z550" i="24"/>
  <c r="Z551" i="24"/>
  <c r="Z552" i="24"/>
  <c r="Z553" i="24"/>
  <c r="Z554" i="24"/>
  <c r="Z555" i="24"/>
  <c r="Z556" i="24"/>
  <c r="Z557" i="24"/>
  <c r="Z558" i="24"/>
  <c r="Z559" i="24"/>
  <c r="Z560" i="24"/>
  <c r="Z561" i="24"/>
  <c r="Z562" i="24"/>
  <c r="Z563" i="24"/>
  <c r="Z564" i="24"/>
  <c r="Z565" i="24"/>
  <c r="Z566" i="24"/>
  <c r="Z567" i="24"/>
  <c r="Z568" i="24"/>
  <c r="Z569" i="24"/>
  <c r="Z570" i="24"/>
  <c r="Z571" i="24"/>
  <c r="Z572" i="24"/>
  <c r="Z573" i="24"/>
  <c r="Z574" i="24"/>
  <c r="Z575" i="24"/>
  <c r="Z576" i="24"/>
  <c r="Z577" i="24"/>
  <c r="Z578" i="24"/>
  <c r="Z579" i="24"/>
  <c r="Z580" i="24"/>
  <c r="Z581" i="24"/>
  <c r="Z582" i="24"/>
  <c r="Z583" i="24"/>
  <c r="Z584" i="24"/>
  <c r="Z585" i="24"/>
  <c r="Z586" i="24"/>
  <c r="Z587" i="24"/>
  <c r="Z588" i="24"/>
  <c r="Z589" i="24"/>
  <c r="Z590" i="24"/>
  <c r="Z591" i="24"/>
  <c r="Z592" i="24"/>
  <c r="Z593" i="24"/>
  <c r="Z594" i="24"/>
  <c r="Z595" i="24"/>
  <c r="Z596" i="24"/>
  <c r="Z597" i="24"/>
  <c r="Z598" i="24"/>
  <c r="Z599" i="24"/>
  <c r="Z600" i="24"/>
  <c r="Z601" i="24"/>
  <c r="Z602" i="24"/>
  <c r="Z603" i="24"/>
  <c r="Z604" i="24"/>
  <c r="Z605" i="24"/>
  <c r="Z606" i="24"/>
  <c r="Z607" i="24"/>
  <c r="Z608" i="24"/>
  <c r="Z609" i="24"/>
  <c r="Z610" i="24"/>
  <c r="Z611" i="24"/>
  <c r="Z612" i="24"/>
  <c r="Z613" i="24"/>
  <c r="Z614" i="24"/>
  <c r="Z615" i="24"/>
  <c r="Z616" i="24"/>
  <c r="Z617" i="24"/>
  <c r="Z618" i="24"/>
  <c r="Z619" i="24"/>
  <c r="Z620" i="24"/>
  <c r="Z621" i="24"/>
  <c r="Z622" i="24"/>
  <c r="Z623" i="24"/>
  <c r="Z624" i="24"/>
  <c r="Z625" i="24"/>
  <c r="Z626" i="24"/>
  <c r="Z627" i="24"/>
  <c r="Z628" i="24"/>
  <c r="Z629" i="24"/>
  <c r="Z630" i="24"/>
  <c r="G3" i="51"/>
  <c r="G4" i="51"/>
  <c r="G5" i="51"/>
  <c r="G6" i="51"/>
  <c r="G7" i="51"/>
  <c r="G8" i="51"/>
  <c r="G9" i="51"/>
  <c r="G10" i="51"/>
  <c r="G11" i="51"/>
  <c r="G12" i="51"/>
  <c r="G13" i="51"/>
  <c r="G14" i="51"/>
  <c r="G15" i="51"/>
  <c r="G16" i="51"/>
  <c r="G17" i="51"/>
  <c r="G18" i="51"/>
  <c r="G19" i="51"/>
  <c r="G20" i="51"/>
  <c r="G21" i="51"/>
  <c r="G22" i="51"/>
  <c r="G23" i="51"/>
  <c r="G24" i="51"/>
  <c r="G25" i="51"/>
  <c r="G26" i="51"/>
  <c r="G27" i="51"/>
  <c r="G28" i="51"/>
  <c r="G29" i="51"/>
  <c r="G30" i="51"/>
  <c r="G31" i="51"/>
  <c r="G32" i="51"/>
  <c r="G33" i="51"/>
  <c r="G34" i="51"/>
  <c r="G35" i="51"/>
  <c r="G36" i="51"/>
  <c r="G37" i="51"/>
  <c r="G38" i="51"/>
  <c r="G39" i="51"/>
  <c r="G40" i="51"/>
  <c r="G41" i="51"/>
  <c r="G42" i="51"/>
  <c r="G43" i="51"/>
  <c r="G44" i="51"/>
  <c r="G45" i="51"/>
  <c r="G46" i="51"/>
  <c r="G47" i="51"/>
  <c r="G48" i="51"/>
  <c r="G49" i="51"/>
  <c r="G50" i="51"/>
  <c r="G51" i="51"/>
  <c r="G52" i="51"/>
  <c r="G53" i="51"/>
  <c r="G55" i="51"/>
  <c r="G56" i="51"/>
  <c r="G54" i="51"/>
  <c r="G57" i="51"/>
  <c r="G58" i="51"/>
  <c r="G59" i="51"/>
  <c r="G60" i="51"/>
  <c r="G61" i="51"/>
  <c r="G62" i="51"/>
  <c r="G64" i="51"/>
  <c r="G63" i="51"/>
  <c r="G67" i="51"/>
  <c r="G65" i="51"/>
  <c r="G66" i="51"/>
  <c r="G68" i="51"/>
  <c r="G69" i="51"/>
  <c r="G70" i="51"/>
  <c r="G71" i="51"/>
  <c r="G72" i="51"/>
  <c r="G73" i="51"/>
  <c r="G74" i="51"/>
  <c r="G75" i="51"/>
  <c r="G76" i="51"/>
  <c r="G77" i="51"/>
  <c r="G78" i="51"/>
  <c r="G79" i="51"/>
  <c r="G80" i="51"/>
  <c r="G81" i="51"/>
  <c r="G82" i="51"/>
  <c r="G83" i="51"/>
  <c r="G85" i="51"/>
  <c r="G84" i="51"/>
  <c r="G86" i="51"/>
  <c r="G87" i="51"/>
  <c r="G88" i="51"/>
  <c r="G89" i="51"/>
  <c r="G90" i="51"/>
  <c r="G91" i="51"/>
  <c r="G92" i="51"/>
  <c r="G93" i="51"/>
  <c r="G94" i="51"/>
  <c r="G95" i="51"/>
  <c r="G96" i="51"/>
  <c r="G97" i="51"/>
  <c r="G98" i="51"/>
  <c r="G99" i="51"/>
  <c r="G100" i="51"/>
  <c r="G101" i="51"/>
  <c r="G102" i="51"/>
  <c r="G103" i="51"/>
  <c r="G104" i="51"/>
  <c r="G105" i="51"/>
  <c r="G106" i="51"/>
  <c r="G107" i="51"/>
  <c r="G108" i="51"/>
  <c r="G109" i="51"/>
  <c r="G110" i="51"/>
  <c r="G111" i="51"/>
  <c r="G112" i="51"/>
  <c r="G113" i="51"/>
  <c r="G114" i="51"/>
  <c r="G115" i="51"/>
  <c r="G116" i="51"/>
  <c r="G117" i="51"/>
  <c r="G118" i="51"/>
  <c r="G119" i="51"/>
  <c r="G120" i="51"/>
  <c r="G121" i="51"/>
  <c r="G122" i="51"/>
  <c r="G123" i="51"/>
  <c r="G124" i="51"/>
  <c r="G125" i="51"/>
  <c r="G126" i="51"/>
  <c r="G127" i="51"/>
  <c r="G128" i="51"/>
  <c r="G129" i="51"/>
  <c r="G130" i="51"/>
  <c r="G131" i="51"/>
  <c r="G132" i="51"/>
  <c r="G133" i="51"/>
  <c r="G134" i="51"/>
  <c r="G135" i="51"/>
  <c r="G136" i="51"/>
  <c r="G137" i="51"/>
  <c r="G138" i="51"/>
  <c r="G139" i="51"/>
  <c r="G140" i="51"/>
  <c r="G141" i="51"/>
  <c r="G142" i="51"/>
  <c r="G143" i="51"/>
  <c r="G144" i="51"/>
  <c r="G145" i="51"/>
  <c r="G146" i="51"/>
  <c r="G147" i="51"/>
  <c r="G148" i="51"/>
  <c r="G149" i="51"/>
  <c r="G150" i="51"/>
  <c r="G151" i="51"/>
  <c r="G152" i="51"/>
  <c r="G153" i="51"/>
  <c r="G154" i="51"/>
  <c r="G155" i="51"/>
  <c r="G156" i="51"/>
  <c r="G157" i="51"/>
  <c r="G158" i="51"/>
  <c r="G159" i="51"/>
  <c r="G160" i="51"/>
  <c r="G161" i="51"/>
  <c r="G162" i="51"/>
  <c r="G163" i="51"/>
  <c r="G164" i="51"/>
  <c r="G165" i="51"/>
  <c r="G166" i="51"/>
  <c r="G167" i="51"/>
  <c r="G168" i="51"/>
  <c r="G169" i="51"/>
  <c r="G170" i="51"/>
  <c r="G172" i="51"/>
  <c r="G173" i="51"/>
  <c r="G174" i="51"/>
  <c r="G175" i="51"/>
  <c r="G176" i="51"/>
  <c r="G177" i="51"/>
  <c r="G178" i="51"/>
  <c r="G179" i="51"/>
  <c r="G180" i="51"/>
  <c r="G2" i="51"/>
  <c r="D3" i="23" l="1"/>
  <c r="Z3" i="24"/>
  <c r="I3" i="51" l="1"/>
  <c r="J3" i="51"/>
  <c r="K3" i="51"/>
  <c r="I4" i="51"/>
  <c r="J4" i="51"/>
  <c r="K4" i="51"/>
  <c r="I5" i="51"/>
  <c r="J5" i="51"/>
  <c r="K5" i="51"/>
  <c r="I6" i="51"/>
  <c r="J6" i="51"/>
  <c r="K6" i="51"/>
  <c r="I7" i="51"/>
  <c r="J7" i="51"/>
  <c r="K7" i="51"/>
  <c r="I8" i="51"/>
  <c r="J8" i="51"/>
  <c r="K8" i="51"/>
  <c r="I9" i="51"/>
  <c r="J9" i="51"/>
  <c r="K9" i="51"/>
  <c r="I10" i="51"/>
  <c r="J10" i="51"/>
  <c r="K10" i="51"/>
  <c r="I11" i="51"/>
  <c r="J11" i="51"/>
  <c r="K11" i="51"/>
  <c r="I12" i="51"/>
  <c r="J12" i="51"/>
  <c r="K12" i="51"/>
  <c r="I13" i="51"/>
  <c r="J13" i="51"/>
  <c r="K13" i="51"/>
  <c r="I14" i="51"/>
  <c r="J14" i="51"/>
  <c r="K14" i="51"/>
  <c r="I15" i="51"/>
  <c r="J15" i="51"/>
  <c r="K15" i="51"/>
  <c r="I16" i="51"/>
  <c r="J16" i="51"/>
  <c r="K16" i="51"/>
  <c r="I17" i="51"/>
  <c r="J17" i="51"/>
  <c r="K17" i="51"/>
  <c r="I18" i="51"/>
  <c r="J18" i="51"/>
  <c r="K18" i="51"/>
  <c r="I19" i="51"/>
  <c r="J19" i="51"/>
  <c r="K19" i="51"/>
  <c r="I20" i="51"/>
  <c r="J20" i="51"/>
  <c r="K20" i="51"/>
  <c r="I21" i="51"/>
  <c r="J21" i="51"/>
  <c r="K21" i="51"/>
  <c r="I22" i="51"/>
  <c r="J22" i="51"/>
  <c r="K22" i="51"/>
  <c r="I23" i="51"/>
  <c r="J23" i="51"/>
  <c r="K23" i="51"/>
  <c r="I24" i="51"/>
  <c r="J24" i="51"/>
  <c r="K24" i="51"/>
  <c r="I25" i="51"/>
  <c r="J25" i="51"/>
  <c r="K25" i="51"/>
  <c r="I26" i="51"/>
  <c r="J26" i="51"/>
  <c r="K26" i="51"/>
  <c r="I27" i="51"/>
  <c r="J27" i="51"/>
  <c r="K27" i="51"/>
  <c r="I28" i="51"/>
  <c r="J28" i="51"/>
  <c r="K28" i="51"/>
  <c r="I29" i="51"/>
  <c r="J29" i="51"/>
  <c r="K29" i="51"/>
  <c r="I30" i="51"/>
  <c r="J30" i="51"/>
  <c r="K30" i="51"/>
  <c r="I31" i="51"/>
  <c r="J31" i="51"/>
  <c r="K31" i="51"/>
  <c r="I32" i="51"/>
  <c r="J32" i="51"/>
  <c r="K32" i="51"/>
  <c r="I33" i="51"/>
  <c r="J33" i="51"/>
  <c r="K33" i="51"/>
  <c r="I34" i="51"/>
  <c r="J34" i="51"/>
  <c r="K34" i="51"/>
  <c r="I35" i="51"/>
  <c r="J35" i="51"/>
  <c r="K35" i="51"/>
  <c r="I36" i="51"/>
  <c r="J36" i="51"/>
  <c r="K36" i="51"/>
  <c r="I37" i="51"/>
  <c r="J37" i="51"/>
  <c r="K37" i="51"/>
  <c r="I38" i="51"/>
  <c r="J38" i="51"/>
  <c r="K38" i="51"/>
  <c r="I39" i="51"/>
  <c r="J39" i="51"/>
  <c r="K39" i="51"/>
  <c r="I40" i="51"/>
  <c r="J40" i="51"/>
  <c r="K40" i="51"/>
  <c r="I41" i="51"/>
  <c r="J41" i="51"/>
  <c r="K41" i="51"/>
  <c r="I42" i="51"/>
  <c r="J42" i="51"/>
  <c r="K42" i="51"/>
  <c r="I43" i="51"/>
  <c r="J43" i="51"/>
  <c r="K43" i="51"/>
  <c r="I44" i="51"/>
  <c r="J44" i="51"/>
  <c r="K44" i="51"/>
  <c r="I45" i="51"/>
  <c r="J45" i="51"/>
  <c r="K45" i="51"/>
  <c r="I46" i="51"/>
  <c r="J46" i="51"/>
  <c r="K46" i="51"/>
  <c r="I47" i="51"/>
  <c r="J47" i="51"/>
  <c r="K47" i="51"/>
  <c r="I48" i="51"/>
  <c r="J48" i="51"/>
  <c r="K48" i="51"/>
  <c r="I49" i="51"/>
  <c r="J49" i="51"/>
  <c r="K49" i="51"/>
  <c r="I50" i="51"/>
  <c r="J50" i="51"/>
  <c r="K50" i="51"/>
  <c r="I51" i="51"/>
  <c r="J51" i="51"/>
  <c r="K51" i="51"/>
  <c r="I52" i="51"/>
  <c r="J52" i="51"/>
  <c r="K52" i="51"/>
  <c r="I53" i="51"/>
  <c r="J53" i="51"/>
  <c r="K53" i="51"/>
  <c r="I55" i="51"/>
  <c r="J55" i="51"/>
  <c r="K55" i="51"/>
  <c r="I56" i="51"/>
  <c r="J56" i="51"/>
  <c r="K56" i="51"/>
  <c r="I54" i="51"/>
  <c r="J54" i="51"/>
  <c r="K54" i="51"/>
  <c r="I57" i="51"/>
  <c r="J57" i="51"/>
  <c r="K57" i="51"/>
  <c r="I58" i="51"/>
  <c r="J58" i="51"/>
  <c r="K58" i="51"/>
  <c r="I59" i="51"/>
  <c r="J59" i="51"/>
  <c r="K59" i="51"/>
  <c r="I60" i="51"/>
  <c r="J60" i="51"/>
  <c r="K60" i="51"/>
  <c r="I61" i="51"/>
  <c r="J61" i="51"/>
  <c r="K61" i="51"/>
  <c r="I62" i="51"/>
  <c r="J62" i="51"/>
  <c r="K62" i="51"/>
  <c r="I64" i="51"/>
  <c r="J64" i="51"/>
  <c r="K64" i="51"/>
  <c r="I63" i="51"/>
  <c r="J63" i="51"/>
  <c r="K63" i="51"/>
  <c r="I67" i="51"/>
  <c r="J67" i="51"/>
  <c r="K67" i="51"/>
  <c r="I65" i="51"/>
  <c r="J65" i="51"/>
  <c r="K65" i="51"/>
  <c r="I66" i="51"/>
  <c r="J66" i="51"/>
  <c r="K66" i="51"/>
  <c r="I68" i="51"/>
  <c r="J68" i="51"/>
  <c r="K68" i="51"/>
  <c r="I69" i="51"/>
  <c r="J69" i="51"/>
  <c r="K69" i="51"/>
  <c r="I70" i="51"/>
  <c r="J70" i="51"/>
  <c r="K70" i="51"/>
  <c r="I71" i="51"/>
  <c r="J71" i="51"/>
  <c r="K71" i="51"/>
  <c r="I72" i="51"/>
  <c r="J72" i="51"/>
  <c r="K72" i="51"/>
  <c r="I73" i="51"/>
  <c r="J73" i="51"/>
  <c r="K73" i="51"/>
  <c r="I74" i="51"/>
  <c r="J74" i="51"/>
  <c r="K74" i="51"/>
  <c r="I75" i="51"/>
  <c r="J75" i="51"/>
  <c r="K75" i="51"/>
  <c r="I76" i="51"/>
  <c r="J76" i="51"/>
  <c r="K76" i="51"/>
  <c r="I77" i="51"/>
  <c r="J77" i="51"/>
  <c r="K77" i="51"/>
  <c r="I78" i="51"/>
  <c r="J78" i="51"/>
  <c r="K78" i="51"/>
  <c r="I79" i="51"/>
  <c r="J79" i="51"/>
  <c r="K79" i="51"/>
  <c r="I80" i="51"/>
  <c r="J80" i="51"/>
  <c r="K80" i="51"/>
  <c r="I81" i="51"/>
  <c r="J81" i="51"/>
  <c r="K81" i="51"/>
  <c r="I82" i="51"/>
  <c r="J82" i="51"/>
  <c r="K82" i="51"/>
  <c r="I83" i="51"/>
  <c r="J83" i="51"/>
  <c r="K83" i="51"/>
  <c r="I85" i="51"/>
  <c r="J85" i="51"/>
  <c r="K85" i="51"/>
  <c r="I84" i="51"/>
  <c r="J84" i="51"/>
  <c r="K84" i="51"/>
  <c r="I86" i="51"/>
  <c r="J86" i="51"/>
  <c r="K86" i="51"/>
  <c r="I87" i="51"/>
  <c r="J87" i="51"/>
  <c r="K87" i="51"/>
  <c r="I88" i="51"/>
  <c r="J88" i="51"/>
  <c r="K88" i="51"/>
  <c r="I89" i="51"/>
  <c r="J89" i="51"/>
  <c r="K89" i="51"/>
  <c r="I90" i="51"/>
  <c r="J90" i="51"/>
  <c r="K90" i="51"/>
  <c r="I91" i="51"/>
  <c r="J91" i="51"/>
  <c r="K91" i="51"/>
  <c r="I92" i="51"/>
  <c r="J92" i="51"/>
  <c r="K92" i="51"/>
  <c r="I93" i="51"/>
  <c r="J93" i="51"/>
  <c r="K93" i="51"/>
  <c r="I94" i="51"/>
  <c r="J94" i="51"/>
  <c r="K94" i="51"/>
  <c r="I95" i="51"/>
  <c r="J95" i="51"/>
  <c r="K95" i="51"/>
  <c r="I96" i="51"/>
  <c r="J96" i="51"/>
  <c r="K96" i="51"/>
  <c r="I97" i="51"/>
  <c r="J97" i="51"/>
  <c r="K97" i="51"/>
  <c r="I98" i="51"/>
  <c r="J98" i="51"/>
  <c r="K98" i="51"/>
  <c r="I99" i="51"/>
  <c r="J99" i="51"/>
  <c r="K99" i="51"/>
  <c r="I100" i="51"/>
  <c r="I101" i="51"/>
  <c r="J101" i="51"/>
  <c r="K101" i="51"/>
  <c r="I102" i="51"/>
  <c r="J102" i="51"/>
  <c r="K102" i="51"/>
  <c r="I103" i="51"/>
  <c r="J103" i="51"/>
  <c r="K103" i="51"/>
  <c r="I104" i="51"/>
  <c r="J104" i="51"/>
  <c r="K104" i="51"/>
  <c r="I105" i="51"/>
  <c r="J105" i="51"/>
  <c r="K105" i="51"/>
  <c r="I106" i="51"/>
  <c r="J106" i="51"/>
  <c r="K106" i="51"/>
  <c r="I107" i="51"/>
  <c r="J107" i="51"/>
  <c r="K107" i="51"/>
  <c r="I108" i="51"/>
  <c r="J108" i="51"/>
  <c r="K108" i="51"/>
  <c r="I109" i="51"/>
  <c r="J109" i="51"/>
  <c r="K109" i="51"/>
  <c r="I110" i="51"/>
  <c r="J110" i="51"/>
  <c r="K110" i="51"/>
  <c r="I111" i="51"/>
  <c r="J111" i="51"/>
  <c r="K111" i="51"/>
  <c r="I112" i="51"/>
  <c r="J112" i="51"/>
  <c r="K112" i="51"/>
  <c r="I113" i="51"/>
  <c r="J113" i="51"/>
  <c r="K113" i="51"/>
  <c r="I114" i="51"/>
  <c r="J114" i="51"/>
  <c r="K114" i="51"/>
  <c r="I115" i="51"/>
  <c r="J115" i="51"/>
  <c r="K115" i="51"/>
  <c r="I116" i="51"/>
  <c r="J116" i="51"/>
  <c r="K116" i="51"/>
  <c r="I117" i="51"/>
  <c r="J117" i="51"/>
  <c r="K117" i="51"/>
  <c r="I118" i="51"/>
  <c r="J118" i="51"/>
  <c r="K118" i="51"/>
  <c r="I119" i="51"/>
  <c r="J119" i="51"/>
  <c r="K119" i="51"/>
  <c r="I120" i="51"/>
  <c r="J120" i="51"/>
  <c r="K120" i="51"/>
  <c r="I121" i="51"/>
  <c r="J121" i="51"/>
  <c r="K121" i="51"/>
  <c r="I122" i="51"/>
  <c r="J122" i="51"/>
  <c r="K122" i="51"/>
  <c r="I123" i="51"/>
  <c r="J123" i="51"/>
  <c r="K123" i="51"/>
  <c r="I124" i="51"/>
  <c r="J124" i="51"/>
  <c r="K124" i="51"/>
  <c r="I125" i="51"/>
  <c r="J125" i="51"/>
  <c r="K125" i="51"/>
  <c r="I126" i="51"/>
  <c r="J126" i="51"/>
  <c r="K126" i="51"/>
  <c r="I127" i="51"/>
  <c r="J127" i="51"/>
  <c r="K127" i="51"/>
  <c r="I128" i="51"/>
  <c r="J128" i="51"/>
  <c r="K128" i="51"/>
  <c r="I129" i="51"/>
  <c r="J129" i="51"/>
  <c r="K129" i="51"/>
  <c r="I130" i="51"/>
  <c r="J130" i="51"/>
  <c r="K130" i="51"/>
  <c r="I131" i="51"/>
  <c r="J131" i="51"/>
  <c r="K131" i="51"/>
  <c r="I132" i="51"/>
  <c r="J132" i="51"/>
  <c r="K132" i="51"/>
  <c r="I133" i="51"/>
  <c r="J133" i="51"/>
  <c r="K133" i="51"/>
  <c r="I134" i="51"/>
  <c r="J134" i="51"/>
  <c r="K134" i="51"/>
  <c r="I135" i="51"/>
  <c r="J135" i="51"/>
  <c r="K135" i="51"/>
  <c r="I136" i="51"/>
  <c r="J136" i="51"/>
  <c r="K136" i="51"/>
  <c r="I137" i="51"/>
  <c r="J137" i="51"/>
  <c r="K137" i="51"/>
  <c r="I138" i="51"/>
  <c r="J138" i="51"/>
  <c r="K138" i="51"/>
  <c r="I139" i="51"/>
  <c r="J139" i="51"/>
  <c r="K139" i="51"/>
  <c r="I140" i="51"/>
  <c r="J140" i="51"/>
  <c r="K140" i="51"/>
  <c r="I141" i="51"/>
  <c r="J141" i="51"/>
  <c r="K141" i="51"/>
  <c r="I142" i="51"/>
  <c r="J142" i="51"/>
  <c r="K142" i="51"/>
  <c r="I143" i="51"/>
  <c r="J143" i="51"/>
  <c r="K143" i="51"/>
  <c r="I144" i="51"/>
  <c r="J144" i="51"/>
  <c r="K144" i="51"/>
  <c r="I145" i="51"/>
  <c r="J145" i="51"/>
  <c r="K145" i="51"/>
  <c r="I146" i="51"/>
  <c r="J146" i="51"/>
  <c r="K146" i="51"/>
  <c r="I147" i="51"/>
  <c r="J147" i="51"/>
  <c r="K147" i="51"/>
  <c r="I148" i="51"/>
  <c r="J148" i="51"/>
  <c r="K148" i="51"/>
  <c r="I149" i="51"/>
  <c r="J149" i="51"/>
  <c r="K149" i="51"/>
  <c r="I150" i="51"/>
  <c r="J150" i="51"/>
  <c r="K150" i="51"/>
  <c r="I151" i="51"/>
  <c r="J151" i="51"/>
  <c r="K151" i="51"/>
  <c r="I152" i="51"/>
  <c r="J152" i="51"/>
  <c r="K152" i="51"/>
  <c r="I153" i="51"/>
  <c r="J153" i="51"/>
  <c r="K153" i="51"/>
  <c r="I154" i="51"/>
  <c r="J154" i="51"/>
  <c r="K154" i="51"/>
  <c r="I155" i="51"/>
  <c r="J155" i="51"/>
  <c r="K155" i="51"/>
  <c r="I156" i="51"/>
  <c r="J156" i="51"/>
  <c r="K156" i="51"/>
  <c r="I157" i="51"/>
  <c r="J157" i="51"/>
  <c r="K157" i="51"/>
  <c r="I158" i="51"/>
  <c r="J158" i="51"/>
  <c r="K158" i="51"/>
  <c r="I159" i="51"/>
  <c r="J159" i="51"/>
  <c r="K159" i="51"/>
  <c r="I160" i="51"/>
  <c r="J160" i="51"/>
  <c r="K160" i="51"/>
  <c r="I161" i="51"/>
  <c r="J161" i="51"/>
  <c r="K161" i="51"/>
  <c r="I162" i="51"/>
  <c r="J162" i="51"/>
  <c r="K162" i="51"/>
  <c r="I163" i="51"/>
  <c r="J163" i="51"/>
  <c r="K163" i="51"/>
  <c r="I164" i="51"/>
  <c r="J164" i="51"/>
  <c r="K164" i="51"/>
  <c r="I165" i="51"/>
  <c r="J165" i="51"/>
  <c r="K165" i="51"/>
  <c r="I166" i="51"/>
  <c r="J166" i="51"/>
  <c r="K166" i="51"/>
  <c r="I167" i="51"/>
  <c r="J167" i="51"/>
  <c r="K167" i="51"/>
  <c r="I168" i="51"/>
  <c r="J168" i="51"/>
  <c r="K168" i="51"/>
  <c r="I169" i="51"/>
  <c r="J169" i="51"/>
  <c r="K169" i="51"/>
  <c r="I170" i="51"/>
  <c r="J170" i="51"/>
  <c r="K170" i="51"/>
  <c r="I172" i="51"/>
  <c r="J172" i="51"/>
  <c r="K172" i="51"/>
  <c r="I173" i="51"/>
  <c r="J173" i="51"/>
  <c r="K173" i="51"/>
  <c r="I174" i="51"/>
  <c r="J174" i="51"/>
  <c r="K174" i="51"/>
  <c r="I175" i="51"/>
  <c r="J175" i="51"/>
  <c r="K175" i="51"/>
  <c r="I176" i="51"/>
  <c r="J176" i="51"/>
  <c r="K176" i="51"/>
  <c r="I177" i="51"/>
  <c r="J177" i="51"/>
  <c r="K177" i="51"/>
  <c r="I178" i="51"/>
  <c r="J178" i="51"/>
  <c r="K178" i="51"/>
  <c r="I179" i="51"/>
  <c r="J179" i="51"/>
  <c r="K179" i="51"/>
  <c r="I180" i="51"/>
  <c r="J180" i="51"/>
  <c r="K180" i="51"/>
  <c r="K2" i="51"/>
  <c r="J2" i="51"/>
  <c r="I2" i="51"/>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115" i="25"/>
  <c r="L116" i="25"/>
  <c r="L117" i="25"/>
  <c r="L118" i="25"/>
  <c r="L119" i="25"/>
  <c r="L120" i="25"/>
  <c r="L121" i="25"/>
  <c r="L9" i="25"/>
  <c r="P4" i="57"/>
  <c r="P5" i="57"/>
  <c r="P6" i="57"/>
  <c r="P7" i="57"/>
  <c r="P8" i="57"/>
  <c r="P9" i="57"/>
  <c r="P10" i="57"/>
  <c r="P11" i="57"/>
  <c r="P12" i="57"/>
  <c r="P13" i="57"/>
  <c r="P14" i="57"/>
  <c r="P15" i="57"/>
  <c r="P16" i="57"/>
  <c r="P17" i="57"/>
  <c r="P18" i="57"/>
  <c r="P19" i="57"/>
  <c r="P20" i="57"/>
  <c r="P21" i="57"/>
  <c r="P22" i="57"/>
  <c r="P23" i="57"/>
  <c r="P24" i="57"/>
  <c r="P25" i="57"/>
  <c r="P26" i="57"/>
  <c r="P27" i="57"/>
  <c r="P28" i="57"/>
  <c r="P29" i="57"/>
  <c r="P30" i="57"/>
  <c r="P31" i="57"/>
  <c r="P32" i="57"/>
  <c r="P33" i="57"/>
  <c r="P34" i="57"/>
  <c r="P35" i="57"/>
  <c r="P36" i="57"/>
  <c r="P37" i="57"/>
  <c r="P38" i="57"/>
  <c r="P39" i="57"/>
  <c r="P40" i="57"/>
  <c r="P41" i="57"/>
  <c r="P42" i="57"/>
  <c r="P43" i="57"/>
  <c r="P44" i="57"/>
  <c r="P45" i="57"/>
  <c r="P46" i="57"/>
  <c r="P47" i="57"/>
  <c r="P48" i="57"/>
  <c r="P49" i="57"/>
  <c r="P50" i="57"/>
  <c r="P51" i="57"/>
  <c r="P52" i="57"/>
  <c r="P53" i="57"/>
  <c r="P54" i="57"/>
  <c r="P55" i="57"/>
  <c r="P56" i="57"/>
  <c r="P57" i="57"/>
  <c r="P58" i="57"/>
  <c r="P59" i="57"/>
  <c r="P60" i="57"/>
  <c r="P61" i="57"/>
  <c r="P62" i="57"/>
  <c r="P63" i="57"/>
  <c r="P64" i="57"/>
  <c r="P65" i="57"/>
  <c r="P66" i="57"/>
  <c r="P67" i="57"/>
  <c r="P68" i="57"/>
  <c r="P69" i="57"/>
  <c r="P70" i="57"/>
  <c r="P71" i="57"/>
  <c r="P72" i="57"/>
  <c r="P73" i="57"/>
  <c r="P74" i="57"/>
  <c r="P75" i="57"/>
  <c r="P76" i="57"/>
  <c r="P77" i="57"/>
  <c r="P78" i="57"/>
  <c r="P79" i="57"/>
  <c r="P80" i="57"/>
  <c r="P81" i="57"/>
  <c r="P82" i="57"/>
  <c r="P83" i="57"/>
  <c r="P84" i="57"/>
  <c r="P85" i="57"/>
  <c r="P86" i="57"/>
  <c r="P87" i="57"/>
  <c r="P88" i="57"/>
  <c r="P89" i="57"/>
  <c r="P90" i="57"/>
  <c r="P91" i="57"/>
  <c r="P92" i="57"/>
  <c r="P93" i="57"/>
  <c r="P94" i="57"/>
  <c r="P95" i="57"/>
  <c r="P96" i="57"/>
  <c r="P97" i="57"/>
  <c r="P98" i="57"/>
  <c r="P99" i="57"/>
  <c r="P100" i="57"/>
  <c r="P101" i="57"/>
  <c r="P102" i="57"/>
  <c r="P103" i="57"/>
  <c r="P104" i="57"/>
  <c r="P105" i="57"/>
  <c r="P106" i="57"/>
  <c r="P107" i="57"/>
  <c r="P108" i="57"/>
  <c r="P109" i="57"/>
  <c r="P110" i="57"/>
  <c r="P111" i="57"/>
  <c r="P112" i="57"/>
  <c r="P113" i="57"/>
  <c r="P114" i="57"/>
  <c r="P115" i="57"/>
  <c r="P3" i="57"/>
  <c r="U16" i="57"/>
  <c r="U15" i="57"/>
  <c r="U14" i="57"/>
  <c r="U13" i="57"/>
  <c r="U12" i="57"/>
  <c r="U11" i="57"/>
  <c r="U10" i="57"/>
  <c r="U9" i="57"/>
  <c r="U8" i="57"/>
  <c r="U7" i="57"/>
  <c r="F115" i="57"/>
  <c r="N115" i="57" s="1"/>
  <c r="F114" i="57"/>
  <c r="I114" i="57" s="1"/>
  <c r="F113" i="57"/>
  <c r="I113" i="57" s="1"/>
  <c r="F112" i="57"/>
  <c r="N112" i="57" s="1"/>
  <c r="F111" i="57"/>
  <c r="N111" i="57" s="1"/>
  <c r="F110" i="57"/>
  <c r="I110" i="57" s="1"/>
  <c r="F109" i="57"/>
  <c r="N109" i="57" s="1"/>
  <c r="F108" i="57"/>
  <c r="N108" i="57" s="1"/>
  <c r="F107" i="57"/>
  <c r="N107" i="57" s="1"/>
  <c r="F106" i="57"/>
  <c r="I106" i="57" s="1"/>
  <c r="F105" i="57"/>
  <c r="N105" i="57" s="1"/>
  <c r="F104" i="57"/>
  <c r="N104" i="57" s="1"/>
  <c r="F103" i="57"/>
  <c r="N103" i="57" s="1"/>
  <c r="F102" i="57"/>
  <c r="I102" i="57" s="1"/>
  <c r="F101" i="57"/>
  <c r="I101" i="57" s="1"/>
  <c r="F100" i="57"/>
  <c r="N100" i="57" s="1"/>
  <c r="F99" i="57"/>
  <c r="N99" i="57" s="1"/>
  <c r="F98" i="57"/>
  <c r="I98" i="57" s="1"/>
  <c r="F97" i="57"/>
  <c r="I97" i="57" s="1"/>
  <c r="F96" i="57"/>
  <c r="N96" i="57" s="1"/>
  <c r="F95" i="57"/>
  <c r="N95" i="57" s="1"/>
  <c r="F94" i="57"/>
  <c r="I94" i="57" s="1"/>
  <c r="F93" i="57"/>
  <c r="N93" i="57" s="1"/>
  <c r="F92" i="57"/>
  <c r="N92" i="57" s="1"/>
  <c r="F91" i="57"/>
  <c r="N91" i="57" s="1"/>
  <c r="F90" i="57"/>
  <c r="I90" i="57" s="1"/>
  <c r="F89" i="57"/>
  <c r="N89" i="57" s="1"/>
  <c r="F88" i="57"/>
  <c r="N88" i="57" s="1"/>
  <c r="F87" i="57"/>
  <c r="N87" i="57" s="1"/>
  <c r="F86" i="57"/>
  <c r="I86" i="57" s="1"/>
  <c r="F85" i="57"/>
  <c r="I85" i="57" s="1"/>
  <c r="F84" i="57"/>
  <c r="N84" i="57" s="1"/>
  <c r="F83" i="57"/>
  <c r="N83" i="57" s="1"/>
  <c r="F82" i="57"/>
  <c r="I82" i="57" s="1"/>
  <c r="F81" i="57"/>
  <c r="I81" i="57" s="1"/>
  <c r="F80" i="57"/>
  <c r="N80" i="57" s="1"/>
  <c r="F79" i="57"/>
  <c r="N79" i="57" s="1"/>
  <c r="F78" i="57"/>
  <c r="I78" i="57" s="1"/>
  <c r="F77" i="57"/>
  <c r="N77" i="57" s="1"/>
  <c r="F76" i="57"/>
  <c r="N76" i="57" s="1"/>
  <c r="F75" i="57"/>
  <c r="N75" i="57" s="1"/>
  <c r="F74" i="57"/>
  <c r="I74" i="57" s="1"/>
  <c r="F73" i="57"/>
  <c r="N73" i="57" s="1"/>
  <c r="F72" i="57"/>
  <c r="N72" i="57" s="1"/>
  <c r="F71" i="57"/>
  <c r="N71" i="57" s="1"/>
  <c r="F70" i="57"/>
  <c r="I70" i="57" s="1"/>
  <c r="F69" i="57"/>
  <c r="I69" i="57" s="1"/>
  <c r="F68" i="57"/>
  <c r="N68" i="57" s="1"/>
  <c r="F67" i="57"/>
  <c r="N67" i="57" s="1"/>
  <c r="F66" i="57"/>
  <c r="I66" i="57" s="1"/>
  <c r="F65" i="57"/>
  <c r="I65" i="57" s="1"/>
  <c r="F64" i="57"/>
  <c r="N64" i="57" s="1"/>
  <c r="F63" i="57"/>
  <c r="N63" i="57" s="1"/>
  <c r="F62" i="57"/>
  <c r="I62" i="57" s="1"/>
  <c r="F61" i="57"/>
  <c r="N61" i="57" s="1"/>
  <c r="F60" i="57"/>
  <c r="N60" i="57" s="1"/>
  <c r="F59" i="57"/>
  <c r="N59" i="57" s="1"/>
  <c r="F58" i="57"/>
  <c r="I58" i="57" s="1"/>
  <c r="F57" i="57"/>
  <c r="N57" i="57" s="1"/>
  <c r="F56" i="57"/>
  <c r="N56" i="57" s="1"/>
  <c r="F55" i="57"/>
  <c r="N55" i="57" s="1"/>
  <c r="F54" i="57"/>
  <c r="I54" i="57" s="1"/>
  <c r="F53" i="57"/>
  <c r="I53" i="57" s="1"/>
  <c r="F52" i="57"/>
  <c r="N52" i="57" s="1"/>
  <c r="F51" i="57"/>
  <c r="N51" i="57" s="1"/>
  <c r="F50" i="57"/>
  <c r="I50" i="57" s="1"/>
  <c r="F49" i="57"/>
  <c r="I49" i="57" s="1"/>
  <c r="F48" i="57"/>
  <c r="N48" i="57" s="1"/>
  <c r="F47" i="57"/>
  <c r="N47" i="57" s="1"/>
  <c r="F46" i="57"/>
  <c r="I46" i="57" s="1"/>
  <c r="F45" i="57"/>
  <c r="N45" i="57" s="1"/>
  <c r="F44" i="57"/>
  <c r="N44" i="57" s="1"/>
  <c r="F43" i="57"/>
  <c r="N43" i="57" s="1"/>
  <c r="F42" i="57"/>
  <c r="I42" i="57" s="1"/>
  <c r="F41" i="57"/>
  <c r="N41" i="57" s="1"/>
  <c r="F40" i="57"/>
  <c r="N40" i="57" s="1"/>
  <c r="F39" i="57"/>
  <c r="N39" i="57" s="1"/>
  <c r="F38" i="57"/>
  <c r="I38" i="57" s="1"/>
  <c r="F37" i="57"/>
  <c r="I37" i="57" s="1"/>
  <c r="F36" i="57"/>
  <c r="N36" i="57" s="1"/>
  <c r="F35" i="57"/>
  <c r="N35" i="57" s="1"/>
  <c r="F34" i="57"/>
  <c r="I34" i="57" s="1"/>
  <c r="F33" i="57"/>
  <c r="I33" i="57" s="1"/>
  <c r="F32" i="57"/>
  <c r="N32" i="57" s="1"/>
  <c r="F31" i="57"/>
  <c r="N31" i="57" s="1"/>
  <c r="F30" i="57"/>
  <c r="I30" i="57" s="1"/>
  <c r="F29" i="57"/>
  <c r="N29" i="57" s="1"/>
  <c r="F28" i="57"/>
  <c r="N28" i="57" s="1"/>
  <c r="F27" i="57"/>
  <c r="N27" i="57" s="1"/>
  <c r="F26" i="57"/>
  <c r="I26" i="57" s="1"/>
  <c r="F25" i="57"/>
  <c r="N25" i="57" s="1"/>
  <c r="F24" i="57"/>
  <c r="N24" i="57" s="1"/>
  <c r="F23" i="57"/>
  <c r="N23" i="57" s="1"/>
  <c r="F22" i="57"/>
  <c r="I22" i="57" s="1"/>
  <c r="F21" i="57"/>
  <c r="I21" i="57" s="1"/>
  <c r="F20" i="57"/>
  <c r="I20" i="57" s="1"/>
  <c r="F19" i="57"/>
  <c r="N19" i="57" s="1"/>
  <c r="F18" i="57"/>
  <c r="I18" i="57" s="1"/>
  <c r="F17" i="57"/>
  <c r="I17" i="57" s="1"/>
  <c r="F16" i="57"/>
  <c r="N16" i="57" s="1"/>
  <c r="F15" i="57"/>
  <c r="N15" i="57" s="1"/>
  <c r="F14" i="57"/>
  <c r="I14" i="57" s="1"/>
  <c r="F13" i="57"/>
  <c r="N13" i="57" s="1"/>
  <c r="F12" i="57"/>
  <c r="I12" i="57" s="1"/>
  <c r="F11" i="57"/>
  <c r="N11" i="57" s="1"/>
  <c r="F10" i="57"/>
  <c r="I10" i="57" s="1"/>
  <c r="F9" i="57"/>
  <c r="N9" i="57" s="1"/>
  <c r="F8" i="57"/>
  <c r="I8" i="57" s="1"/>
  <c r="F7" i="57"/>
  <c r="N7" i="57" s="1"/>
  <c r="F6" i="57"/>
  <c r="I6" i="57" s="1"/>
  <c r="F5" i="57"/>
  <c r="I5" i="57" s="1"/>
  <c r="F4" i="57"/>
  <c r="N4" i="57" s="1"/>
  <c r="F3" i="57"/>
  <c r="N3" i="57" s="1"/>
  <c r="J157" i="30"/>
  <c r="K157" i="30"/>
  <c r="K156" i="30"/>
  <c r="J156" i="30"/>
  <c r="J143" i="30"/>
  <c r="K143" i="30"/>
  <c r="K142" i="30"/>
  <c r="J142" i="30"/>
  <c r="J141" i="30"/>
  <c r="K141" i="30"/>
  <c r="K140" i="30"/>
  <c r="J140" i="30"/>
  <c r="K95" i="30"/>
  <c r="J95" i="30"/>
  <c r="J94" i="30"/>
  <c r="K94" i="30"/>
  <c r="K93" i="30"/>
  <c r="J93" i="30"/>
  <c r="J59" i="30"/>
  <c r="K59" i="30"/>
  <c r="J60" i="30"/>
  <c r="K60" i="30"/>
  <c r="K58" i="30"/>
  <c r="J58" i="30"/>
  <c r="J22" i="30"/>
  <c r="K22" i="30"/>
  <c r="J23" i="30"/>
  <c r="K23" i="30"/>
  <c r="J24" i="30"/>
  <c r="K24" i="30"/>
  <c r="J25" i="30"/>
  <c r="K25" i="30"/>
  <c r="K21" i="30"/>
  <c r="J21" i="30"/>
  <c r="J15" i="30"/>
  <c r="K15" i="30"/>
  <c r="J16" i="30"/>
  <c r="K16" i="30"/>
  <c r="J17" i="30"/>
  <c r="K17" i="30"/>
  <c r="J18" i="30"/>
  <c r="K18" i="30"/>
  <c r="J19" i="30"/>
  <c r="K19" i="30"/>
  <c r="J20" i="30"/>
  <c r="K20" i="30"/>
  <c r="K14" i="30"/>
  <c r="J14" i="30"/>
  <c r="N113" i="57" l="1"/>
  <c r="N49" i="57"/>
  <c r="N65" i="57"/>
  <c r="N17" i="57"/>
  <c r="N81" i="57"/>
  <c r="N33" i="57"/>
  <c r="N97" i="57"/>
  <c r="N5" i="57"/>
  <c r="N21" i="57"/>
  <c r="N37" i="57"/>
  <c r="N53" i="57"/>
  <c r="N69" i="57"/>
  <c r="N85" i="57"/>
  <c r="N101" i="57"/>
  <c r="N14" i="57"/>
  <c r="N30" i="57"/>
  <c r="N46" i="57"/>
  <c r="N62" i="57"/>
  <c r="N78" i="57"/>
  <c r="N94" i="57"/>
  <c r="N110" i="57"/>
  <c r="N10" i="57"/>
  <c r="I13" i="57"/>
  <c r="N26" i="57"/>
  <c r="I29" i="57"/>
  <c r="N42" i="57"/>
  <c r="I45" i="57"/>
  <c r="N58" i="57"/>
  <c r="I61" i="57"/>
  <c r="N74" i="57"/>
  <c r="I77" i="57"/>
  <c r="N90" i="57"/>
  <c r="I93" i="57"/>
  <c r="N106" i="57"/>
  <c r="I109" i="57"/>
  <c r="N6" i="57"/>
  <c r="I9" i="57"/>
  <c r="N22" i="57"/>
  <c r="I25" i="57"/>
  <c r="N38" i="57"/>
  <c r="I41" i="57"/>
  <c r="N54" i="57"/>
  <c r="I57" i="57"/>
  <c r="N70" i="57"/>
  <c r="I73" i="57"/>
  <c r="N86" i="57"/>
  <c r="I89" i="57"/>
  <c r="N102" i="57"/>
  <c r="I105" i="57"/>
  <c r="N18" i="57"/>
  <c r="N34" i="57"/>
  <c r="N50" i="57"/>
  <c r="N66" i="57"/>
  <c r="N82" i="57"/>
  <c r="N98" i="57"/>
  <c r="N114" i="57"/>
  <c r="I28" i="57"/>
  <c r="I32" i="57"/>
  <c r="I36" i="57"/>
  <c r="I40" i="57"/>
  <c r="I44" i="57"/>
  <c r="I48" i="57"/>
  <c r="I52" i="57"/>
  <c r="I56" i="57"/>
  <c r="I60" i="57"/>
  <c r="I64" i="57"/>
  <c r="I68" i="57"/>
  <c r="I72" i="57"/>
  <c r="I76" i="57"/>
  <c r="I80" i="57"/>
  <c r="I84" i="57"/>
  <c r="I88" i="57"/>
  <c r="I92" i="57"/>
  <c r="I96" i="57"/>
  <c r="I100" i="57"/>
  <c r="I104" i="57"/>
  <c r="I108" i="57"/>
  <c r="I112" i="57"/>
  <c r="I16" i="57"/>
  <c r="I24" i="57"/>
  <c r="N8" i="57"/>
  <c r="N12" i="57"/>
  <c r="N20" i="57"/>
  <c r="I23" i="57"/>
  <c r="I27" i="57"/>
  <c r="I31" i="57"/>
  <c r="I35" i="57"/>
  <c r="I39" i="57"/>
  <c r="I43" i="57"/>
  <c r="I47" i="57"/>
  <c r="I51" i="57"/>
  <c r="I55" i="57"/>
  <c r="I59" i="57"/>
  <c r="I63" i="57"/>
  <c r="I67" i="57"/>
  <c r="I71" i="57"/>
  <c r="I75" i="57"/>
  <c r="I79" i="57"/>
  <c r="I83" i="57"/>
  <c r="I87" i="57"/>
  <c r="I91" i="57"/>
  <c r="I95" i="57"/>
  <c r="I99" i="57"/>
  <c r="I103" i="57"/>
  <c r="I107" i="57"/>
  <c r="I111" i="57"/>
  <c r="I115" i="57"/>
  <c r="I4" i="57"/>
  <c r="I3" i="57"/>
  <c r="I7" i="57"/>
  <c r="I11" i="57"/>
  <c r="I15" i="57"/>
  <c r="I19" i="57"/>
  <c r="F15" i="26" l="1"/>
  <c r="A3" i="51"/>
  <c r="A4" i="51"/>
  <c r="A5" i="51"/>
  <c r="A6" i="51"/>
  <c r="A7" i="51"/>
  <c r="A8" i="51"/>
  <c r="A9" i="51"/>
  <c r="A10" i="51"/>
  <c r="A11" i="51"/>
  <c r="A12" i="51"/>
  <c r="A13" i="51"/>
  <c r="A14" i="51"/>
  <c r="A15" i="51"/>
  <c r="A16" i="51"/>
  <c r="A17" i="51"/>
  <c r="A18" i="51"/>
  <c r="A19" i="51"/>
  <c r="A20" i="51"/>
  <c r="A21" i="51"/>
  <c r="A22" i="51"/>
  <c r="A23" i="51"/>
  <c r="A24" i="51"/>
  <c r="A25" i="51"/>
  <c r="A26" i="51"/>
  <c r="A27" i="51"/>
  <c r="A28" i="51"/>
  <c r="A29" i="51"/>
  <c r="A30" i="51"/>
  <c r="A31" i="51"/>
  <c r="A32" i="51"/>
  <c r="A33" i="51"/>
  <c r="A34" i="51"/>
  <c r="A35" i="51"/>
  <c r="A36" i="51"/>
  <c r="A37" i="51"/>
  <c r="A38" i="51"/>
  <c r="A39" i="51"/>
  <c r="A40" i="51"/>
  <c r="A41" i="51"/>
  <c r="A42" i="51"/>
  <c r="A43" i="51"/>
  <c r="A44" i="51"/>
  <c r="A45" i="51"/>
  <c r="A46" i="51"/>
  <c r="A47" i="51"/>
  <c r="A48" i="51"/>
  <c r="A49" i="51"/>
  <c r="A50" i="51"/>
  <c r="A51" i="51"/>
  <c r="A52" i="51"/>
  <c r="A53" i="51"/>
  <c r="A55" i="51"/>
  <c r="A56" i="51"/>
  <c r="A54" i="51"/>
  <c r="A57" i="51"/>
  <c r="A58" i="51"/>
  <c r="A59" i="51"/>
  <c r="A60" i="51"/>
  <c r="A61" i="51"/>
  <c r="A62" i="51"/>
  <c r="A64" i="51"/>
  <c r="A63" i="51"/>
  <c r="A67" i="51"/>
  <c r="A65" i="51"/>
  <c r="A66" i="51"/>
  <c r="A68" i="51"/>
  <c r="A69" i="51"/>
  <c r="A70" i="51"/>
  <c r="A71" i="51"/>
  <c r="A72" i="51"/>
  <c r="A73" i="51"/>
  <c r="A74" i="51"/>
  <c r="A75" i="51"/>
  <c r="A76" i="51"/>
  <c r="A77" i="51"/>
  <c r="A78" i="51"/>
  <c r="A79" i="51"/>
  <c r="A80" i="51"/>
  <c r="A81" i="51"/>
  <c r="A82" i="51"/>
  <c r="A83" i="51"/>
  <c r="A85" i="51"/>
  <c r="A84" i="51"/>
  <c r="A86" i="51"/>
  <c r="A87" i="51"/>
  <c r="A88" i="51"/>
  <c r="A89" i="51"/>
  <c r="A90" i="51"/>
  <c r="A91" i="51"/>
  <c r="A92" i="51"/>
  <c r="A93" i="51"/>
  <c r="A94" i="51"/>
  <c r="A95" i="51"/>
  <c r="A96" i="51"/>
  <c r="A97" i="51"/>
  <c r="A98" i="51"/>
  <c r="A99" i="51"/>
  <c r="A100" i="51"/>
  <c r="A101" i="51"/>
  <c r="A102" i="51"/>
  <c r="A103" i="51"/>
  <c r="A104" i="51"/>
  <c r="A105" i="51"/>
  <c r="A106" i="51"/>
  <c r="A107" i="51"/>
  <c r="A108" i="51"/>
  <c r="A109" i="51"/>
  <c r="A110" i="51"/>
  <c r="A111" i="51"/>
  <c r="A112" i="51"/>
  <c r="A113" i="51"/>
  <c r="A114" i="51"/>
  <c r="A115" i="51"/>
  <c r="A116" i="51"/>
  <c r="A117" i="51"/>
  <c r="A118" i="51"/>
  <c r="A119" i="51"/>
  <c r="A120" i="51"/>
  <c r="A121" i="51"/>
  <c r="A122" i="51"/>
  <c r="A123" i="51"/>
  <c r="A124" i="51"/>
  <c r="A125" i="51"/>
  <c r="A126" i="51"/>
  <c r="A127" i="51"/>
  <c r="A128" i="51"/>
  <c r="A129" i="51"/>
  <c r="A130" i="51"/>
  <c r="A131" i="51"/>
  <c r="A132" i="51"/>
  <c r="A133" i="51"/>
  <c r="A134" i="51"/>
  <c r="A135" i="51"/>
  <c r="A136" i="51"/>
  <c r="A137" i="51"/>
  <c r="A138" i="51"/>
  <c r="A139" i="51"/>
  <c r="A140" i="51"/>
  <c r="A141" i="51"/>
  <c r="A142" i="51"/>
  <c r="A143" i="51"/>
  <c r="A144" i="51"/>
  <c r="A145" i="51"/>
  <c r="A146" i="51"/>
  <c r="A147" i="51"/>
  <c r="A148" i="51"/>
  <c r="A149" i="51"/>
  <c r="A150" i="51"/>
  <c r="A151" i="51"/>
  <c r="A152" i="51"/>
  <c r="A153" i="51"/>
  <c r="A154" i="51"/>
  <c r="A155" i="51"/>
  <c r="A156" i="51"/>
  <c r="A157" i="51"/>
  <c r="A158" i="51"/>
  <c r="A159" i="51"/>
  <c r="A160" i="51"/>
  <c r="A161" i="51"/>
  <c r="A162" i="51"/>
  <c r="A163" i="51"/>
  <c r="A164" i="51"/>
  <c r="A165" i="51"/>
  <c r="A166" i="51"/>
  <c r="A167" i="51"/>
  <c r="A168" i="51"/>
  <c r="A169" i="51"/>
  <c r="A170" i="51"/>
  <c r="A172" i="51"/>
  <c r="A173" i="51"/>
  <c r="A174" i="51"/>
  <c r="A175" i="51"/>
  <c r="A176" i="51"/>
  <c r="A177" i="51"/>
  <c r="A178" i="51"/>
  <c r="A179" i="51"/>
  <c r="A180" i="51"/>
  <c r="A2" i="51"/>
  <c r="D37" i="18" l="1"/>
  <c r="N10" i="25"/>
  <c r="O10" i="25"/>
  <c r="N11" i="25"/>
  <c r="O11" i="25"/>
  <c r="N12" i="25"/>
  <c r="O12" i="25"/>
  <c r="N13" i="25"/>
  <c r="O13" i="25"/>
  <c r="N14" i="25"/>
  <c r="O14" i="25"/>
  <c r="N15" i="25"/>
  <c r="O15" i="25"/>
  <c r="N16" i="25"/>
  <c r="O16" i="25"/>
  <c r="N17" i="25"/>
  <c r="O17" i="25"/>
  <c r="N18" i="25"/>
  <c r="O18" i="25"/>
  <c r="N19" i="25"/>
  <c r="O19" i="25"/>
  <c r="N20" i="25"/>
  <c r="O20" i="25"/>
  <c r="N21" i="25"/>
  <c r="O21" i="25"/>
  <c r="N22" i="25"/>
  <c r="O22" i="25"/>
  <c r="N23" i="25"/>
  <c r="O23" i="25"/>
  <c r="N24" i="25"/>
  <c r="O24" i="25"/>
  <c r="N25" i="25"/>
  <c r="O25" i="25"/>
  <c r="N26" i="25"/>
  <c r="O26" i="25"/>
  <c r="N27" i="25"/>
  <c r="O27" i="25"/>
  <c r="N28" i="25"/>
  <c r="O28" i="25"/>
  <c r="N29" i="25"/>
  <c r="O29" i="25"/>
  <c r="N30" i="25"/>
  <c r="O30" i="25"/>
  <c r="N31" i="25"/>
  <c r="O31" i="25"/>
  <c r="N32" i="25"/>
  <c r="O32" i="25"/>
  <c r="N33" i="25"/>
  <c r="O33" i="25"/>
  <c r="N34" i="25"/>
  <c r="O34" i="25"/>
  <c r="N35" i="25"/>
  <c r="O35" i="25"/>
  <c r="N36" i="25"/>
  <c r="O36" i="25"/>
  <c r="N37" i="25"/>
  <c r="O37" i="25"/>
  <c r="N38" i="25"/>
  <c r="O38" i="25"/>
  <c r="N39" i="25"/>
  <c r="O39" i="25"/>
  <c r="N40" i="25"/>
  <c r="O40" i="25"/>
  <c r="N41" i="25"/>
  <c r="O41" i="25"/>
  <c r="N42" i="25"/>
  <c r="O42" i="25"/>
  <c r="N43" i="25"/>
  <c r="O43" i="25"/>
  <c r="N44" i="25"/>
  <c r="O44" i="25"/>
  <c r="N45" i="25"/>
  <c r="O45" i="25"/>
  <c r="N46" i="25"/>
  <c r="O46" i="25"/>
  <c r="N47" i="25"/>
  <c r="O47" i="25"/>
  <c r="N48" i="25"/>
  <c r="O48" i="25"/>
  <c r="N49" i="25"/>
  <c r="O49" i="25"/>
  <c r="N50" i="25"/>
  <c r="O50" i="25"/>
  <c r="N51" i="25"/>
  <c r="O51" i="25"/>
  <c r="N52" i="25"/>
  <c r="O52" i="25"/>
  <c r="N53" i="25"/>
  <c r="O53" i="25"/>
  <c r="N54" i="25"/>
  <c r="O54" i="25"/>
  <c r="N55" i="25"/>
  <c r="O55" i="25"/>
  <c r="N56" i="25"/>
  <c r="O56" i="25"/>
  <c r="N57" i="25"/>
  <c r="O57" i="25"/>
  <c r="N58" i="25"/>
  <c r="O58" i="25"/>
  <c r="N59" i="25"/>
  <c r="O59" i="25"/>
  <c r="N60" i="25"/>
  <c r="O60" i="25"/>
  <c r="N61" i="25"/>
  <c r="O61" i="25"/>
  <c r="N62" i="25"/>
  <c r="O62" i="25"/>
  <c r="N63" i="25"/>
  <c r="O63" i="25"/>
  <c r="N64" i="25"/>
  <c r="O64" i="25"/>
  <c r="N65" i="25"/>
  <c r="O65" i="25"/>
  <c r="N66" i="25"/>
  <c r="O66" i="25"/>
  <c r="N67" i="25"/>
  <c r="O67" i="25"/>
  <c r="N68" i="25"/>
  <c r="O68" i="25"/>
  <c r="N69" i="25"/>
  <c r="O69" i="25"/>
  <c r="N70" i="25"/>
  <c r="O70" i="25"/>
  <c r="N71" i="25"/>
  <c r="O71" i="25"/>
  <c r="N72" i="25"/>
  <c r="O72" i="25"/>
  <c r="N73" i="25"/>
  <c r="O73" i="25"/>
  <c r="N74" i="25"/>
  <c r="O74" i="25"/>
  <c r="N75" i="25"/>
  <c r="O75" i="25"/>
  <c r="N76" i="25"/>
  <c r="O76" i="25"/>
  <c r="N77" i="25"/>
  <c r="O77" i="25"/>
  <c r="N78" i="25"/>
  <c r="O78" i="25"/>
  <c r="N79" i="25"/>
  <c r="O79" i="25"/>
  <c r="N80" i="25"/>
  <c r="O80" i="25"/>
  <c r="N81" i="25"/>
  <c r="O81" i="25"/>
  <c r="N82" i="25"/>
  <c r="O82" i="25"/>
  <c r="N83" i="25"/>
  <c r="O83" i="25"/>
  <c r="N84" i="25"/>
  <c r="O84" i="25"/>
  <c r="N85" i="25"/>
  <c r="O85" i="25"/>
  <c r="N86" i="25"/>
  <c r="O86" i="25"/>
  <c r="N87" i="25"/>
  <c r="O87" i="25"/>
  <c r="N88" i="25"/>
  <c r="O88" i="25"/>
  <c r="N89" i="25"/>
  <c r="O89" i="25"/>
  <c r="N90" i="25"/>
  <c r="O90" i="25"/>
  <c r="N91" i="25"/>
  <c r="O91" i="25"/>
  <c r="N92" i="25"/>
  <c r="O92" i="25"/>
  <c r="N93" i="25"/>
  <c r="O93" i="25"/>
  <c r="N94" i="25"/>
  <c r="O94" i="25"/>
  <c r="N95" i="25"/>
  <c r="O95" i="25"/>
  <c r="N96" i="25"/>
  <c r="O96" i="25"/>
  <c r="N97" i="25"/>
  <c r="O97" i="25"/>
  <c r="N98" i="25"/>
  <c r="O98" i="25"/>
  <c r="N99" i="25"/>
  <c r="O99" i="25"/>
  <c r="N100" i="25"/>
  <c r="O100" i="25"/>
  <c r="N101" i="25"/>
  <c r="O101" i="25"/>
  <c r="N102" i="25"/>
  <c r="O102" i="25"/>
  <c r="N103" i="25"/>
  <c r="O103" i="25"/>
  <c r="N104" i="25"/>
  <c r="O104" i="25"/>
  <c r="N105" i="25"/>
  <c r="O105" i="25"/>
  <c r="N106" i="25"/>
  <c r="O106" i="25"/>
  <c r="N107" i="25"/>
  <c r="O107" i="25"/>
  <c r="N108" i="25"/>
  <c r="O108" i="25"/>
  <c r="N109" i="25"/>
  <c r="O109" i="25"/>
  <c r="N110" i="25"/>
  <c r="O110" i="25"/>
  <c r="N111" i="25"/>
  <c r="O111" i="25"/>
  <c r="N112" i="25"/>
  <c r="O112" i="25"/>
  <c r="N113" i="25"/>
  <c r="O113" i="25"/>
  <c r="N114" i="25"/>
  <c r="O114" i="25"/>
  <c r="N115" i="25"/>
  <c r="O115" i="25"/>
  <c r="N116" i="25"/>
  <c r="O116" i="25"/>
  <c r="N117" i="25"/>
  <c r="O117" i="25"/>
  <c r="N118" i="25"/>
  <c r="O118" i="25"/>
  <c r="N119" i="25"/>
  <c r="O119" i="25"/>
  <c r="N120" i="25"/>
  <c r="O120" i="25"/>
  <c r="N121" i="25"/>
  <c r="O121" i="25"/>
  <c r="O9" i="25"/>
  <c r="N9" i="25"/>
  <c r="AC22" i="21" l="1"/>
  <c r="AC21" i="21"/>
  <c r="AC20" i="21"/>
  <c r="AD21" i="21" s="1"/>
  <c r="AD22" i="21" l="1"/>
  <c r="Z9" i="28"/>
  <c r="S16" i="21"/>
  <c r="C42" i="21" s="1"/>
  <c r="O16" i="21"/>
  <c r="AC32" i="21" s="1"/>
  <c r="N16" i="21"/>
  <c r="AC31" i="21" s="1"/>
  <c r="M16" i="21"/>
  <c r="AC30" i="21" s="1"/>
  <c r="L16" i="21"/>
  <c r="AC29" i="21" s="1"/>
  <c r="K16" i="21"/>
  <c r="AC28" i="21" s="1"/>
  <c r="I16" i="21"/>
  <c r="AC26" i="21" s="1"/>
  <c r="AD27" i="21" s="1"/>
  <c r="J16" i="21"/>
  <c r="AC27" i="21" s="1"/>
  <c r="AD28" i="21" l="1"/>
  <c r="AD29" i="21" s="1"/>
  <c r="AD30" i="21" s="1"/>
  <c r="AD31" i="21" s="1"/>
  <c r="AD32" i="21" s="1"/>
  <c r="C23" i="21"/>
  <c r="D8" i="21" l="1"/>
  <c r="G14" i="49"/>
  <c r="D11" i="49"/>
  <c r="G56" i="28" l="1"/>
  <c r="L56" i="28"/>
  <c r="K56" i="28"/>
  <c r="J56" i="28"/>
  <c r="I56" i="28"/>
  <c r="H56" i="28"/>
  <c r="F56" i="28"/>
  <c r="E56" i="28"/>
  <c r="C56" i="28"/>
  <c r="D56" i="28"/>
  <c r="F71" i="49" l="1"/>
  <c r="F50" i="49"/>
  <c r="F29" i="49"/>
  <c r="F4" i="49" l="1"/>
  <c r="D7" i="19"/>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 i="47"/>
  <c r="A4" i="4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A90" i="47"/>
  <c r="A91" i="47"/>
  <c r="A92" i="47"/>
  <c r="A93" i="47"/>
  <c r="A94" i="47"/>
  <c r="A95" i="47"/>
  <c r="A96" i="47"/>
  <c r="A97" i="47"/>
  <c r="A98" i="47"/>
  <c r="A99" i="47"/>
  <c r="A100" i="47"/>
  <c r="A101" i="47"/>
  <c r="A102" i="47"/>
  <c r="A103" i="47"/>
  <c r="A104" i="47"/>
  <c r="A105" i="47"/>
  <c r="A106" i="47"/>
  <c r="A107" i="47"/>
  <c r="A108" i="47"/>
  <c r="A109" i="47"/>
  <c r="A110" i="47"/>
  <c r="A111" i="47"/>
  <c r="A112" i="47"/>
  <c r="A113" i="47"/>
  <c r="A114" i="47"/>
  <c r="A115" i="47"/>
  <c r="A116" i="47"/>
  <c r="A117" i="47"/>
  <c r="A118" i="47"/>
  <c r="A119" i="47"/>
  <c r="A120" i="47"/>
  <c r="A121" i="47"/>
  <c r="A122" i="47"/>
  <c r="A123" i="47"/>
  <c r="A124" i="47"/>
  <c r="A125" i="47"/>
  <c r="A126" i="47"/>
  <c r="A127" i="47"/>
  <c r="A128" i="47"/>
  <c r="A129" i="47"/>
  <c r="A130" i="47"/>
  <c r="A131" i="47"/>
  <c r="A132" i="47"/>
  <c r="A133" i="47"/>
  <c r="A134" i="47"/>
  <c r="A135" i="47"/>
  <c r="A136" i="47"/>
  <c r="A137" i="47"/>
  <c r="A138" i="47"/>
  <c r="A139" i="47"/>
  <c r="A140" i="47"/>
  <c r="A141" i="47"/>
  <c r="A142" i="47"/>
  <c r="A143" i="47"/>
  <c r="A144" i="47"/>
  <c r="A145" i="47"/>
  <c r="A146" i="47"/>
  <c r="A147" i="47"/>
  <c r="A148" i="47"/>
  <c r="A149" i="47"/>
  <c r="A150" i="47"/>
  <c r="A151" i="47"/>
  <c r="A152" i="47"/>
  <c r="A153" i="47"/>
  <c r="A154" i="47"/>
  <c r="A155" i="47"/>
  <c r="A156" i="47"/>
  <c r="A157" i="47"/>
  <c r="A158" i="47"/>
  <c r="A159" i="47"/>
  <c r="A160" i="47"/>
  <c r="A161" i="47"/>
  <c r="A162" i="47"/>
  <c r="A163" i="47"/>
  <c r="A164" i="47"/>
  <c r="A165" i="47"/>
  <c r="A166" i="47"/>
  <c r="A167" i="47"/>
  <c r="A168" i="47"/>
  <c r="A169" i="47"/>
  <c r="A170" i="47"/>
  <c r="A171" i="47"/>
  <c r="A172" i="47"/>
  <c r="A173" i="47"/>
  <c r="A174" i="47"/>
  <c r="A175" i="47"/>
  <c r="A176" i="47"/>
  <c r="A177" i="47"/>
  <c r="A178" i="47"/>
  <c r="A179" i="47"/>
  <c r="A180" i="47"/>
  <c r="A181" i="47"/>
  <c r="A182" i="47"/>
  <c r="A183" i="47"/>
  <c r="A184" i="47"/>
  <c r="A185" i="47"/>
  <c r="A186" i="47"/>
  <c r="A187" i="47"/>
  <c r="A188" i="47"/>
  <c r="A189" i="47"/>
  <c r="A190" i="47"/>
  <c r="A191" i="47"/>
  <c r="A192" i="47"/>
  <c r="A193" i="47"/>
  <c r="A194" i="47"/>
  <c r="A195" i="47"/>
  <c r="A196" i="47"/>
  <c r="A197" i="47"/>
  <c r="A198" i="47"/>
  <c r="A199" i="47"/>
  <c r="A200" i="47"/>
  <c r="A201" i="47"/>
  <c r="A202" i="47"/>
  <c r="A203" i="47"/>
  <c r="A204" i="47"/>
  <c r="A205" i="47"/>
  <c r="A206" i="47"/>
  <c r="A207" i="47"/>
  <c r="A208" i="47"/>
  <c r="A209" i="47"/>
  <c r="A210" i="47"/>
  <c r="A211" i="47"/>
  <c r="A212" i="47"/>
  <c r="A213" i="47"/>
  <c r="A214" i="47"/>
  <c r="A215" i="47"/>
  <c r="A216" i="47"/>
  <c r="A217" i="47"/>
  <c r="A218" i="47"/>
  <c r="A219" i="47"/>
  <c r="A220" i="47"/>
  <c r="A221" i="47"/>
  <c r="A222" i="47"/>
  <c r="A223" i="47"/>
  <c r="A224" i="47"/>
  <c r="A225" i="47"/>
  <c r="A226" i="47"/>
  <c r="A227" i="47"/>
  <c r="A228" i="47"/>
  <c r="A229" i="47"/>
  <c r="A230" i="47"/>
  <c r="A231" i="47"/>
  <c r="A232" i="47"/>
  <c r="A233" i="47"/>
  <c r="A234" i="47"/>
  <c r="A235" i="47"/>
  <c r="A236" i="47"/>
  <c r="A237" i="47"/>
  <c r="A238" i="47"/>
  <c r="A239" i="47"/>
  <c r="A240" i="47"/>
  <c r="A241" i="47"/>
  <c r="A242" i="47"/>
  <c r="A243" i="47"/>
  <c r="A244" i="47"/>
  <c r="A245" i="47"/>
  <c r="A246" i="47"/>
  <c r="A247" i="47"/>
  <c r="A248" i="47"/>
  <c r="A249" i="47"/>
  <c r="A250" i="47"/>
  <c r="A251" i="47"/>
  <c r="A252" i="47"/>
  <c r="A253" i="47"/>
  <c r="A254" i="47"/>
  <c r="A255" i="47"/>
  <c r="A256" i="47"/>
  <c r="A257" i="47"/>
  <c r="A258" i="47"/>
  <c r="A259" i="47"/>
  <c r="A260" i="47"/>
  <c r="A261" i="47"/>
  <c r="A262" i="47"/>
  <c r="A263" i="47"/>
  <c r="A264" i="47"/>
  <c r="A265" i="47"/>
  <c r="A266" i="47"/>
  <c r="A267" i="47"/>
  <c r="A268" i="47"/>
  <c r="A269" i="47"/>
  <c r="A270" i="47"/>
  <c r="A271" i="47"/>
  <c r="A272" i="47"/>
  <c r="A273" i="47"/>
  <c r="A274" i="47"/>
  <c r="A275" i="47"/>
  <c r="A276" i="47"/>
  <c r="A277" i="47"/>
  <c r="A278" i="47"/>
  <c r="A279" i="47"/>
  <c r="A280" i="47"/>
  <c r="A281" i="47"/>
  <c r="A282" i="47"/>
  <c r="A283" i="47"/>
  <c r="A284" i="47"/>
  <c r="A285" i="47"/>
  <c r="A286" i="47"/>
  <c r="A287" i="47"/>
  <c r="A288" i="47"/>
  <c r="A289" i="47"/>
  <c r="A290" i="47"/>
  <c r="A291" i="47"/>
  <c r="A292" i="47"/>
  <c r="A293" i="47"/>
  <c r="A294" i="47"/>
  <c r="A295" i="47"/>
  <c r="A296" i="47"/>
  <c r="A297" i="47"/>
  <c r="A298" i="47"/>
  <c r="A299" i="47"/>
  <c r="A300" i="47"/>
  <c r="A301" i="47"/>
  <c r="A302" i="47"/>
  <c r="A303" i="47"/>
  <c r="A304" i="47"/>
  <c r="A305" i="47"/>
  <c r="A306" i="47"/>
  <c r="A307" i="47"/>
  <c r="A308" i="47"/>
  <c r="A309" i="47"/>
  <c r="A310" i="47"/>
  <c r="A311" i="47"/>
  <c r="A312" i="47"/>
  <c r="A313" i="47"/>
  <c r="A314" i="47"/>
  <c r="A315" i="47"/>
  <c r="A316" i="47"/>
  <c r="A317" i="47"/>
  <c r="A318" i="47"/>
  <c r="A319" i="47"/>
  <c r="A320" i="47"/>
  <c r="A321" i="47"/>
  <c r="A322" i="47"/>
  <c r="A323" i="47"/>
  <c r="A324" i="47"/>
  <c r="A325" i="47"/>
  <c r="A326" i="47"/>
  <c r="A327" i="47"/>
  <c r="A328" i="47"/>
  <c r="A329" i="47"/>
  <c r="A330" i="47"/>
  <c r="A331" i="47"/>
  <c r="A332" i="47"/>
  <c r="A333" i="47"/>
  <c r="A334" i="47"/>
  <c r="A335" i="47"/>
  <c r="A336" i="47"/>
  <c r="A337" i="47"/>
  <c r="A338" i="47"/>
  <c r="A339" i="47"/>
  <c r="A340" i="47"/>
  <c r="A3" i="48"/>
  <c r="A4" i="48"/>
  <c r="A5" i="48"/>
  <c r="A6" i="48"/>
  <c r="A7" i="48"/>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206" i="48"/>
  <c r="A207" i="48"/>
  <c r="A208" i="48"/>
  <c r="A209" i="48"/>
  <c r="A210" i="48"/>
  <c r="A211" i="48"/>
  <c r="A212" i="48"/>
  <c r="A213" i="48"/>
  <c r="A214" i="48"/>
  <c r="A215" i="48"/>
  <c r="A216" i="48"/>
  <c r="A217" i="48"/>
  <c r="A218" i="48"/>
  <c r="A219" i="48"/>
  <c r="A220" i="48"/>
  <c r="A221" i="48"/>
  <c r="A222" i="48"/>
  <c r="A223" i="48"/>
  <c r="A224" i="48"/>
  <c r="A225" i="48"/>
  <c r="A226" i="48"/>
  <c r="A227" i="48"/>
  <c r="A228" i="48"/>
  <c r="A229" i="48"/>
  <c r="A230" i="48"/>
  <c r="A231" i="48"/>
  <c r="A232" i="48"/>
  <c r="A233" i="48"/>
  <c r="A234" i="48"/>
  <c r="A235" i="48"/>
  <c r="A236" i="48"/>
  <c r="A237" i="48"/>
  <c r="A238" i="48"/>
  <c r="A239" i="48"/>
  <c r="A240" i="48"/>
  <c r="A241" i="48"/>
  <c r="A242" i="48"/>
  <c r="A243" i="48"/>
  <c r="A244" i="48"/>
  <c r="A245" i="48"/>
  <c r="A246" i="48"/>
  <c r="A247" i="48"/>
  <c r="A248" i="48"/>
  <c r="A249" i="48"/>
  <c r="A250" i="48"/>
  <c r="A251" i="48"/>
  <c r="A252" i="48"/>
  <c r="A253" i="48"/>
  <c r="A254" i="48"/>
  <c r="A255" i="48"/>
  <c r="A256" i="48"/>
  <c r="A257" i="48"/>
  <c r="A258" i="48"/>
  <c r="A259" i="48"/>
  <c r="A260" i="48"/>
  <c r="A261" i="48"/>
  <c r="A262" i="48"/>
  <c r="A263" i="48"/>
  <c r="A264" i="48"/>
  <c r="A265" i="48"/>
  <c r="A266" i="48"/>
  <c r="A267" i="48"/>
  <c r="A268" i="48"/>
  <c r="A269" i="48"/>
  <c r="A270" i="48"/>
  <c r="A271" i="48"/>
  <c r="A272" i="48"/>
  <c r="A273" i="48"/>
  <c r="A274" i="48"/>
  <c r="A275" i="48"/>
  <c r="A276" i="48"/>
  <c r="A277" i="48"/>
  <c r="A278" i="48"/>
  <c r="A279" i="48"/>
  <c r="A280" i="48"/>
  <c r="A281" i="48"/>
  <c r="A282" i="48"/>
  <c r="A283" i="48"/>
  <c r="A284" i="48"/>
  <c r="A285" i="48"/>
  <c r="A286" i="48"/>
  <c r="A287" i="48"/>
  <c r="A288" i="48"/>
  <c r="A289" i="48"/>
  <c r="A290" i="48"/>
  <c r="A291" i="48"/>
  <c r="A292" i="48"/>
  <c r="A293" i="48"/>
  <c r="A294" i="48"/>
  <c r="A295" i="48"/>
  <c r="A296" i="48"/>
  <c r="A297" i="48"/>
  <c r="A298" i="48"/>
  <c r="A299" i="48"/>
  <c r="A300" i="48"/>
  <c r="A301" i="48"/>
  <c r="A302" i="48"/>
  <c r="A303" i="48"/>
  <c r="A304" i="48"/>
  <c r="A305" i="48"/>
  <c r="A306" i="48"/>
  <c r="A307" i="48"/>
  <c r="A308" i="48"/>
  <c r="A309" i="48"/>
  <c r="A310" i="48"/>
  <c r="A311" i="48"/>
  <c r="A312" i="48"/>
  <c r="A313" i="48"/>
  <c r="A314" i="48"/>
  <c r="A315" i="48"/>
  <c r="A316" i="48"/>
  <c r="A317" i="48"/>
  <c r="A318" i="48"/>
  <c r="A319" i="48"/>
  <c r="A320" i="48"/>
  <c r="A321" i="48"/>
  <c r="A322" i="48"/>
  <c r="A323" i="48"/>
  <c r="A324" i="48"/>
  <c r="A325" i="48"/>
  <c r="A326" i="48"/>
  <c r="A327" i="48"/>
  <c r="A328" i="48"/>
  <c r="A329" i="48"/>
  <c r="A330" i="48"/>
  <c r="A331" i="48"/>
  <c r="A332" i="48"/>
  <c r="A333" i="48"/>
  <c r="A334" i="48"/>
  <c r="A335" i="48"/>
  <c r="A336" i="48"/>
  <c r="A337" i="48"/>
  <c r="A338" i="48"/>
  <c r="A339" i="48"/>
  <c r="A340" i="48"/>
  <c r="A3" i="42"/>
  <c r="A4" i="42"/>
  <c r="A5" i="42"/>
  <c r="A6" i="42"/>
  <c r="A7" i="42"/>
  <c r="A8" i="42"/>
  <c r="A9" i="42"/>
  <c r="A10" i="42"/>
  <c r="A11" i="42"/>
  <c r="A12" i="42"/>
  <c r="A13" i="42"/>
  <c r="A14" i="42"/>
  <c r="A15" i="42"/>
  <c r="A16" i="42"/>
  <c r="A17" i="42"/>
  <c r="A18" i="42"/>
  <c r="A19" i="42"/>
  <c r="A20" i="42"/>
  <c r="A21" i="42"/>
  <c r="A22" i="42"/>
  <c r="A23" i="42"/>
  <c r="A24" i="42"/>
  <c r="A25" i="42"/>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65" i="42"/>
  <c r="A66" i="42"/>
  <c r="A67" i="42"/>
  <c r="A68" i="42"/>
  <c r="A69" i="42"/>
  <c r="A70" i="42"/>
  <c r="A71" i="42"/>
  <c r="A72" i="42"/>
  <c r="A73" i="42"/>
  <c r="A74" i="42"/>
  <c r="A75" i="42"/>
  <c r="A76" i="42"/>
  <c r="A77" i="42"/>
  <c r="A78" i="42"/>
  <c r="A79" i="42"/>
  <c r="A80" i="42"/>
  <c r="A81" i="42"/>
  <c r="A82" i="42"/>
  <c r="A83" i="42"/>
  <c r="A84" i="42"/>
  <c r="A85" i="42"/>
  <c r="A86" i="42"/>
  <c r="A87" i="42"/>
  <c r="A88" i="42"/>
  <c r="A89" i="42"/>
  <c r="A90" i="42"/>
  <c r="A91" i="42"/>
  <c r="A92" i="42"/>
  <c r="A93" i="42"/>
  <c r="A94" i="42"/>
  <c r="A95" i="42"/>
  <c r="A96" i="42"/>
  <c r="A97" i="42"/>
  <c r="A98" i="42"/>
  <c r="A99" i="42"/>
  <c r="A100" i="42"/>
  <c r="A101" i="42"/>
  <c r="A102" i="42"/>
  <c r="A103" i="42"/>
  <c r="A104" i="42"/>
  <c r="A105" i="42"/>
  <c r="A106" i="42"/>
  <c r="A107" i="42"/>
  <c r="A108" i="42"/>
  <c r="A109" i="42"/>
  <c r="A110" i="42"/>
  <c r="A111" i="42"/>
  <c r="A112" i="42"/>
  <c r="A113" i="42"/>
  <c r="A114" i="42"/>
  <c r="A115" i="42"/>
  <c r="A116" i="42"/>
  <c r="A117" i="42"/>
  <c r="A118" i="42"/>
  <c r="A119" i="42"/>
  <c r="A120" i="42"/>
  <c r="A121" i="42"/>
  <c r="A122" i="42"/>
  <c r="A123" i="42"/>
  <c r="A124" i="42"/>
  <c r="A125" i="42"/>
  <c r="A126" i="42"/>
  <c r="A127" i="42"/>
  <c r="A128" i="42"/>
  <c r="A129" i="42"/>
  <c r="A130" i="42"/>
  <c r="A131" i="42"/>
  <c r="A132" i="42"/>
  <c r="A133" i="42"/>
  <c r="A134" i="42"/>
  <c r="A135" i="42"/>
  <c r="A136" i="42"/>
  <c r="A137" i="42"/>
  <c r="A138" i="42"/>
  <c r="A139" i="42"/>
  <c r="A140" i="42"/>
  <c r="A141" i="42"/>
  <c r="A142" i="42"/>
  <c r="A143" i="42"/>
  <c r="A144" i="42"/>
  <c r="A145" i="42"/>
  <c r="A146" i="42"/>
  <c r="A147" i="42"/>
  <c r="A148" i="42"/>
  <c r="A149" i="42"/>
  <c r="A150" i="42"/>
  <c r="A151" i="42"/>
  <c r="A152" i="42"/>
  <c r="A153" i="42"/>
  <c r="A154" i="42"/>
  <c r="A155" i="42"/>
  <c r="A156" i="42"/>
  <c r="A157" i="42"/>
  <c r="A158" i="42"/>
  <c r="A159" i="42"/>
  <c r="A160" i="42"/>
  <c r="A161" i="42"/>
  <c r="A162" i="42"/>
  <c r="A163" i="42"/>
  <c r="A164" i="42"/>
  <c r="A165" i="42"/>
  <c r="A166" i="42"/>
  <c r="A167" i="42"/>
  <c r="A168" i="42"/>
  <c r="A169" i="42"/>
  <c r="A170" i="42"/>
  <c r="A171" i="42"/>
  <c r="A172" i="42"/>
  <c r="A173" i="42"/>
  <c r="A174" i="42"/>
  <c r="A175" i="42"/>
  <c r="A176" i="42"/>
  <c r="A177" i="42"/>
  <c r="A178" i="42"/>
  <c r="A179" i="42"/>
  <c r="A180" i="42"/>
  <c r="A181" i="42"/>
  <c r="A182" i="42"/>
  <c r="A183" i="42"/>
  <c r="A184" i="42"/>
  <c r="A185" i="42"/>
  <c r="A186" i="42"/>
  <c r="A187" i="42"/>
  <c r="A188" i="42"/>
  <c r="A189" i="42"/>
  <c r="A190" i="42"/>
  <c r="A191" i="42"/>
  <c r="A192" i="42"/>
  <c r="A193" i="42"/>
  <c r="A194" i="42"/>
  <c r="A195" i="42"/>
  <c r="A196" i="42"/>
  <c r="A197" i="42"/>
  <c r="A198" i="42"/>
  <c r="A199" i="42"/>
  <c r="A200" i="42"/>
  <c r="A201" i="42"/>
  <c r="A202" i="42"/>
  <c r="A203" i="42"/>
  <c r="A204" i="42"/>
  <c r="A205" i="42"/>
  <c r="A206" i="42"/>
  <c r="A207" i="42"/>
  <c r="A208" i="42"/>
  <c r="A209" i="42"/>
  <c r="A210" i="42"/>
  <c r="A211" i="42"/>
  <c r="A212" i="42"/>
  <c r="A213" i="42"/>
  <c r="A214" i="42"/>
  <c r="A215" i="42"/>
  <c r="A216" i="42"/>
  <c r="A217" i="42"/>
  <c r="A218" i="42"/>
  <c r="A219" i="42"/>
  <c r="A220" i="42"/>
  <c r="A221" i="42"/>
  <c r="A222" i="42"/>
  <c r="A223" i="42"/>
  <c r="A224" i="42"/>
  <c r="A225" i="42"/>
  <c r="A226" i="42"/>
  <c r="A227" i="42"/>
  <c r="A228" i="42"/>
  <c r="A229" i="42"/>
  <c r="A230" i="42"/>
  <c r="A231" i="42"/>
  <c r="A232" i="42"/>
  <c r="A233" i="42"/>
  <c r="A234" i="42"/>
  <c r="A235" i="42"/>
  <c r="A236" i="42"/>
  <c r="A237" i="42"/>
  <c r="A238" i="42"/>
  <c r="A239" i="42"/>
  <c r="A240" i="42"/>
  <c r="A241" i="42"/>
  <c r="A242" i="42"/>
  <c r="A243" i="42"/>
  <c r="A244" i="42"/>
  <c r="A245" i="42"/>
  <c r="A246" i="42"/>
  <c r="A247" i="42"/>
  <c r="A248" i="42"/>
  <c r="A249" i="42"/>
  <c r="A250" i="42"/>
  <c r="A251" i="42"/>
  <c r="A252" i="42"/>
  <c r="A253" i="42"/>
  <c r="A254" i="42"/>
  <c r="A255" i="42"/>
  <c r="A256" i="42"/>
  <c r="A257" i="42"/>
  <c r="A258" i="42"/>
  <c r="A259" i="42"/>
  <c r="A260" i="42"/>
  <c r="A261" i="42"/>
  <c r="A262" i="42"/>
  <c r="A263" i="42"/>
  <c r="A264" i="42"/>
  <c r="A265" i="42"/>
  <c r="A266" i="42"/>
  <c r="A267" i="42"/>
  <c r="A268" i="42"/>
  <c r="A269" i="42"/>
  <c r="A270" i="42"/>
  <c r="A271" i="42"/>
  <c r="A272" i="42"/>
  <c r="A273" i="42"/>
  <c r="A274" i="42"/>
  <c r="A275" i="42"/>
  <c r="A276" i="42"/>
  <c r="A277" i="42"/>
  <c r="A278" i="42"/>
  <c r="A279" i="42"/>
  <c r="A280" i="42"/>
  <c r="A281" i="42"/>
  <c r="A282" i="42"/>
  <c r="A283" i="42"/>
  <c r="A284" i="42"/>
  <c r="A285" i="42"/>
  <c r="A286" i="42"/>
  <c r="A287" i="42"/>
  <c r="A288" i="42"/>
  <c r="A289" i="42"/>
  <c r="A290" i="42"/>
  <c r="A291" i="42"/>
  <c r="A292" i="42"/>
  <c r="A293" i="42"/>
  <c r="A294" i="42"/>
  <c r="A295" i="42"/>
  <c r="A296" i="42"/>
  <c r="A297" i="42"/>
  <c r="A298" i="42"/>
  <c r="A299" i="42"/>
  <c r="A300" i="42"/>
  <c r="A301" i="42"/>
  <c r="A302" i="42"/>
  <c r="A303" i="42"/>
  <c r="A304" i="42"/>
  <c r="A305" i="42"/>
  <c r="A306" i="42"/>
  <c r="A307" i="42"/>
  <c r="A308" i="42"/>
  <c r="A309" i="42"/>
  <c r="A310" i="42"/>
  <c r="A311" i="42"/>
  <c r="A312" i="42"/>
  <c r="A313" i="42"/>
  <c r="A314" i="42"/>
  <c r="A315" i="42"/>
  <c r="A316" i="42"/>
  <c r="A317" i="42"/>
  <c r="A318" i="42"/>
  <c r="A319" i="42"/>
  <c r="A320" i="42"/>
  <c r="A321" i="42"/>
  <c r="A322" i="42"/>
  <c r="A323" i="42"/>
  <c r="A324" i="42"/>
  <c r="A325" i="42"/>
  <c r="A326" i="42"/>
  <c r="A327" i="42"/>
  <c r="A328" i="42"/>
  <c r="A329" i="42"/>
  <c r="A330" i="42"/>
  <c r="A331" i="42"/>
  <c r="A332" i="42"/>
  <c r="A333" i="42"/>
  <c r="A334" i="42"/>
  <c r="A335" i="42"/>
  <c r="A336" i="42"/>
  <c r="A337" i="42"/>
  <c r="A338" i="42"/>
  <c r="A339" i="42"/>
  <c r="A340" i="42"/>
  <c r="A2" i="46"/>
  <c r="A2" i="47"/>
  <c r="A2" i="48"/>
  <c r="A2" i="42"/>
  <c r="F7" i="45"/>
  <c r="D7" i="45"/>
  <c r="C15" i="45"/>
  <c r="C7" i="45"/>
  <c r="E2" i="21" l="1"/>
  <c r="F2" i="21" s="1"/>
  <c r="G2" i="21" s="1"/>
  <c r="H2" i="21" s="1"/>
  <c r="I2" i="21" s="1"/>
  <c r="J2" i="21" s="1"/>
  <c r="K2" i="21" s="1"/>
  <c r="L2" i="21" s="1"/>
  <c r="M2" i="21" s="1"/>
  <c r="N2" i="21" s="1"/>
  <c r="O2" i="21" s="1"/>
  <c r="P2" i="21" s="1"/>
  <c r="Q2" i="21" s="1"/>
  <c r="R2" i="21" s="1"/>
  <c r="S2" i="21" s="1"/>
  <c r="T2" i="21" s="1"/>
  <c r="U2" i="21" s="1"/>
  <c r="V2" i="21" s="1"/>
  <c r="W2" i="21" s="1"/>
  <c r="N14" i="45"/>
  <c r="M7" i="45"/>
  <c r="D8" i="45"/>
  <c r="E24" i="45"/>
  <c r="D21" i="45"/>
  <c r="J21" i="45"/>
  <c r="K15" i="45"/>
  <c r="L21" i="45"/>
  <c r="G15" i="45"/>
  <c r="D23" i="45"/>
  <c r="G14" i="45"/>
  <c r="E23" i="45"/>
  <c r="G7" i="45"/>
  <c r="K22" i="45"/>
  <c r="M14" i="45"/>
  <c r="F22" i="45"/>
  <c r="E14" i="45"/>
  <c r="C23" i="45"/>
  <c r="J24" i="45"/>
  <c r="J15" i="45"/>
  <c r="J16" i="45"/>
  <c r="F16" i="45"/>
  <c r="J22" i="45"/>
  <c r="H23" i="45"/>
  <c r="N22" i="45"/>
  <c r="I21" i="45"/>
  <c r="G24" i="45"/>
  <c r="G22" i="45"/>
  <c r="C24" i="45"/>
  <c r="L24" i="45"/>
  <c r="C16" i="45"/>
  <c r="J8" i="45"/>
  <c r="I8" i="45"/>
  <c r="H14" i="45"/>
  <c r="K24" i="45"/>
  <c r="N16" i="45"/>
  <c r="N15" i="45"/>
  <c r="I14" i="45"/>
  <c r="E7" i="45"/>
  <c r="M23" i="45"/>
  <c r="F8" i="45"/>
  <c r="K8" i="45"/>
  <c r="J14" i="45"/>
  <c r="F23" i="45"/>
  <c r="G23" i="45"/>
  <c r="N21" i="45"/>
  <c r="J7" i="45"/>
  <c r="D24" i="45"/>
  <c r="L14" i="45"/>
  <c r="E8" i="45"/>
  <c r="C21" i="45"/>
  <c r="E16" i="45"/>
  <c r="C22" i="45"/>
  <c r="I7" i="45"/>
  <c r="I23" i="45"/>
  <c r="K14" i="45"/>
  <c r="N24" i="45"/>
  <c r="H7" i="45"/>
  <c r="I24" i="45"/>
  <c r="G21" i="45"/>
  <c r="I16" i="45"/>
  <c r="M24" i="45"/>
  <c r="N8" i="45"/>
  <c r="N7" i="45"/>
  <c r="K16" i="45"/>
  <c r="I22" i="45"/>
  <c r="G8" i="45"/>
  <c r="M22" i="45"/>
  <c r="H15" i="45"/>
  <c r="D15" i="45"/>
  <c r="K21" i="45"/>
  <c r="H16" i="45"/>
  <c r="N23" i="45"/>
  <c r="E21" i="45"/>
  <c r="K23" i="45"/>
  <c r="C14" i="45"/>
  <c r="M8" i="45"/>
  <c r="M21" i="45"/>
  <c r="G16" i="45"/>
  <c r="L8" i="45"/>
  <c r="C8" i="45"/>
  <c r="M15" i="45"/>
  <c r="L7" i="45"/>
  <c r="E22" i="45"/>
  <c r="L15" i="45"/>
  <c r="E15" i="45"/>
  <c r="I15" i="45"/>
  <c r="F21" i="45"/>
  <c r="L23" i="45"/>
  <c r="H8" i="45"/>
  <c r="D22" i="45"/>
  <c r="F14" i="45"/>
  <c r="J23" i="45"/>
  <c r="F24" i="45"/>
  <c r="K7" i="45"/>
  <c r="D16" i="45"/>
  <c r="H24" i="45"/>
  <c r="F15" i="45"/>
  <c r="M16" i="45"/>
  <c r="H21" i="45"/>
  <c r="L16" i="45"/>
  <c r="L22" i="45"/>
  <c r="H22" i="45"/>
  <c r="D14" i="45"/>
  <c r="E16" i="21" l="1"/>
  <c r="D16" i="21"/>
  <c r="I49" i="21"/>
  <c r="D9" i="45"/>
  <c r="H9" i="45"/>
  <c r="J9" i="45"/>
  <c r="M9" i="45"/>
  <c r="K9" i="45"/>
  <c r="C9" i="45"/>
  <c r="N9" i="45"/>
  <c r="F9" i="45"/>
  <c r="L9" i="45"/>
  <c r="I9" i="45"/>
  <c r="E9" i="45"/>
  <c r="G9" i="45"/>
  <c r="AA14" i="21"/>
  <c r="AB14" i="21"/>
  <c r="G49" i="21"/>
  <c r="H49" i="21"/>
  <c r="D49" i="21"/>
  <c r="E49" i="21"/>
  <c r="F73" i="21" l="1"/>
  <c r="F70" i="21"/>
  <c r="F67" i="21"/>
  <c r="F64" i="21"/>
  <c r="F61" i="21"/>
  <c r="F58" i="21"/>
  <c r="F55" i="21"/>
  <c r="F72" i="21"/>
  <c r="F69" i="21"/>
  <c r="F66" i="21"/>
  <c r="F63" i="21"/>
  <c r="F60" i="21"/>
  <c r="F57" i="21"/>
  <c r="F54" i="21"/>
  <c r="F71" i="21"/>
  <c r="F68" i="21"/>
  <c r="F65" i="21"/>
  <c r="F62" i="21"/>
  <c r="F59" i="21"/>
  <c r="F56" i="21"/>
  <c r="F53" i="21"/>
  <c r="F49" i="21"/>
  <c r="G72" i="21" s="1"/>
  <c r="I74" i="26"/>
  <c r="C8" i="21" s="1"/>
  <c r="G64" i="21" l="1"/>
  <c r="G59" i="21"/>
  <c r="G57" i="21"/>
  <c r="G67" i="21"/>
  <c r="G62" i="21"/>
  <c r="G60" i="21"/>
  <c r="G70" i="21"/>
  <c r="G65" i="21"/>
  <c r="G63" i="21"/>
  <c r="G55" i="21"/>
  <c r="G73" i="21"/>
  <c r="G68" i="21"/>
  <c r="G66" i="21"/>
  <c r="G58" i="21"/>
  <c r="G53" i="21"/>
  <c r="G71" i="21"/>
  <c r="G69" i="21"/>
  <c r="G61" i="21"/>
  <c r="G56" i="21"/>
  <c r="G54" i="21"/>
  <c r="D6" i="28"/>
  <c r="G16" i="28"/>
  <c r="D50" i="16"/>
  <c r="AT18" i="28"/>
  <c r="AE34" i="28" l="1"/>
  <c r="Z34" i="28"/>
  <c r="K16" i="28" l="1"/>
  <c r="AE33" i="28" l="1"/>
  <c r="L16" i="28"/>
  <c r="M16" i="28"/>
  <c r="I16" i="28"/>
  <c r="E16" i="28"/>
  <c r="C16" i="28"/>
  <c r="D11" i="28" l="1"/>
  <c r="F5" i="30" s="1"/>
  <c r="D12" i="28"/>
  <c r="F4" i="30" s="1"/>
  <c r="D10" i="28"/>
  <c r="H6" i="28"/>
  <c r="F6" i="28"/>
  <c r="G6" i="28"/>
  <c r="C6" i="28"/>
  <c r="J5" i="30" l="1"/>
  <c r="E11" i="26" s="1"/>
  <c r="D37" i="21" l="1"/>
  <c r="X39" i="21"/>
  <c r="E11" i="28" l="1"/>
  <c r="E10" i="28"/>
  <c r="AC39" i="28"/>
  <c r="I5" i="18" l="1"/>
  <c r="I17" i="18"/>
  <c r="I21" i="18"/>
  <c r="I19" i="18"/>
  <c r="I9" i="18"/>
  <c r="I6" i="18"/>
  <c r="I13" i="18"/>
  <c r="I20" i="18"/>
  <c r="I24" i="18"/>
  <c r="I12" i="18"/>
  <c r="I8" i="18"/>
  <c r="I23" i="18"/>
  <c r="I25" i="18"/>
  <c r="I18" i="18"/>
  <c r="I11" i="18"/>
  <c r="I7" i="18"/>
  <c r="I26" i="18"/>
  <c r="I22" i="18"/>
  <c r="I10" i="18"/>
  <c r="I14" i="18" l="1"/>
  <c r="AG37" i="28"/>
  <c r="AH37" i="28"/>
  <c r="E29" i="28"/>
  <c r="E32" i="28"/>
  <c r="D3" i="19" l="1"/>
  <c r="E28" i="28" s="1"/>
  <c r="AH38" i="28" l="1"/>
  <c r="H9" i="16" l="1"/>
  <c r="G9" i="16"/>
  <c r="J9" i="16"/>
  <c r="F9" i="16"/>
  <c r="I9" i="16"/>
  <c r="E9" i="16"/>
  <c r="K20" i="28"/>
  <c r="C50" i="16"/>
  <c r="F50" i="16" s="1"/>
  <c r="F43" i="16" l="1"/>
  <c r="E50" i="16" s="1"/>
  <c r="G20" i="28"/>
  <c r="C11" i="16" l="1"/>
  <c r="G50" i="16" l="1"/>
  <c r="C20" i="28" l="1"/>
  <c r="H20" i="28" l="1"/>
  <c r="C23" i="19"/>
  <c r="G51" i="16" l="1"/>
  <c r="J20" i="28" s="1"/>
  <c r="I27" i="18"/>
  <c r="E31" i="18" s="1"/>
  <c r="E32" i="18" s="1"/>
  <c r="C24" i="19"/>
  <c r="D6" i="19" s="1"/>
  <c r="E5" i="21" l="1"/>
  <c r="F5" i="21" s="1"/>
  <c r="L20" i="28"/>
  <c r="D24" i="28" s="1"/>
  <c r="E31" i="28"/>
  <c r="AC37" i="28"/>
  <c r="E77" i="26" l="1"/>
  <c r="F77" i="26"/>
  <c r="G5" i="21"/>
  <c r="E8" i="21"/>
  <c r="Z23" i="28"/>
  <c r="AA2" i="28"/>
  <c r="AB2" i="28" s="1"/>
  <c r="AC2" i="28" s="1"/>
  <c r="AD2" i="28" s="1"/>
  <c r="AE2" i="28" s="1"/>
  <c r="AF2" i="28" s="1"/>
  <c r="AG2" i="28" s="1"/>
  <c r="AH2" i="28" s="1"/>
  <c r="AI2" i="28" s="1"/>
  <c r="Z4" i="28"/>
  <c r="G77" i="26" l="1"/>
  <c r="H5" i="21"/>
  <c r="AJ2" i="28"/>
  <c r="F8" i="21"/>
  <c r="H77" i="26" l="1"/>
  <c r="I5" i="21"/>
  <c r="AK2" i="28"/>
  <c r="G8" i="21"/>
  <c r="I77" i="26" l="1"/>
  <c r="J5" i="21"/>
  <c r="AL2" i="28"/>
  <c r="H8" i="21"/>
  <c r="I8" i="21"/>
  <c r="K5" i="21" l="1"/>
  <c r="J77" i="26"/>
  <c r="AM2" i="28"/>
  <c r="J8" i="21"/>
  <c r="L5" i="21" l="1"/>
  <c r="K77" i="26"/>
  <c r="AN2" i="28"/>
  <c r="K8" i="21"/>
  <c r="L77" i="26" l="1"/>
  <c r="M5" i="21"/>
  <c r="AO2" i="28"/>
  <c r="L8" i="21"/>
  <c r="L9" i="21" l="1"/>
  <c r="L6" i="21"/>
  <c r="M77" i="26"/>
  <c r="N5" i="21"/>
  <c r="AP2" i="28"/>
  <c r="M8" i="21"/>
  <c r="M7" i="21" l="1"/>
  <c r="D7" i="21"/>
  <c r="D6" i="21"/>
  <c r="D20" i="21" s="1"/>
  <c r="D9" i="21"/>
  <c r="E6" i="21"/>
  <c r="E20" i="21" s="1"/>
  <c r="E9" i="21"/>
  <c r="F9" i="21"/>
  <c r="F6" i="21"/>
  <c r="F20" i="21" s="1"/>
  <c r="AC6" i="28" s="1"/>
  <c r="AC25" i="28" s="1"/>
  <c r="E7" i="21"/>
  <c r="F7" i="21"/>
  <c r="G6" i="21"/>
  <c r="G20" i="21" s="1"/>
  <c r="G9" i="21"/>
  <c r="G7" i="21"/>
  <c r="H9" i="21"/>
  <c r="H7" i="21"/>
  <c r="H6" i="21"/>
  <c r="I9" i="21"/>
  <c r="I7" i="21"/>
  <c r="I6" i="21"/>
  <c r="I20" i="21" s="1"/>
  <c r="I21" i="21" s="1"/>
  <c r="J6" i="21"/>
  <c r="J20" i="21" s="1"/>
  <c r="J40" i="21" s="1"/>
  <c r="J9" i="21"/>
  <c r="J7" i="21"/>
  <c r="K9" i="21"/>
  <c r="K6" i="21"/>
  <c r="K20" i="21" s="1"/>
  <c r="K22" i="21" s="1"/>
  <c r="K7" i="21"/>
  <c r="L7" i="21"/>
  <c r="D82" i="26"/>
  <c r="M9" i="21"/>
  <c r="M6" i="21"/>
  <c r="O5" i="21"/>
  <c r="P5" i="21" s="1"/>
  <c r="Q5" i="21" s="1"/>
  <c r="L20" i="21"/>
  <c r="AQ2" i="28"/>
  <c r="N8" i="21"/>
  <c r="F40" i="21" l="1"/>
  <c r="K40" i="21"/>
  <c r="K19" i="21"/>
  <c r="AH5" i="28" s="1"/>
  <c r="AH24" i="28" s="1"/>
  <c r="F19" i="21"/>
  <c r="F21" i="21"/>
  <c r="AC7" i="28" s="1"/>
  <c r="F22" i="21"/>
  <c r="AC8" i="28" s="1"/>
  <c r="J21" i="21"/>
  <c r="I19" i="21"/>
  <c r="AF5" i="28" s="1"/>
  <c r="AF24" i="28" s="1"/>
  <c r="I40" i="21"/>
  <c r="K21" i="21"/>
  <c r="K23" i="21" s="1"/>
  <c r="J22" i="21"/>
  <c r="J19" i="21"/>
  <c r="J39" i="21" s="1"/>
  <c r="I22" i="21"/>
  <c r="I23" i="21" s="1"/>
  <c r="I24" i="21" s="1"/>
  <c r="E82" i="26"/>
  <c r="F82" i="26"/>
  <c r="F39" i="21"/>
  <c r="AC5" i="28"/>
  <c r="AC24" i="28" s="1"/>
  <c r="G21" i="21"/>
  <c r="G19" i="21"/>
  <c r="G22" i="21"/>
  <c r="G40" i="21"/>
  <c r="E40" i="21"/>
  <c r="E21" i="21"/>
  <c r="E19" i="21"/>
  <c r="E22" i="21"/>
  <c r="H20" i="21"/>
  <c r="R5" i="21"/>
  <c r="G82" i="26"/>
  <c r="D40" i="21"/>
  <c r="D19" i="21"/>
  <c r="D53" i="21" s="1"/>
  <c r="D22" i="21"/>
  <c r="D21" i="21"/>
  <c r="K39" i="21"/>
  <c r="L40" i="21"/>
  <c r="M20" i="21"/>
  <c r="AR2" i="28"/>
  <c r="L19" i="21"/>
  <c r="L21" i="21"/>
  <c r="L22" i="21"/>
  <c r="O8" i="21"/>
  <c r="I39" i="21" l="1"/>
  <c r="F23" i="21"/>
  <c r="F24" i="21" s="1"/>
  <c r="AC10" i="28" s="1"/>
  <c r="J23" i="21"/>
  <c r="J24" i="21" s="1"/>
  <c r="AG5" i="28"/>
  <c r="AG24" i="28" s="1"/>
  <c r="G23" i="21"/>
  <c r="G24" i="21" s="1"/>
  <c r="D23" i="21"/>
  <c r="AD5" i="28"/>
  <c r="AD24" i="28" s="1"/>
  <c r="G39" i="21"/>
  <c r="AE6" i="28"/>
  <c r="AE25" i="28" s="1"/>
  <c r="H22" i="21"/>
  <c r="AE8" i="28" s="1"/>
  <c r="H21" i="21"/>
  <c r="AE7" i="28" s="1"/>
  <c r="H19" i="21"/>
  <c r="H40" i="21"/>
  <c r="E39" i="21"/>
  <c r="AB5" i="28"/>
  <c r="AB24" i="28" s="1"/>
  <c r="D39" i="21"/>
  <c r="AA5" i="28"/>
  <c r="AA24" i="28" s="1"/>
  <c r="S5" i="21"/>
  <c r="H82" i="26"/>
  <c r="E23" i="21"/>
  <c r="L23" i="21"/>
  <c r="AS2" i="28"/>
  <c r="K24" i="21"/>
  <c r="AI5" i="28"/>
  <c r="AI24" i="28" s="1"/>
  <c r="L39" i="21"/>
  <c r="P8" i="21"/>
  <c r="AC9" i="28" l="1"/>
  <c r="D24" i="21"/>
  <c r="E24" i="21"/>
  <c r="H23" i="21"/>
  <c r="AE5" i="28"/>
  <c r="AE24" i="28" s="1"/>
  <c r="H39" i="21"/>
  <c r="T5" i="21"/>
  <c r="I82" i="26"/>
  <c r="AT2" i="28"/>
  <c r="L24" i="21"/>
  <c r="Q8" i="21"/>
  <c r="M40" i="21"/>
  <c r="M19" i="21"/>
  <c r="M22" i="21"/>
  <c r="M21" i="21"/>
  <c r="U5" i="21" l="1"/>
  <c r="J82" i="26"/>
  <c r="AE9" i="28"/>
  <c r="H24" i="21"/>
  <c r="AE10" i="28" s="1"/>
  <c r="M23" i="21"/>
  <c r="R8" i="21"/>
  <c r="M39" i="21"/>
  <c r="AJ5" i="28"/>
  <c r="AJ24" i="28" s="1"/>
  <c r="V5" i="21" l="1"/>
  <c r="K82" i="26"/>
  <c r="S8" i="21"/>
  <c r="M24" i="21"/>
  <c r="W5" i="21" l="1"/>
  <c r="L82" i="26"/>
  <c r="T8" i="21"/>
  <c r="W7" i="21" l="1"/>
  <c r="W6" i="21"/>
  <c r="W9" i="21"/>
  <c r="D4" i="21"/>
  <c r="M82" i="26"/>
  <c r="V9" i="21" s="1"/>
  <c r="U8" i="21"/>
  <c r="N6" i="21" l="1"/>
  <c r="N9" i="21"/>
  <c r="N7" i="21"/>
  <c r="O7" i="21"/>
  <c r="Q9" i="21"/>
  <c r="P9" i="21"/>
  <c r="P6" i="21"/>
  <c r="Q6" i="21"/>
  <c r="O6" i="21"/>
  <c r="P7" i="21"/>
  <c r="O9" i="21"/>
  <c r="Q7" i="21"/>
  <c r="R7" i="21"/>
  <c r="R9" i="21"/>
  <c r="R6" i="21"/>
  <c r="S9" i="21"/>
  <c r="S6" i="21"/>
  <c r="S7" i="21"/>
  <c r="T7" i="21"/>
  <c r="T6" i="21"/>
  <c r="T9" i="21"/>
  <c r="U7" i="21"/>
  <c r="U6" i="21"/>
  <c r="U9" i="21"/>
  <c r="V6" i="21"/>
  <c r="V7" i="21"/>
  <c r="V8" i="21"/>
  <c r="W8" i="21" l="1"/>
  <c r="V20" i="21" l="1"/>
  <c r="V19" i="21" s="1"/>
  <c r="V39" i="21" s="1"/>
  <c r="N20" i="21"/>
  <c r="O20" i="21"/>
  <c r="Q20" i="21"/>
  <c r="P20" i="21"/>
  <c r="AS5" i="28" l="1"/>
  <c r="AS24" i="28" s="1"/>
  <c r="V40" i="21"/>
  <c r="V21" i="21"/>
  <c r="V22" i="21"/>
  <c r="T20" i="21"/>
  <c r="T40" i="21" s="1"/>
  <c r="R20" i="21"/>
  <c r="R22" i="21" s="1"/>
  <c r="Q21" i="21"/>
  <c r="Q22" i="21"/>
  <c r="Q19" i="21"/>
  <c r="Q40" i="21"/>
  <c r="P22" i="21"/>
  <c r="P40" i="21"/>
  <c r="P19" i="21"/>
  <c r="P21" i="21"/>
  <c r="O19" i="21"/>
  <c r="O21" i="21"/>
  <c r="O40" i="21"/>
  <c r="O22" i="21"/>
  <c r="U20" i="21"/>
  <c r="S20" i="21"/>
  <c r="N22" i="21"/>
  <c r="N40" i="21"/>
  <c r="N21" i="21"/>
  <c r="N19" i="21"/>
  <c r="W20" i="21"/>
  <c r="W40" i="21" s="1"/>
  <c r="G11" i="21"/>
  <c r="E35" i="28" s="1"/>
  <c r="V23" i="21" l="1"/>
  <c r="V24" i="21" s="1"/>
  <c r="R21" i="21"/>
  <c r="R23" i="21" s="1"/>
  <c r="R24" i="21" s="1"/>
  <c r="R40" i="21"/>
  <c r="P23" i="21"/>
  <c r="P24" i="21" s="1"/>
  <c r="T19" i="21"/>
  <c r="AQ5" i="28" s="1"/>
  <c r="AQ24" i="28" s="1"/>
  <c r="T21" i="21"/>
  <c r="O23" i="21"/>
  <c r="O24" i="21" s="1"/>
  <c r="T22" i="21"/>
  <c r="N23" i="21"/>
  <c r="N24" i="21" s="1"/>
  <c r="R19" i="21"/>
  <c r="AO5" i="28" s="1"/>
  <c r="AO24" i="28" s="1"/>
  <c r="Q23" i="21"/>
  <c r="Q24" i="21" s="1"/>
  <c r="AM5" i="28"/>
  <c r="AM24" i="28" s="1"/>
  <c r="P39" i="21"/>
  <c r="AN5" i="28"/>
  <c r="AN24" i="28" s="1"/>
  <c r="Q39" i="21"/>
  <c r="U19" i="21"/>
  <c r="U21" i="21"/>
  <c r="U40" i="21"/>
  <c r="U22" i="21"/>
  <c r="AL5" i="28"/>
  <c r="AL24" i="28" s="1"/>
  <c r="O39" i="21"/>
  <c r="AK5" i="28"/>
  <c r="AK24" i="28" s="1"/>
  <c r="N39" i="21"/>
  <c r="S22" i="21"/>
  <c r="S40" i="21"/>
  <c r="S19" i="21"/>
  <c r="S21" i="21"/>
  <c r="W22" i="21"/>
  <c r="W19" i="21"/>
  <c r="AT5" i="28" s="1"/>
  <c r="AT24" i="28" s="1"/>
  <c r="W21" i="21"/>
  <c r="X20" i="21"/>
  <c r="AA6" i="28"/>
  <c r="AA25" i="28" s="1"/>
  <c r="AA8" i="28"/>
  <c r="AG8" i="28"/>
  <c r="AF8" i="28"/>
  <c r="AG6" i="28"/>
  <c r="AG25" i="28" s="1"/>
  <c r="AF6" i="28"/>
  <c r="AF25" i="28" s="1"/>
  <c r="AQ6" i="28"/>
  <c r="AQ25" i="28" s="1"/>
  <c r="AI6" i="28"/>
  <c r="AI25" i="28" s="1"/>
  <c r="AH8" i="28"/>
  <c r="AJ6" i="28"/>
  <c r="AJ25" i="28" s="1"/>
  <c r="AH6" i="28"/>
  <c r="AH25" i="28" s="1"/>
  <c r="AJ8" i="28"/>
  <c r="AD6" i="28"/>
  <c r="AD25" i="28" s="1"/>
  <c r="AS6" i="28"/>
  <c r="AS25" i="28" s="1"/>
  <c r="AL6" i="28"/>
  <c r="AL25" i="28" s="1"/>
  <c r="AM6" i="28"/>
  <c r="AM25" i="28" s="1"/>
  <c r="AT6" i="28" l="1"/>
  <c r="AT25" i="28" s="1"/>
  <c r="AB6" i="28"/>
  <c r="AB25" i="28" s="1"/>
  <c r="AO6" i="28"/>
  <c r="AO25" i="28" s="1"/>
  <c r="AN6" i="28"/>
  <c r="AN25" i="28" s="1"/>
  <c r="AK6" i="28"/>
  <c r="AK25" i="28" s="1"/>
  <c r="AP6" i="28"/>
  <c r="AP25" i="28" s="1"/>
  <c r="X40" i="21"/>
  <c r="D64" i="21"/>
  <c r="R39" i="21"/>
  <c r="D57" i="21"/>
  <c r="T39" i="21"/>
  <c r="D70" i="21"/>
  <c r="D54" i="21"/>
  <c r="D67" i="21"/>
  <c r="AR6" i="28"/>
  <c r="AR25" i="28" s="1"/>
  <c r="D69" i="21"/>
  <c r="D60" i="21"/>
  <c r="D55" i="21"/>
  <c r="D66" i="21"/>
  <c r="D73" i="21"/>
  <c r="T23" i="21"/>
  <c r="T24" i="21" s="1"/>
  <c r="U23" i="21"/>
  <c r="U24" i="21" s="1"/>
  <c r="D61" i="21"/>
  <c r="S23" i="21"/>
  <c r="S24" i="21" s="1"/>
  <c r="X22" i="21"/>
  <c r="D68" i="21"/>
  <c r="D56" i="21"/>
  <c r="D71" i="21"/>
  <c r="D65" i="21"/>
  <c r="D58" i="21"/>
  <c r="D62" i="21"/>
  <c r="X21" i="21"/>
  <c r="AP5" i="28"/>
  <c r="AP24" i="28" s="1"/>
  <c r="S39" i="21"/>
  <c r="AR5" i="28"/>
  <c r="AR24" i="28" s="1"/>
  <c r="U39" i="21"/>
  <c r="D59" i="21"/>
  <c r="D63" i="21"/>
  <c r="W23" i="21"/>
  <c r="W39" i="21"/>
  <c r="D72" i="21"/>
  <c r="AD8" i="28"/>
  <c r="AA7" i="28"/>
  <c r="AA9" i="28"/>
  <c r="AG7" i="28"/>
  <c r="AF7" i="28"/>
  <c r="AG9" i="28"/>
  <c r="AQ7" i="28"/>
  <c r="AI7" i="28"/>
  <c r="AH9" i="28"/>
  <c r="AH7" i="28"/>
  <c r="AL7" i="28"/>
  <c r="AM7" i="28"/>
  <c r="AJ9" i="28"/>
  <c r="AD7" i="28"/>
  <c r="AJ7" i="28"/>
  <c r="W25" i="21"/>
  <c r="G25" i="21" l="1"/>
  <c r="I25" i="21"/>
  <c r="F25" i="21"/>
  <c r="AC11" i="28" s="1"/>
  <c r="P25" i="21"/>
  <c r="L25" i="21"/>
  <c r="K25" i="21"/>
  <c r="H25" i="21"/>
  <c r="AE11" i="28" s="1"/>
  <c r="N25" i="21"/>
  <c r="O25" i="21"/>
  <c r="J25" i="21"/>
  <c r="M25" i="21"/>
  <c r="Q25" i="21"/>
  <c r="E25" i="21"/>
  <c r="AS7" i="28"/>
  <c r="AB7" i="28"/>
  <c r="AS8" i="28"/>
  <c r="AB8" i="28"/>
  <c r="S25" i="21"/>
  <c r="R25" i="21"/>
  <c r="V25" i="21"/>
  <c r="U25" i="21"/>
  <c r="T25" i="21"/>
  <c r="AO7" i="28"/>
  <c r="X23" i="21"/>
  <c r="AT8" i="28"/>
  <c r="AA64" i="21"/>
  <c r="AK7" i="28"/>
  <c r="AL8" i="28"/>
  <c r="AK8" i="28"/>
  <c r="AN8" i="28"/>
  <c r="AM8" i="28"/>
  <c r="AN7" i="28"/>
  <c r="AI8" i="28"/>
  <c r="AO8" i="28"/>
  <c r="AP7" i="28"/>
  <c r="AP8" i="28"/>
  <c r="AQ8" i="28"/>
  <c r="E68" i="21"/>
  <c r="AA70" i="21"/>
  <c r="E61" i="21"/>
  <c r="AA60" i="21"/>
  <c r="E66" i="21"/>
  <c r="E69" i="21"/>
  <c r="E64" i="21"/>
  <c r="E58" i="21"/>
  <c r="AA69" i="21"/>
  <c r="E70" i="21"/>
  <c r="AA66" i="21"/>
  <c r="E73" i="21"/>
  <c r="AA54" i="21"/>
  <c r="AA73" i="21"/>
  <c r="E60" i="21"/>
  <c r="AA61" i="21"/>
  <c r="E54" i="21"/>
  <c r="AA58" i="21"/>
  <c r="AA68" i="21"/>
  <c r="AA57" i="21"/>
  <c r="E63" i="21"/>
  <c r="E72" i="21"/>
  <c r="E67" i="21"/>
  <c r="E57" i="21"/>
  <c r="AA62" i="21"/>
  <c r="E62" i="21"/>
  <c r="E71" i="21"/>
  <c r="E56" i="21"/>
  <c r="AA56" i="21"/>
  <c r="AR7" i="28"/>
  <c r="E65" i="21"/>
  <c r="E59" i="21"/>
  <c r="E53" i="21"/>
  <c r="E55" i="21"/>
  <c r="AA67" i="21"/>
  <c r="AA53" i="21"/>
  <c r="AA72" i="21"/>
  <c r="AA59" i="21"/>
  <c r="AA65" i="21"/>
  <c r="AA55" i="21"/>
  <c r="AR8" i="28"/>
  <c r="AA63" i="21"/>
  <c r="AT7" i="28"/>
  <c r="AA71" i="21"/>
  <c r="W24" i="21"/>
  <c r="X24" i="21" s="1"/>
  <c r="AF9" i="28"/>
  <c r="AD9" i="28"/>
  <c r="AI9" i="28"/>
  <c r="D25" i="21"/>
  <c r="H26" i="21" l="1"/>
  <c r="AE12" i="28" s="1"/>
  <c r="AS10" i="28"/>
  <c r="AB10" i="28"/>
  <c r="AT9" i="28"/>
  <c r="AB9" i="28"/>
  <c r="H65" i="21"/>
  <c r="H64" i="21"/>
  <c r="H68" i="21"/>
  <c r="H57" i="21"/>
  <c r="H27" i="21" s="1"/>
  <c r="AE13" i="28" s="1"/>
  <c r="H73" i="21"/>
  <c r="H69" i="21"/>
  <c r="AB67" i="21"/>
  <c r="H67" i="21"/>
  <c r="H54" i="21"/>
  <c r="E27" i="21" s="1"/>
  <c r="E26" i="21"/>
  <c r="H66" i="21"/>
  <c r="H72" i="21"/>
  <c r="H70" i="21"/>
  <c r="H55" i="21"/>
  <c r="F27" i="21" s="1"/>
  <c r="AC13" i="28" s="1"/>
  <c r="F26" i="21"/>
  <c r="AC12" i="28" s="1"/>
  <c r="H53" i="21"/>
  <c r="D27" i="21" s="1"/>
  <c r="D26" i="21"/>
  <c r="H71" i="21"/>
  <c r="H63" i="21"/>
  <c r="H60" i="21"/>
  <c r="H61" i="21"/>
  <c r="G26" i="21"/>
  <c r="H56" i="21"/>
  <c r="G27" i="21" s="1"/>
  <c r="H59" i="21"/>
  <c r="J27" i="21" s="1"/>
  <c r="J26" i="21"/>
  <c r="H62" i="21"/>
  <c r="H58" i="21"/>
  <c r="I27" i="21" s="1"/>
  <c r="I26" i="21"/>
  <c r="AB68" i="21"/>
  <c r="AL9" i="28"/>
  <c r="AK9" i="28"/>
  <c r="AL10" i="28"/>
  <c r="AB69" i="21"/>
  <c r="AN9" i="28"/>
  <c r="AM9" i="28"/>
  <c r="AQ9" i="28"/>
  <c r="AO9" i="28"/>
  <c r="AB64" i="21"/>
  <c r="AB61" i="21"/>
  <c r="AP9" i="28"/>
  <c r="AQ10" i="28"/>
  <c r="AB66" i="21"/>
  <c r="AB54" i="21"/>
  <c r="AB73" i="21"/>
  <c r="AB60" i="21"/>
  <c r="AB58" i="21"/>
  <c r="AB70" i="21"/>
  <c r="AB71" i="21"/>
  <c r="AB57" i="21"/>
  <c r="AB72" i="21"/>
  <c r="AB62" i="21"/>
  <c r="AB56" i="21"/>
  <c r="AB63" i="21"/>
  <c r="AB65" i="21"/>
  <c r="AB59" i="21"/>
  <c r="AB55" i="21"/>
  <c r="AB53" i="21"/>
  <c r="AS9" i="28"/>
  <c r="AR9" i="28"/>
  <c r="AT10" i="28"/>
  <c r="AA10" i="28"/>
  <c r="AR10" i="28"/>
  <c r="AO10" i="28"/>
  <c r="AH10" i="28"/>
  <c r="AP10" i="28"/>
  <c r="AF10" i="28"/>
  <c r="AD10" i="28"/>
  <c r="AN10" i="28"/>
  <c r="AI10" i="28"/>
  <c r="AG10" i="28"/>
  <c r="AM10" i="28"/>
  <c r="H9" i="25"/>
  <c r="H21" i="25"/>
  <c r="J21" i="25" s="1"/>
  <c r="H37" i="25"/>
  <c r="J37" i="25" s="1"/>
  <c r="H53" i="25"/>
  <c r="J53" i="25" s="1"/>
  <c r="H69" i="25"/>
  <c r="J69" i="25" s="1"/>
  <c r="H85" i="25"/>
  <c r="J85" i="25" s="1"/>
  <c r="H101" i="25"/>
  <c r="J101" i="25" s="1"/>
  <c r="H117" i="25"/>
  <c r="J117" i="25" s="1"/>
  <c r="H18" i="25"/>
  <c r="J18" i="25" s="1"/>
  <c r="H34" i="25"/>
  <c r="J34" i="25" s="1"/>
  <c r="H50" i="25"/>
  <c r="J50" i="25" s="1"/>
  <c r="H66" i="25"/>
  <c r="J66" i="25" s="1"/>
  <c r="H82" i="25"/>
  <c r="J82" i="25" s="1"/>
  <c r="H98" i="25"/>
  <c r="J98" i="25" s="1"/>
  <c r="H114" i="25"/>
  <c r="J114" i="25" s="1"/>
  <c r="H19" i="25"/>
  <c r="J19" i="25" s="1"/>
  <c r="H35" i="25"/>
  <c r="J35" i="25" s="1"/>
  <c r="H51" i="25"/>
  <c r="J51" i="25" s="1"/>
  <c r="H67" i="25"/>
  <c r="J67" i="25" s="1"/>
  <c r="H83" i="25"/>
  <c r="J83" i="25" s="1"/>
  <c r="H99" i="25"/>
  <c r="J99" i="25" s="1"/>
  <c r="H115" i="25"/>
  <c r="J115" i="25" s="1"/>
  <c r="H44" i="25"/>
  <c r="J44" i="25" s="1"/>
  <c r="H108" i="25"/>
  <c r="J108" i="25" s="1"/>
  <c r="H36" i="25"/>
  <c r="J36" i="25" s="1"/>
  <c r="H56" i="25"/>
  <c r="J56" i="25" s="1"/>
  <c r="H32" i="25"/>
  <c r="J32" i="25" s="1"/>
  <c r="H52" i="25"/>
  <c r="J52" i="25" s="1"/>
  <c r="H72" i="25"/>
  <c r="J72" i="25" s="1"/>
  <c r="H25" i="25"/>
  <c r="J25" i="25" s="1"/>
  <c r="H41" i="25"/>
  <c r="J41" i="25" s="1"/>
  <c r="H57" i="25"/>
  <c r="J57" i="25" s="1"/>
  <c r="H73" i="25"/>
  <c r="J73" i="25" s="1"/>
  <c r="H89" i="25"/>
  <c r="J89" i="25" s="1"/>
  <c r="H105" i="25"/>
  <c r="J105" i="25" s="1"/>
  <c r="H121" i="25"/>
  <c r="J121" i="25" s="1"/>
  <c r="H22" i="25"/>
  <c r="J22" i="25" s="1"/>
  <c r="H38" i="25"/>
  <c r="J38" i="25" s="1"/>
  <c r="H54" i="25"/>
  <c r="J54" i="25" s="1"/>
  <c r="H70" i="25"/>
  <c r="J70" i="25" s="1"/>
  <c r="H86" i="25"/>
  <c r="J86" i="25" s="1"/>
  <c r="H102" i="25"/>
  <c r="J102" i="25" s="1"/>
  <c r="H118" i="25"/>
  <c r="J118" i="25" s="1"/>
  <c r="H23" i="25"/>
  <c r="J23" i="25" s="1"/>
  <c r="H39" i="25"/>
  <c r="J39" i="25" s="1"/>
  <c r="H55" i="25"/>
  <c r="J55" i="25" s="1"/>
  <c r="H71" i="25"/>
  <c r="J71" i="25" s="1"/>
  <c r="H87" i="25"/>
  <c r="J87" i="25" s="1"/>
  <c r="H103" i="25"/>
  <c r="J103" i="25" s="1"/>
  <c r="H119" i="25"/>
  <c r="J119" i="25" s="1"/>
  <c r="H60" i="25"/>
  <c r="J60" i="25" s="1"/>
  <c r="H48" i="25"/>
  <c r="J48" i="25" s="1"/>
  <c r="H68" i="25"/>
  <c r="J68" i="25" s="1"/>
  <c r="H88" i="25"/>
  <c r="J88" i="25" s="1"/>
  <c r="H64" i="25"/>
  <c r="J64" i="25" s="1"/>
  <c r="H100" i="25"/>
  <c r="J100" i="25" s="1"/>
  <c r="H120" i="25"/>
  <c r="J120" i="25" s="1"/>
  <c r="H13" i="25"/>
  <c r="J13" i="25" s="1"/>
  <c r="H29" i="25"/>
  <c r="J29" i="25" s="1"/>
  <c r="H45" i="25"/>
  <c r="J45" i="25" s="1"/>
  <c r="H61" i="25"/>
  <c r="J61" i="25" s="1"/>
  <c r="H77" i="25"/>
  <c r="J77" i="25" s="1"/>
  <c r="H93" i="25"/>
  <c r="J93" i="25" s="1"/>
  <c r="H109" i="25"/>
  <c r="J109" i="25" s="1"/>
  <c r="H10" i="25"/>
  <c r="J10" i="25" s="1"/>
  <c r="H26" i="25"/>
  <c r="J26" i="25" s="1"/>
  <c r="H42" i="25"/>
  <c r="J42" i="25" s="1"/>
  <c r="H58" i="25"/>
  <c r="J58" i="25" s="1"/>
  <c r="H74" i="25"/>
  <c r="J74" i="25" s="1"/>
  <c r="H90" i="25"/>
  <c r="J90" i="25" s="1"/>
  <c r="H106" i="25"/>
  <c r="J106" i="25" s="1"/>
  <c r="H11" i="25"/>
  <c r="J11" i="25" s="1"/>
  <c r="H27" i="25"/>
  <c r="J27" i="25" s="1"/>
  <c r="H43" i="25"/>
  <c r="J43" i="25" s="1"/>
  <c r="H59" i="25"/>
  <c r="J59" i="25" s="1"/>
  <c r="H75" i="25"/>
  <c r="J75" i="25" s="1"/>
  <c r="H91" i="25"/>
  <c r="J91" i="25" s="1"/>
  <c r="H107" i="25"/>
  <c r="J107" i="25" s="1"/>
  <c r="H12" i="25"/>
  <c r="J12" i="25" s="1"/>
  <c r="H76" i="25"/>
  <c r="J76" i="25" s="1"/>
  <c r="H80" i="25"/>
  <c r="J80" i="25" s="1"/>
  <c r="H84" i="25"/>
  <c r="J84" i="25" s="1"/>
  <c r="H104" i="25"/>
  <c r="J104" i="25" s="1"/>
  <c r="H96" i="25"/>
  <c r="J96" i="25" s="1"/>
  <c r="H116" i="25"/>
  <c r="J116" i="25" s="1"/>
  <c r="H17" i="25"/>
  <c r="J17" i="25" s="1"/>
  <c r="H33" i="25"/>
  <c r="J33" i="25" s="1"/>
  <c r="H49" i="25"/>
  <c r="J49" i="25" s="1"/>
  <c r="H65" i="25"/>
  <c r="J65" i="25" s="1"/>
  <c r="H81" i="25"/>
  <c r="J81" i="25" s="1"/>
  <c r="H97" i="25"/>
  <c r="J97" i="25" s="1"/>
  <c r="H113" i="25"/>
  <c r="J113" i="25" s="1"/>
  <c r="H14" i="25"/>
  <c r="J14" i="25" s="1"/>
  <c r="H30" i="25"/>
  <c r="J30" i="25" s="1"/>
  <c r="H46" i="25"/>
  <c r="J46" i="25" s="1"/>
  <c r="H62" i="25"/>
  <c r="J62" i="25" s="1"/>
  <c r="H78" i="25"/>
  <c r="J78" i="25" s="1"/>
  <c r="H94" i="25"/>
  <c r="J94" i="25" s="1"/>
  <c r="H110" i="25"/>
  <c r="J110" i="25" s="1"/>
  <c r="H15" i="25"/>
  <c r="J15" i="25" s="1"/>
  <c r="H31" i="25"/>
  <c r="J31" i="25" s="1"/>
  <c r="H47" i="25"/>
  <c r="J47" i="25" s="1"/>
  <c r="H63" i="25"/>
  <c r="J63" i="25" s="1"/>
  <c r="H79" i="25"/>
  <c r="J79" i="25" s="1"/>
  <c r="H95" i="25"/>
  <c r="J95" i="25" s="1"/>
  <c r="H111" i="25"/>
  <c r="J111" i="25" s="1"/>
  <c r="H28" i="25"/>
  <c r="J28" i="25" s="1"/>
  <c r="H92" i="25"/>
  <c r="J92" i="25" s="1"/>
  <c r="H112" i="25"/>
  <c r="J112" i="25" s="1"/>
  <c r="H24" i="25"/>
  <c r="J24" i="25" s="1"/>
  <c r="H16" i="25"/>
  <c r="J16" i="25" s="1"/>
  <c r="H20" i="25"/>
  <c r="J20" i="25" s="1"/>
  <c r="H40" i="25"/>
  <c r="J40" i="25" s="1"/>
  <c r="AJ10" i="28"/>
  <c r="AK10" i="28"/>
  <c r="X25" i="21"/>
  <c r="AT11" i="28" l="1"/>
  <c r="AB11" i="28"/>
  <c r="AA11" i="28"/>
  <c r="AR11" i="28"/>
  <c r="AI11" i="28"/>
  <c r="AF11" i="28"/>
  <c r="AG11" i="28"/>
  <c r="J9" i="25"/>
  <c r="F16" i="26" s="1"/>
  <c r="D5" i="19"/>
  <c r="E30" i="28" s="1"/>
  <c r="E33" i="28" s="1"/>
  <c r="E24" i="28" s="1"/>
  <c r="AK11" i="28"/>
  <c r="AQ11" i="28"/>
  <c r="AM11" i="28"/>
  <c r="AH11" i="28"/>
  <c r="AN11" i="28"/>
  <c r="AJ11" i="28"/>
  <c r="AL11" i="28"/>
  <c r="AP11" i="28"/>
  <c r="AD11" i="28"/>
  <c r="AO11" i="28"/>
  <c r="AS11" i="28"/>
  <c r="K26" i="21"/>
  <c r="K27" i="21"/>
  <c r="L27" i="21"/>
  <c r="L26" i="21"/>
  <c r="E12" i="28" l="1"/>
  <c r="B3" i="61"/>
  <c r="D8" i="19"/>
  <c r="P16" i="21" s="1"/>
  <c r="D30" i="21" s="1"/>
  <c r="M27" i="21"/>
  <c r="M26" i="21"/>
  <c r="V30" i="21" l="1"/>
  <c r="AS16" i="28" s="1"/>
  <c r="V44" i="21"/>
  <c r="W30" i="21"/>
  <c r="AT16" i="28" s="1"/>
  <c r="W44" i="21"/>
  <c r="U30" i="21"/>
  <c r="AR16" i="28" s="1"/>
  <c r="U44" i="21"/>
  <c r="S30" i="21"/>
  <c r="AP16" i="28" s="1"/>
  <c r="S44" i="21"/>
  <c r="T30" i="21"/>
  <c r="AQ16" i="28" s="1"/>
  <c r="T44" i="21"/>
  <c r="R30" i="21"/>
  <c r="AO16" i="28" s="1"/>
  <c r="R44" i="21"/>
  <c r="Q30" i="21"/>
  <c r="AN16" i="28" s="1"/>
  <c r="Q44" i="21"/>
  <c r="N30" i="21"/>
  <c r="AK16" i="28" s="1"/>
  <c r="N44" i="21"/>
  <c r="O30" i="21"/>
  <c r="AL16" i="28" s="1"/>
  <c r="P30" i="21"/>
  <c r="AM16" i="28" s="1"/>
  <c r="O44" i="21"/>
  <c r="P44" i="21"/>
  <c r="E30" i="21"/>
  <c r="AB16" i="28" s="1"/>
  <c r="M30" i="21"/>
  <c r="AJ16" i="28" s="1"/>
  <c r="M44" i="21"/>
  <c r="AA16" i="28"/>
  <c r="F30" i="21"/>
  <c r="AC16" i="28" s="1"/>
  <c r="H44" i="21"/>
  <c r="E44" i="21"/>
  <c r="H30" i="21"/>
  <c r="AE16" i="28" s="1"/>
  <c r="K44" i="21"/>
  <c r="G44" i="21"/>
  <c r="G30" i="21"/>
  <c r="AD16" i="28" s="1"/>
  <c r="I30" i="21"/>
  <c r="AF16" i="28" s="1"/>
  <c r="L30" i="21"/>
  <c r="AI16" i="28" s="1"/>
  <c r="I44" i="21"/>
  <c r="AF29" i="28" s="1"/>
  <c r="J44" i="21"/>
  <c r="D44" i="21"/>
  <c r="K30" i="21"/>
  <c r="AH16" i="28" s="1"/>
  <c r="F44" i="21"/>
  <c r="J30" i="21"/>
  <c r="AG16" i="28" s="1"/>
  <c r="L44" i="21"/>
  <c r="N27" i="21"/>
  <c r="N26" i="21"/>
  <c r="AT29" i="28" l="1"/>
  <c r="AS29" i="28"/>
  <c r="AR29" i="28"/>
  <c r="AQ29" i="28"/>
  <c r="AP29" i="28"/>
  <c r="AO29" i="28"/>
  <c r="AN29" i="28"/>
  <c r="AM29" i="28"/>
  <c r="AK29" i="28"/>
  <c r="AL29" i="28"/>
  <c r="AJ29" i="28"/>
  <c r="AB29" i="28"/>
  <c r="AD29" i="28"/>
  <c r="AE29" i="28"/>
  <c r="AH29" i="28"/>
  <c r="AG29" i="28"/>
  <c r="AI29" i="28"/>
  <c r="AA29" i="28"/>
  <c r="AC29" i="28"/>
  <c r="O26" i="21"/>
  <c r="T26" i="21"/>
  <c r="O27" i="21"/>
  <c r="T27" i="21"/>
  <c r="P27" i="21"/>
  <c r="P26" i="21"/>
  <c r="Q27" i="21" l="1"/>
  <c r="Q26" i="21"/>
  <c r="S26" i="21" l="1"/>
  <c r="S27" i="21"/>
  <c r="V26" i="21"/>
  <c r="U26" i="21"/>
  <c r="V27" i="21"/>
  <c r="U27" i="21"/>
  <c r="W27" i="21"/>
  <c r="W26" i="21"/>
  <c r="R27" i="21" l="1"/>
  <c r="R26" i="21"/>
  <c r="X27" i="21" l="1"/>
  <c r="AB13" i="28" s="1"/>
  <c r="X26" i="21"/>
  <c r="AA13" i="28"/>
  <c r="AA12" i="28"/>
  <c r="D28" i="21" l="1"/>
  <c r="AB12" i="28"/>
  <c r="AR12" i="28"/>
  <c r="AF13" i="28"/>
  <c r="AR13" i="28"/>
  <c r="AF12" i="28"/>
  <c r="AI12" i="28"/>
  <c r="AG12" i="28"/>
  <c r="AI13" i="28"/>
  <c r="AG13" i="28"/>
  <c r="AQ13" i="28"/>
  <c r="AH12" i="28"/>
  <c r="AQ12" i="28"/>
  <c r="AH13" i="28"/>
  <c r="AJ12" i="28"/>
  <c r="AD13" i="28"/>
  <c r="AJ13" i="28"/>
  <c r="AD12" i="28"/>
  <c r="AS12" i="28"/>
  <c r="AP12" i="28"/>
  <c r="AS13" i="28"/>
  <c r="AP13" i="28"/>
  <c r="AM12" i="28"/>
  <c r="AK12" i="28"/>
  <c r="AM13" i="28"/>
  <c r="AK13" i="28"/>
  <c r="AO12" i="28"/>
  <c r="AL12" i="28"/>
  <c r="AO13" i="28"/>
  <c r="AL13" i="28"/>
  <c r="AT12" i="28"/>
  <c r="AN13" i="28"/>
  <c r="AT13" i="28"/>
  <c r="AN12" i="28"/>
  <c r="E28" i="21" l="1"/>
  <c r="D29" i="21"/>
  <c r="D31" i="21" s="1"/>
  <c r="G37" i="21"/>
  <c r="J24" i="28" l="1"/>
  <c r="D41" i="21"/>
  <c r="E41" i="21"/>
  <c r="F41" i="21"/>
  <c r="F42" i="21" s="1"/>
  <c r="H41" i="21"/>
  <c r="G41" i="21"/>
  <c r="J41" i="21"/>
  <c r="I41" i="21"/>
  <c r="I42" i="21" s="1"/>
  <c r="K41" i="21"/>
  <c r="L41" i="21"/>
  <c r="N41" i="21"/>
  <c r="M41" i="21"/>
  <c r="O41" i="21"/>
  <c r="P41" i="21"/>
  <c r="R41" i="21"/>
  <c r="Q41" i="21"/>
  <c r="S41" i="21"/>
  <c r="T41" i="21"/>
  <c r="V41" i="21"/>
  <c r="U41" i="21"/>
  <c r="W41" i="21"/>
  <c r="W42" i="21" s="1"/>
  <c r="D31" i="18"/>
  <c r="D32" i="18" s="1"/>
  <c r="E29" i="21"/>
  <c r="F28" i="21"/>
  <c r="AC14" i="28" s="1"/>
  <c r="Q42" i="21" l="1"/>
  <c r="O42" i="21"/>
  <c r="L42" i="21"/>
  <c r="L43" i="21" s="1"/>
  <c r="L45" i="21" s="1"/>
  <c r="R42" i="21"/>
  <c r="P42" i="21"/>
  <c r="M42" i="21"/>
  <c r="AJ27" i="28" s="1"/>
  <c r="AJ26" i="28"/>
  <c r="N42" i="21"/>
  <c r="T42" i="21"/>
  <c r="S42" i="21"/>
  <c r="U42" i="21"/>
  <c r="V42" i="21"/>
  <c r="J42" i="21"/>
  <c r="AG27" i="28" s="1"/>
  <c r="AG26" i="28"/>
  <c r="AB26" i="28"/>
  <c r="E42" i="21"/>
  <c r="AC26" i="28"/>
  <c r="AC27" i="28"/>
  <c r="G42" i="21"/>
  <c r="D42" i="21"/>
  <c r="X41" i="21"/>
  <c r="AI26" i="28" s="1"/>
  <c r="AA26" i="28"/>
  <c r="W43" i="21"/>
  <c r="K42" i="21"/>
  <c r="K43" i="21" s="1"/>
  <c r="AE26" i="28"/>
  <c r="H42" i="21"/>
  <c r="AE27" i="28" s="1"/>
  <c r="E31" i="21"/>
  <c r="G28" i="21"/>
  <c r="F29" i="21"/>
  <c r="D34" i="18"/>
  <c r="AB37" i="28"/>
  <c r="AC38" i="28" s="1"/>
  <c r="AC41" i="28" s="1"/>
  <c r="H24" i="28" l="1"/>
  <c r="AS26" i="28"/>
  <c r="AQ26" i="28"/>
  <c r="AK26" i="28"/>
  <c r="AL26" i="28"/>
  <c r="AM26" i="28"/>
  <c r="AN26" i="28"/>
  <c r="AO26" i="28"/>
  <c r="AP26" i="28"/>
  <c r="AR26" i="28"/>
  <c r="AT26" i="28"/>
  <c r="S43" i="21"/>
  <c r="S45" i="21" s="1"/>
  <c r="U43" i="21"/>
  <c r="P43" i="21"/>
  <c r="O43" i="21"/>
  <c r="N43" i="21"/>
  <c r="M43" i="21"/>
  <c r="V43" i="21"/>
  <c r="T43" i="21"/>
  <c r="R43" i="21"/>
  <c r="Q43" i="21"/>
  <c r="AF26" i="28"/>
  <c r="AD26" i="28"/>
  <c r="AH26" i="28"/>
  <c r="H43" i="21"/>
  <c r="H45" i="21" s="1"/>
  <c r="AE30" i="28" s="1"/>
  <c r="F43" i="21"/>
  <c r="F45" i="21" s="1"/>
  <c r="AC30" i="28" s="1"/>
  <c r="I43" i="21"/>
  <c r="I45" i="21" s="1"/>
  <c r="X42" i="21"/>
  <c r="AR27" i="28" s="1"/>
  <c r="AA27" i="28"/>
  <c r="K45" i="21"/>
  <c r="G43" i="21"/>
  <c r="E43" i="21"/>
  <c r="J43" i="21"/>
  <c r="W45" i="21"/>
  <c r="D43" i="21"/>
  <c r="D39" i="18"/>
  <c r="D40" i="18" s="1"/>
  <c r="F31" i="21"/>
  <c r="AC17" i="28" s="1"/>
  <c r="AC15" i="28"/>
  <c r="G29" i="21"/>
  <c r="G31" i="21" s="1"/>
  <c r="H28" i="21"/>
  <c r="AB27" i="28" l="1"/>
  <c r="AS27" i="28"/>
  <c r="AK27" i="28"/>
  <c r="AL27" i="28"/>
  <c r="AM27" i="28"/>
  <c r="AN27" i="28"/>
  <c r="AO27" i="28"/>
  <c r="AP27" i="28"/>
  <c r="AQ27" i="28"/>
  <c r="AI27" i="28"/>
  <c r="AT27" i="28"/>
  <c r="N45" i="21"/>
  <c r="Q45" i="21"/>
  <c r="R45" i="21"/>
  <c r="O45" i="21"/>
  <c r="T45" i="21"/>
  <c r="P45" i="21"/>
  <c r="M45" i="21"/>
  <c r="AJ30" i="28" s="1"/>
  <c r="AJ28" i="28"/>
  <c r="V45" i="21"/>
  <c r="U45" i="21"/>
  <c r="AF27" i="28"/>
  <c r="AD27" i="28"/>
  <c r="AE28" i="28"/>
  <c r="AC28" i="28"/>
  <c r="AH27" i="28"/>
  <c r="G45" i="21"/>
  <c r="X43" i="21"/>
  <c r="AR28" i="28" s="1"/>
  <c r="AA28" i="28"/>
  <c r="D45" i="21"/>
  <c r="AA30" i="28" s="1"/>
  <c r="E45" i="21"/>
  <c r="AG28" i="28"/>
  <c r="J45" i="21"/>
  <c r="AG30" i="28" s="1"/>
  <c r="R16" i="21"/>
  <c r="X32" i="21" s="1"/>
  <c r="AE14" i="28"/>
  <c r="I28" i="21"/>
  <c r="H29" i="21"/>
  <c r="AB28" i="28" l="1"/>
  <c r="AS28" i="28"/>
  <c r="AK28" i="28"/>
  <c r="AL28" i="28"/>
  <c r="AM28" i="28"/>
  <c r="AN28" i="28"/>
  <c r="AO28" i="28"/>
  <c r="AP28" i="28"/>
  <c r="AQ28" i="28"/>
  <c r="AD28" i="28"/>
  <c r="AT28" i="28"/>
  <c r="AF28" i="28"/>
  <c r="AI28" i="28"/>
  <c r="AH28" i="28"/>
  <c r="X45" i="21"/>
  <c r="AN30" i="28" s="1"/>
  <c r="H31" i="21"/>
  <c r="AE17" i="28" s="1"/>
  <c r="AE15" i="28"/>
  <c r="J28" i="21"/>
  <c r="I29" i="21"/>
  <c r="I31" i="21" s="1"/>
  <c r="AB30" i="28" l="1"/>
  <c r="AS30" i="28"/>
  <c r="AO30" i="28"/>
  <c r="AK30" i="28"/>
  <c r="AL30" i="28"/>
  <c r="AM30" i="28"/>
  <c r="AT30" i="28"/>
  <c r="AP30" i="28"/>
  <c r="AQ30" i="28"/>
  <c r="AR30" i="28"/>
  <c r="AH30" i="28"/>
  <c r="AF30" i="28"/>
  <c r="AD30" i="28"/>
  <c r="H37" i="21"/>
  <c r="C37" i="21" s="1"/>
  <c r="AI30" i="28"/>
  <c r="K28" i="21"/>
  <c r="J29" i="21"/>
  <c r="J31" i="21" s="1"/>
  <c r="L28" i="21" l="1"/>
  <c r="K29" i="21"/>
  <c r="K31" i="21" s="1"/>
  <c r="M28" i="21" l="1"/>
  <c r="L29" i="21"/>
  <c r="L31" i="21" s="1"/>
  <c r="N28" i="21" l="1"/>
  <c r="M29" i="21"/>
  <c r="M31" i="21" s="1"/>
  <c r="O28" i="21" l="1"/>
  <c r="N29" i="21"/>
  <c r="N31" i="21" s="1"/>
  <c r="P28" i="21" l="1"/>
  <c r="O29" i="21"/>
  <c r="O31" i="21" s="1"/>
  <c r="Q28" i="21" l="1"/>
  <c r="P29" i="21"/>
  <c r="P31" i="21" s="1"/>
  <c r="R28" i="21" l="1"/>
  <c r="Q29" i="21"/>
  <c r="Q31" i="21" s="1"/>
  <c r="S28" i="21" l="1"/>
  <c r="T28" i="21" s="1"/>
  <c r="R29" i="21"/>
  <c r="R31" i="21" s="1"/>
  <c r="S29" i="21" l="1"/>
  <c r="S31" i="21" s="1"/>
  <c r="U28" i="21" l="1"/>
  <c r="T29" i="21"/>
  <c r="T31" i="21" s="1"/>
  <c r="V28" i="21" l="1"/>
  <c r="U29" i="21"/>
  <c r="U31" i="21" s="1"/>
  <c r="W28" i="21" l="1"/>
  <c r="V29" i="21"/>
  <c r="V31" i="21" s="1"/>
  <c r="AG14" i="28"/>
  <c r="AJ14" i="28"/>
  <c r="W29" i="21" l="1"/>
  <c r="X28" i="21"/>
  <c r="AG15" i="28"/>
  <c r="AG17" i="28"/>
  <c r="AJ15" i="28"/>
  <c r="AJ17" i="28"/>
  <c r="AK14" i="28" l="1"/>
  <c r="AB14" i="28"/>
  <c r="AP14" i="28"/>
  <c r="AL14" i="28"/>
  <c r="AT14" i="28"/>
  <c r="AQ14" i="28"/>
  <c r="AH14" i="28"/>
  <c r="AD14" i="28"/>
  <c r="AS14" i="28"/>
  <c r="AI14" i="28"/>
  <c r="AO14" i="28"/>
  <c r="AR14" i="28"/>
  <c r="AN14" i="28"/>
  <c r="AM14" i="28"/>
  <c r="AF14" i="28"/>
  <c r="AA14" i="28"/>
  <c r="W31" i="21"/>
  <c r="X29" i="21"/>
  <c r="AB15" i="28" s="1"/>
  <c r="AL15" i="28" l="1"/>
  <c r="AK15" i="28"/>
  <c r="AF15" i="28"/>
  <c r="AQ15" i="28"/>
  <c r="AT15" i="28"/>
  <c r="AH15" i="28"/>
  <c r="AD15" i="28"/>
  <c r="AS15" i="28"/>
  <c r="AI15" i="28"/>
  <c r="X31" i="21"/>
  <c r="AB17" i="28" s="1"/>
  <c r="AO15" i="28"/>
  <c r="AR15" i="28"/>
  <c r="AN15" i="28"/>
  <c r="AM15" i="28"/>
  <c r="AN17" i="28"/>
  <c r="AM17" i="28"/>
  <c r="AP15" i="28"/>
  <c r="AA15" i="28"/>
  <c r="AA17" i="28"/>
  <c r="AK17" i="28" l="1"/>
  <c r="X33" i="21"/>
  <c r="AP17" i="28"/>
  <c r="AO17" i="28"/>
  <c r="AL17" i="28"/>
  <c r="AT17" i="28"/>
  <c r="AQ17" i="28"/>
  <c r="AR17" i="28"/>
  <c r="AD17" i="28"/>
  <c r="AF17" i="28"/>
  <c r="C16" i="21"/>
  <c r="L24" i="28" s="1"/>
  <c r="K2" i="28" s="1"/>
  <c r="AH17" i="28"/>
  <c r="F24" i="28"/>
  <c r="Q16" i="21"/>
  <c r="AS17" i="28"/>
  <c r="AI17" i="28"/>
  <c r="AT19"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박영수</author>
    <author>fact</author>
    <author>Windows User</author>
    <author>김진선</author>
  </authors>
  <commentList>
    <comment ref="G10" authorId="0" shapeId="0" xr:uid="{00000000-0006-0000-0200-000001000000}">
      <text>
        <r>
          <rPr>
            <b/>
            <sz val="9"/>
            <color indexed="81"/>
            <rFont val="Tahoma"/>
            <family val="2"/>
          </rPr>
          <t xml:space="preserve">Ph.D.Yoon : 
</t>
        </r>
        <r>
          <rPr>
            <b/>
            <sz val="9"/>
            <color indexed="81"/>
            <rFont val="맑은 고딕"/>
            <family val="3"/>
            <charset val="129"/>
          </rPr>
          <t>평가기준일</t>
        </r>
        <r>
          <rPr>
            <b/>
            <sz val="9"/>
            <color indexed="81"/>
            <rFont val="Tahoma"/>
            <family val="2"/>
          </rPr>
          <t xml:space="preserve"> </t>
        </r>
        <r>
          <rPr>
            <b/>
            <sz val="9"/>
            <color indexed="81"/>
            <rFont val="맑은 고딕"/>
            <family val="3"/>
            <charset val="129"/>
          </rPr>
          <t>경우</t>
        </r>
        <r>
          <rPr>
            <b/>
            <sz val="9"/>
            <color indexed="81"/>
            <rFont val="Tahoma"/>
            <family val="2"/>
          </rPr>
          <t xml:space="preserve">, </t>
        </r>
        <r>
          <rPr>
            <b/>
            <sz val="9"/>
            <color indexed="10"/>
            <rFont val="맑은 고딕"/>
            <family val="3"/>
            <charset val="129"/>
          </rPr>
          <t xml:space="preserve">회계연도 혹은 평가착수일 경우, PM별 정해놓은 기준별로 적합한 </t>
        </r>
        <r>
          <rPr>
            <b/>
            <sz val="9"/>
            <color indexed="32"/>
            <rFont val="맑은 고딕"/>
            <family val="3"/>
            <charset val="129"/>
          </rPr>
          <t>평가기준일(조사착수일, 현장실사 평가일, 보고서 제출일 등)</t>
        </r>
        <r>
          <rPr>
            <b/>
            <sz val="9"/>
            <color indexed="10"/>
            <rFont val="맑은 고딕"/>
            <family val="3"/>
            <charset val="129"/>
          </rPr>
          <t>을 작성하여 사용해주세요</t>
        </r>
      </text>
    </comment>
    <comment ref="G11" authorId="1" shapeId="0" xr:uid="{00000000-0006-0000-0200-000002000000}">
      <text>
        <r>
          <rPr>
            <b/>
            <sz val="9"/>
            <color indexed="81"/>
            <rFont val="돋움"/>
            <family val="3"/>
            <charset val="129"/>
          </rPr>
          <t>현금흐름 산정기준 옵션</t>
        </r>
      </text>
    </comment>
    <comment ref="K11" authorId="2" shapeId="0" xr:uid="{00000000-0006-0000-0200-000003000000}">
      <text>
        <r>
          <rPr>
            <b/>
            <sz val="9"/>
            <color indexed="81"/>
            <rFont val="돋움"/>
            <family val="3"/>
            <charset val="129"/>
          </rPr>
          <t>전문가</t>
        </r>
        <r>
          <rPr>
            <b/>
            <sz val="9"/>
            <color indexed="81"/>
            <rFont val="Tahoma"/>
            <family val="2"/>
          </rPr>
          <t xml:space="preserve"> </t>
        </r>
        <r>
          <rPr>
            <b/>
            <sz val="9"/>
            <color indexed="81"/>
            <rFont val="돋움"/>
            <family val="3"/>
            <charset val="129"/>
          </rPr>
          <t>협의에</t>
        </r>
        <r>
          <rPr>
            <b/>
            <sz val="9"/>
            <color indexed="81"/>
            <rFont val="Tahoma"/>
            <family val="2"/>
          </rPr>
          <t xml:space="preserve"> </t>
        </r>
        <r>
          <rPr>
            <b/>
            <sz val="9"/>
            <color indexed="81"/>
            <rFont val="돋움"/>
            <family val="3"/>
            <charset val="129"/>
          </rPr>
          <t>의해</t>
        </r>
        <r>
          <rPr>
            <b/>
            <sz val="9"/>
            <color indexed="81"/>
            <rFont val="Tahoma"/>
            <family val="2"/>
          </rPr>
          <t xml:space="preserve"> </t>
        </r>
        <r>
          <rPr>
            <b/>
            <sz val="9"/>
            <color indexed="81"/>
            <rFont val="돋움"/>
            <family val="3"/>
            <charset val="129"/>
          </rPr>
          <t>기술수명의</t>
        </r>
        <r>
          <rPr>
            <b/>
            <sz val="9"/>
            <color indexed="81"/>
            <rFont val="Tahoma"/>
            <family val="2"/>
          </rPr>
          <t xml:space="preserve"> </t>
        </r>
        <r>
          <rPr>
            <b/>
            <sz val="9"/>
            <color indexed="81"/>
            <rFont val="돋움"/>
            <family val="3"/>
            <charset val="129"/>
          </rPr>
          <t>조정</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옵션설정</t>
        </r>
      </text>
    </comment>
    <comment ref="E17" authorId="3" shapeId="0" xr:uid="{00000000-0006-0000-0200-000004000000}">
      <text>
        <r>
          <rPr>
            <b/>
            <sz val="9"/>
            <color indexed="81"/>
            <rFont val="맑은 고딕"/>
            <family val="3"/>
            <charset val="129"/>
          </rPr>
          <t>농식품 업종분류 및 통계청 '통계분류포털'과도 3중 확인함</t>
        </r>
        <r>
          <rPr>
            <b/>
            <sz val="9"/>
            <color indexed="10"/>
            <rFont val="맑은 고딕"/>
            <family val="3"/>
            <charset val="129"/>
          </rPr>
          <t>. 단, 일부 농식품 업종(429, 439, 619)의 경우</t>
        </r>
        <r>
          <rPr>
            <sz val="9"/>
            <color indexed="81"/>
            <rFont val="맑은 고딕"/>
            <family val="3"/>
            <charset val="129"/>
          </rPr>
          <t xml:space="preserve"> 2016년 용역과 동일하게 </t>
        </r>
        <r>
          <rPr>
            <b/>
            <sz val="9"/>
            <color indexed="10"/>
            <rFont val="맑은 고딕"/>
            <family val="3"/>
            <charset val="129"/>
          </rPr>
          <t xml:space="preserve">정합되는 것이 없어 </t>
        </r>
        <r>
          <rPr>
            <sz val="9"/>
            <color indexed="81"/>
            <rFont val="맑은 고딕"/>
            <family val="3"/>
            <charset val="129"/>
          </rPr>
          <t>핵심변수 최신화 용역결과 그대로 적용함.</t>
        </r>
        <r>
          <rPr>
            <b/>
            <sz val="9"/>
            <color indexed="10"/>
            <rFont val="맑은 고딕"/>
            <family val="3"/>
            <charset val="129"/>
          </rPr>
          <t xml:space="preserve"> 이에 향후 평가시 융통성 있게 일치시켜주세요</t>
        </r>
      </text>
    </comment>
    <comment ref="F17" authorId="0" shapeId="0" xr:uid="{00000000-0006-0000-0200-000005000000}">
      <text>
        <r>
          <rPr>
            <b/>
            <sz val="9"/>
            <color indexed="81"/>
            <rFont val="돋움"/>
            <family val="3"/>
            <charset val="129"/>
          </rPr>
          <t>만약</t>
        </r>
        <r>
          <rPr>
            <b/>
            <sz val="9"/>
            <color indexed="81"/>
            <rFont val="Tahoma"/>
            <family val="2"/>
          </rPr>
          <t xml:space="preserve"> </t>
        </r>
        <r>
          <rPr>
            <b/>
            <sz val="9"/>
            <color indexed="81"/>
            <rFont val="돋움"/>
            <family val="3"/>
            <charset val="129"/>
          </rPr>
          <t>업종분류</t>
        </r>
        <r>
          <rPr>
            <b/>
            <sz val="9"/>
            <color indexed="81"/>
            <rFont val="Tahoma"/>
            <family val="2"/>
          </rPr>
          <t xml:space="preserve"> </t>
        </r>
        <r>
          <rPr>
            <b/>
            <sz val="9"/>
            <color indexed="81"/>
            <rFont val="돋움"/>
            <family val="3"/>
            <charset val="129"/>
          </rPr>
          <t>대비</t>
        </r>
        <r>
          <rPr>
            <b/>
            <sz val="9"/>
            <color indexed="81"/>
            <rFont val="Tahoma"/>
            <family val="2"/>
          </rPr>
          <t xml:space="preserve"> </t>
        </r>
        <r>
          <rPr>
            <b/>
            <sz val="9"/>
            <color indexed="81"/>
            <rFont val="돋움"/>
            <family val="3"/>
            <charset val="129"/>
          </rPr>
          <t>표준산업분류</t>
        </r>
        <r>
          <rPr>
            <b/>
            <sz val="9"/>
            <color indexed="81"/>
            <rFont val="Tahoma"/>
            <family val="2"/>
          </rPr>
          <t xml:space="preserve"> </t>
        </r>
        <r>
          <rPr>
            <b/>
            <sz val="9"/>
            <color indexed="81"/>
            <rFont val="돋움"/>
            <family val="3"/>
            <charset val="129"/>
          </rPr>
          <t>매핑이</t>
        </r>
        <r>
          <rPr>
            <b/>
            <sz val="9"/>
            <color indexed="81"/>
            <rFont val="Tahoma"/>
            <family val="2"/>
          </rPr>
          <t xml:space="preserve"> </t>
        </r>
        <r>
          <rPr>
            <b/>
            <sz val="9"/>
            <color indexed="81"/>
            <rFont val="돋움"/>
            <family val="3"/>
            <charset val="129"/>
          </rPr>
          <t>이상할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사이트에</t>
        </r>
        <r>
          <rPr>
            <b/>
            <sz val="9"/>
            <color indexed="81"/>
            <rFont val="Tahoma"/>
            <family val="2"/>
          </rPr>
          <t xml:space="preserve"> (</t>
        </r>
        <r>
          <rPr>
            <b/>
            <sz val="9"/>
            <color indexed="10"/>
            <rFont val="맑은 고딕"/>
            <family val="3"/>
            <charset val="129"/>
          </rPr>
          <t>통계청 통계분류포털</t>
        </r>
        <r>
          <rPr>
            <b/>
            <sz val="9"/>
            <color indexed="81"/>
            <rFont val="Tahoma"/>
            <family val="2"/>
          </rPr>
          <t xml:space="preserve">) </t>
        </r>
        <r>
          <rPr>
            <b/>
            <sz val="9"/>
            <color indexed="81"/>
            <rFont val="돋움"/>
            <family val="3"/>
            <charset val="129"/>
          </rPr>
          <t>접속하여</t>
        </r>
        <r>
          <rPr>
            <b/>
            <sz val="9"/>
            <color indexed="81"/>
            <rFont val="Tahoma"/>
            <family val="2"/>
          </rPr>
          <t xml:space="preserve"> </t>
        </r>
        <r>
          <rPr>
            <b/>
            <sz val="9"/>
            <color indexed="81"/>
            <rFont val="돋움"/>
            <family val="3"/>
            <charset val="129"/>
          </rPr>
          <t>적합한</t>
        </r>
        <r>
          <rPr>
            <b/>
            <sz val="9"/>
            <color indexed="81"/>
            <rFont val="Tahoma"/>
            <family val="2"/>
          </rPr>
          <t xml:space="preserve"> </t>
        </r>
        <r>
          <rPr>
            <b/>
            <sz val="9"/>
            <color indexed="81"/>
            <rFont val="돋움"/>
            <family val="3"/>
            <charset val="129"/>
          </rPr>
          <t>표준산업분류</t>
        </r>
        <r>
          <rPr>
            <b/>
            <sz val="9"/>
            <color indexed="81"/>
            <rFont val="Tahoma"/>
            <family val="2"/>
          </rPr>
          <t xml:space="preserve"> </t>
        </r>
        <r>
          <rPr>
            <b/>
            <sz val="9"/>
            <color indexed="81"/>
            <rFont val="돋움"/>
            <family val="3"/>
            <charset val="129"/>
          </rPr>
          <t>코드를</t>
        </r>
        <r>
          <rPr>
            <b/>
            <sz val="9"/>
            <color indexed="81"/>
            <rFont val="Tahoma"/>
            <family val="2"/>
          </rPr>
          <t xml:space="preserve"> </t>
        </r>
        <r>
          <rPr>
            <b/>
            <sz val="9"/>
            <color indexed="81"/>
            <rFont val="돋움"/>
            <family val="3"/>
            <charset val="129"/>
          </rPr>
          <t>매핑해주세요</t>
        </r>
        <r>
          <rPr>
            <sz val="9"/>
            <color indexed="81"/>
            <rFont val="Tahoma"/>
            <family val="2"/>
          </rPr>
          <t xml:space="preserve">
</t>
        </r>
        <r>
          <rPr>
            <b/>
            <sz val="9"/>
            <color indexed="10"/>
            <rFont val="Tahoma"/>
            <family val="2"/>
          </rPr>
          <t>https://kssc.kostat.go.kr:8443/ksscNew_web/index.jsp</t>
        </r>
      </text>
    </comment>
    <comment ref="E21" authorId="2" shapeId="0" xr:uid="{00000000-0006-0000-0200-000006000000}">
      <text>
        <r>
          <rPr>
            <sz val="9"/>
            <color indexed="81"/>
            <rFont val="돋움"/>
            <family val="3"/>
            <charset val="129"/>
          </rPr>
          <t>대상기술의 유형을 파생기술, 응용기술, 원천기술 등으로 구분하고, 기술적 우월성을 판단함</t>
        </r>
      </text>
    </comment>
    <comment ref="J21" authorId="2" shapeId="0" xr:uid="{00000000-0006-0000-0200-000007000000}">
      <text>
        <r>
          <rPr>
            <sz val="8"/>
            <color indexed="81"/>
            <rFont val="돋움"/>
            <family val="3"/>
            <charset val="129"/>
          </rPr>
          <t>경쟁기술</t>
        </r>
        <r>
          <rPr>
            <sz val="8"/>
            <color indexed="81"/>
            <rFont val="Tahoma"/>
            <family val="2"/>
          </rPr>
          <t xml:space="preserve"> </t>
        </r>
        <r>
          <rPr>
            <sz val="8"/>
            <color indexed="81"/>
            <rFont val="돋움"/>
            <family val="3"/>
            <charset val="129"/>
          </rPr>
          <t>대비</t>
        </r>
        <r>
          <rPr>
            <sz val="8"/>
            <color indexed="81"/>
            <rFont val="Tahoma"/>
            <family val="2"/>
          </rPr>
          <t xml:space="preserve"> </t>
        </r>
        <r>
          <rPr>
            <sz val="8"/>
            <color indexed="81"/>
            <rFont val="돋움"/>
            <family val="3"/>
            <charset val="129"/>
          </rPr>
          <t>대상기술의</t>
        </r>
        <r>
          <rPr>
            <sz val="8"/>
            <color indexed="81"/>
            <rFont val="Tahoma"/>
            <family val="2"/>
          </rPr>
          <t xml:space="preserve"> </t>
        </r>
        <r>
          <rPr>
            <sz val="8"/>
            <color indexed="81"/>
            <rFont val="돋움"/>
            <family val="3"/>
            <charset val="129"/>
          </rPr>
          <t>차별적</t>
        </r>
        <r>
          <rPr>
            <sz val="8"/>
            <color indexed="81"/>
            <rFont val="Tahoma"/>
            <family val="2"/>
          </rPr>
          <t xml:space="preserve"> </t>
        </r>
        <r>
          <rPr>
            <sz val="8"/>
            <color indexed="81"/>
            <rFont val="돋움"/>
            <family val="3"/>
            <charset val="129"/>
          </rPr>
          <t>속성을</t>
        </r>
        <r>
          <rPr>
            <sz val="8"/>
            <color indexed="81"/>
            <rFont val="Tahoma"/>
            <family val="2"/>
          </rPr>
          <t xml:space="preserve"> </t>
        </r>
        <r>
          <rPr>
            <sz val="8"/>
            <color indexed="81"/>
            <rFont val="돋움"/>
            <family val="3"/>
            <charset val="129"/>
          </rPr>
          <t>생산수율</t>
        </r>
        <r>
          <rPr>
            <sz val="8"/>
            <color indexed="81"/>
            <rFont val="Tahoma"/>
            <family val="2"/>
          </rPr>
          <t xml:space="preserve"> </t>
        </r>
        <r>
          <rPr>
            <sz val="8"/>
            <color indexed="81"/>
            <rFont val="돋움"/>
            <family val="3"/>
            <charset val="129"/>
          </rPr>
          <t>개선</t>
        </r>
        <r>
          <rPr>
            <sz val="8"/>
            <color indexed="81"/>
            <rFont val="Tahoma"/>
            <family val="2"/>
          </rPr>
          <t xml:space="preserve">, </t>
        </r>
        <r>
          <rPr>
            <sz val="8"/>
            <color indexed="81"/>
            <rFont val="돋움"/>
            <family val="3"/>
            <charset val="129"/>
          </rPr>
          <t>원가절감</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22" authorId="2" shapeId="0" xr:uid="{00000000-0006-0000-0200-000008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22" authorId="2" shapeId="0" xr:uid="{00000000-0006-0000-0200-000009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E23" authorId="2" shapeId="0" xr:uid="{00000000-0006-0000-0200-00000A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23" authorId="2" shapeId="0" xr:uid="{00000000-0006-0000-0200-00000B000000}">
      <text>
        <r>
          <rPr>
            <sz val="8"/>
            <color indexed="81"/>
            <rFont val="Tahoma"/>
            <family val="2"/>
          </rPr>
          <t xml:space="preserve">1.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다수</t>
        </r>
        <r>
          <rPr>
            <sz val="8"/>
            <color indexed="81"/>
            <rFont val="Tahoma"/>
            <family val="2"/>
          </rPr>
          <t>(3</t>
        </r>
        <r>
          <rPr>
            <sz val="8"/>
            <color indexed="81"/>
            <rFont val="돋움"/>
            <family val="3"/>
            <charset val="129"/>
          </rPr>
          <t>개</t>
        </r>
        <r>
          <rPr>
            <sz val="8"/>
            <color indexed="81"/>
            <rFont val="Tahoma"/>
            <family val="2"/>
          </rPr>
          <t xml:space="preserve"> </t>
        </r>
        <r>
          <rPr>
            <sz val="8"/>
            <color indexed="81"/>
            <rFont val="돋움"/>
            <family val="3"/>
            <charset val="129"/>
          </rPr>
          <t>초과</t>
        </r>
        <r>
          <rPr>
            <sz val="8"/>
            <color indexed="81"/>
            <rFont val="Tahoma"/>
            <family val="2"/>
          </rPr>
          <t xml:space="preserve">) </t>
        </r>
        <r>
          <rPr>
            <sz val="8"/>
            <color indexed="81"/>
            <rFont val="돋움"/>
            <family val="3"/>
            <charset val="129"/>
          </rPr>
          <t>존재하고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높음</t>
        </r>
        <r>
          <rPr>
            <sz val="8"/>
            <color indexed="81"/>
            <rFont val="Tahoma"/>
            <family val="2"/>
          </rPr>
          <t xml:space="preserve"> 
2.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소수</t>
        </r>
        <r>
          <rPr>
            <sz val="8"/>
            <color indexed="81"/>
            <rFont val="Tahoma"/>
            <family val="2"/>
          </rPr>
          <t>(3</t>
        </r>
        <r>
          <rPr>
            <sz val="8"/>
            <color indexed="81"/>
            <rFont val="돋움"/>
            <family val="3"/>
            <charset val="129"/>
          </rPr>
          <t>개</t>
        </r>
        <r>
          <rPr>
            <sz val="8"/>
            <color indexed="81"/>
            <rFont val="Tahoma"/>
            <family val="2"/>
          </rPr>
          <t xml:space="preserve"> </t>
        </r>
        <r>
          <rPr>
            <sz val="8"/>
            <color indexed="81"/>
            <rFont val="돋움"/>
            <family val="3"/>
            <charset val="129"/>
          </rPr>
          <t>이하</t>
        </r>
        <r>
          <rPr>
            <sz val="8"/>
            <color indexed="81"/>
            <rFont val="Tahoma"/>
            <family val="2"/>
          </rPr>
          <t xml:space="preserve">) </t>
        </r>
        <r>
          <rPr>
            <sz val="8"/>
            <color indexed="81"/>
            <rFont val="돋움"/>
            <family val="3"/>
            <charset val="129"/>
          </rPr>
          <t>존재하고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비교적</t>
        </r>
        <r>
          <rPr>
            <sz val="8"/>
            <color indexed="81"/>
            <rFont val="Tahoma"/>
            <family val="2"/>
          </rPr>
          <t xml:space="preserve"> </t>
        </r>
        <r>
          <rPr>
            <sz val="8"/>
            <color indexed="81"/>
            <rFont val="돋움"/>
            <family val="3"/>
            <charset val="129"/>
          </rPr>
          <t>높음</t>
        </r>
        <r>
          <rPr>
            <sz val="8"/>
            <color indexed="81"/>
            <rFont val="Tahoma"/>
            <family val="2"/>
          </rPr>
          <t xml:space="preserve"> 
3.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존재하나</t>
        </r>
        <r>
          <rPr>
            <sz val="8"/>
            <color indexed="81"/>
            <rFont val="Tahoma"/>
            <family val="2"/>
          </rPr>
          <t xml:space="preserve">, </t>
        </r>
        <r>
          <rPr>
            <sz val="8"/>
            <color indexed="81"/>
            <rFont val="돋움"/>
            <family val="3"/>
            <charset val="129"/>
          </rPr>
          <t>그</t>
        </r>
        <r>
          <rPr>
            <sz val="8"/>
            <color indexed="81"/>
            <rFont val="Tahoma"/>
            <family val="2"/>
          </rPr>
          <t xml:space="preserve"> </t>
        </r>
        <r>
          <rPr>
            <sz val="8"/>
            <color indexed="81"/>
            <rFont val="돋움"/>
            <family val="3"/>
            <charset val="129"/>
          </rPr>
          <t>영향력은</t>
        </r>
        <r>
          <rPr>
            <sz val="8"/>
            <color indexed="81"/>
            <rFont val="Tahoma"/>
            <family val="2"/>
          </rPr>
          <t xml:space="preserve"> </t>
        </r>
        <r>
          <rPr>
            <sz val="8"/>
            <color indexed="81"/>
            <rFont val="돋움"/>
            <family val="3"/>
            <charset val="129"/>
          </rPr>
          <t>크지</t>
        </r>
        <r>
          <rPr>
            <sz val="8"/>
            <color indexed="81"/>
            <rFont val="Tahoma"/>
            <family val="2"/>
          </rPr>
          <t xml:space="preserve"> </t>
        </r>
        <r>
          <rPr>
            <sz val="8"/>
            <color indexed="81"/>
            <rFont val="돋움"/>
            <family val="3"/>
            <charset val="129"/>
          </rPr>
          <t xml:space="preserve">않음
</t>
        </r>
        <r>
          <rPr>
            <sz val="8"/>
            <color indexed="81"/>
            <rFont val="Tahoma"/>
            <family val="2"/>
          </rPr>
          <t xml:space="preserve">4.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거의</t>
        </r>
        <r>
          <rPr>
            <sz val="8"/>
            <color indexed="81"/>
            <rFont val="Tahoma"/>
            <family val="2"/>
          </rPr>
          <t xml:space="preserve"> </t>
        </r>
        <r>
          <rPr>
            <sz val="8"/>
            <color indexed="81"/>
            <rFont val="돋움"/>
            <family val="3"/>
            <charset val="129"/>
          </rPr>
          <t>없고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가능성은</t>
        </r>
        <r>
          <rPr>
            <sz val="8"/>
            <color indexed="81"/>
            <rFont val="Tahoma"/>
            <family val="2"/>
          </rPr>
          <t xml:space="preserve"> </t>
        </r>
        <r>
          <rPr>
            <sz val="8"/>
            <color indexed="81"/>
            <rFont val="돋움"/>
            <family val="3"/>
            <charset val="129"/>
          </rPr>
          <t>낮음</t>
        </r>
        <r>
          <rPr>
            <sz val="8"/>
            <color indexed="81"/>
            <rFont val="Tahoma"/>
            <family val="2"/>
          </rPr>
          <t xml:space="preserve"> 
5.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없고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낮음</t>
        </r>
        <r>
          <rPr>
            <sz val="8"/>
            <color indexed="81"/>
            <rFont val="Tahoma"/>
            <family val="2"/>
          </rPr>
          <t xml:space="preserve"> </t>
        </r>
      </text>
    </comment>
    <comment ref="E24" authorId="2" shapeId="0" xr:uid="{00000000-0006-0000-0200-00000C000000}">
      <text>
        <r>
          <rPr>
            <sz val="9"/>
            <color indexed="81"/>
            <rFont val="돋움"/>
            <family val="3"/>
            <charset val="129"/>
          </rPr>
          <t>기술수준의 고도성 또는 복잡성으로 인해 모방이 어려운 정도를 평가함</t>
        </r>
      </text>
    </comment>
    <comment ref="J24" authorId="2" shapeId="0" xr:uid="{00000000-0006-0000-0200-00000D000000}">
      <text>
        <r>
          <rPr>
            <sz val="9"/>
            <color indexed="81"/>
            <rFont val="돋움"/>
            <family val="3"/>
            <charset val="129"/>
          </rPr>
          <t>기술수준의 고도성 또는 복잡성으로 인해 모방이 어려운 정도를 평가함</t>
        </r>
      </text>
    </comment>
    <comment ref="E25" authorId="2" shapeId="0" xr:uid="{00000000-0006-0000-0200-00000E000000}">
      <text>
        <r>
          <rPr>
            <sz val="9"/>
            <color indexed="81"/>
            <rFont val="돋움"/>
            <family val="3"/>
            <charset val="129"/>
          </rPr>
          <t>권리범위의 명확성과 보호강도를 평가함</t>
        </r>
      </text>
    </comment>
    <comment ref="J25" authorId="2" shapeId="0" xr:uid="{00000000-0006-0000-0200-00000F000000}">
      <text>
        <r>
          <rPr>
            <sz val="8"/>
            <color indexed="81"/>
            <rFont val="Tahoma"/>
            <family val="2"/>
          </rPr>
          <t xml:space="preserve">1. </t>
        </r>
        <r>
          <rPr>
            <sz val="8"/>
            <color indexed="81"/>
            <rFont val="돋움"/>
            <family val="3"/>
            <charset val="129"/>
          </rPr>
          <t>동일한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무효화될</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 xml:space="preserve">높음
</t>
        </r>
        <r>
          <rPr>
            <sz val="8"/>
            <color indexed="81"/>
            <rFont val="Tahoma"/>
            <family val="2"/>
          </rPr>
          <t xml:space="preserve">2.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다수</t>
        </r>
        <r>
          <rPr>
            <sz val="8"/>
            <color indexed="81"/>
            <rFont val="Tahoma"/>
            <family val="2"/>
          </rPr>
          <t xml:space="preserve"> </t>
        </r>
        <r>
          <rPr>
            <sz val="8"/>
            <color indexed="81"/>
            <rFont val="돋움"/>
            <family val="3"/>
            <charset val="129"/>
          </rPr>
          <t>존재하며</t>
        </r>
        <r>
          <rPr>
            <sz val="8"/>
            <color indexed="81"/>
            <rFont val="Tahoma"/>
            <family val="2"/>
          </rPr>
          <t xml:space="preserve">, </t>
        </r>
        <r>
          <rPr>
            <sz val="8"/>
            <color indexed="81"/>
            <rFont val="돋움"/>
            <family val="3"/>
            <charset val="129"/>
          </rPr>
          <t>핵심</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안정적</t>
        </r>
        <r>
          <rPr>
            <sz val="8"/>
            <color indexed="81"/>
            <rFont val="Tahoma"/>
            <family val="2"/>
          </rPr>
          <t xml:space="preserve"> </t>
        </r>
        <r>
          <rPr>
            <sz val="8"/>
            <color indexed="81"/>
            <rFont val="돋움"/>
            <family val="3"/>
            <charset val="129"/>
          </rPr>
          <t>유지가</t>
        </r>
        <r>
          <rPr>
            <sz val="8"/>
            <color indexed="81"/>
            <rFont val="Tahoma"/>
            <family val="2"/>
          </rPr>
          <t xml:space="preserve"> </t>
        </r>
        <r>
          <rPr>
            <sz val="8"/>
            <color indexed="81"/>
            <rFont val="돋움"/>
            <family val="3"/>
            <charset val="129"/>
          </rPr>
          <t>불확실함</t>
        </r>
        <r>
          <rPr>
            <sz val="8"/>
            <color indexed="81"/>
            <rFont val="Tahoma"/>
            <family val="2"/>
          </rPr>
          <t xml:space="preserve"> 
3.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존재하며</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제한될</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존재함</t>
        </r>
        <r>
          <rPr>
            <sz val="8"/>
            <color indexed="81"/>
            <rFont val="Tahoma"/>
            <family val="2"/>
          </rPr>
          <t xml:space="preserve"> 
4.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소수</t>
        </r>
        <r>
          <rPr>
            <sz val="8"/>
            <color indexed="81"/>
            <rFont val="Tahoma"/>
            <family val="2"/>
          </rPr>
          <t xml:space="preserve"> </t>
        </r>
        <r>
          <rPr>
            <sz val="8"/>
            <color indexed="81"/>
            <rFont val="돋움"/>
            <family val="3"/>
            <charset val="129"/>
          </rPr>
          <t>존재하나</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무효화</t>
        </r>
        <r>
          <rPr>
            <sz val="8"/>
            <color indexed="81"/>
            <rFont val="Tahoma"/>
            <family val="2"/>
          </rPr>
          <t xml:space="preserve"> </t>
        </r>
        <r>
          <rPr>
            <sz val="8"/>
            <color indexed="81"/>
            <rFont val="돋움"/>
            <family val="3"/>
            <charset val="129"/>
          </rPr>
          <t>가능성은</t>
        </r>
        <r>
          <rPr>
            <sz val="8"/>
            <color indexed="81"/>
            <rFont val="Tahoma"/>
            <family val="2"/>
          </rPr>
          <t xml:space="preserve"> </t>
        </r>
        <r>
          <rPr>
            <sz val="8"/>
            <color indexed="81"/>
            <rFont val="돋움"/>
            <family val="3"/>
            <charset val="129"/>
          </rPr>
          <t xml:space="preserve">낮음
</t>
        </r>
        <r>
          <rPr>
            <sz val="8"/>
            <color indexed="81"/>
            <rFont val="Tahoma"/>
            <family val="2"/>
          </rPr>
          <t xml:space="preserve">5.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없거나</t>
        </r>
        <r>
          <rPr>
            <sz val="8"/>
            <color indexed="81"/>
            <rFont val="Tahoma"/>
            <family val="2"/>
          </rPr>
          <t xml:space="preserve"> </t>
        </r>
        <r>
          <rPr>
            <sz val="8"/>
            <color indexed="81"/>
            <rFont val="돋움"/>
            <family val="3"/>
            <charset val="129"/>
          </rPr>
          <t>혹은</t>
        </r>
        <r>
          <rPr>
            <sz val="8"/>
            <color indexed="81"/>
            <rFont val="Tahoma"/>
            <family val="2"/>
          </rPr>
          <t xml:space="preserve"> </t>
        </r>
        <r>
          <rPr>
            <sz val="8"/>
            <color indexed="81"/>
            <rFont val="돋움"/>
            <family val="3"/>
            <charset val="129"/>
          </rPr>
          <t>있다고</t>
        </r>
        <r>
          <rPr>
            <sz val="8"/>
            <color indexed="81"/>
            <rFont val="Tahoma"/>
            <family val="2"/>
          </rPr>
          <t xml:space="preserve"> </t>
        </r>
        <r>
          <rPr>
            <sz val="8"/>
            <color indexed="81"/>
            <rFont val="돋움"/>
            <family val="3"/>
            <charset val="129"/>
          </rPr>
          <t>할지라도</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무효화</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낮음</t>
        </r>
        <r>
          <rPr>
            <sz val="8"/>
            <color indexed="81"/>
            <rFont val="Tahoma"/>
            <family val="2"/>
          </rPr>
          <t xml:space="preserve"> </t>
        </r>
      </text>
    </comment>
    <comment ref="E26" authorId="2" shapeId="0" xr:uid="{00000000-0006-0000-0200-000010000000}">
      <text>
        <r>
          <rPr>
            <sz val="9"/>
            <color indexed="81"/>
            <rFont val="돋움"/>
            <family val="3"/>
            <charset val="129"/>
          </rPr>
          <t>시장진입 장애요인을 분석하여 대상기술의 시장진입 가능성을 평가함</t>
        </r>
      </text>
    </comment>
    <comment ref="J26" authorId="2" shapeId="0" xr:uid="{00000000-0006-0000-0200-000011000000}">
      <text>
        <r>
          <rPr>
            <sz val="9"/>
            <color indexed="81"/>
            <rFont val="돋움"/>
            <family val="3"/>
            <charset val="129"/>
          </rPr>
          <t>시장진입 장애요인을 분석하여 대상기술의 시장진입 가능성을 평가함</t>
        </r>
      </text>
    </comment>
    <comment ref="E27" authorId="2" shapeId="0" xr:uid="{00000000-0006-0000-0200-000012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J27" authorId="2" shapeId="0" xr:uid="{00000000-0006-0000-0200-000013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E28" authorId="2" shapeId="0" xr:uid="{00000000-0006-0000-0200-000014000000}">
      <text>
        <r>
          <rPr>
            <sz val="9"/>
            <color indexed="81"/>
            <rFont val="돋움"/>
            <family val="3"/>
            <charset val="129"/>
          </rPr>
          <t>향후 3~5년 이내 경쟁상황(경쟁제품의 수, 경쟁기업의 수 등)의 변화가 대상기술의 사업화에 미치는 영향을 평가함</t>
        </r>
      </text>
    </comment>
    <comment ref="J28" authorId="2" shapeId="0" xr:uid="{00000000-0006-0000-0200-000015000000}">
      <text>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향후</t>
        </r>
        <r>
          <rPr>
            <sz val="8"/>
            <color indexed="81"/>
            <rFont val="Tahoma"/>
            <family val="2"/>
          </rPr>
          <t xml:space="preserve"> 5</t>
        </r>
        <r>
          <rPr>
            <sz val="8"/>
            <color indexed="81"/>
            <rFont val="돋움"/>
            <family val="3"/>
            <charset val="129"/>
          </rPr>
          <t>년간</t>
        </r>
        <r>
          <rPr>
            <sz val="8"/>
            <color indexed="81"/>
            <rFont val="Tahoma"/>
            <family val="2"/>
          </rPr>
          <t xml:space="preserve"> </t>
        </r>
        <r>
          <rPr>
            <sz val="8"/>
            <color indexed="81"/>
            <rFont val="돋움"/>
            <family val="3"/>
            <charset val="129"/>
          </rPr>
          <t>예측된</t>
        </r>
        <r>
          <rPr>
            <sz val="8"/>
            <color indexed="81"/>
            <rFont val="Tahoma"/>
            <family val="2"/>
          </rPr>
          <t xml:space="preserve"> </t>
        </r>
        <r>
          <rPr>
            <sz val="8"/>
            <color indexed="81"/>
            <rFont val="돋움"/>
            <family val="3"/>
            <charset val="129"/>
          </rPr>
          <t>시장규모를</t>
        </r>
        <r>
          <rPr>
            <sz val="8"/>
            <color indexed="81"/>
            <rFont val="Tahoma"/>
            <family val="2"/>
          </rPr>
          <t xml:space="preserve"> </t>
        </r>
        <r>
          <rPr>
            <sz val="8"/>
            <color indexed="81"/>
            <rFont val="돋움"/>
            <family val="3"/>
            <charset val="129"/>
          </rPr>
          <t>활용하여</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산출하여</t>
        </r>
        <r>
          <rPr>
            <sz val="8"/>
            <color indexed="81"/>
            <rFont val="Tahoma"/>
            <family val="2"/>
          </rPr>
          <t xml:space="preserve"> </t>
        </r>
        <r>
          <rPr>
            <sz val="8"/>
            <color indexed="81"/>
            <rFont val="돋움"/>
            <family val="3"/>
            <charset val="129"/>
          </rPr>
          <t>평가함</t>
        </r>
        <r>
          <rPr>
            <sz val="8"/>
            <color indexed="81"/>
            <rFont val="Tahoma"/>
            <family val="2"/>
          </rPr>
          <t>.</t>
        </r>
      </text>
    </comment>
    <comment ref="E29" authorId="2" shapeId="0" xr:uid="{00000000-0006-0000-0200-000016000000}">
      <text>
        <r>
          <rPr>
            <sz val="9"/>
            <color indexed="81"/>
            <rFont val="돋움"/>
            <family val="3"/>
            <charset val="129"/>
          </rPr>
          <t>목표시장에서 향후 3년 이내에 경쟁 신제품이 출현할 가능성에 대해 평가함</t>
        </r>
      </text>
    </comment>
    <comment ref="J29" authorId="2" shapeId="0" xr:uid="{00000000-0006-0000-0200-000017000000}">
      <text>
        <r>
          <rPr>
            <sz val="8"/>
            <color indexed="81"/>
            <rFont val="Tahoma"/>
            <family val="2"/>
          </rPr>
          <t xml:space="preserve">1.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활용이</t>
        </r>
        <r>
          <rPr>
            <sz val="8"/>
            <color indexed="81"/>
            <rFont val="Tahoma"/>
            <family val="2"/>
          </rPr>
          <t xml:space="preserve"> </t>
        </r>
        <r>
          <rPr>
            <sz val="8"/>
            <color indexed="81"/>
            <rFont val="돋움"/>
            <family val="3"/>
            <charset val="129"/>
          </rPr>
          <t>불가능하여</t>
        </r>
        <r>
          <rPr>
            <sz val="8"/>
            <color indexed="81"/>
            <rFont val="Tahoma"/>
            <family val="2"/>
          </rPr>
          <t xml:space="preserve"> </t>
        </r>
        <r>
          <rPr>
            <sz val="8"/>
            <color indexed="81"/>
            <rFont val="돋움"/>
            <family val="3"/>
            <charset val="129"/>
          </rPr>
          <t>신규</t>
        </r>
        <r>
          <rPr>
            <sz val="8"/>
            <color indexed="81"/>
            <rFont val="Tahoma"/>
            <family val="2"/>
          </rPr>
          <t xml:space="preserve"> </t>
        </r>
        <r>
          <rPr>
            <sz val="8"/>
            <color indexed="81"/>
            <rFont val="돋움"/>
            <family val="3"/>
            <charset val="129"/>
          </rPr>
          <t>설비</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절대적으로</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일부만</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t>
        </r>
        <r>
          <rPr>
            <sz val="8"/>
            <color indexed="81"/>
            <rFont val="Tahoma"/>
            <family val="2"/>
          </rPr>
          <t xml:space="preserve"> </t>
        </r>
        <r>
          <rPr>
            <sz val="8"/>
            <color indexed="81"/>
            <rFont val="돋움"/>
            <family val="3"/>
            <charset val="129"/>
          </rPr>
          <t>가능함</t>
        </r>
        <r>
          <rPr>
            <sz val="8"/>
            <color indexed="81"/>
            <rFont val="Tahoma"/>
            <family val="2"/>
          </rPr>
          <t xml:space="preserve"> 
2.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보완</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확장에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일정부분을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3.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보완</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확장에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상당부분을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4. </t>
        </r>
        <r>
          <rPr>
            <sz val="8"/>
            <color indexed="81"/>
            <rFont val="돋움"/>
            <family val="3"/>
            <charset val="129"/>
          </rPr>
          <t>기존</t>
        </r>
        <r>
          <rPr>
            <sz val="8"/>
            <color indexed="81"/>
            <rFont val="Tahoma"/>
            <family val="2"/>
          </rPr>
          <t xml:space="preserve"> </t>
        </r>
        <r>
          <rPr>
            <sz val="8"/>
            <color indexed="81"/>
            <rFont val="돋움"/>
            <family val="3"/>
            <charset val="129"/>
          </rPr>
          <t>생산설비를</t>
        </r>
        <r>
          <rPr>
            <sz val="8"/>
            <color indexed="81"/>
            <rFont val="Tahoma"/>
            <family val="2"/>
          </rPr>
          <t xml:space="preserve"> </t>
        </r>
        <r>
          <rPr>
            <sz val="8"/>
            <color indexed="81"/>
            <rFont val="돋움"/>
            <family val="3"/>
            <charset val="129"/>
          </rPr>
          <t>대부분</t>
        </r>
        <r>
          <rPr>
            <sz val="8"/>
            <color indexed="81"/>
            <rFont val="Tahoma"/>
            <family val="2"/>
          </rPr>
          <t xml:space="preserve"> </t>
        </r>
        <r>
          <rPr>
            <sz val="8"/>
            <color indexed="81"/>
            <rFont val="돋움"/>
            <family val="3"/>
            <charset val="129"/>
          </rPr>
          <t>활용할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추가</t>
        </r>
        <r>
          <rPr>
            <sz val="8"/>
            <color indexed="81"/>
            <rFont val="Tahoma"/>
            <family val="2"/>
          </rPr>
          <t xml:space="preserve"> </t>
        </r>
        <r>
          <rPr>
            <sz val="8"/>
            <color indexed="81"/>
            <rFont val="돋움"/>
            <family val="3"/>
            <charset val="129"/>
          </rPr>
          <t>투자는</t>
        </r>
        <r>
          <rPr>
            <sz val="8"/>
            <color indexed="81"/>
            <rFont val="Tahoma"/>
            <family val="2"/>
          </rPr>
          <t xml:space="preserve"> </t>
        </r>
        <r>
          <rPr>
            <sz val="8"/>
            <color indexed="81"/>
            <rFont val="돋움"/>
            <family val="3"/>
            <charset val="129"/>
          </rPr>
          <t>작고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일정부분을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5. </t>
        </r>
        <r>
          <rPr>
            <sz val="8"/>
            <color indexed="81"/>
            <rFont val="돋움"/>
            <family val="3"/>
            <charset val="129"/>
          </rPr>
          <t>기존</t>
        </r>
        <r>
          <rPr>
            <sz val="8"/>
            <color indexed="81"/>
            <rFont val="Tahoma"/>
            <family val="2"/>
          </rPr>
          <t xml:space="preserve"> </t>
        </r>
        <r>
          <rPr>
            <sz val="8"/>
            <color indexed="81"/>
            <rFont val="돋움"/>
            <family val="3"/>
            <charset val="129"/>
          </rPr>
          <t>생산설비를</t>
        </r>
        <r>
          <rPr>
            <sz val="8"/>
            <color indexed="81"/>
            <rFont val="Tahoma"/>
            <family val="2"/>
          </rPr>
          <t xml:space="preserve"> </t>
        </r>
        <r>
          <rPr>
            <sz val="8"/>
            <color indexed="81"/>
            <rFont val="돋움"/>
            <family val="3"/>
            <charset val="129"/>
          </rPr>
          <t>대부분</t>
        </r>
        <r>
          <rPr>
            <sz val="8"/>
            <color indexed="81"/>
            <rFont val="Tahoma"/>
            <family val="2"/>
          </rPr>
          <t xml:space="preserve"> </t>
        </r>
        <r>
          <rPr>
            <sz val="8"/>
            <color indexed="81"/>
            <rFont val="돋움"/>
            <family val="3"/>
            <charset val="129"/>
          </rPr>
          <t>그대로</t>
        </r>
        <r>
          <rPr>
            <sz val="8"/>
            <color indexed="81"/>
            <rFont val="Tahoma"/>
            <family val="2"/>
          </rPr>
          <t xml:space="preserve"> </t>
        </r>
        <r>
          <rPr>
            <sz val="8"/>
            <color indexed="81"/>
            <rFont val="돋움"/>
            <family val="3"/>
            <charset val="129"/>
          </rPr>
          <t>활용할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있으며</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상당부분을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text>
    </comment>
    <comment ref="E30" authorId="2" shapeId="0" xr:uid="{00000000-0006-0000-0200-000018000000}">
      <text>
        <r>
          <rPr>
            <sz val="9"/>
            <color indexed="81"/>
            <rFont val="돋움"/>
            <family val="3"/>
            <charset val="129"/>
          </rPr>
          <t>시장 내 경쟁자 수, 경쟁상황, 대상기술 제품의 경쟁력, 사업주체의 사업화 역량 등을 종합적으로 고려하여 대상기술 제품이 현금흐름 추정기간 동안 목표시장에서 점유할 수 있는 최대 시장점유율을 통해 예상 시장점유율을 평가함</t>
        </r>
      </text>
    </comment>
    <comment ref="J30" authorId="2" shapeId="0" xr:uid="{00000000-0006-0000-0200-000019000000}">
      <text>
        <r>
          <rPr>
            <sz val="8"/>
            <color indexed="81"/>
            <rFont val="Tahoma"/>
            <family val="2"/>
          </rPr>
          <t xml:space="preserve">1. </t>
        </r>
        <r>
          <rPr>
            <sz val="8"/>
            <color indexed="81"/>
            <rFont val="돋움"/>
            <family val="3"/>
            <charset val="129"/>
          </rPr>
          <t>영업이익이</t>
        </r>
        <r>
          <rPr>
            <sz val="8"/>
            <color indexed="81"/>
            <rFont val="Tahoma"/>
            <family val="2"/>
          </rPr>
          <t xml:space="preserve"> </t>
        </r>
        <r>
          <rPr>
            <sz val="8"/>
            <color indexed="81"/>
            <rFont val="돋움"/>
            <family val="3"/>
            <charset val="129"/>
          </rPr>
          <t>실현되고</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기업이</t>
        </r>
        <r>
          <rPr>
            <sz val="8"/>
            <color indexed="81"/>
            <rFont val="Tahoma"/>
            <family val="2"/>
          </rPr>
          <t xml:space="preserve"> </t>
        </r>
        <r>
          <rPr>
            <sz val="8"/>
            <color indexed="81"/>
            <rFont val="돋움"/>
            <family val="3"/>
            <charset val="129"/>
          </rPr>
          <t>극소수에</t>
        </r>
        <r>
          <rPr>
            <sz val="8"/>
            <color indexed="81"/>
            <rFont val="Tahoma"/>
            <family val="2"/>
          </rPr>
          <t xml:space="preserve"> </t>
        </r>
        <r>
          <rPr>
            <sz val="8"/>
            <color indexed="81"/>
            <rFont val="돋움"/>
            <family val="3"/>
            <charset val="129"/>
          </rPr>
          <t>불과하여</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낮을</t>
        </r>
        <r>
          <rPr>
            <sz val="8"/>
            <color indexed="81"/>
            <rFont val="Tahoma"/>
            <family val="2"/>
          </rPr>
          <t xml:space="preserve"> </t>
        </r>
        <r>
          <rPr>
            <sz val="8"/>
            <color indexed="81"/>
            <rFont val="돋움"/>
            <family val="3"/>
            <charset val="129"/>
          </rPr>
          <t xml:space="preserve">것임
</t>
        </r>
        <r>
          <rPr>
            <sz val="8"/>
            <color indexed="81"/>
            <rFont val="Tahoma"/>
            <family val="2"/>
          </rPr>
          <t xml:space="preserve">2. </t>
        </r>
        <r>
          <rPr>
            <sz val="8"/>
            <color indexed="81"/>
            <rFont val="돋움"/>
            <family val="3"/>
            <charset val="129"/>
          </rPr>
          <t>일부</t>
        </r>
        <r>
          <rPr>
            <sz val="8"/>
            <color indexed="81"/>
            <rFont val="Tahoma"/>
            <family val="2"/>
          </rPr>
          <t xml:space="preserve"> </t>
        </r>
        <r>
          <rPr>
            <sz val="8"/>
            <color indexed="81"/>
            <rFont val="돋움"/>
            <family val="3"/>
            <charset val="129"/>
          </rPr>
          <t>기업만이</t>
        </r>
        <r>
          <rPr>
            <sz val="8"/>
            <color indexed="81"/>
            <rFont val="Tahoma"/>
            <family val="2"/>
          </rPr>
          <t xml:space="preserve"> 5%</t>
        </r>
        <r>
          <rPr>
            <sz val="8"/>
            <color indexed="81"/>
            <rFont val="돋움"/>
            <family val="3"/>
            <charset val="129"/>
          </rPr>
          <t>이상의</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낮을</t>
        </r>
        <r>
          <rPr>
            <sz val="8"/>
            <color indexed="81"/>
            <rFont val="Tahoma"/>
            <family val="2"/>
          </rPr>
          <t xml:space="preserve"> </t>
        </r>
        <r>
          <rPr>
            <sz val="8"/>
            <color indexed="81"/>
            <rFont val="돋움"/>
            <family val="3"/>
            <charset val="129"/>
          </rPr>
          <t xml:space="preserve">것임
</t>
        </r>
        <r>
          <rPr>
            <sz val="8"/>
            <color indexed="81"/>
            <rFont val="Tahoma"/>
            <family val="2"/>
          </rPr>
          <t xml:space="preserve">3. </t>
        </r>
        <r>
          <rPr>
            <sz val="8"/>
            <color indexed="81"/>
            <rFont val="돋움"/>
            <family val="3"/>
            <charset val="129"/>
          </rPr>
          <t>일부</t>
        </r>
        <r>
          <rPr>
            <sz val="8"/>
            <color indexed="81"/>
            <rFont val="Tahoma"/>
            <family val="2"/>
          </rPr>
          <t xml:space="preserve"> </t>
        </r>
        <r>
          <rPr>
            <sz val="8"/>
            <color indexed="81"/>
            <rFont val="돋움"/>
            <family val="3"/>
            <charset val="129"/>
          </rPr>
          <t>기업만이</t>
        </r>
        <r>
          <rPr>
            <sz val="8"/>
            <color indexed="81"/>
            <rFont val="Tahoma"/>
            <family val="2"/>
          </rPr>
          <t xml:space="preserve"> 5-10% </t>
        </r>
        <r>
          <rPr>
            <sz val="8"/>
            <color indexed="81"/>
            <rFont val="돋움"/>
            <family val="3"/>
            <charset val="129"/>
          </rPr>
          <t>범위에서</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 xml:space="preserve">보통임
</t>
        </r>
        <r>
          <rPr>
            <sz val="8"/>
            <color indexed="81"/>
            <rFont val="Tahoma"/>
            <family val="2"/>
          </rPr>
          <t xml:space="preserve">4. </t>
        </r>
        <r>
          <rPr>
            <sz val="8"/>
            <color indexed="81"/>
            <rFont val="돋움"/>
            <family val="3"/>
            <charset val="129"/>
          </rPr>
          <t>다수</t>
        </r>
        <r>
          <rPr>
            <sz val="8"/>
            <color indexed="81"/>
            <rFont val="Tahoma"/>
            <family val="2"/>
          </rPr>
          <t xml:space="preserve"> </t>
        </r>
        <r>
          <rPr>
            <sz val="8"/>
            <color indexed="81"/>
            <rFont val="돋움"/>
            <family val="3"/>
            <charset val="129"/>
          </rPr>
          <t>기업이</t>
        </r>
        <r>
          <rPr>
            <sz val="8"/>
            <color indexed="81"/>
            <rFont val="Tahoma"/>
            <family val="2"/>
          </rPr>
          <t xml:space="preserve"> 10%</t>
        </r>
        <r>
          <rPr>
            <sz val="8"/>
            <color indexed="81"/>
            <rFont val="돋움"/>
            <family val="3"/>
            <charset val="129"/>
          </rPr>
          <t>이상</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 xml:space="preserve">긍정적임
</t>
        </r>
        <r>
          <rPr>
            <sz val="8"/>
            <color indexed="81"/>
            <rFont val="Tahoma"/>
            <family val="2"/>
          </rPr>
          <t xml:space="preserve">5. </t>
        </r>
        <r>
          <rPr>
            <sz val="8"/>
            <color indexed="81"/>
            <rFont val="돋움"/>
            <family val="3"/>
            <charset val="129"/>
          </rPr>
          <t>대부분</t>
        </r>
        <r>
          <rPr>
            <sz val="8"/>
            <color indexed="81"/>
            <rFont val="Tahoma"/>
            <family val="2"/>
          </rPr>
          <t xml:space="preserve"> </t>
        </r>
        <r>
          <rPr>
            <sz val="8"/>
            <color indexed="81"/>
            <rFont val="돋움"/>
            <family val="3"/>
            <charset val="129"/>
          </rPr>
          <t>기업이</t>
        </r>
        <r>
          <rPr>
            <sz val="8"/>
            <color indexed="81"/>
            <rFont val="Tahoma"/>
            <family val="2"/>
          </rPr>
          <t xml:space="preserve"> 10%</t>
        </r>
        <r>
          <rPr>
            <sz val="8"/>
            <color indexed="81"/>
            <rFont val="돋움"/>
            <family val="3"/>
            <charset val="129"/>
          </rPr>
          <t>이상</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긍정적임</t>
        </r>
      </text>
    </comment>
    <comment ref="E34" authorId="2" shapeId="0" xr:uid="{00000000-0006-0000-0200-00001A000000}">
      <text>
        <r>
          <rPr>
            <sz val="8"/>
            <color indexed="81"/>
            <rFont val="돋움"/>
            <family val="3"/>
            <charset val="129"/>
          </rPr>
          <t>대상기술을</t>
        </r>
        <r>
          <rPr>
            <sz val="8"/>
            <color indexed="81"/>
            <rFont val="Tahoma"/>
            <family val="2"/>
          </rPr>
          <t xml:space="preserve"> </t>
        </r>
        <r>
          <rPr>
            <sz val="8"/>
            <color indexed="81"/>
            <rFont val="돋움"/>
            <family val="3"/>
            <charset val="129"/>
          </rPr>
          <t>기술혁신의</t>
        </r>
        <r>
          <rPr>
            <sz val="8"/>
            <color indexed="81"/>
            <rFont val="Tahoma"/>
            <family val="2"/>
          </rPr>
          <t xml:space="preserve"> </t>
        </r>
        <r>
          <rPr>
            <sz val="8"/>
            <color indexed="81"/>
            <rFont val="돋움"/>
            <family val="3"/>
            <charset val="129"/>
          </rPr>
          <t>응용과</t>
        </r>
        <r>
          <rPr>
            <sz val="8"/>
            <color indexed="81"/>
            <rFont val="Tahoma"/>
            <family val="2"/>
          </rPr>
          <t xml:space="preserve"> </t>
        </r>
        <r>
          <rPr>
            <sz val="8"/>
            <color indexed="81"/>
            <rFont val="돋움"/>
            <family val="3"/>
            <charset val="129"/>
          </rPr>
          <t>확산</t>
        </r>
        <r>
          <rPr>
            <sz val="8"/>
            <color indexed="81"/>
            <rFont val="Tahoma"/>
            <family val="2"/>
          </rPr>
          <t xml:space="preserve"> </t>
        </r>
        <r>
          <rPr>
            <sz val="8"/>
            <color indexed="81"/>
            <rFont val="돋움"/>
            <family val="3"/>
            <charset val="129"/>
          </rPr>
          <t>정도에</t>
        </r>
        <r>
          <rPr>
            <sz val="8"/>
            <color indexed="81"/>
            <rFont val="Tahoma"/>
            <family val="2"/>
          </rPr>
          <t xml:space="preserve"> </t>
        </r>
        <r>
          <rPr>
            <sz val="8"/>
            <color indexed="81"/>
            <rFont val="돋움"/>
            <family val="3"/>
            <charset val="129"/>
          </rPr>
          <t>따라</t>
        </r>
        <r>
          <rPr>
            <sz val="8"/>
            <color indexed="81"/>
            <rFont val="Tahoma"/>
            <family val="2"/>
          </rPr>
          <t xml:space="preserve"> </t>
        </r>
        <r>
          <rPr>
            <sz val="8"/>
            <color indexed="81"/>
            <rFont val="돋움"/>
            <family val="3"/>
            <charset val="129"/>
          </rPr>
          <t>혁신기술</t>
        </r>
        <r>
          <rPr>
            <sz val="8"/>
            <color indexed="81"/>
            <rFont val="Tahoma"/>
            <family val="2"/>
          </rPr>
          <t xml:space="preserve">(revolutionary), </t>
        </r>
        <r>
          <rPr>
            <sz val="8"/>
            <color indexed="81"/>
            <rFont val="돋움"/>
            <family val="3"/>
            <charset val="129"/>
          </rPr>
          <t>주요</t>
        </r>
        <r>
          <rPr>
            <sz val="8"/>
            <color indexed="81"/>
            <rFont val="Tahoma"/>
            <family val="2"/>
          </rPr>
          <t xml:space="preserve"> </t>
        </r>
        <r>
          <rPr>
            <sz val="8"/>
            <color indexed="81"/>
            <rFont val="돋움"/>
            <family val="3"/>
            <charset val="129"/>
          </rPr>
          <t>개량기술</t>
        </r>
        <r>
          <rPr>
            <sz val="8"/>
            <color indexed="81"/>
            <rFont val="Tahoma"/>
            <family val="2"/>
          </rPr>
          <t xml:space="preserve">(major
improvement), </t>
        </r>
        <r>
          <rPr>
            <sz val="8"/>
            <color indexed="81"/>
            <rFont val="돋움"/>
            <family val="3"/>
            <charset val="129"/>
          </rPr>
          <t>보통</t>
        </r>
        <r>
          <rPr>
            <sz val="8"/>
            <color indexed="81"/>
            <rFont val="Tahoma"/>
            <family val="2"/>
          </rPr>
          <t xml:space="preserve"> </t>
        </r>
        <r>
          <rPr>
            <sz val="8"/>
            <color indexed="81"/>
            <rFont val="돋움"/>
            <family val="3"/>
            <charset val="129"/>
          </rPr>
          <t>개량기술</t>
        </r>
        <r>
          <rPr>
            <sz val="8"/>
            <color indexed="81"/>
            <rFont val="Tahoma"/>
            <family val="2"/>
          </rPr>
          <t xml:space="preserve">(minor improvement), </t>
        </r>
        <r>
          <rPr>
            <sz val="8"/>
            <color indexed="81"/>
            <rFont val="돋움"/>
            <family val="3"/>
            <charset val="129"/>
          </rPr>
          <t>일부</t>
        </r>
        <r>
          <rPr>
            <sz val="8"/>
            <color indexed="81"/>
            <rFont val="Tahoma"/>
            <family val="2"/>
          </rPr>
          <t xml:space="preserve"> </t>
        </r>
        <r>
          <rPr>
            <sz val="8"/>
            <color indexed="81"/>
            <rFont val="돋움"/>
            <family val="3"/>
            <charset val="129"/>
          </rPr>
          <t>개량</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기존</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유사</t>
        </r>
        <r>
          <rPr>
            <sz val="8"/>
            <color indexed="81"/>
            <rFont val="Tahoma"/>
            <family val="2"/>
          </rPr>
          <t xml:space="preserve"> </t>
        </r>
        <r>
          <rPr>
            <sz val="8"/>
            <color indexed="81"/>
            <rFont val="돋움"/>
            <family val="3"/>
            <charset val="129"/>
          </rPr>
          <t>등으로</t>
        </r>
        <r>
          <rPr>
            <sz val="8"/>
            <color indexed="81"/>
            <rFont val="Tahoma"/>
            <family val="2"/>
          </rPr>
          <t xml:space="preserve"> </t>
        </r>
        <r>
          <rPr>
            <sz val="8"/>
            <color indexed="81"/>
            <rFont val="돋움"/>
            <family val="3"/>
            <charset val="129"/>
          </rPr>
          <t>구분하여</t>
        </r>
        <r>
          <rPr>
            <sz val="8"/>
            <color indexed="81"/>
            <rFont val="Tahoma"/>
            <family val="2"/>
          </rPr>
          <t xml:space="preserve"> </t>
        </r>
        <r>
          <rPr>
            <sz val="8"/>
            <color indexed="81"/>
            <rFont val="돋움"/>
            <family val="3"/>
            <charset val="129"/>
          </rPr>
          <t>평가함</t>
        </r>
      </text>
    </comment>
    <comment ref="J34" authorId="2" shapeId="0" xr:uid="{00000000-0006-0000-0200-00001B000000}">
      <text>
        <r>
          <rPr>
            <sz val="8"/>
            <color indexed="81"/>
            <rFont val="돋움"/>
            <family val="3"/>
            <charset val="129"/>
          </rPr>
          <t>시장진입</t>
        </r>
        <r>
          <rPr>
            <sz val="8"/>
            <color indexed="81"/>
            <rFont val="Tahoma"/>
            <family val="2"/>
          </rPr>
          <t xml:space="preserve"> </t>
        </r>
        <r>
          <rPr>
            <sz val="8"/>
            <color indexed="81"/>
            <rFont val="돋움"/>
            <family val="3"/>
            <charset val="129"/>
          </rPr>
          <t>장애요인을</t>
        </r>
        <r>
          <rPr>
            <sz val="8"/>
            <color indexed="81"/>
            <rFont val="Tahoma"/>
            <family val="2"/>
          </rPr>
          <t xml:space="preserve"> </t>
        </r>
        <r>
          <rPr>
            <sz val="8"/>
            <color indexed="81"/>
            <rFont val="돋움"/>
            <family val="3"/>
            <charset val="129"/>
          </rPr>
          <t>분석하여</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시장진입</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E35" authorId="2" shapeId="0" xr:uid="{00000000-0006-0000-0200-00001C000000}">
      <text>
        <r>
          <rPr>
            <sz val="8"/>
            <color indexed="81"/>
            <rFont val="돋움"/>
            <family val="3"/>
            <charset val="129"/>
          </rPr>
          <t>경쟁기술</t>
        </r>
        <r>
          <rPr>
            <sz val="8"/>
            <color indexed="81"/>
            <rFont val="Tahoma"/>
            <family val="2"/>
          </rPr>
          <t xml:space="preserve"> </t>
        </r>
        <r>
          <rPr>
            <sz val="8"/>
            <color indexed="81"/>
            <rFont val="돋움"/>
            <family val="3"/>
            <charset val="129"/>
          </rPr>
          <t>대비</t>
        </r>
        <r>
          <rPr>
            <sz val="8"/>
            <color indexed="81"/>
            <rFont val="Tahoma"/>
            <family val="2"/>
          </rPr>
          <t xml:space="preserve"> </t>
        </r>
        <r>
          <rPr>
            <sz val="8"/>
            <color indexed="81"/>
            <rFont val="돋움"/>
            <family val="3"/>
            <charset val="129"/>
          </rPr>
          <t>대상기술의</t>
        </r>
        <r>
          <rPr>
            <sz val="8"/>
            <color indexed="81"/>
            <rFont val="Tahoma"/>
            <family val="2"/>
          </rPr>
          <t xml:space="preserve"> </t>
        </r>
        <r>
          <rPr>
            <sz val="8"/>
            <color indexed="81"/>
            <rFont val="돋움"/>
            <family val="3"/>
            <charset val="129"/>
          </rPr>
          <t>차별적</t>
        </r>
        <r>
          <rPr>
            <sz val="8"/>
            <color indexed="81"/>
            <rFont val="Tahoma"/>
            <family val="2"/>
          </rPr>
          <t xml:space="preserve"> </t>
        </r>
        <r>
          <rPr>
            <sz val="8"/>
            <color indexed="81"/>
            <rFont val="돋움"/>
            <family val="3"/>
            <charset val="129"/>
          </rPr>
          <t>속성을</t>
        </r>
        <r>
          <rPr>
            <sz val="8"/>
            <color indexed="81"/>
            <rFont val="Tahoma"/>
            <family val="2"/>
          </rPr>
          <t xml:space="preserve"> </t>
        </r>
        <r>
          <rPr>
            <sz val="8"/>
            <color indexed="81"/>
            <rFont val="돋움"/>
            <family val="3"/>
            <charset val="129"/>
          </rPr>
          <t>생산수율</t>
        </r>
        <r>
          <rPr>
            <sz val="8"/>
            <color indexed="81"/>
            <rFont val="Tahoma"/>
            <family val="2"/>
          </rPr>
          <t xml:space="preserve"> </t>
        </r>
        <r>
          <rPr>
            <sz val="8"/>
            <color indexed="81"/>
            <rFont val="돋움"/>
            <family val="3"/>
            <charset val="129"/>
          </rPr>
          <t>개선</t>
        </r>
        <r>
          <rPr>
            <sz val="8"/>
            <color indexed="81"/>
            <rFont val="Tahoma"/>
            <family val="2"/>
          </rPr>
          <t xml:space="preserve">, </t>
        </r>
        <r>
          <rPr>
            <sz val="8"/>
            <color indexed="81"/>
            <rFont val="돋움"/>
            <family val="3"/>
            <charset val="129"/>
          </rPr>
          <t>원가절감</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J35" authorId="2" shapeId="0" xr:uid="{00000000-0006-0000-0200-00001D000000}">
      <text>
        <r>
          <rPr>
            <sz val="8"/>
            <color indexed="81"/>
            <rFont val="돋움"/>
            <family val="3"/>
            <charset val="129"/>
          </rPr>
          <t>대상</t>
        </r>
        <r>
          <rPr>
            <sz val="8"/>
            <color indexed="81"/>
            <rFont val="Tahoma"/>
            <family val="2"/>
          </rPr>
          <t xml:space="preserve"> </t>
        </r>
        <r>
          <rPr>
            <sz val="8"/>
            <color indexed="81"/>
            <rFont val="돋움"/>
            <family val="3"/>
            <charset val="129"/>
          </rPr>
          <t>제품에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수요가</t>
        </r>
        <r>
          <rPr>
            <sz val="8"/>
            <color indexed="81"/>
            <rFont val="Tahoma"/>
            <family val="2"/>
          </rPr>
          <t xml:space="preserve"> </t>
        </r>
        <r>
          <rPr>
            <sz val="8"/>
            <color indexed="81"/>
            <rFont val="돋움"/>
            <family val="3"/>
            <charset val="129"/>
          </rPr>
          <t>경기변동</t>
        </r>
        <r>
          <rPr>
            <sz val="8"/>
            <color indexed="81"/>
            <rFont val="Tahoma"/>
            <family val="2"/>
          </rPr>
          <t xml:space="preserve">, </t>
        </r>
        <r>
          <rPr>
            <sz val="8"/>
            <color indexed="81"/>
            <rFont val="돋움"/>
            <family val="3"/>
            <charset val="129"/>
          </rPr>
          <t>가격</t>
        </r>
        <r>
          <rPr>
            <sz val="8"/>
            <color indexed="81"/>
            <rFont val="Tahoma"/>
            <family val="2"/>
          </rPr>
          <t xml:space="preserve">, </t>
        </r>
        <r>
          <rPr>
            <sz val="8"/>
            <color indexed="81"/>
            <rFont val="돋움"/>
            <family val="3"/>
            <charset val="129"/>
          </rPr>
          <t>품질</t>
        </r>
        <r>
          <rPr>
            <sz val="8"/>
            <color indexed="81"/>
            <rFont val="Tahoma"/>
            <family val="2"/>
          </rPr>
          <t xml:space="preserve">, </t>
        </r>
        <r>
          <rPr>
            <sz val="8"/>
            <color indexed="81"/>
            <rFont val="돋움"/>
            <family val="3"/>
            <charset val="129"/>
          </rPr>
          <t>디자인</t>
        </r>
        <r>
          <rPr>
            <sz val="8"/>
            <color indexed="81"/>
            <rFont val="Tahoma"/>
            <family val="2"/>
          </rPr>
          <t xml:space="preserve"> </t>
        </r>
        <r>
          <rPr>
            <sz val="8"/>
            <color indexed="81"/>
            <rFont val="돋움"/>
            <family val="3"/>
            <charset val="129"/>
          </rPr>
          <t>등에</t>
        </r>
        <r>
          <rPr>
            <sz val="8"/>
            <color indexed="81"/>
            <rFont val="Tahoma"/>
            <family val="2"/>
          </rPr>
          <t xml:space="preserve"> </t>
        </r>
        <r>
          <rPr>
            <sz val="8"/>
            <color indexed="81"/>
            <rFont val="돋움"/>
            <family val="3"/>
            <charset val="129"/>
          </rPr>
          <t>얼마나</t>
        </r>
        <r>
          <rPr>
            <sz val="8"/>
            <color indexed="81"/>
            <rFont val="Tahoma"/>
            <family val="2"/>
          </rPr>
          <t xml:space="preserve"> </t>
        </r>
        <r>
          <rPr>
            <sz val="8"/>
            <color indexed="81"/>
            <rFont val="돋움"/>
            <family val="3"/>
            <charset val="129"/>
          </rPr>
          <t>민감하게</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받는지를</t>
        </r>
        <r>
          <rPr>
            <sz val="8"/>
            <color indexed="81"/>
            <rFont val="Tahoma"/>
            <family val="2"/>
          </rPr>
          <t xml:space="preserve"> </t>
        </r>
        <r>
          <rPr>
            <sz val="8"/>
            <color indexed="81"/>
            <rFont val="돋움"/>
            <family val="3"/>
            <charset val="129"/>
          </rPr>
          <t>종합적으로</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36" authorId="2" shapeId="0" xr:uid="{00000000-0006-0000-0200-00001E000000}">
      <text>
        <r>
          <rPr>
            <sz val="8"/>
            <color indexed="81"/>
            <rFont val="돋움"/>
            <family val="3"/>
            <charset val="129"/>
          </rPr>
          <t>향후</t>
        </r>
        <r>
          <rPr>
            <sz val="8"/>
            <color indexed="81"/>
            <rFont val="Tahoma"/>
            <family val="2"/>
          </rPr>
          <t xml:space="preserve"> </t>
        </r>
        <r>
          <rPr>
            <sz val="8"/>
            <color indexed="81"/>
            <rFont val="돋움"/>
            <family val="3"/>
            <charset val="129"/>
          </rPr>
          <t>대상기술을</t>
        </r>
        <r>
          <rPr>
            <sz val="8"/>
            <color indexed="81"/>
            <rFont val="Tahoma"/>
            <family val="2"/>
          </rPr>
          <t xml:space="preserve"> </t>
        </r>
        <r>
          <rPr>
            <sz val="8"/>
            <color indexed="81"/>
            <rFont val="돋움"/>
            <family val="3"/>
            <charset val="129"/>
          </rPr>
          <t>대체할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또</t>
        </r>
        <r>
          <rPr>
            <sz val="8"/>
            <color indexed="81"/>
            <rFont val="Tahoma"/>
            <family val="2"/>
          </rPr>
          <t xml:space="preserve"> </t>
        </r>
        <r>
          <rPr>
            <sz val="8"/>
            <color indexed="81"/>
            <rFont val="돋움"/>
            <family val="3"/>
            <charset val="129"/>
          </rPr>
          <t>다른</t>
        </r>
        <r>
          <rPr>
            <sz val="8"/>
            <color indexed="81"/>
            <rFont val="Tahoma"/>
            <family val="2"/>
          </rPr>
          <t xml:space="preserve"> </t>
        </r>
        <r>
          <rPr>
            <sz val="8"/>
            <color indexed="81"/>
            <rFont val="돋움"/>
            <family val="3"/>
            <charset val="129"/>
          </rPr>
          <t>혁신기술이</t>
        </r>
        <r>
          <rPr>
            <sz val="8"/>
            <color indexed="81"/>
            <rFont val="Tahoma"/>
            <family val="2"/>
          </rPr>
          <t xml:space="preserve"> </t>
        </r>
        <r>
          <rPr>
            <sz val="8"/>
            <color indexed="81"/>
            <rFont val="돋움"/>
            <family val="3"/>
            <charset val="129"/>
          </rPr>
          <t>출현할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36" authorId="2" shapeId="0" xr:uid="{00000000-0006-0000-0200-00001F000000}">
      <text>
        <r>
          <rPr>
            <sz val="8"/>
            <color indexed="81"/>
            <rFont val="돋움"/>
            <family val="3"/>
            <charset val="129"/>
          </rPr>
          <t>시장</t>
        </r>
        <r>
          <rPr>
            <sz val="8"/>
            <color indexed="81"/>
            <rFont val="Tahoma"/>
            <family val="2"/>
          </rPr>
          <t xml:space="preserve"> </t>
        </r>
        <r>
          <rPr>
            <sz val="8"/>
            <color indexed="81"/>
            <rFont val="돋움"/>
            <family val="3"/>
            <charset val="129"/>
          </rPr>
          <t>내</t>
        </r>
        <r>
          <rPr>
            <sz val="8"/>
            <color indexed="81"/>
            <rFont val="Tahoma"/>
            <family val="2"/>
          </rPr>
          <t xml:space="preserve"> </t>
        </r>
        <r>
          <rPr>
            <sz val="8"/>
            <color indexed="81"/>
            <rFont val="돋움"/>
            <family val="3"/>
            <charset val="129"/>
          </rPr>
          <t>경쟁자</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경쟁상황</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경쟁력</t>
        </r>
        <r>
          <rPr>
            <sz val="8"/>
            <color indexed="81"/>
            <rFont val="Tahoma"/>
            <family val="2"/>
          </rPr>
          <t xml:space="preserve">, </t>
        </r>
        <r>
          <rPr>
            <sz val="8"/>
            <color indexed="81"/>
            <rFont val="돋움"/>
            <family val="3"/>
            <charset val="129"/>
          </rPr>
          <t>사업주체의</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역량</t>
        </r>
        <r>
          <rPr>
            <sz val="8"/>
            <color indexed="81"/>
            <rFont val="Tahoma"/>
            <family val="2"/>
          </rPr>
          <t xml:space="preserve"> </t>
        </r>
        <r>
          <rPr>
            <sz val="8"/>
            <color indexed="81"/>
            <rFont val="돋움"/>
            <family val="3"/>
            <charset val="129"/>
          </rPr>
          <t>등을</t>
        </r>
        <r>
          <rPr>
            <sz val="8"/>
            <color indexed="81"/>
            <rFont val="Tahoma"/>
            <family val="2"/>
          </rPr>
          <t xml:space="preserve"> </t>
        </r>
        <r>
          <rPr>
            <sz val="8"/>
            <color indexed="81"/>
            <rFont val="돋움"/>
            <family val="3"/>
            <charset val="129"/>
          </rPr>
          <t>종합적으로</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제품이</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t>
        </r>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점유할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최대</t>
        </r>
        <r>
          <rPr>
            <sz val="8"/>
            <color indexed="81"/>
            <rFont val="Tahoma"/>
            <family val="2"/>
          </rPr>
          <t xml:space="preserve"> </t>
        </r>
        <r>
          <rPr>
            <sz val="8"/>
            <color indexed="81"/>
            <rFont val="돋움"/>
            <family val="3"/>
            <charset val="129"/>
          </rPr>
          <t>시장점유율을</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예상</t>
        </r>
        <r>
          <rPr>
            <sz val="8"/>
            <color indexed="81"/>
            <rFont val="Tahoma"/>
            <family val="2"/>
          </rPr>
          <t xml:space="preserve"> </t>
        </r>
        <r>
          <rPr>
            <sz val="8"/>
            <color indexed="81"/>
            <rFont val="돋움"/>
            <family val="3"/>
            <charset val="129"/>
          </rPr>
          <t>시장</t>
        </r>
        <r>
          <rPr>
            <sz val="8"/>
            <color indexed="81"/>
            <rFont val="Tahoma"/>
            <family val="2"/>
          </rPr>
          <t xml:space="preserve"> </t>
        </r>
        <r>
          <rPr>
            <sz val="8"/>
            <color indexed="81"/>
            <rFont val="돋움"/>
            <family val="3"/>
            <charset val="129"/>
          </rPr>
          <t>점유율을</t>
        </r>
        <r>
          <rPr>
            <sz val="8"/>
            <color indexed="81"/>
            <rFont val="Tahoma"/>
            <family val="2"/>
          </rPr>
          <t xml:space="preserve"> </t>
        </r>
        <r>
          <rPr>
            <sz val="8"/>
            <color indexed="81"/>
            <rFont val="돋움"/>
            <family val="3"/>
            <charset val="129"/>
          </rPr>
          <t>평가함</t>
        </r>
      </text>
    </comment>
    <comment ref="E37" authorId="2" shapeId="0" xr:uid="{00000000-0006-0000-0200-000020000000}">
      <text>
        <r>
          <rPr>
            <sz val="8"/>
            <color indexed="81"/>
            <rFont val="돋움"/>
            <family val="3"/>
            <charset val="129"/>
          </rPr>
          <t>대상기술이</t>
        </r>
        <r>
          <rPr>
            <sz val="8"/>
            <color indexed="81"/>
            <rFont val="Tahoma"/>
            <family val="2"/>
          </rPr>
          <t xml:space="preserve"> </t>
        </r>
        <r>
          <rPr>
            <sz val="8"/>
            <color indexed="81"/>
            <rFont val="돋움"/>
            <family val="3"/>
            <charset val="129"/>
          </rPr>
          <t>사업주체의</t>
        </r>
        <r>
          <rPr>
            <sz val="8"/>
            <color indexed="81"/>
            <rFont val="Tahoma"/>
            <family val="2"/>
          </rPr>
          <t xml:space="preserve"> </t>
        </r>
        <r>
          <rPr>
            <sz val="8"/>
            <color indexed="81"/>
            <rFont val="돋움"/>
            <family val="3"/>
            <charset val="129"/>
          </rPr>
          <t>핵심기술로서</t>
        </r>
        <r>
          <rPr>
            <sz val="8"/>
            <color indexed="81"/>
            <rFont val="Tahoma"/>
            <family val="2"/>
          </rPr>
          <t xml:space="preserve"> </t>
        </r>
        <r>
          <rPr>
            <sz val="8"/>
            <color indexed="81"/>
            <rFont val="돋움"/>
            <family val="3"/>
            <charset val="129"/>
          </rPr>
          <t>현재</t>
        </r>
        <r>
          <rPr>
            <sz val="8"/>
            <color indexed="81"/>
            <rFont val="Tahoma"/>
            <family val="2"/>
          </rPr>
          <t xml:space="preserve"> </t>
        </r>
        <r>
          <rPr>
            <sz val="8"/>
            <color indexed="81"/>
            <rFont val="돋움"/>
            <family val="3"/>
            <charset val="129"/>
          </rPr>
          <t>사업전략과</t>
        </r>
        <r>
          <rPr>
            <sz val="8"/>
            <color indexed="81"/>
            <rFont val="Tahoma"/>
            <family val="2"/>
          </rPr>
          <t xml:space="preserve"> </t>
        </r>
        <r>
          <rPr>
            <sz val="8"/>
            <color indexed="81"/>
            <rFont val="돋움"/>
            <family val="3"/>
            <charset val="129"/>
          </rPr>
          <t>부합하고</t>
        </r>
        <r>
          <rPr>
            <sz val="8"/>
            <color indexed="81"/>
            <rFont val="Tahoma"/>
            <family val="2"/>
          </rPr>
          <t xml:space="preserve">, </t>
        </r>
        <r>
          <rPr>
            <sz val="8"/>
            <color indexed="81"/>
            <rFont val="돋움"/>
            <family val="3"/>
            <charset val="129"/>
          </rPr>
          <t>기술의</t>
        </r>
        <r>
          <rPr>
            <sz val="8"/>
            <color indexed="81"/>
            <rFont val="Tahoma"/>
            <family val="2"/>
          </rPr>
          <t xml:space="preserve"> </t>
        </r>
        <r>
          <rPr>
            <sz val="8"/>
            <color indexed="81"/>
            <rFont val="돋움"/>
            <family val="3"/>
            <charset val="129"/>
          </rPr>
          <t>활용을</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경제적</t>
        </r>
        <r>
          <rPr>
            <sz val="8"/>
            <color indexed="81"/>
            <rFont val="Tahoma"/>
            <family val="2"/>
          </rPr>
          <t xml:space="preserve"> </t>
        </r>
        <r>
          <rPr>
            <sz val="8"/>
            <color indexed="81"/>
            <rFont val="돋움"/>
            <family val="3"/>
            <charset val="129"/>
          </rPr>
          <t>이익을</t>
        </r>
        <r>
          <rPr>
            <sz val="8"/>
            <color indexed="81"/>
            <rFont val="Tahoma"/>
            <family val="2"/>
          </rPr>
          <t xml:space="preserve"> </t>
        </r>
        <r>
          <rPr>
            <sz val="8"/>
            <color indexed="81"/>
            <rFont val="돋움"/>
            <family val="3"/>
            <charset val="129"/>
          </rPr>
          <t>창출할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기술인지를</t>
        </r>
        <r>
          <rPr>
            <sz val="8"/>
            <color indexed="81"/>
            <rFont val="Tahoma"/>
            <family val="2"/>
          </rPr>
          <t xml:space="preserve"> </t>
        </r>
        <r>
          <rPr>
            <sz val="8"/>
            <color indexed="81"/>
            <rFont val="돋움"/>
            <family val="3"/>
            <charset val="129"/>
          </rPr>
          <t>평가함</t>
        </r>
      </text>
    </comment>
    <comment ref="J37" authorId="2" shapeId="0" xr:uid="{00000000-0006-0000-0200-000021000000}">
      <text>
        <r>
          <rPr>
            <sz val="8"/>
            <color indexed="81"/>
            <rFont val="돋움"/>
            <family val="3"/>
            <charset val="129"/>
          </rPr>
          <t>기술사업화까지</t>
        </r>
        <r>
          <rPr>
            <sz val="8"/>
            <color indexed="81"/>
            <rFont val="Tahoma"/>
            <family val="2"/>
          </rPr>
          <t xml:space="preserve"> </t>
        </r>
        <r>
          <rPr>
            <sz val="8"/>
            <color indexed="81"/>
            <rFont val="돋움"/>
            <family val="3"/>
            <charset val="129"/>
          </rPr>
          <t>소요되는</t>
        </r>
        <r>
          <rPr>
            <sz val="8"/>
            <color indexed="81"/>
            <rFont val="Tahoma"/>
            <family val="2"/>
          </rPr>
          <t xml:space="preserve"> </t>
        </r>
        <r>
          <rPr>
            <sz val="8"/>
            <color indexed="81"/>
            <rFont val="돋움"/>
            <family val="3"/>
            <charset val="129"/>
          </rPr>
          <t>준비기간이</t>
        </r>
        <r>
          <rPr>
            <sz val="8"/>
            <color indexed="81"/>
            <rFont val="Tahoma"/>
            <family val="2"/>
          </rPr>
          <t xml:space="preserve"> </t>
        </r>
        <r>
          <rPr>
            <sz val="8"/>
            <color indexed="81"/>
            <rFont val="돋움"/>
            <family val="3"/>
            <charset val="129"/>
          </rPr>
          <t>어느</t>
        </r>
        <r>
          <rPr>
            <sz val="8"/>
            <color indexed="81"/>
            <rFont val="Tahoma"/>
            <family val="2"/>
          </rPr>
          <t xml:space="preserve"> </t>
        </r>
        <r>
          <rPr>
            <sz val="8"/>
            <color indexed="81"/>
            <rFont val="돋움"/>
            <family val="3"/>
            <charset val="129"/>
          </rPr>
          <t>정도인지를</t>
        </r>
        <r>
          <rPr>
            <sz val="8"/>
            <color indexed="81"/>
            <rFont val="Tahoma"/>
            <family val="2"/>
          </rPr>
          <t xml:space="preserve"> </t>
        </r>
        <r>
          <rPr>
            <sz val="8"/>
            <color indexed="81"/>
            <rFont val="돋움"/>
            <family val="3"/>
            <charset val="129"/>
          </rPr>
          <t>평가함</t>
        </r>
      </text>
    </comment>
    <comment ref="E38" authorId="2" shapeId="0" xr:uid="{00000000-0006-0000-0200-000022000000}">
      <text>
        <r>
          <rPr>
            <sz val="8"/>
            <color indexed="81"/>
            <rFont val="돋움"/>
            <family val="3"/>
            <charset val="129"/>
          </rPr>
          <t>대상기술이 속해 있는 기술분야에서의 기술개발 동향 및 연구개발 추세 등을 고려하여 대상기술군의 전망 성을 평가함.</t>
        </r>
      </text>
    </comment>
    <comment ref="J38" authorId="2" shapeId="0" xr:uid="{00000000-0006-0000-0200-000023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E39" authorId="2" shapeId="0" xr:uid="{00000000-0006-0000-0200-000024000000}">
      <text>
        <r>
          <rPr>
            <sz val="8"/>
            <color indexed="81"/>
            <rFont val="돋움"/>
            <family val="3"/>
            <charset val="129"/>
          </rPr>
          <t>대상기술이</t>
        </r>
        <r>
          <rPr>
            <sz val="8"/>
            <color indexed="81"/>
            <rFont val="Tahoma"/>
            <family val="2"/>
          </rPr>
          <t xml:space="preserve"> </t>
        </r>
        <r>
          <rPr>
            <sz val="8"/>
            <color indexed="81"/>
            <rFont val="돋움"/>
            <family val="3"/>
            <charset val="129"/>
          </rPr>
          <t>현재</t>
        </r>
        <r>
          <rPr>
            <sz val="8"/>
            <color indexed="81"/>
            <rFont val="Tahoma"/>
            <family val="2"/>
          </rPr>
          <t xml:space="preserve"> </t>
        </r>
        <r>
          <rPr>
            <sz val="8"/>
            <color indexed="81"/>
            <rFont val="돋움"/>
            <family val="3"/>
            <charset val="129"/>
          </rPr>
          <t>적용될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시장</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제품</t>
        </r>
        <r>
          <rPr>
            <sz val="8"/>
            <color indexed="81"/>
            <rFont val="Tahoma"/>
            <family val="2"/>
          </rPr>
          <t xml:space="preserve"> </t>
        </r>
        <r>
          <rPr>
            <sz val="8"/>
            <color indexed="81"/>
            <rFont val="돋움"/>
            <family val="3"/>
            <charset val="129"/>
          </rPr>
          <t>이외에</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응응</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융합기술의</t>
        </r>
        <r>
          <rPr>
            <sz val="8"/>
            <color indexed="81"/>
            <rFont val="Tahoma"/>
            <family val="2"/>
          </rPr>
          <t xml:space="preserve"> </t>
        </r>
        <r>
          <rPr>
            <sz val="8"/>
            <color indexed="81"/>
            <rFont val="돋움"/>
            <family val="3"/>
            <charset val="129"/>
          </rPr>
          <t>개발에</t>
        </r>
        <r>
          <rPr>
            <sz val="8"/>
            <color indexed="81"/>
            <rFont val="Tahoma"/>
            <family val="2"/>
          </rPr>
          <t xml:space="preserve"> </t>
        </r>
        <r>
          <rPr>
            <sz val="8"/>
            <color indexed="81"/>
            <rFont val="돋움"/>
            <family val="3"/>
            <charset val="129"/>
          </rPr>
          <t>적용될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39" authorId="2" shapeId="0" xr:uid="{00000000-0006-0000-0200-000025000000}">
      <text>
        <r>
          <rPr>
            <sz val="8"/>
            <color indexed="81"/>
            <rFont val="돋움"/>
            <family val="3"/>
            <charset val="129"/>
          </rPr>
          <t>대상기술의</t>
        </r>
        <r>
          <rPr>
            <sz val="8"/>
            <color indexed="81"/>
            <rFont val="Tahoma"/>
            <family val="2"/>
          </rPr>
          <t xml:space="preserve"> </t>
        </r>
        <r>
          <rPr>
            <sz val="8"/>
            <color indexed="81"/>
            <rFont val="돋움"/>
            <family val="3"/>
            <charset val="129"/>
          </rPr>
          <t>사업화를</t>
        </r>
        <r>
          <rPr>
            <sz val="8"/>
            <color indexed="81"/>
            <rFont val="Tahoma"/>
            <family val="2"/>
          </rPr>
          <t xml:space="preserve"> </t>
        </r>
        <r>
          <rPr>
            <sz val="8"/>
            <color indexed="81"/>
            <rFont val="돋움"/>
            <family val="3"/>
            <charset val="129"/>
          </rPr>
          <t>위해</t>
        </r>
        <r>
          <rPr>
            <sz val="8"/>
            <color indexed="81"/>
            <rFont val="Tahoma"/>
            <family val="2"/>
          </rPr>
          <t xml:space="preserve"> </t>
        </r>
        <r>
          <rPr>
            <sz val="8"/>
            <color indexed="81"/>
            <rFont val="돋움"/>
            <family val="3"/>
            <charset val="129"/>
          </rPr>
          <t>필요한</t>
        </r>
        <r>
          <rPr>
            <sz val="8"/>
            <color indexed="81"/>
            <rFont val="Tahoma"/>
            <family val="2"/>
          </rPr>
          <t xml:space="preserve"> </t>
        </r>
        <r>
          <rPr>
            <sz val="8"/>
            <color indexed="81"/>
            <rFont val="돋움"/>
            <family val="3"/>
            <charset val="129"/>
          </rPr>
          <t>소요자본</t>
        </r>
        <r>
          <rPr>
            <sz val="8"/>
            <color indexed="81"/>
            <rFont val="Tahoma"/>
            <family val="2"/>
          </rPr>
          <t xml:space="preserve"> </t>
        </r>
        <r>
          <rPr>
            <sz val="8"/>
            <color indexed="81"/>
            <rFont val="돋움"/>
            <family val="3"/>
            <charset val="129"/>
          </rPr>
          <t>규모를</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자본적지출</t>
        </r>
        <r>
          <rPr>
            <sz val="8"/>
            <color indexed="81"/>
            <rFont val="Tahoma"/>
            <family val="2"/>
          </rPr>
          <t xml:space="preserve"> </t>
        </r>
        <r>
          <rPr>
            <sz val="8"/>
            <color indexed="81"/>
            <rFont val="돋움"/>
            <family val="3"/>
            <charset val="129"/>
          </rPr>
          <t>합계를</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평가함</t>
        </r>
      </text>
    </comment>
    <comment ref="E40" authorId="2" shapeId="0" xr:uid="{00000000-0006-0000-0200-000026000000}">
      <text>
        <r>
          <rPr>
            <sz val="8"/>
            <color indexed="81"/>
            <rFont val="Tahoma"/>
            <family val="2"/>
          </rPr>
          <t xml:space="preserve">TCT </t>
        </r>
        <r>
          <rPr>
            <sz val="8"/>
            <color indexed="81"/>
            <rFont val="돋움"/>
            <family val="3"/>
            <charset val="129"/>
          </rPr>
          <t>지수의</t>
        </r>
        <r>
          <rPr>
            <sz val="8"/>
            <color indexed="81"/>
            <rFont val="Tahoma"/>
            <family val="2"/>
          </rPr>
          <t xml:space="preserve"> Q2 </t>
        </r>
        <r>
          <rPr>
            <sz val="8"/>
            <color indexed="81"/>
            <rFont val="돋움"/>
            <family val="3"/>
            <charset val="129"/>
          </rPr>
          <t>값의</t>
        </r>
        <r>
          <rPr>
            <sz val="8"/>
            <color indexed="81"/>
            <rFont val="Tahoma"/>
            <family val="2"/>
          </rPr>
          <t xml:space="preserve"> </t>
        </r>
        <r>
          <rPr>
            <sz val="8"/>
            <color indexed="81"/>
            <rFont val="돋움"/>
            <family val="3"/>
            <charset val="129"/>
          </rPr>
          <t>분포로부터</t>
        </r>
        <r>
          <rPr>
            <sz val="8"/>
            <color indexed="81"/>
            <rFont val="Tahoma"/>
            <family val="2"/>
          </rPr>
          <t xml:space="preserve"> </t>
        </r>
        <r>
          <rPr>
            <sz val="8"/>
            <color indexed="81"/>
            <rFont val="돋움"/>
            <family val="3"/>
            <charset val="129"/>
          </rPr>
          <t>설정된</t>
        </r>
        <r>
          <rPr>
            <sz val="8"/>
            <color indexed="81"/>
            <rFont val="Tahoma"/>
            <family val="2"/>
          </rPr>
          <t xml:space="preserve"> </t>
        </r>
        <r>
          <rPr>
            <sz val="8"/>
            <color indexed="81"/>
            <rFont val="돋움"/>
            <family val="3"/>
            <charset val="129"/>
          </rPr>
          <t>기준에</t>
        </r>
        <r>
          <rPr>
            <sz val="8"/>
            <color indexed="81"/>
            <rFont val="Tahoma"/>
            <family val="2"/>
          </rPr>
          <t xml:space="preserve"> </t>
        </r>
        <r>
          <rPr>
            <sz val="8"/>
            <color indexed="81"/>
            <rFont val="돋움"/>
            <family val="3"/>
            <charset val="129"/>
          </rPr>
          <t>의하여</t>
        </r>
        <r>
          <rPr>
            <sz val="8"/>
            <color indexed="81"/>
            <rFont val="Tahoma"/>
            <family val="2"/>
          </rPr>
          <t xml:space="preserve"> </t>
        </r>
        <r>
          <rPr>
            <sz val="8"/>
            <color indexed="81"/>
            <rFont val="돋움"/>
            <family val="3"/>
            <charset val="129"/>
          </rPr>
          <t>평가함</t>
        </r>
      </text>
    </comment>
    <comment ref="J40" authorId="2" shapeId="0" xr:uid="{00000000-0006-0000-0200-000027000000}">
      <text>
        <r>
          <rPr>
            <sz val="8"/>
            <color indexed="81"/>
            <rFont val="돋움"/>
            <family val="3"/>
            <charset val="129"/>
          </rPr>
          <t>제품을</t>
        </r>
        <r>
          <rPr>
            <sz val="8"/>
            <color indexed="81"/>
            <rFont val="Tahoma"/>
            <family val="2"/>
          </rPr>
          <t xml:space="preserve"> </t>
        </r>
        <r>
          <rPr>
            <sz val="8"/>
            <color indexed="81"/>
            <rFont val="돋움"/>
            <family val="3"/>
            <charset val="129"/>
          </rPr>
          <t>생산하는</t>
        </r>
        <r>
          <rPr>
            <sz val="8"/>
            <color indexed="81"/>
            <rFont val="Tahoma"/>
            <family val="2"/>
          </rPr>
          <t xml:space="preserve"> </t>
        </r>
        <r>
          <rPr>
            <sz val="8"/>
            <color indexed="81"/>
            <rFont val="돋움"/>
            <family val="3"/>
            <charset val="129"/>
          </rPr>
          <t>데</t>
        </r>
        <r>
          <rPr>
            <sz val="8"/>
            <color indexed="81"/>
            <rFont val="Tahoma"/>
            <family val="2"/>
          </rPr>
          <t xml:space="preserve"> </t>
        </r>
        <r>
          <rPr>
            <sz val="8"/>
            <color indexed="81"/>
            <rFont val="돋움"/>
            <family val="3"/>
            <charset val="129"/>
          </rPr>
          <t>필요한</t>
        </r>
        <r>
          <rPr>
            <sz val="8"/>
            <color indexed="81"/>
            <rFont val="Tahoma"/>
            <family val="2"/>
          </rPr>
          <t xml:space="preserve"> </t>
        </r>
        <r>
          <rPr>
            <sz val="8"/>
            <color indexed="81"/>
            <rFont val="돋움"/>
            <family val="3"/>
            <charset val="129"/>
          </rPr>
          <t>생산활동과</t>
        </r>
        <r>
          <rPr>
            <sz val="8"/>
            <color indexed="81"/>
            <rFont val="Tahoma"/>
            <family val="2"/>
          </rPr>
          <t xml:space="preserve"> </t>
        </r>
        <r>
          <rPr>
            <sz val="8"/>
            <color indexed="81"/>
            <rFont val="돋움"/>
            <family val="3"/>
            <charset val="129"/>
          </rPr>
          <t>관련된</t>
        </r>
        <r>
          <rPr>
            <sz val="8"/>
            <color indexed="81"/>
            <rFont val="Tahoma"/>
            <family val="2"/>
          </rPr>
          <t xml:space="preserve"> </t>
        </r>
        <r>
          <rPr>
            <sz val="8"/>
            <color indexed="81"/>
            <rFont val="돋움"/>
            <family val="3"/>
            <charset val="129"/>
          </rPr>
          <t>생산인력</t>
        </r>
        <r>
          <rPr>
            <sz val="8"/>
            <color indexed="81"/>
            <rFont val="Tahoma"/>
            <family val="2"/>
          </rPr>
          <t xml:space="preserve">, </t>
        </r>
        <r>
          <rPr>
            <sz val="8"/>
            <color indexed="81"/>
            <rFont val="돋움"/>
            <family val="3"/>
            <charset val="129"/>
          </rPr>
          <t>재료</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부품가격</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41" authorId="2" shapeId="0" xr:uid="{00000000-0006-0000-0200-000028000000}">
      <text>
        <r>
          <rPr>
            <sz val="8"/>
            <color indexed="81"/>
            <rFont val="돋움"/>
            <family val="3"/>
            <charset val="129"/>
          </rPr>
          <t>기술수준의</t>
        </r>
        <r>
          <rPr>
            <sz val="8"/>
            <color indexed="81"/>
            <rFont val="Tahoma"/>
            <family val="2"/>
          </rPr>
          <t xml:space="preserve"> </t>
        </r>
        <r>
          <rPr>
            <sz val="8"/>
            <color indexed="81"/>
            <rFont val="돋움"/>
            <family val="3"/>
            <charset val="129"/>
          </rPr>
          <t>고도성</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복잡성으로</t>
        </r>
        <r>
          <rPr>
            <sz val="8"/>
            <color indexed="81"/>
            <rFont val="Tahoma"/>
            <family val="2"/>
          </rPr>
          <t xml:space="preserve"> </t>
        </r>
        <r>
          <rPr>
            <sz val="8"/>
            <color indexed="81"/>
            <rFont val="돋움"/>
            <family val="3"/>
            <charset val="129"/>
          </rPr>
          <t>인해</t>
        </r>
        <r>
          <rPr>
            <sz val="8"/>
            <color indexed="81"/>
            <rFont val="Tahoma"/>
            <family val="2"/>
          </rPr>
          <t xml:space="preserve"> </t>
        </r>
        <r>
          <rPr>
            <sz val="8"/>
            <color indexed="81"/>
            <rFont val="돋움"/>
            <family val="3"/>
            <charset val="129"/>
          </rPr>
          <t>모방이</t>
        </r>
        <r>
          <rPr>
            <sz val="8"/>
            <color indexed="81"/>
            <rFont val="Tahoma"/>
            <family val="2"/>
          </rPr>
          <t xml:space="preserve"> </t>
        </r>
        <r>
          <rPr>
            <sz val="8"/>
            <color indexed="81"/>
            <rFont val="돋움"/>
            <family val="3"/>
            <charset val="129"/>
          </rPr>
          <t>어려운</t>
        </r>
        <r>
          <rPr>
            <sz val="8"/>
            <color indexed="81"/>
            <rFont val="Tahoma"/>
            <family val="2"/>
          </rPr>
          <t xml:space="preserve"> </t>
        </r>
        <r>
          <rPr>
            <sz val="8"/>
            <color indexed="81"/>
            <rFont val="돋움"/>
            <family val="3"/>
            <charset val="129"/>
          </rPr>
          <t>정도를</t>
        </r>
        <r>
          <rPr>
            <sz val="8"/>
            <color indexed="81"/>
            <rFont val="Tahoma"/>
            <family val="2"/>
          </rPr>
          <t xml:space="preserve"> </t>
        </r>
        <r>
          <rPr>
            <sz val="8"/>
            <color indexed="81"/>
            <rFont val="돋움"/>
            <family val="3"/>
            <charset val="129"/>
          </rPr>
          <t>평가함</t>
        </r>
      </text>
    </comment>
    <comment ref="J41" authorId="2" shapeId="0" xr:uid="{00000000-0006-0000-0200-000029000000}">
      <text>
        <r>
          <rPr>
            <sz val="8"/>
            <color indexed="81"/>
            <rFont val="돋움"/>
            <family val="3"/>
            <charset val="129"/>
          </rPr>
          <t>기술의</t>
        </r>
        <r>
          <rPr>
            <sz val="8"/>
            <color indexed="81"/>
            <rFont val="Tahoma"/>
            <family val="2"/>
          </rPr>
          <t xml:space="preserve"> </t>
        </r>
        <r>
          <rPr>
            <sz val="8"/>
            <color indexed="81"/>
            <rFont val="돋움"/>
            <family val="3"/>
            <charset val="129"/>
          </rPr>
          <t>경제적</t>
        </r>
        <r>
          <rPr>
            <sz val="8"/>
            <color indexed="81"/>
            <rFont val="Tahoma"/>
            <family val="2"/>
          </rPr>
          <t xml:space="preserve"> </t>
        </r>
        <r>
          <rPr>
            <sz val="8"/>
            <color indexed="81"/>
            <rFont val="돋움"/>
            <family val="3"/>
            <charset val="129"/>
          </rPr>
          <t>수명을</t>
        </r>
        <r>
          <rPr>
            <sz val="8"/>
            <color indexed="81"/>
            <rFont val="Tahoma"/>
            <family val="2"/>
          </rPr>
          <t xml:space="preserve"> </t>
        </r>
        <r>
          <rPr>
            <sz val="8"/>
            <color indexed="81"/>
            <rFont val="돋움"/>
            <family val="3"/>
            <charset val="129"/>
          </rPr>
          <t>산출한</t>
        </r>
        <r>
          <rPr>
            <sz val="8"/>
            <color indexed="81"/>
            <rFont val="Tahoma"/>
            <family val="2"/>
          </rPr>
          <t xml:space="preserve"> </t>
        </r>
        <r>
          <rPr>
            <sz val="8"/>
            <color indexed="81"/>
            <rFont val="돋움"/>
            <family val="3"/>
            <charset val="129"/>
          </rPr>
          <t>결과를</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평가함</t>
        </r>
      </text>
    </comment>
    <comment ref="E42" authorId="2" shapeId="0" xr:uid="{00000000-0006-0000-0200-00002A000000}">
      <text>
        <r>
          <rPr>
            <sz val="8"/>
            <color indexed="81"/>
            <rFont val="돋움"/>
            <family val="3"/>
            <charset val="129"/>
          </rPr>
          <t>권리범위의</t>
        </r>
        <r>
          <rPr>
            <sz val="8"/>
            <color indexed="81"/>
            <rFont val="Tahoma"/>
            <family val="2"/>
          </rPr>
          <t xml:space="preserve"> </t>
        </r>
        <r>
          <rPr>
            <sz val="8"/>
            <color indexed="81"/>
            <rFont val="돋움"/>
            <family val="3"/>
            <charset val="129"/>
          </rPr>
          <t>명확성과</t>
        </r>
        <r>
          <rPr>
            <sz val="8"/>
            <color indexed="81"/>
            <rFont val="Tahoma"/>
            <family val="2"/>
          </rPr>
          <t xml:space="preserve"> </t>
        </r>
        <r>
          <rPr>
            <sz val="8"/>
            <color indexed="81"/>
            <rFont val="돋움"/>
            <family val="3"/>
            <charset val="129"/>
          </rPr>
          <t>보호강도를</t>
        </r>
        <r>
          <rPr>
            <sz val="8"/>
            <color indexed="81"/>
            <rFont val="Tahoma"/>
            <family val="2"/>
          </rPr>
          <t xml:space="preserve"> </t>
        </r>
        <r>
          <rPr>
            <sz val="8"/>
            <color indexed="81"/>
            <rFont val="돋움"/>
            <family val="3"/>
            <charset val="129"/>
          </rPr>
          <t>평가함</t>
        </r>
      </text>
    </comment>
    <comment ref="J42" authorId="2" shapeId="0" xr:uid="{00000000-0006-0000-0200-00002B000000}">
      <text>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매출액</t>
        </r>
        <r>
          <rPr>
            <sz val="8"/>
            <color indexed="81"/>
            <rFont val="Tahoma"/>
            <family val="2"/>
          </rPr>
          <t xml:space="preserve"> </t>
        </r>
        <r>
          <rPr>
            <sz val="8"/>
            <color indexed="81"/>
            <rFont val="돋움"/>
            <family val="3"/>
            <charset val="129"/>
          </rPr>
          <t>성장률과</t>
        </r>
        <r>
          <rPr>
            <sz val="8"/>
            <color indexed="81"/>
            <rFont val="Tahoma"/>
            <family val="2"/>
          </rPr>
          <t xml:space="preserve"> </t>
        </r>
        <r>
          <rPr>
            <sz val="8"/>
            <color indexed="81"/>
            <rFont val="돋움"/>
            <family val="3"/>
            <charset val="129"/>
          </rPr>
          <t>동업종의</t>
        </r>
        <r>
          <rPr>
            <sz val="8"/>
            <color indexed="81"/>
            <rFont val="Tahoma"/>
            <family val="2"/>
          </rPr>
          <t xml:space="preserve"> </t>
        </r>
        <r>
          <rPr>
            <sz val="8"/>
            <color indexed="81"/>
            <rFont val="돋움"/>
            <family val="3"/>
            <charset val="129"/>
          </rPr>
          <t>최근</t>
        </r>
        <r>
          <rPr>
            <sz val="8"/>
            <color indexed="81"/>
            <rFont val="Tahoma"/>
            <family val="2"/>
          </rPr>
          <t xml:space="preserve"> 3</t>
        </r>
        <r>
          <rPr>
            <sz val="8"/>
            <color indexed="81"/>
            <rFont val="돋움"/>
            <family val="3"/>
            <charset val="129"/>
          </rPr>
          <t>년간</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매출액</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비교하여</t>
        </r>
        <r>
          <rPr>
            <sz val="8"/>
            <color indexed="81"/>
            <rFont val="Tahoma"/>
            <family val="2"/>
          </rPr>
          <t xml:space="preserve"> </t>
        </r>
        <r>
          <rPr>
            <sz val="8"/>
            <color indexed="81"/>
            <rFont val="돋움"/>
            <family val="3"/>
            <charset val="129"/>
          </rPr>
          <t>평가함</t>
        </r>
      </text>
    </comment>
    <comment ref="E43" authorId="2" shapeId="0" xr:uid="{00000000-0006-0000-0200-00002C000000}">
      <text>
        <r>
          <rPr>
            <sz val="8"/>
            <color indexed="81"/>
            <rFont val="돋움"/>
            <family val="3"/>
            <charset val="129"/>
          </rPr>
          <t>선행특허</t>
        </r>
        <r>
          <rPr>
            <sz val="8"/>
            <color indexed="81"/>
            <rFont val="Tahoma"/>
            <family val="2"/>
          </rPr>
          <t xml:space="preserve"> </t>
        </r>
        <r>
          <rPr>
            <sz val="8"/>
            <color indexed="81"/>
            <rFont val="돋움"/>
            <family val="3"/>
            <charset val="129"/>
          </rPr>
          <t>분석결과에</t>
        </r>
        <r>
          <rPr>
            <sz val="8"/>
            <color indexed="81"/>
            <rFont val="Tahoma"/>
            <family val="2"/>
          </rPr>
          <t xml:space="preserve"> </t>
        </r>
        <r>
          <rPr>
            <sz val="8"/>
            <color indexed="81"/>
            <rFont val="돋움"/>
            <family val="3"/>
            <charset val="129"/>
          </rPr>
          <t>근거하여</t>
        </r>
        <r>
          <rPr>
            <sz val="8"/>
            <color indexed="81"/>
            <rFont val="Tahoma"/>
            <family val="2"/>
          </rPr>
          <t xml:space="preserve"> </t>
        </r>
        <r>
          <rPr>
            <sz val="8"/>
            <color indexed="81"/>
            <rFont val="돋움"/>
            <family val="3"/>
            <charset val="129"/>
          </rPr>
          <t>등록된</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무효화되지</t>
        </r>
        <r>
          <rPr>
            <sz val="8"/>
            <color indexed="81"/>
            <rFont val="Tahoma"/>
            <family val="2"/>
          </rPr>
          <t xml:space="preserve"> </t>
        </r>
        <r>
          <rPr>
            <sz val="8"/>
            <color indexed="81"/>
            <rFont val="돋움"/>
            <family val="3"/>
            <charset val="129"/>
          </rPr>
          <t>않고</t>
        </r>
        <r>
          <rPr>
            <sz val="8"/>
            <color indexed="81"/>
            <rFont val="Tahoma"/>
            <family val="2"/>
          </rPr>
          <t xml:space="preserve"> </t>
        </r>
        <r>
          <rPr>
            <sz val="8"/>
            <color indexed="81"/>
            <rFont val="돋움"/>
            <family val="3"/>
            <charset val="129"/>
          </rPr>
          <t>안정적으로</t>
        </r>
        <r>
          <rPr>
            <sz val="8"/>
            <color indexed="81"/>
            <rFont val="Tahoma"/>
            <family val="2"/>
          </rPr>
          <t xml:space="preserve"> </t>
        </r>
        <r>
          <rPr>
            <sz val="8"/>
            <color indexed="81"/>
            <rFont val="돋움"/>
            <family val="3"/>
            <charset val="129"/>
          </rPr>
          <t>유지될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43" authorId="2" shapeId="0" xr:uid="{00000000-0006-0000-0200-00002D000000}">
      <text>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향후</t>
        </r>
        <r>
          <rPr>
            <sz val="8"/>
            <color indexed="81"/>
            <rFont val="Tahoma"/>
            <family val="2"/>
          </rPr>
          <t xml:space="preserve"> 5</t>
        </r>
        <r>
          <rPr>
            <sz val="8"/>
            <color indexed="81"/>
            <rFont val="돋움"/>
            <family val="3"/>
            <charset val="129"/>
          </rPr>
          <t>년간</t>
        </r>
        <r>
          <rPr>
            <sz val="8"/>
            <color indexed="81"/>
            <rFont val="Tahoma"/>
            <family val="2"/>
          </rPr>
          <t xml:space="preserve"> </t>
        </r>
        <r>
          <rPr>
            <sz val="8"/>
            <color indexed="81"/>
            <rFont val="돋움"/>
            <family val="3"/>
            <charset val="129"/>
          </rPr>
          <t>예측된</t>
        </r>
        <r>
          <rPr>
            <sz val="8"/>
            <color indexed="81"/>
            <rFont val="Tahoma"/>
            <family val="2"/>
          </rPr>
          <t xml:space="preserve"> </t>
        </r>
        <r>
          <rPr>
            <sz val="8"/>
            <color indexed="81"/>
            <rFont val="돋움"/>
            <family val="3"/>
            <charset val="129"/>
          </rPr>
          <t>시장규모를</t>
        </r>
        <r>
          <rPr>
            <sz val="8"/>
            <color indexed="81"/>
            <rFont val="Tahoma"/>
            <family val="2"/>
          </rPr>
          <t xml:space="preserve"> </t>
        </r>
        <r>
          <rPr>
            <sz val="8"/>
            <color indexed="81"/>
            <rFont val="돋움"/>
            <family val="3"/>
            <charset val="129"/>
          </rPr>
          <t>활용하여</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산출하여</t>
        </r>
        <r>
          <rPr>
            <sz val="8"/>
            <color indexed="81"/>
            <rFont val="Tahoma"/>
            <family val="2"/>
          </rPr>
          <t xml:space="preserve"> </t>
        </r>
        <r>
          <rPr>
            <sz val="8"/>
            <color indexed="81"/>
            <rFont val="돋움"/>
            <family val="3"/>
            <charset val="129"/>
          </rPr>
          <t>평가함</t>
        </r>
        <r>
          <rPr>
            <sz val="8"/>
            <color indexed="81"/>
            <rFont val="Tahoma"/>
            <family val="2"/>
          </rPr>
          <t>.</t>
        </r>
      </text>
    </comment>
    <comment ref="E44" authorId="2" shapeId="0" xr:uid="{00000000-0006-0000-0200-00002E000000}">
      <text>
        <r>
          <rPr>
            <sz val="8"/>
            <color indexed="81"/>
            <rFont val="돋움"/>
            <family val="3"/>
            <charset val="129"/>
          </rPr>
          <t>특허침해의</t>
        </r>
        <r>
          <rPr>
            <sz val="8"/>
            <color indexed="81"/>
            <rFont val="Tahoma"/>
            <family val="2"/>
          </rPr>
          <t xml:space="preserve"> </t>
        </r>
        <r>
          <rPr>
            <sz val="8"/>
            <color indexed="81"/>
            <rFont val="돋움"/>
            <family val="3"/>
            <charset val="129"/>
          </rPr>
          <t>발견이</t>
        </r>
        <r>
          <rPr>
            <sz val="8"/>
            <color indexed="81"/>
            <rFont val="Tahoma"/>
            <family val="2"/>
          </rPr>
          <t xml:space="preserve"> </t>
        </r>
        <r>
          <rPr>
            <sz val="8"/>
            <color indexed="81"/>
            <rFont val="돋움"/>
            <family val="3"/>
            <charset val="129"/>
          </rPr>
          <t>얼마나</t>
        </r>
        <r>
          <rPr>
            <sz val="8"/>
            <color indexed="81"/>
            <rFont val="Tahoma"/>
            <family val="2"/>
          </rPr>
          <t xml:space="preserve"> </t>
        </r>
        <r>
          <rPr>
            <sz val="8"/>
            <color indexed="81"/>
            <rFont val="돋움"/>
            <family val="3"/>
            <charset val="129"/>
          </rPr>
          <t>용이한가</t>
        </r>
        <r>
          <rPr>
            <sz val="8"/>
            <color indexed="81"/>
            <rFont val="Tahoma"/>
            <family val="2"/>
          </rPr>
          <t xml:space="preserve">, </t>
        </r>
        <r>
          <rPr>
            <sz val="8"/>
            <color indexed="81"/>
            <rFont val="돋움"/>
            <family val="3"/>
            <charset val="129"/>
          </rPr>
          <t>특허침해</t>
        </r>
        <r>
          <rPr>
            <sz val="8"/>
            <color indexed="81"/>
            <rFont val="Tahoma"/>
            <family val="2"/>
          </rPr>
          <t xml:space="preserve"> </t>
        </r>
        <r>
          <rPr>
            <sz val="8"/>
            <color indexed="81"/>
            <rFont val="돋움"/>
            <family val="3"/>
            <charset val="129"/>
          </rPr>
          <t>입증을</t>
        </r>
        <r>
          <rPr>
            <sz val="8"/>
            <color indexed="81"/>
            <rFont val="Tahoma"/>
            <family val="2"/>
          </rPr>
          <t xml:space="preserve"> </t>
        </r>
        <r>
          <rPr>
            <sz val="8"/>
            <color indexed="81"/>
            <rFont val="돋움"/>
            <family val="3"/>
            <charset val="129"/>
          </rPr>
          <t>위해</t>
        </r>
        <r>
          <rPr>
            <sz val="8"/>
            <color indexed="81"/>
            <rFont val="Tahoma"/>
            <family val="2"/>
          </rPr>
          <t xml:space="preserve"> </t>
        </r>
        <r>
          <rPr>
            <sz val="8"/>
            <color indexed="81"/>
            <rFont val="돋움"/>
            <family val="3"/>
            <charset val="129"/>
          </rPr>
          <t>어느</t>
        </r>
        <r>
          <rPr>
            <sz val="8"/>
            <color indexed="81"/>
            <rFont val="Tahoma"/>
            <family val="2"/>
          </rPr>
          <t xml:space="preserve"> </t>
        </r>
        <r>
          <rPr>
            <sz val="8"/>
            <color indexed="81"/>
            <rFont val="돋움"/>
            <family val="3"/>
            <charset val="129"/>
          </rPr>
          <t>정도의</t>
        </r>
        <r>
          <rPr>
            <sz val="8"/>
            <color indexed="81"/>
            <rFont val="Tahoma"/>
            <family val="2"/>
          </rPr>
          <t xml:space="preserve"> </t>
        </r>
        <r>
          <rPr>
            <sz val="8"/>
            <color indexed="81"/>
            <rFont val="돋움"/>
            <family val="3"/>
            <charset val="129"/>
          </rPr>
          <t>노력과</t>
        </r>
        <r>
          <rPr>
            <sz val="8"/>
            <color indexed="81"/>
            <rFont val="Tahoma"/>
            <family val="2"/>
          </rPr>
          <t xml:space="preserve"> </t>
        </r>
        <r>
          <rPr>
            <sz val="8"/>
            <color indexed="81"/>
            <rFont val="돋움"/>
            <family val="3"/>
            <charset val="129"/>
          </rPr>
          <t>비용이</t>
        </r>
        <r>
          <rPr>
            <sz val="8"/>
            <color indexed="81"/>
            <rFont val="Tahoma"/>
            <family val="2"/>
          </rPr>
          <t xml:space="preserve"> </t>
        </r>
        <r>
          <rPr>
            <sz val="8"/>
            <color indexed="81"/>
            <rFont val="돋움"/>
            <family val="3"/>
            <charset val="129"/>
          </rPr>
          <t>필요한가를</t>
        </r>
        <r>
          <rPr>
            <sz val="8"/>
            <color indexed="81"/>
            <rFont val="Tahoma"/>
            <family val="2"/>
          </rPr>
          <t xml:space="preserve"> </t>
        </r>
        <r>
          <rPr>
            <sz val="8"/>
            <color indexed="81"/>
            <rFont val="돋움"/>
            <family val="3"/>
            <charset val="129"/>
          </rPr>
          <t>판단하여</t>
        </r>
        <r>
          <rPr>
            <sz val="8"/>
            <color indexed="81"/>
            <rFont val="Tahoma"/>
            <family val="2"/>
          </rPr>
          <t xml:space="preserve"> </t>
        </r>
        <r>
          <rPr>
            <sz val="8"/>
            <color indexed="81"/>
            <rFont val="돋움"/>
            <family val="3"/>
            <charset val="129"/>
          </rPr>
          <t>평가함</t>
        </r>
      </text>
    </comment>
    <comment ref="J44" authorId="2" shapeId="0" xr:uid="{00000000-0006-0000-0200-00002F000000}">
      <text>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영업이익율</t>
        </r>
        <r>
          <rPr>
            <sz val="8"/>
            <color indexed="81"/>
            <rFont val="Tahoma"/>
            <family val="2"/>
          </rPr>
          <t xml:space="preserve"> </t>
        </r>
        <r>
          <rPr>
            <sz val="8"/>
            <color indexed="81"/>
            <rFont val="돋움"/>
            <family val="3"/>
            <charset val="129"/>
          </rPr>
          <t>평균과</t>
        </r>
        <r>
          <rPr>
            <sz val="8"/>
            <color indexed="81"/>
            <rFont val="Tahoma"/>
            <family val="2"/>
          </rPr>
          <t xml:space="preserve"> </t>
        </r>
        <r>
          <rPr>
            <sz val="8"/>
            <color indexed="81"/>
            <rFont val="돋움"/>
            <family val="3"/>
            <charset val="129"/>
          </rPr>
          <t>동업종의</t>
        </r>
        <r>
          <rPr>
            <sz val="8"/>
            <color indexed="81"/>
            <rFont val="Tahoma"/>
            <family val="2"/>
          </rPr>
          <t xml:space="preserve"> </t>
        </r>
        <r>
          <rPr>
            <sz val="8"/>
            <color indexed="81"/>
            <rFont val="돋움"/>
            <family val="3"/>
            <charset val="129"/>
          </rPr>
          <t>최근</t>
        </r>
        <r>
          <rPr>
            <sz val="8"/>
            <color indexed="81"/>
            <rFont val="Tahoma"/>
            <family val="2"/>
          </rPr>
          <t xml:space="preserve"> 3</t>
        </r>
        <r>
          <rPr>
            <sz val="8"/>
            <color indexed="81"/>
            <rFont val="돋움"/>
            <family val="3"/>
            <charset val="129"/>
          </rPr>
          <t>년간</t>
        </r>
        <r>
          <rPr>
            <sz val="8"/>
            <color indexed="81"/>
            <rFont val="Tahoma"/>
            <family val="2"/>
          </rPr>
          <t xml:space="preserve"> </t>
        </r>
        <r>
          <rPr>
            <sz val="8"/>
            <color indexed="81"/>
            <rFont val="돋움"/>
            <family val="3"/>
            <charset val="129"/>
          </rPr>
          <t>평균</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비교하여</t>
        </r>
        <r>
          <rPr>
            <sz val="8"/>
            <color indexed="81"/>
            <rFont val="Tahoma"/>
            <family val="2"/>
          </rPr>
          <t xml:space="preserve"> </t>
        </r>
        <r>
          <rPr>
            <sz val="8"/>
            <color indexed="81"/>
            <rFont val="돋움"/>
            <family val="3"/>
            <charset val="129"/>
          </rPr>
          <t>평가함</t>
        </r>
      </text>
    </comment>
    <comment ref="E45" authorId="2" shapeId="0" xr:uid="{00000000-0006-0000-0200-000030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45" authorId="2" shapeId="0" xr:uid="{00000000-0006-0000-0200-000031000000}">
      <text>
        <r>
          <rPr>
            <sz val="8"/>
            <color indexed="81"/>
            <rFont val="돋움"/>
            <family val="3"/>
            <charset val="129"/>
          </rPr>
          <t>대상기술의</t>
        </r>
        <r>
          <rPr>
            <sz val="8"/>
            <color indexed="81"/>
            <rFont val="Tahoma"/>
            <family val="2"/>
          </rPr>
          <t xml:space="preserve"> </t>
        </r>
        <r>
          <rPr>
            <sz val="8"/>
            <color indexed="81"/>
            <rFont val="돋움"/>
            <family val="3"/>
            <charset val="129"/>
          </rPr>
          <t>도입</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사용으로</t>
        </r>
        <r>
          <rPr>
            <sz val="8"/>
            <color indexed="81"/>
            <rFont val="Tahoma"/>
            <family val="2"/>
          </rPr>
          <t xml:space="preserve"> </t>
        </r>
        <r>
          <rPr>
            <sz val="8"/>
            <color indexed="81"/>
            <rFont val="돋움"/>
            <family val="3"/>
            <charset val="129"/>
          </rPr>
          <t>인해</t>
        </r>
        <r>
          <rPr>
            <sz val="8"/>
            <color indexed="81"/>
            <rFont val="Tahoma"/>
            <family val="2"/>
          </rPr>
          <t xml:space="preserve"> </t>
        </r>
        <r>
          <rPr>
            <sz val="8"/>
            <color indexed="81"/>
            <rFont val="돋움"/>
            <family val="3"/>
            <charset val="129"/>
          </rPr>
          <t>타산업</t>
        </r>
        <r>
          <rPr>
            <sz val="8"/>
            <color indexed="81"/>
            <rFont val="Tahoma"/>
            <family val="2"/>
          </rPr>
          <t xml:space="preserve"> </t>
        </r>
        <r>
          <rPr>
            <sz val="8"/>
            <color indexed="81"/>
            <rFont val="돋움"/>
            <family val="3"/>
            <charset val="129"/>
          </rPr>
          <t>분야에서</t>
        </r>
        <r>
          <rPr>
            <sz val="8"/>
            <color indexed="81"/>
            <rFont val="Tahoma"/>
            <family val="2"/>
          </rPr>
          <t xml:space="preserve"> </t>
        </r>
        <r>
          <rPr>
            <sz val="8"/>
            <color indexed="81"/>
            <rFont val="돋움"/>
            <family val="3"/>
            <charset val="129"/>
          </rPr>
          <t>매출이</t>
        </r>
        <r>
          <rPr>
            <sz val="8"/>
            <color indexed="81"/>
            <rFont val="Tahoma"/>
            <family val="2"/>
          </rPr>
          <t xml:space="preserve"> </t>
        </r>
        <r>
          <rPr>
            <sz val="8"/>
            <color indexed="81"/>
            <rFont val="돋움"/>
            <family val="3"/>
            <charset val="129"/>
          </rPr>
          <t>발생할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D47" authorId="4" shapeId="0" xr:uid="{00000000-0006-0000-0200-000032000000}">
      <text>
        <r>
          <rPr>
            <sz val="16"/>
            <color indexed="81"/>
            <rFont val="돋움"/>
            <family val="3"/>
            <charset val="129"/>
          </rPr>
          <t>로열티</t>
        </r>
        <r>
          <rPr>
            <sz val="16"/>
            <color indexed="81"/>
            <rFont val="Tahoma"/>
            <family val="2"/>
          </rPr>
          <t xml:space="preserve">2 </t>
        </r>
      </text>
    </comment>
    <comment ref="F55" authorId="0" shapeId="0" xr:uid="{00000000-0006-0000-0200-000033000000}">
      <text>
        <r>
          <rPr>
            <b/>
            <sz val="9"/>
            <color indexed="81"/>
            <rFont val="Tahoma"/>
            <family val="2"/>
          </rPr>
          <t>user:</t>
        </r>
        <r>
          <rPr>
            <sz val="9"/>
            <color indexed="81"/>
            <rFont val="Tahoma"/>
            <family val="2"/>
          </rPr>
          <t xml:space="preserve">
</t>
        </r>
        <r>
          <rPr>
            <sz val="9"/>
            <color indexed="81"/>
            <rFont val="돋움"/>
            <family val="3"/>
            <charset val="129"/>
          </rPr>
          <t>구성기술</t>
        </r>
        <r>
          <rPr>
            <sz val="9"/>
            <color indexed="81"/>
            <rFont val="Tahoma"/>
            <family val="2"/>
          </rPr>
          <t xml:space="preserve"> </t>
        </r>
        <r>
          <rPr>
            <sz val="9"/>
            <color indexed="81"/>
            <rFont val="돋움"/>
            <family val="3"/>
            <charset val="129"/>
          </rPr>
          <t>비중</t>
        </r>
        <r>
          <rPr>
            <sz val="9"/>
            <color indexed="81"/>
            <rFont val="Tahoma"/>
            <family val="2"/>
          </rPr>
          <t xml:space="preserve"> </t>
        </r>
        <r>
          <rPr>
            <sz val="9"/>
            <color indexed="81"/>
            <rFont val="돋움"/>
            <family val="3"/>
            <charset val="129"/>
          </rPr>
          <t>합</t>
        </r>
        <r>
          <rPr>
            <sz val="9"/>
            <color indexed="81"/>
            <rFont val="Tahoma"/>
            <family val="2"/>
          </rPr>
          <t xml:space="preserve"> 100%</t>
        </r>
      </text>
    </comment>
    <comment ref="J55" authorId="0" shapeId="0" xr:uid="{00000000-0006-0000-0200-000034000000}">
      <text>
        <r>
          <rPr>
            <b/>
            <sz val="9"/>
            <color indexed="81"/>
            <rFont val="Tahoma"/>
            <family val="2"/>
          </rPr>
          <t>user:</t>
        </r>
        <r>
          <rPr>
            <sz val="9"/>
            <color indexed="81"/>
            <rFont val="Tahoma"/>
            <family val="2"/>
          </rPr>
          <t xml:space="preserve">
</t>
        </r>
        <r>
          <rPr>
            <sz val="9"/>
            <color indexed="81"/>
            <rFont val="돋움"/>
            <family val="3"/>
            <charset val="129"/>
          </rPr>
          <t>구성기술</t>
        </r>
        <r>
          <rPr>
            <sz val="9"/>
            <color indexed="81"/>
            <rFont val="Tahoma"/>
            <family val="2"/>
          </rPr>
          <t xml:space="preserve"> </t>
        </r>
        <r>
          <rPr>
            <sz val="9"/>
            <color indexed="81"/>
            <rFont val="돋움"/>
            <family val="3"/>
            <charset val="129"/>
          </rPr>
          <t>비중</t>
        </r>
        <r>
          <rPr>
            <sz val="9"/>
            <color indexed="81"/>
            <rFont val="Tahoma"/>
            <family val="2"/>
          </rPr>
          <t xml:space="preserve"> </t>
        </r>
        <r>
          <rPr>
            <sz val="9"/>
            <color indexed="81"/>
            <rFont val="돋움"/>
            <family val="3"/>
            <charset val="129"/>
          </rPr>
          <t>합</t>
        </r>
        <r>
          <rPr>
            <sz val="9"/>
            <color indexed="81"/>
            <rFont val="Tahoma"/>
            <family val="2"/>
          </rPr>
          <t xml:space="preserve"> 100%</t>
        </r>
      </text>
    </comment>
    <comment ref="F74" authorId="0" shapeId="0" xr:uid="{00000000-0006-0000-0200-000035000000}">
      <text>
        <r>
          <rPr>
            <b/>
            <sz val="9"/>
            <color indexed="81"/>
            <rFont val="맑은 고딕"/>
            <family val="3"/>
            <charset val="129"/>
          </rPr>
          <t>Ph.D. Yoon</t>
        </r>
        <r>
          <rPr>
            <b/>
            <sz val="9"/>
            <color indexed="81"/>
            <rFont val="Tahoma"/>
            <family val="2"/>
          </rPr>
          <t>:</t>
        </r>
        <r>
          <rPr>
            <sz val="9"/>
            <color indexed="81"/>
            <rFont val="Tahoma"/>
            <family val="2"/>
          </rPr>
          <t xml:space="preserve">
</t>
        </r>
        <r>
          <rPr>
            <b/>
            <sz val="9"/>
            <color indexed="10"/>
            <rFont val="맑은 고딕"/>
            <family val="3"/>
            <charset val="129"/>
          </rPr>
          <t xml:space="preserve">직접추정을 1순위로 선택하여 활용하되, </t>
        </r>
        <r>
          <rPr>
            <sz val="9"/>
            <color indexed="81"/>
            <rFont val="Tahoma"/>
            <family val="2"/>
          </rPr>
          <t xml:space="preserve">
</t>
        </r>
        <r>
          <rPr>
            <sz val="9"/>
            <color indexed="81"/>
            <rFont val="맑은 고딕"/>
            <family val="3"/>
            <charset val="129"/>
          </rPr>
          <t xml:space="preserve">만약 </t>
        </r>
        <r>
          <rPr>
            <sz val="9"/>
            <color indexed="81"/>
            <rFont val="돋움"/>
            <family val="3"/>
            <charset val="129"/>
          </rPr>
          <t>시장규모</t>
        </r>
        <r>
          <rPr>
            <sz val="9"/>
            <color indexed="81"/>
            <rFont val="Tahoma"/>
            <family val="2"/>
          </rPr>
          <t xml:space="preserve"> * </t>
        </r>
        <r>
          <rPr>
            <sz val="9"/>
            <color indexed="81"/>
            <rFont val="돋움"/>
            <family val="3"/>
            <charset val="129"/>
          </rPr>
          <t>시장점유율</t>
        </r>
        <r>
          <rPr>
            <sz val="9"/>
            <color indexed="81"/>
            <rFont val="Tahoma"/>
            <family val="2"/>
          </rPr>
          <t xml:space="preserve">* </t>
        </r>
        <r>
          <rPr>
            <sz val="9"/>
            <color indexed="81"/>
            <rFont val="돋움"/>
            <family val="3"/>
            <charset val="129"/>
          </rPr>
          <t>기술점유율</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생산단가</t>
        </r>
        <r>
          <rPr>
            <sz val="9"/>
            <color indexed="81"/>
            <rFont val="Tahoma"/>
            <family val="2"/>
          </rPr>
          <t xml:space="preserve"> * </t>
        </r>
        <r>
          <rPr>
            <sz val="9"/>
            <color indexed="81"/>
            <rFont val="돋움"/>
            <family val="3"/>
            <charset val="129"/>
          </rPr>
          <t>단가를</t>
        </r>
        <r>
          <rPr>
            <sz val="9"/>
            <color indexed="81"/>
            <rFont val="Tahoma"/>
            <family val="2"/>
          </rPr>
          <t xml:space="preserve"> 
</t>
        </r>
        <r>
          <rPr>
            <sz val="9"/>
            <color indexed="81"/>
            <rFont val="돋움"/>
            <family val="3"/>
            <charset val="129"/>
          </rPr>
          <t>활용해야</t>
        </r>
        <r>
          <rPr>
            <sz val="9"/>
            <color indexed="81"/>
            <rFont val="Tahoma"/>
            <family val="2"/>
          </rPr>
          <t xml:space="preserve"> </t>
        </r>
        <r>
          <rPr>
            <sz val="9"/>
            <color indexed="81"/>
            <rFont val="돋움"/>
            <family val="3"/>
            <charset val="129"/>
          </rPr>
          <t>할</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수치를</t>
        </r>
        <r>
          <rPr>
            <sz val="9"/>
            <color indexed="81"/>
            <rFont val="Tahoma"/>
            <family val="2"/>
          </rPr>
          <t xml:space="preserve"> </t>
        </r>
        <r>
          <rPr>
            <sz val="9"/>
            <color indexed="81"/>
            <rFont val="돋움"/>
            <family val="3"/>
            <charset val="129"/>
          </rPr>
          <t>다시</t>
        </r>
        <r>
          <rPr>
            <sz val="9"/>
            <color indexed="81"/>
            <rFont val="Tahoma"/>
            <family val="2"/>
          </rPr>
          <t xml:space="preserve"> </t>
        </r>
        <r>
          <rPr>
            <sz val="9"/>
            <color indexed="81"/>
            <rFont val="돋움"/>
            <family val="3"/>
            <charset val="129"/>
          </rPr>
          <t>입력해주세요</t>
        </r>
      </text>
    </comment>
    <comment ref="I74" authorId="0" shapeId="0" xr:uid="{00000000-0006-0000-0200-000036000000}">
      <text>
        <r>
          <rPr>
            <b/>
            <sz val="9"/>
            <color indexed="81"/>
            <rFont val="Tahoma"/>
            <family val="2"/>
          </rPr>
          <t>Ph.D. Yoon:</t>
        </r>
        <r>
          <rPr>
            <sz val="9"/>
            <color indexed="81"/>
            <rFont val="Tahoma"/>
            <family val="2"/>
          </rPr>
          <t xml:space="preserve">
</t>
        </r>
        <r>
          <rPr>
            <sz val="9"/>
            <color indexed="81"/>
            <rFont val="돋움"/>
            <family val="3"/>
            <charset val="129"/>
          </rPr>
          <t>입력한</t>
        </r>
        <r>
          <rPr>
            <sz val="9"/>
            <color indexed="81"/>
            <rFont val="Tahoma"/>
            <family val="2"/>
          </rPr>
          <t xml:space="preserve"> </t>
        </r>
        <r>
          <rPr>
            <sz val="9"/>
            <color indexed="81"/>
            <rFont val="돋움"/>
            <family val="3"/>
            <charset val="129"/>
          </rPr>
          <t>글자가</t>
        </r>
        <r>
          <rPr>
            <sz val="9"/>
            <color indexed="81"/>
            <rFont val="Tahoma"/>
            <family val="2"/>
          </rPr>
          <t xml:space="preserve"> </t>
        </r>
        <r>
          <rPr>
            <sz val="9"/>
            <color indexed="81"/>
            <rFont val="돋움"/>
            <family val="3"/>
            <charset val="129"/>
          </rPr>
          <t>보이지</t>
        </r>
        <r>
          <rPr>
            <sz val="9"/>
            <color indexed="81"/>
            <rFont val="Tahoma"/>
            <family val="2"/>
          </rPr>
          <t xml:space="preserve"> </t>
        </r>
        <r>
          <rPr>
            <sz val="9"/>
            <color indexed="81"/>
            <rFont val="돋움"/>
            <family val="3"/>
            <charset val="129"/>
          </rPr>
          <t>않게</t>
        </r>
        <r>
          <rPr>
            <sz val="9"/>
            <color indexed="81"/>
            <rFont val="Tahoma"/>
            <family val="2"/>
          </rPr>
          <t xml:space="preserve"> </t>
        </r>
        <r>
          <rPr>
            <sz val="9"/>
            <color indexed="81"/>
            <rFont val="돋움"/>
            <family val="3"/>
            <charset val="129"/>
          </rPr>
          <t>처리하고</t>
        </r>
        <r>
          <rPr>
            <sz val="9"/>
            <color indexed="81"/>
            <rFont val="Tahoma"/>
            <family val="2"/>
          </rPr>
          <t xml:space="preserve">, 
</t>
        </r>
        <r>
          <rPr>
            <sz val="9"/>
            <color indexed="81"/>
            <rFont val="돋움"/>
            <family val="3"/>
            <charset val="129"/>
          </rPr>
          <t>셀서식에서</t>
        </r>
        <r>
          <rPr>
            <sz val="9"/>
            <color indexed="81"/>
            <rFont val="Tahoma"/>
            <family val="2"/>
          </rPr>
          <t xml:space="preserve"> </t>
        </r>
        <r>
          <rPr>
            <sz val="9"/>
            <color indexed="81"/>
            <rFont val="돋움"/>
            <family val="3"/>
            <charset val="129"/>
          </rPr>
          <t>해당셀들</t>
        </r>
        <r>
          <rPr>
            <sz val="9"/>
            <color indexed="81"/>
            <rFont val="Tahoma"/>
            <family val="2"/>
          </rPr>
          <t xml:space="preserve"> </t>
        </r>
        <r>
          <rPr>
            <sz val="9"/>
            <color indexed="81"/>
            <rFont val="돋움"/>
            <family val="3"/>
            <charset val="129"/>
          </rPr>
          <t>잠금처리함
다만</t>
        </r>
        <r>
          <rPr>
            <sz val="9"/>
            <color indexed="81"/>
            <rFont val="Tahoma"/>
            <family val="2"/>
          </rPr>
          <t xml:space="preserve">, </t>
        </r>
        <r>
          <rPr>
            <sz val="9"/>
            <color indexed="81"/>
            <rFont val="돋움"/>
            <family val="3"/>
            <charset val="129"/>
          </rPr>
          <t>매출추정</t>
        </r>
        <r>
          <rPr>
            <sz val="9"/>
            <color indexed="81"/>
            <rFont val="Tahoma"/>
            <family val="2"/>
          </rPr>
          <t xml:space="preserve"> </t>
        </r>
        <r>
          <rPr>
            <sz val="9"/>
            <color indexed="81"/>
            <rFont val="돋움"/>
            <family val="3"/>
            <charset val="129"/>
          </rPr>
          <t>옵션에서</t>
        </r>
        <r>
          <rPr>
            <sz val="9"/>
            <color indexed="81"/>
            <rFont val="Tahoma"/>
            <family val="2"/>
          </rPr>
          <t xml:space="preserve"> </t>
        </r>
        <r>
          <rPr>
            <sz val="9"/>
            <color indexed="81"/>
            <rFont val="돋움"/>
            <family val="3"/>
            <charset val="129"/>
          </rPr>
          <t>다른</t>
        </r>
        <r>
          <rPr>
            <sz val="9"/>
            <color indexed="81"/>
            <rFont val="Tahoma"/>
            <family val="2"/>
          </rPr>
          <t xml:space="preserve"> </t>
        </r>
        <r>
          <rPr>
            <sz val="9"/>
            <color indexed="81"/>
            <rFont val="돋움"/>
            <family val="3"/>
            <charset val="129"/>
          </rPr>
          <t>옵션</t>
        </r>
        <r>
          <rPr>
            <sz val="9"/>
            <color indexed="81"/>
            <rFont val="Tahoma"/>
            <family val="2"/>
          </rPr>
          <t>(</t>
        </r>
        <r>
          <rPr>
            <sz val="9"/>
            <color indexed="81"/>
            <rFont val="돋움"/>
            <family val="3"/>
            <charset val="129"/>
          </rPr>
          <t>시장점유율</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생산단가</t>
        </r>
        <r>
          <rPr>
            <sz val="9"/>
            <color indexed="81"/>
            <rFont val="Tahoma"/>
            <family val="2"/>
          </rPr>
          <t xml:space="preserve"> </t>
        </r>
        <r>
          <rPr>
            <sz val="9"/>
            <color indexed="81"/>
            <rFont val="돋움"/>
            <family val="3"/>
            <charset val="129"/>
          </rPr>
          <t>등</t>
        </r>
        <r>
          <rPr>
            <sz val="9"/>
            <color indexed="81"/>
            <rFont val="Tahoma"/>
            <family val="2"/>
          </rPr>
          <t>)</t>
        </r>
        <r>
          <rPr>
            <sz val="9"/>
            <color indexed="81"/>
            <rFont val="돋움"/>
            <family val="3"/>
            <charset val="129"/>
          </rPr>
          <t>을</t>
        </r>
        <r>
          <rPr>
            <sz val="9"/>
            <color indexed="81"/>
            <rFont val="Tahoma"/>
            <family val="2"/>
          </rPr>
          <t xml:space="preserve"> </t>
        </r>
        <r>
          <rPr>
            <sz val="9"/>
            <color indexed="81"/>
            <rFont val="돋움"/>
            <family val="3"/>
            <charset val="129"/>
          </rPr>
          <t>선택하면</t>
        </r>
        <r>
          <rPr>
            <sz val="9"/>
            <color indexed="81"/>
            <rFont val="Tahoma"/>
            <family val="2"/>
          </rPr>
          <t xml:space="preserve"> </t>
        </r>
        <r>
          <rPr>
            <sz val="9"/>
            <color indexed="81"/>
            <rFont val="돋움"/>
            <family val="3"/>
            <charset val="129"/>
          </rPr>
          <t>나타남
메뉴</t>
        </r>
        <r>
          <rPr>
            <sz val="9"/>
            <color indexed="81"/>
            <rFont val="Tahoma"/>
            <family val="2"/>
          </rPr>
          <t>-</t>
        </r>
        <r>
          <rPr>
            <sz val="9"/>
            <color indexed="81"/>
            <rFont val="돋움"/>
            <family val="3"/>
            <charset val="129"/>
          </rPr>
          <t>홈</t>
        </r>
        <r>
          <rPr>
            <sz val="9"/>
            <color indexed="81"/>
            <rFont val="Tahoma"/>
            <family val="2"/>
          </rPr>
          <t>-</t>
        </r>
        <r>
          <rPr>
            <sz val="9"/>
            <color indexed="81"/>
            <rFont val="돋움"/>
            <family val="3"/>
            <charset val="129"/>
          </rPr>
          <t>조건부서식</t>
        </r>
        <r>
          <rPr>
            <sz val="9"/>
            <color indexed="81"/>
            <rFont val="Tahoma"/>
            <family val="2"/>
          </rPr>
          <t>-</t>
        </r>
        <r>
          <rPr>
            <sz val="9"/>
            <color indexed="81"/>
            <rFont val="돋움"/>
            <family val="3"/>
            <charset val="129"/>
          </rPr>
          <t>규칙지우기</t>
        </r>
        <r>
          <rPr>
            <sz val="9"/>
            <color indexed="81"/>
            <rFont val="Tahoma"/>
            <family val="2"/>
          </rPr>
          <t xml:space="preserve"> 
=&gt; </t>
        </r>
        <r>
          <rPr>
            <sz val="9"/>
            <color indexed="81"/>
            <rFont val="돋움"/>
            <family val="3"/>
            <charset val="129"/>
          </rPr>
          <t>이렇게</t>
        </r>
        <r>
          <rPr>
            <sz val="9"/>
            <color indexed="81"/>
            <rFont val="Tahoma"/>
            <family val="2"/>
          </rPr>
          <t xml:space="preserve"> </t>
        </r>
        <r>
          <rPr>
            <sz val="9"/>
            <color indexed="81"/>
            <rFont val="돋움"/>
            <family val="3"/>
            <charset val="129"/>
          </rPr>
          <t>하면</t>
        </r>
        <r>
          <rPr>
            <sz val="9"/>
            <color indexed="81"/>
            <rFont val="Tahoma"/>
            <family val="2"/>
          </rPr>
          <t xml:space="preserve"> </t>
        </r>
        <r>
          <rPr>
            <sz val="9"/>
            <color indexed="81"/>
            <rFont val="돋움"/>
            <family val="3"/>
            <charset val="129"/>
          </rPr>
          <t>글자가</t>
        </r>
        <r>
          <rPr>
            <sz val="9"/>
            <color indexed="81"/>
            <rFont val="Tahoma"/>
            <family val="2"/>
          </rPr>
          <t xml:space="preserve"> </t>
        </r>
        <r>
          <rPr>
            <sz val="9"/>
            <color indexed="81"/>
            <rFont val="돋움"/>
            <family val="3"/>
            <charset val="129"/>
          </rPr>
          <t>나타남</t>
        </r>
      </text>
    </comment>
    <comment ref="J74" authorId="0" shapeId="0" xr:uid="{00000000-0006-0000-0200-000037000000}">
      <text>
        <r>
          <rPr>
            <b/>
            <sz val="9"/>
            <color indexed="81"/>
            <rFont val="Tahoma"/>
            <family val="2"/>
          </rPr>
          <t>Ph.D. Yoon:</t>
        </r>
        <r>
          <rPr>
            <sz val="9"/>
            <color indexed="81"/>
            <rFont val="Tahoma"/>
            <family val="2"/>
          </rPr>
          <t xml:space="preserve">
</t>
        </r>
        <r>
          <rPr>
            <sz val="9"/>
            <color indexed="81"/>
            <rFont val="돋움"/>
            <family val="3"/>
            <charset val="129"/>
          </rPr>
          <t>기술점유율</t>
        </r>
        <r>
          <rPr>
            <sz val="9"/>
            <color indexed="81"/>
            <rFont val="Tahoma"/>
            <family val="2"/>
          </rPr>
          <t xml:space="preserve"> </t>
        </r>
        <r>
          <rPr>
            <sz val="9"/>
            <color indexed="81"/>
            <rFont val="돋움"/>
            <family val="3"/>
            <charset val="129"/>
          </rPr>
          <t>값이며</t>
        </r>
        <r>
          <rPr>
            <sz val="9"/>
            <color indexed="81"/>
            <rFont val="Tahoma"/>
            <family val="2"/>
          </rPr>
          <t>, 100%</t>
        </r>
        <r>
          <rPr>
            <sz val="9"/>
            <color indexed="81"/>
            <rFont val="돋움"/>
            <family val="3"/>
            <charset val="129"/>
          </rPr>
          <t>로</t>
        </r>
        <r>
          <rPr>
            <sz val="9"/>
            <color indexed="81"/>
            <rFont val="Tahoma"/>
            <family val="2"/>
          </rPr>
          <t xml:space="preserve"> </t>
        </r>
        <r>
          <rPr>
            <sz val="9"/>
            <color indexed="81"/>
            <rFont val="돋움"/>
            <family val="3"/>
            <charset val="129"/>
          </rPr>
          <t>고정시켜놓았는데</t>
        </r>
        <r>
          <rPr>
            <sz val="9"/>
            <color indexed="81"/>
            <rFont val="Tahoma"/>
            <family val="2"/>
          </rPr>
          <t xml:space="preserve">, </t>
        </r>
        <r>
          <rPr>
            <sz val="9"/>
            <color indexed="81"/>
            <rFont val="돋움"/>
            <family val="3"/>
            <charset val="129"/>
          </rPr>
          <t>기술점유율을</t>
        </r>
        <r>
          <rPr>
            <sz val="9"/>
            <color indexed="81"/>
            <rFont val="Tahoma"/>
            <family val="2"/>
          </rPr>
          <t xml:space="preserve"> </t>
        </r>
        <r>
          <rPr>
            <sz val="9"/>
            <color indexed="81"/>
            <rFont val="돋움"/>
            <family val="3"/>
            <charset val="129"/>
          </rPr>
          <t>직접</t>
        </r>
        <r>
          <rPr>
            <sz val="9"/>
            <color indexed="81"/>
            <rFont val="Tahoma"/>
            <family val="2"/>
          </rPr>
          <t xml:space="preserve"> </t>
        </r>
        <r>
          <rPr>
            <sz val="9"/>
            <color indexed="81"/>
            <rFont val="돋움"/>
            <family val="3"/>
            <charset val="129"/>
          </rPr>
          <t>구할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있을</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수정</t>
        </r>
        <r>
          <rPr>
            <sz val="9"/>
            <color indexed="81"/>
            <rFont val="Tahoma"/>
            <family val="2"/>
          </rPr>
          <t xml:space="preserve"> </t>
        </r>
        <r>
          <rPr>
            <sz val="9"/>
            <color indexed="81"/>
            <rFont val="돋움"/>
            <family val="3"/>
            <charset val="129"/>
          </rPr>
          <t>입력해주세요</t>
        </r>
      </text>
    </comment>
    <comment ref="K74" authorId="0" shapeId="0" xr:uid="{00000000-0006-0000-0200-000038000000}">
      <text>
        <r>
          <rPr>
            <b/>
            <sz val="9"/>
            <color indexed="81"/>
            <rFont val="Tahoma"/>
            <family val="2"/>
          </rPr>
          <t xml:space="preserve">Ph.D. Yoon: </t>
        </r>
        <r>
          <rPr>
            <b/>
            <sz val="9"/>
            <color indexed="10"/>
            <rFont val="맑은 고딕"/>
            <family val="3"/>
            <charset val="129"/>
          </rPr>
          <t xml:space="preserve">
1순위: (3개년) 전체를 활용하시는 것을 권장드려요! 
2순위: (3개년) 상위 25%
3순위: (3개년) 하위 25% 중
또는 재무제표 옵션 선택박스에서 기술가치평가 상황에 따라 
가장 적합한 것을 선택하여 활용하셔도 되지만, 활용사유을 명확히 보고서에 명기해주세요 </t>
        </r>
        <r>
          <rPr>
            <b/>
            <sz val="9"/>
            <color indexed="81"/>
            <rFont val="Tahoma"/>
            <family val="2"/>
          </rPr>
          <t xml:space="preserve">
</t>
        </r>
        <r>
          <rPr>
            <b/>
            <sz val="9"/>
            <color indexed="81"/>
            <rFont val="돋움"/>
            <family val="3"/>
            <charset val="129"/>
          </rPr>
          <t>참고로</t>
        </r>
        <r>
          <rPr>
            <b/>
            <sz val="9"/>
            <color indexed="81"/>
            <rFont val="Tahoma"/>
            <family val="2"/>
          </rPr>
          <t xml:space="preserve"> 3</t>
        </r>
        <r>
          <rPr>
            <b/>
            <sz val="9"/>
            <color indexed="81"/>
            <rFont val="돋움"/>
            <family val="3"/>
            <charset val="129"/>
          </rPr>
          <t>개년은</t>
        </r>
        <r>
          <rPr>
            <b/>
            <sz val="9"/>
            <color indexed="81"/>
            <rFont val="Tahoma"/>
            <family val="2"/>
          </rPr>
          <t xml:space="preserve"> 2017</t>
        </r>
        <r>
          <rPr>
            <b/>
            <sz val="9"/>
            <color indexed="81"/>
            <rFont val="돋움"/>
            <family val="3"/>
            <charset val="129"/>
          </rPr>
          <t>년</t>
        </r>
        <r>
          <rPr>
            <b/>
            <sz val="9"/>
            <color indexed="81"/>
            <rFont val="Tahoma"/>
            <family val="2"/>
          </rPr>
          <t xml:space="preserve">-2019 </t>
        </r>
        <r>
          <rPr>
            <b/>
            <sz val="9"/>
            <color indexed="81"/>
            <rFont val="돋움"/>
            <family val="3"/>
            <charset val="129"/>
          </rPr>
          <t>까지의</t>
        </r>
        <r>
          <rPr>
            <b/>
            <sz val="9"/>
            <color indexed="81"/>
            <rFont val="Tahoma"/>
            <family val="2"/>
          </rPr>
          <t xml:space="preserve">
3</t>
        </r>
        <r>
          <rPr>
            <b/>
            <sz val="9"/>
            <color indexed="81"/>
            <rFont val="돋움"/>
            <family val="3"/>
            <charset val="129"/>
          </rPr>
          <t>년</t>
        </r>
        <r>
          <rPr>
            <b/>
            <sz val="9"/>
            <color indexed="81"/>
            <rFont val="Tahoma"/>
            <family val="2"/>
          </rPr>
          <t xml:space="preserve"> </t>
        </r>
        <r>
          <rPr>
            <b/>
            <sz val="9"/>
            <color indexed="81"/>
            <rFont val="돋움"/>
            <family val="3"/>
            <charset val="129"/>
          </rPr>
          <t>평균값을</t>
        </r>
        <r>
          <rPr>
            <b/>
            <sz val="9"/>
            <color indexed="81"/>
            <rFont val="Tahoma"/>
            <family val="2"/>
          </rPr>
          <t xml:space="preserve"> </t>
        </r>
        <r>
          <rPr>
            <b/>
            <sz val="9"/>
            <color indexed="81"/>
            <rFont val="돋움"/>
            <family val="3"/>
            <charset val="129"/>
          </rPr>
          <t>의미함
최신연도는</t>
        </r>
        <r>
          <rPr>
            <b/>
            <sz val="9"/>
            <color indexed="81"/>
            <rFont val="Tahoma"/>
            <family val="2"/>
          </rPr>
          <t xml:space="preserve"> 2019</t>
        </r>
        <r>
          <rPr>
            <b/>
            <sz val="9"/>
            <color indexed="81"/>
            <rFont val="돋움"/>
            <family val="3"/>
            <charset val="129"/>
          </rPr>
          <t>년을</t>
        </r>
        <r>
          <rPr>
            <b/>
            <sz val="9"/>
            <color indexed="81"/>
            <rFont val="Tahoma"/>
            <family val="2"/>
          </rPr>
          <t xml:space="preserve"> </t>
        </r>
        <r>
          <rPr>
            <b/>
            <sz val="9"/>
            <color indexed="81"/>
            <rFont val="돋움"/>
            <family val="3"/>
            <charset val="129"/>
          </rPr>
          <t>의미함</t>
        </r>
        <r>
          <rPr>
            <b/>
            <sz val="9"/>
            <color indexed="81"/>
            <rFont val="Tahoma"/>
            <family val="2"/>
          </rPr>
          <t xml:space="preserve">
(2020</t>
        </r>
        <r>
          <rPr>
            <b/>
            <sz val="9"/>
            <color indexed="81"/>
            <rFont val="돋움"/>
            <family val="3"/>
            <charset val="129"/>
          </rPr>
          <t>년</t>
        </r>
        <r>
          <rPr>
            <b/>
            <sz val="9"/>
            <color indexed="81"/>
            <rFont val="Tahoma"/>
            <family val="2"/>
          </rPr>
          <t xml:space="preserve"> 11</t>
        </r>
        <r>
          <rPr>
            <b/>
            <sz val="9"/>
            <color indexed="81"/>
            <rFont val="돋움"/>
            <family val="3"/>
            <charset val="129"/>
          </rPr>
          <t>월</t>
        </r>
        <r>
          <rPr>
            <b/>
            <sz val="9"/>
            <color indexed="81"/>
            <rFont val="Tahoma"/>
            <family val="2"/>
          </rPr>
          <t xml:space="preserve"> </t>
        </r>
        <r>
          <rPr>
            <b/>
            <sz val="9"/>
            <color indexed="81"/>
            <rFont val="돋움"/>
            <family val="3"/>
            <charset val="129"/>
          </rPr>
          <t>현행화</t>
        </r>
        <r>
          <rPr>
            <b/>
            <sz val="9"/>
            <color indexed="81"/>
            <rFont val="Tahoma"/>
            <family val="2"/>
          </rPr>
          <t xml:space="preserve"> </t>
        </r>
        <r>
          <rPr>
            <b/>
            <sz val="9"/>
            <color indexed="81"/>
            <rFont val="돋움"/>
            <family val="3"/>
            <charset val="129"/>
          </rPr>
          <t>용역결과</t>
        </r>
        <r>
          <rPr>
            <b/>
            <sz val="9"/>
            <color indexed="81"/>
            <rFont val="Tahoma"/>
            <family val="2"/>
          </rPr>
          <t xml:space="preserve"> </t>
        </r>
        <r>
          <rPr>
            <b/>
            <sz val="9"/>
            <color indexed="81"/>
            <rFont val="돋움"/>
            <family val="3"/>
            <charset val="129"/>
          </rPr>
          <t>기준</t>
        </r>
        <r>
          <rPr>
            <b/>
            <sz val="9"/>
            <color indexed="81"/>
            <rFont val="Tahoma"/>
            <family val="2"/>
          </rPr>
          <t>)</t>
        </r>
      </text>
    </comment>
    <comment ref="E75" authorId="1" shapeId="0" xr:uid="{00000000-0006-0000-0200-000039000000}">
      <text>
        <r>
          <rPr>
            <b/>
            <sz val="9"/>
            <color indexed="81"/>
            <rFont val="Tahoma"/>
            <family val="2"/>
          </rPr>
          <t>CAGR</t>
        </r>
        <r>
          <rPr>
            <b/>
            <sz val="9"/>
            <color indexed="81"/>
            <rFont val="돋움"/>
            <family val="3"/>
            <charset val="129"/>
          </rPr>
          <t>의</t>
        </r>
        <r>
          <rPr>
            <b/>
            <sz val="9"/>
            <color indexed="81"/>
            <rFont val="Tahoma"/>
            <family val="2"/>
          </rPr>
          <t xml:space="preserve"> </t>
        </r>
        <r>
          <rPr>
            <b/>
            <sz val="9"/>
            <color indexed="81"/>
            <rFont val="돋움"/>
            <family val="3"/>
            <charset val="129"/>
          </rPr>
          <t>정확한</t>
        </r>
        <r>
          <rPr>
            <b/>
            <sz val="9"/>
            <color indexed="81"/>
            <rFont val="Tahoma"/>
            <family val="2"/>
          </rPr>
          <t xml:space="preserve"> </t>
        </r>
        <r>
          <rPr>
            <b/>
            <sz val="9"/>
            <color indexed="81"/>
            <rFont val="돋움"/>
            <family val="3"/>
            <charset val="129"/>
          </rPr>
          <t>산정을</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초기년도</t>
        </r>
        <r>
          <rPr>
            <b/>
            <sz val="9"/>
            <color indexed="81"/>
            <rFont val="Tahoma"/>
            <family val="2"/>
          </rPr>
          <t xml:space="preserve"> </t>
        </r>
        <r>
          <rPr>
            <b/>
            <sz val="9"/>
            <color indexed="81"/>
            <rFont val="돋움"/>
            <family val="3"/>
            <charset val="129"/>
          </rPr>
          <t>총매출</t>
        </r>
        <r>
          <rPr>
            <b/>
            <sz val="9"/>
            <color indexed="81"/>
            <rFont val="Tahoma"/>
            <family val="2"/>
          </rPr>
          <t xml:space="preserve"> </t>
        </r>
        <r>
          <rPr>
            <b/>
            <sz val="9"/>
            <color indexed="81"/>
            <rFont val="돋움"/>
            <family val="3"/>
            <charset val="129"/>
          </rPr>
          <t>기입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김진선</author>
  </authors>
  <commentList>
    <comment ref="C6" authorId="0" shapeId="0" xr:uid="{00000000-0006-0000-0600-000001000000}">
      <text>
        <r>
          <rPr>
            <b/>
            <sz val="9"/>
            <color indexed="81"/>
            <rFont val="Tahoma"/>
            <family val="2"/>
          </rPr>
          <t xml:space="preserve">user:
</t>
        </r>
        <r>
          <rPr>
            <b/>
            <sz val="14"/>
            <color indexed="81"/>
            <rFont val="맑은 고딕"/>
            <family val="3"/>
            <charset val="129"/>
          </rPr>
          <t>추정매출액은</t>
        </r>
        <r>
          <rPr>
            <b/>
            <sz val="14"/>
            <color indexed="81"/>
            <rFont val="Tahoma"/>
            <family val="2"/>
          </rPr>
          <t xml:space="preserve"> </t>
        </r>
        <r>
          <rPr>
            <b/>
            <sz val="14"/>
            <color indexed="14"/>
            <rFont val="맑은 고딕"/>
            <family val="3"/>
            <charset val="129"/>
          </rPr>
          <t>INPUT sheet에서 입력한 값을 불러옴</t>
        </r>
      </text>
    </comment>
    <comment ref="G11" authorId="0" shapeId="0" xr:uid="{00000000-0006-0000-0600-000002000000}">
      <text>
        <r>
          <rPr>
            <b/>
            <sz val="9"/>
            <color indexed="81"/>
            <rFont val="Tahoma"/>
            <family val="2"/>
          </rPr>
          <t>Ph.D.YOON :</t>
        </r>
        <r>
          <rPr>
            <sz val="9"/>
            <color indexed="81"/>
            <rFont val="Tahoma"/>
            <family val="2"/>
          </rPr>
          <t xml:space="preserve">
</t>
        </r>
        <r>
          <rPr>
            <sz val="15"/>
            <color indexed="81"/>
            <rFont val="돋움"/>
            <family val="3"/>
            <charset val="129"/>
          </rPr>
          <t>사용</t>
        </r>
        <r>
          <rPr>
            <sz val="15"/>
            <color indexed="81"/>
            <rFont val="Tahoma"/>
            <family val="2"/>
          </rPr>
          <t xml:space="preserve"> </t>
        </r>
        <r>
          <rPr>
            <sz val="15"/>
            <color indexed="81"/>
            <rFont val="돋움"/>
            <family val="3"/>
            <charset val="129"/>
          </rPr>
          <t>중</t>
        </r>
        <r>
          <rPr>
            <b/>
            <sz val="15"/>
            <color indexed="10"/>
            <rFont val="맑은 고딕"/>
            <family val="3"/>
            <charset val="129"/>
          </rPr>
          <t xml:space="preserve"> #num오류 발생시 INPUT sheet에서 입력값을 숫자로 정확하게 입력하여 수정하거나
=rate(총기간-1,0, -첫째연도 매출, 마지막연도 매출) 함수를 직접입력하여 구하시면 임시적으로 해결 가능합니다.</t>
        </r>
      </text>
    </comment>
    <comment ref="F37" authorId="1" shapeId="0" xr:uid="{00000000-0006-0000-0600-000003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50" authorId="0" shapeId="0" xr:uid="{00000000-0006-0000-0600-000004000000}">
      <text>
        <r>
          <rPr>
            <b/>
            <sz val="16"/>
            <color indexed="81"/>
            <rFont val="돋움"/>
            <family val="3"/>
            <charset val="129"/>
          </rPr>
          <t>자본적</t>
        </r>
        <r>
          <rPr>
            <b/>
            <sz val="16"/>
            <color indexed="81"/>
            <rFont val="Tahoma"/>
            <family val="2"/>
          </rPr>
          <t xml:space="preserve"> </t>
        </r>
        <r>
          <rPr>
            <b/>
            <sz val="16"/>
            <color indexed="81"/>
            <rFont val="돋움"/>
            <family val="3"/>
            <charset val="129"/>
          </rPr>
          <t>지출</t>
        </r>
        <r>
          <rPr>
            <b/>
            <sz val="16"/>
            <color indexed="81"/>
            <rFont val="Tahoma"/>
            <family val="2"/>
          </rPr>
          <t xml:space="preserve"> </t>
        </r>
        <r>
          <rPr>
            <b/>
            <sz val="16"/>
            <color indexed="81"/>
            <rFont val="돋움"/>
            <family val="3"/>
            <charset val="129"/>
          </rPr>
          <t>수동</t>
        </r>
        <r>
          <rPr>
            <b/>
            <sz val="16"/>
            <color indexed="81"/>
            <rFont val="Tahoma"/>
            <family val="2"/>
          </rPr>
          <t xml:space="preserve"> </t>
        </r>
        <r>
          <rPr>
            <b/>
            <sz val="16"/>
            <color indexed="81"/>
            <rFont val="돋움"/>
            <family val="3"/>
            <charset val="129"/>
          </rPr>
          <t>계산시</t>
        </r>
        <r>
          <rPr>
            <b/>
            <sz val="16"/>
            <color indexed="81"/>
            <rFont val="Tahoma"/>
            <family val="2"/>
          </rPr>
          <t xml:space="preserve"> : </t>
        </r>
        <r>
          <rPr>
            <b/>
            <sz val="16"/>
            <color indexed="81"/>
            <rFont val="돋움"/>
            <family val="3"/>
            <charset val="129"/>
          </rPr>
          <t>수동계산</t>
        </r>
        <r>
          <rPr>
            <b/>
            <sz val="16"/>
            <color indexed="81"/>
            <rFont val="Tahoma"/>
            <family val="2"/>
          </rPr>
          <t xml:space="preserve"> </t>
        </r>
        <r>
          <rPr>
            <b/>
            <sz val="16"/>
            <color indexed="81"/>
            <rFont val="돋움"/>
            <family val="3"/>
            <charset val="129"/>
          </rPr>
          <t>클릭</t>
        </r>
        <r>
          <rPr>
            <b/>
            <sz val="16"/>
            <color indexed="81"/>
            <rFont val="Tahoma"/>
            <family val="2"/>
          </rPr>
          <t xml:space="preserve"> </t>
        </r>
        <r>
          <rPr>
            <b/>
            <sz val="16"/>
            <color indexed="81"/>
            <rFont val="돋움"/>
            <family val="3"/>
            <charset val="129"/>
          </rPr>
          <t>이후</t>
        </r>
        <r>
          <rPr>
            <b/>
            <sz val="16"/>
            <color indexed="81"/>
            <rFont val="Tahoma"/>
            <family val="2"/>
          </rPr>
          <t xml:space="preserve"> </t>
        </r>
        <r>
          <rPr>
            <b/>
            <sz val="16"/>
            <color indexed="81"/>
            <rFont val="돋움"/>
            <family val="3"/>
            <charset val="129"/>
          </rPr>
          <t>기존</t>
        </r>
        <r>
          <rPr>
            <b/>
            <sz val="16"/>
            <color indexed="81"/>
            <rFont val="Tahoma"/>
            <family val="2"/>
          </rPr>
          <t xml:space="preserve"> </t>
        </r>
        <r>
          <rPr>
            <b/>
            <sz val="16"/>
            <color indexed="81"/>
            <rFont val="돋움"/>
            <family val="3"/>
            <charset val="129"/>
          </rPr>
          <t>데이터</t>
        </r>
        <r>
          <rPr>
            <b/>
            <sz val="16"/>
            <color indexed="81"/>
            <rFont val="Tahoma"/>
            <family val="2"/>
          </rPr>
          <t xml:space="preserve"> Clear</t>
        </r>
        <r>
          <rPr>
            <b/>
            <sz val="16"/>
            <color indexed="81"/>
            <rFont val="돋움"/>
            <family val="3"/>
            <charset val="129"/>
          </rPr>
          <t xml:space="preserve">
</t>
        </r>
        <r>
          <rPr>
            <b/>
            <sz val="16"/>
            <color indexed="81"/>
            <rFont val="Tahoma"/>
            <family val="2"/>
          </rPr>
          <t>U48</t>
        </r>
        <r>
          <rPr>
            <b/>
            <sz val="16"/>
            <color indexed="81"/>
            <rFont val="돋움"/>
            <family val="3"/>
            <charset val="129"/>
          </rPr>
          <t>셀</t>
        </r>
        <r>
          <rPr>
            <b/>
            <sz val="16"/>
            <color indexed="81"/>
            <rFont val="Tahoma"/>
            <family val="2"/>
          </rPr>
          <t xml:space="preserve"> </t>
        </r>
        <r>
          <rPr>
            <b/>
            <sz val="16"/>
            <color indexed="81"/>
            <rFont val="돋움"/>
            <family val="3"/>
            <charset val="129"/>
          </rPr>
          <t>감가상각</t>
        </r>
        <r>
          <rPr>
            <b/>
            <sz val="16"/>
            <color indexed="81"/>
            <rFont val="Tahoma"/>
            <family val="2"/>
          </rPr>
          <t xml:space="preserve"> </t>
        </r>
        <r>
          <rPr>
            <b/>
            <sz val="16"/>
            <color indexed="81"/>
            <rFont val="돋움"/>
            <family val="3"/>
            <charset val="129"/>
          </rPr>
          <t>계산</t>
        </r>
        <r>
          <rPr>
            <b/>
            <sz val="16"/>
            <color indexed="81"/>
            <rFont val="Tahoma"/>
            <family val="2"/>
          </rPr>
          <t xml:space="preserve"> </t>
        </r>
        <r>
          <rPr>
            <b/>
            <sz val="16"/>
            <color indexed="81"/>
            <rFont val="돋움"/>
            <family val="3"/>
            <charset val="129"/>
          </rPr>
          <t>클릭</t>
        </r>
        <r>
          <rPr>
            <b/>
            <sz val="16"/>
            <color indexed="81"/>
            <rFont val="Tahoma"/>
            <family val="2"/>
          </rPr>
          <t xml:space="preserve"> </t>
        </r>
        <r>
          <rPr>
            <b/>
            <sz val="16"/>
            <color indexed="81"/>
            <rFont val="돋움"/>
            <family val="3"/>
            <charset val="129"/>
          </rPr>
          <t>→</t>
        </r>
        <r>
          <rPr>
            <b/>
            <sz val="16"/>
            <color indexed="81"/>
            <rFont val="Tahoma"/>
            <family val="2"/>
          </rPr>
          <t xml:space="preserve"> F, G</t>
        </r>
        <r>
          <rPr>
            <b/>
            <sz val="16"/>
            <color indexed="81"/>
            <rFont val="돋움"/>
            <family val="3"/>
            <charset val="129"/>
          </rPr>
          <t>열</t>
        </r>
        <r>
          <rPr>
            <b/>
            <sz val="16"/>
            <color indexed="81"/>
            <rFont val="Tahoma"/>
            <family val="2"/>
          </rPr>
          <t xml:space="preserve"> </t>
        </r>
        <r>
          <rPr>
            <b/>
            <sz val="16"/>
            <color indexed="81"/>
            <rFont val="돋움"/>
            <family val="3"/>
            <charset val="129"/>
          </rPr>
          <t>자동</t>
        </r>
        <r>
          <rPr>
            <b/>
            <sz val="16"/>
            <color indexed="81"/>
            <rFont val="Tahoma"/>
            <family val="2"/>
          </rPr>
          <t xml:space="preserve"> </t>
        </r>
        <r>
          <rPr>
            <b/>
            <sz val="16"/>
            <color indexed="81"/>
            <rFont val="돋움"/>
            <family val="3"/>
            <charset val="129"/>
          </rPr>
          <t>입력</t>
        </r>
        <r>
          <rPr>
            <b/>
            <sz val="16"/>
            <color indexed="81"/>
            <rFont val="Tahoma"/>
            <family val="2"/>
          </rPr>
          <t>(Dep, CAPEX)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fact</author>
    <author>user</author>
  </authors>
  <commentList>
    <comment ref="H5" authorId="0" shapeId="0" xr:uid="{00000000-0006-0000-0500-000001000000}">
      <text>
        <r>
          <rPr>
            <b/>
            <sz val="9"/>
            <color indexed="10"/>
            <rFont val="맑은 고딕"/>
            <family val="3"/>
            <charset val="129"/>
          </rPr>
          <t>기본적으로 TCT는 중앙값(Q2)를 활용하지만, 경우에 따라, 다른 값을 인용할 시 적용되는 옵션</t>
        </r>
      </text>
    </comment>
    <comment ref="C13" authorId="1" shapeId="0" xr:uid="{00000000-0006-0000-0500-000002000000}">
      <text>
        <r>
          <rPr>
            <b/>
            <sz val="9"/>
            <color indexed="81"/>
            <rFont val="Tahoma"/>
            <family val="2"/>
          </rPr>
          <t>Ph.D.Yoon:</t>
        </r>
        <r>
          <rPr>
            <sz val="9"/>
            <color indexed="81"/>
            <rFont val="Tahoma"/>
            <family val="2"/>
          </rPr>
          <t xml:space="preserve">
</t>
        </r>
        <r>
          <rPr>
            <sz val="9"/>
            <color indexed="81"/>
            <rFont val="돋움"/>
            <family val="3"/>
            <charset val="129"/>
          </rPr>
          <t>한국과학기술정보연구원</t>
        </r>
        <r>
          <rPr>
            <sz val="9"/>
            <color indexed="81"/>
            <rFont val="Tahoma"/>
            <family val="2"/>
          </rPr>
          <t>(KISTI)</t>
        </r>
        <r>
          <rPr>
            <sz val="9"/>
            <color indexed="81"/>
            <rFont val="돋움"/>
            <family val="3"/>
            <charset val="129"/>
          </rPr>
          <t>에서</t>
        </r>
        <r>
          <rPr>
            <sz val="9"/>
            <color indexed="81"/>
            <rFont val="Tahoma"/>
            <family val="2"/>
          </rPr>
          <t xml:space="preserve"> 1960~2019</t>
        </r>
        <r>
          <rPr>
            <sz val="9"/>
            <color indexed="81"/>
            <rFont val="돋움"/>
            <family val="3"/>
            <charset val="129"/>
          </rPr>
          <t>년까지의</t>
        </r>
        <r>
          <rPr>
            <sz val="9"/>
            <color indexed="81"/>
            <rFont val="Tahoma"/>
            <family val="2"/>
          </rPr>
          <t xml:space="preserve"> </t>
        </r>
        <r>
          <rPr>
            <sz val="9"/>
            <color indexed="81"/>
            <rFont val="돋움"/>
            <family val="3"/>
            <charset val="129"/>
          </rPr>
          <t>미국등록특허</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농림수산식품</t>
        </r>
        <r>
          <rPr>
            <sz val="9"/>
            <color indexed="81"/>
            <rFont val="Tahoma"/>
            <family val="2"/>
          </rPr>
          <t xml:space="preserve"> </t>
        </r>
        <r>
          <rPr>
            <sz val="9"/>
            <color indexed="81"/>
            <rFont val="돋움"/>
            <family val="3"/>
            <charset val="129"/>
          </rPr>
          <t>분야</t>
        </r>
        <r>
          <rPr>
            <sz val="9"/>
            <color indexed="81"/>
            <rFont val="Tahoma"/>
            <family val="2"/>
          </rPr>
          <t>(IPC class: A01B~H99Z) 629</t>
        </r>
        <r>
          <rPr>
            <sz val="9"/>
            <color indexed="81"/>
            <rFont val="돋움"/>
            <family val="3"/>
            <charset val="129"/>
          </rPr>
          <t>개</t>
        </r>
        <r>
          <rPr>
            <sz val="9"/>
            <color indexed="81"/>
            <rFont val="Tahoma"/>
            <family val="2"/>
          </rPr>
          <t xml:space="preserve"> IPC</t>
        </r>
        <r>
          <rPr>
            <sz val="9"/>
            <color indexed="81"/>
            <rFont val="돋움"/>
            <family val="3"/>
            <charset val="129"/>
          </rPr>
          <t>별</t>
        </r>
        <r>
          <rPr>
            <sz val="9"/>
            <color indexed="81"/>
            <rFont val="Tahoma"/>
            <family val="2"/>
          </rPr>
          <t xml:space="preserve"> TCT</t>
        </r>
        <r>
          <rPr>
            <sz val="9"/>
            <color indexed="81"/>
            <rFont val="돋움"/>
            <family val="3"/>
            <charset val="129"/>
          </rPr>
          <t>값을</t>
        </r>
        <r>
          <rPr>
            <sz val="9"/>
            <color indexed="81"/>
            <rFont val="Tahoma"/>
            <family val="2"/>
          </rPr>
          <t xml:space="preserve"> </t>
        </r>
        <r>
          <rPr>
            <sz val="9"/>
            <color indexed="81"/>
            <rFont val="돋움"/>
            <family val="3"/>
            <charset val="129"/>
          </rPr>
          <t>신규</t>
        </r>
        <r>
          <rPr>
            <sz val="9"/>
            <color indexed="81"/>
            <rFont val="Tahoma"/>
            <family val="2"/>
          </rPr>
          <t xml:space="preserve"> </t>
        </r>
        <r>
          <rPr>
            <sz val="9"/>
            <color indexed="81"/>
            <rFont val="돋움"/>
            <family val="3"/>
            <charset val="129"/>
          </rPr>
          <t>산출함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김진선</author>
  </authors>
  <commentList>
    <comment ref="C2" authorId="0" shapeId="0" xr:uid="{00000000-0006-0000-0700-000001000000}">
      <text>
        <r>
          <rPr>
            <b/>
            <sz val="9"/>
            <color indexed="81"/>
            <rFont val="돋움"/>
            <family val="3"/>
            <charset val="129"/>
          </rPr>
          <t>구성기술</t>
        </r>
        <r>
          <rPr>
            <b/>
            <sz val="9"/>
            <color indexed="81"/>
            <rFont val="Tahoma"/>
            <family val="2"/>
          </rPr>
          <t xml:space="preserve"> </t>
        </r>
        <r>
          <rPr>
            <b/>
            <sz val="9"/>
            <color indexed="81"/>
            <rFont val="돋움"/>
            <family val="3"/>
            <charset val="129"/>
          </rPr>
          <t>비중합</t>
        </r>
        <r>
          <rPr>
            <b/>
            <sz val="9"/>
            <color indexed="81"/>
            <rFont val="Tahoma"/>
            <family val="2"/>
          </rPr>
          <t xml:space="preserve"> 100%</t>
        </r>
      </text>
    </comment>
    <comment ref="E2" authorId="0" shapeId="0" xr:uid="{00000000-0006-0000-0700-000002000000}">
      <text>
        <r>
          <rPr>
            <b/>
            <sz val="9"/>
            <color indexed="81"/>
            <rFont val="돋움"/>
            <family val="3"/>
            <charset val="129"/>
          </rPr>
          <t>각</t>
        </r>
        <r>
          <rPr>
            <b/>
            <sz val="9"/>
            <color indexed="81"/>
            <rFont val="Tahoma"/>
            <family val="2"/>
          </rPr>
          <t xml:space="preserve"> </t>
        </r>
        <r>
          <rPr>
            <b/>
            <sz val="9"/>
            <color indexed="81"/>
            <rFont val="돋움"/>
            <family val="3"/>
            <charset val="129"/>
          </rPr>
          <t>총합</t>
        </r>
        <r>
          <rPr>
            <b/>
            <sz val="9"/>
            <color indexed="81"/>
            <rFont val="Tahoma"/>
            <family val="2"/>
          </rPr>
          <t xml:space="preserve"> 100%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김진선</author>
  </authors>
  <commentList>
    <comment ref="D38" authorId="0" shapeId="0" xr:uid="{00000000-0006-0000-0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user</author>
    <author>박영수</author>
  </authors>
  <commentList>
    <comment ref="D5" authorId="0" shapeId="0" xr:uid="{00000000-0006-0000-0A00-000001000000}">
      <text>
        <r>
          <rPr>
            <b/>
            <sz val="9"/>
            <color indexed="81"/>
            <rFont val="Tahoma"/>
            <family val="2"/>
          </rPr>
          <t>Ph.D. Yoon:</t>
        </r>
        <r>
          <rPr>
            <sz val="9"/>
            <color indexed="81"/>
            <rFont val="Tahoma"/>
            <family val="2"/>
          </rPr>
          <t xml:space="preserve">
INPUT sheet, </t>
        </r>
        <r>
          <rPr>
            <sz val="9"/>
            <color indexed="81"/>
            <rFont val="돋움"/>
            <family val="3"/>
            <charset val="129"/>
          </rPr>
          <t>현금흐름</t>
        </r>
        <r>
          <rPr>
            <sz val="9"/>
            <color indexed="81"/>
            <rFont val="Tahoma"/>
            <family val="2"/>
          </rPr>
          <t xml:space="preserve"> sheet, </t>
        </r>
        <r>
          <rPr>
            <sz val="9"/>
            <color indexed="81"/>
            <rFont val="돋움"/>
            <family val="3"/>
            <charset val="129"/>
          </rPr>
          <t>업종분류</t>
        </r>
        <r>
          <rPr>
            <sz val="9"/>
            <color indexed="81"/>
            <rFont val="Tahoma"/>
            <family val="2"/>
          </rPr>
          <t xml:space="preserve"> sheet </t>
        </r>
        <r>
          <rPr>
            <sz val="9"/>
            <color indexed="81"/>
            <rFont val="돋움"/>
            <family val="3"/>
            <charset val="129"/>
          </rPr>
          <t>등에서</t>
        </r>
        <r>
          <rPr>
            <sz val="9"/>
            <color indexed="81"/>
            <rFont val="Tahoma"/>
            <family val="2"/>
          </rPr>
          <t xml:space="preserve"> </t>
        </r>
        <r>
          <rPr>
            <sz val="9"/>
            <color indexed="81"/>
            <rFont val="돋움"/>
            <family val="3"/>
            <charset val="129"/>
          </rPr>
          <t>유효법인세율</t>
        </r>
        <r>
          <rPr>
            <sz val="9"/>
            <color indexed="81"/>
            <rFont val="Tahoma"/>
            <family val="2"/>
          </rPr>
          <t xml:space="preserve"> </t>
        </r>
        <r>
          <rPr>
            <sz val="9"/>
            <color indexed="81"/>
            <rFont val="돋움"/>
            <family val="3"/>
            <charset val="129"/>
          </rPr>
          <t>적용</t>
        </r>
        <r>
          <rPr>
            <sz val="9"/>
            <color indexed="81"/>
            <rFont val="Tahoma"/>
            <family val="2"/>
          </rPr>
          <t xml:space="preserve"> </t>
        </r>
        <r>
          <rPr>
            <sz val="9"/>
            <color indexed="81"/>
            <rFont val="돋움"/>
            <family val="3"/>
            <charset val="129"/>
          </rPr>
          <t>관련해서</t>
        </r>
        <r>
          <rPr>
            <sz val="9"/>
            <color indexed="81"/>
            <rFont val="Tahoma"/>
            <family val="2"/>
          </rPr>
          <t xml:space="preserve"> </t>
        </r>
        <r>
          <rPr>
            <sz val="9"/>
            <color indexed="81"/>
            <rFont val="돋움"/>
            <family val="3"/>
            <charset val="129"/>
          </rPr>
          <t>제대로</t>
        </r>
        <r>
          <rPr>
            <sz val="9"/>
            <color indexed="81"/>
            <rFont val="Tahoma"/>
            <family val="2"/>
          </rPr>
          <t xml:space="preserve"> </t>
        </r>
        <r>
          <rPr>
            <sz val="9"/>
            <color indexed="81"/>
            <rFont val="돋움"/>
            <family val="3"/>
            <charset val="129"/>
          </rPr>
          <t>산출되었는지</t>
        </r>
        <r>
          <rPr>
            <sz val="9"/>
            <color indexed="81"/>
            <rFont val="Tahoma"/>
            <family val="2"/>
          </rPr>
          <t xml:space="preserve"> </t>
        </r>
        <r>
          <rPr>
            <sz val="9"/>
            <color indexed="81"/>
            <rFont val="돋움"/>
            <family val="3"/>
            <charset val="129"/>
          </rPr>
          <t>검토해주세요</t>
        </r>
      </text>
    </comment>
    <comment ref="B7" authorId="1" shapeId="0" xr:uid="{00000000-0006-0000-0A00-000002000000}">
      <text>
        <r>
          <rPr>
            <b/>
            <sz val="9"/>
            <color indexed="81"/>
            <rFont val="Tahoma"/>
            <family val="2"/>
          </rPr>
          <t>Ph.D. Yoon:</t>
        </r>
        <r>
          <rPr>
            <sz val="9"/>
            <color indexed="81"/>
            <rFont val="Tahoma"/>
            <family val="2"/>
          </rPr>
          <t xml:space="preserve">
</t>
        </r>
        <r>
          <rPr>
            <sz val="9"/>
            <color indexed="81"/>
            <rFont val="돋움"/>
            <family val="3"/>
            <charset val="129"/>
          </rPr>
          <t>특별한</t>
        </r>
        <r>
          <rPr>
            <sz val="9"/>
            <color indexed="81"/>
            <rFont val="Tahoma"/>
            <family val="2"/>
          </rPr>
          <t xml:space="preserve"> </t>
        </r>
        <r>
          <rPr>
            <sz val="9"/>
            <color indexed="81"/>
            <rFont val="돋움"/>
            <family val="3"/>
            <charset val="129"/>
          </rPr>
          <t>경우가</t>
        </r>
        <r>
          <rPr>
            <sz val="9"/>
            <color indexed="81"/>
            <rFont val="Tahoma"/>
            <family val="2"/>
          </rPr>
          <t xml:space="preserve"> </t>
        </r>
        <r>
          <rPr>
            <sz val="9"/>
            <color indexed="81"/>
            <rFont val="돋움"/>
            <family val="3"/>
            <charset val="129"/>
          </rPr>
          <t>아니면</t>
        </r>
        <r>
          <rPr>
            <sz val="9"/>
            <color indexed="81"/>
            <rFont val="Tahoma"/>
            <family val="2"/>
          </rPr>
          <t xml:space="preserve">,  </t>
        </r>
        <r>
          <rPr>
            <sz val="9"/>
            <color indexed="81"/>
            <rFont val="돋움"/>
            <family val="3"/>
            <charset val="129"/>
          </rPr>
          <t>성숙도</t>
        </r>
        <r>
          <rPr>
            <sz val="9"/>
            <color indexed="81"/>
            <rFont val="Tahoma"/>
            <family val="2"/>
          </rPr>
          <t xml:space="preserve"> </t>
        </r>
        <r>
          <rPr>
            <sz val="9"/>
            <color indexed="81"/>
            <rFont val="돋움"/>
            <family val="3"/>
            <charset val="129"/>
          </rPr>
          <t>프리미엄</t>
        </r>
        <r>
          <rPr>
            <sz val="9"/>
            <color indexed="81"/>
            <rFont val="Tahoma"/>
            <family val="2"/>
          </rPr>
          <t xml:space="preserve"> </t>
        </r>
        <r>
          <rPr>
            <sz val="9"/>
            <color indexed="81"/>
            <rFont val="돋움"/>
            <family val="3"/>
            <charset val="129"/>
          </rPr>
          <t>옵션은</t>
        </r>
        <r>
          <rPr>
            <sz val="9"/>
            <color indexed="81"/>
            <rFont val="Tahoma"/>
            <family val="2"/>
          </rPr>
          <t xml:space="preserve"> </t>
        </r>
        <r>
          <rPr>
            <sz val="9"/>
            <color indexed="81"/>
            <rFont val="돋움"/>
            <family val="3"/>
            <charset val="129"/>
          </rPr>
          <t>성숙시장으로</t>
        </r>
        <r>
          <rPr>
            <sz val="9"/>
            <color indexed="81"/>
            <rFont val="Tahoma"/>
            <family val="2"/>
          </rPr>
          <t xml:space="preserve"> </t>
        </r>
        <r>
          <rPr>
            <sz val="9"/>
            <color indexed="81"/>
            <rFont val="돋움"/>
            <family val="3"/>
            <charset val="129"/>
          </rPr>
          <t>체크하고</t>
        </r>
        <r>
          <rPr>
            <sz val="9"/>
            <color indexed="81"/>
            <rFont val="Tahoma"/>
            <family val="2"/>
          </rPr>
          <t xml:space="preserve"> </t>
        </r>
        <r>
          <rPr>
            <sz val="9"/>
            <color indexed="81"/>
            <rFont val="돋움"/>
            <family val="3"/>
            <charset val="129"/>
          </rPr>
          <t>기술가치</t>
        </r>
        <r>
          <rPr>
            <sz val="9"/>
            <color indexed="81"/>
            <rFont val="Tahoma"/>
            <family val="2"/>
          </rPr>
          <t xml:space="preserve"> </t>
        </r>
        <r>
          <rPr>
            <sz val="9"/>
            <color indexed="81"/>
            <rFont val="돋움"/>
            <family val="3"/>
            <charset val="129"/>
          </rPr>
          <t>평가해주세요</t>
        </r>
      </text>
    </comment>
    <comment ref="D7" authorId="0" shapeId="0" xr:uid="{00000000-0006-0000-0A00-000003000000}">
      <text>
        <r>
          <rPr>
            <b/>
            <sz val="9"/>
            <color indexed="81"/>
            <rFont val="Tahoma"/>
            <family val="2"/>
          </rPr>
          <t>Ph.D. Yoon:</t>
        </r>
        <r>
          <rPr>
            <sz val="9"/>
            <color indexed="81"/>
            <rFont val="Tahoma"/>
            <family val="2"/>
          </rPr>
          <t xml:space="preserve">
INPUT sheet</t>
        </r>
        <r>
          <rPr>
            <sz val="9"/>
            <color indexed="81"/>
            <rFont val="돋움"/>
            <family val="3"/>
            <charset val="129"/>
          </rPr>
          <t>에서
사업화</t>
        </r>
        <r>
          <rPr>
            <sz val="9"/>
            <color indexed="81"/>
            <rFont val="Tahoma"/>
            <family val="2"/>
          </rPr>
          <t xml:space="preserve"> </t>
        </r>
        <r>
          <rPr>
            <sz val="9"/>
            <color indexed="81"/>
            <rFont val="돋움"/>
            <family val="3"/>
            <charset val="129"/>
          </rPr>
          <t>단계</t>
        </r>
        <r>
          <rPr>
            <sz val="9"/>
            <color indexed="81"/>
            <rFont val="Tahoma"/>
            <family val="2"/>
          </rPr>
          <t xml:space="preserve"> </t>
        </r>
        <r>
          <rPr>
            <sz val="9"/>
            <color indexed="81"/>
            <rFont val="돋움"/>
            <family val="3"/>
            <charset val="129"/>
          </rPr>
          <t>체크를</t>
        </r>
        <r>
          <rPr>
            <sz val="9"/>
            <color indexed="81"/>
            <rFont val="Tahoma"/>
            <family val="2"/>
          </rPr>
          <t xml:space="preserve"> </t>
        </r>
        <r>
          <rPr>
            <sz val="9"/>
            <color indexed="81"/>
            <rFont val="돋움"/>
            <family val="3"/>
            <charset val="129"/>
          </rPr>
          <t>잘했는지</t>
        </r>
        <r>
          <rPr>
            <sz val="9"/>
            <color indexed="81"/>
            <rFont val="Tahoma"/>
            <family val="2"/>
          </rPr>
          <t xml:space="preserve"> </t>
        </r>
        <r>
          <rPr>
            <sz val="9"/>
            <color indexed="81"/>
            <rFont val="돋움"/>
            <family val="3"/>
            <charset val="129"/>
          </rPr>
          <t>검토해주세요</t>
        </r>
      </text>
    </comment>
    <comment ref="C27" authorId="1" shapeId="0" xr:uid="{00000000-0006-0000-0A00-000004000000}">
      <text>
        <r>
          <rPr>
            <b/>
            <sz val="9"/>
            <color indexed="81"/>
            <rFont val="돋움"/>
            <family val="3"/>
            <charset val="129"/>
          </rPr>
          <t>성숙시장의</t>
        </r>
        <r>
          <rPr>
            <b/>
            <sz val="9"/>
            <color indexed="81"/>
            <rFont val="Tahoma"/>
            <family val="2"/>
          </rPr>
          <t xml:space="preserve"> </t>
        </r>
        <r>
          <rPr>
            <b/>
            <sz val="9"/>
            <color indexed="81"/>
            <rFont val="돋움"/>
            <family val="3"/>
            <charset val="129"/>
          </rPr>
          <t>경우</t>
        </r>
        <r>
          <rPr>
            <b/>
            <sz val="9"/>
            <color indexed="81"/>
            <rFont val="Tahoma"/>
            <family val="2"/>
          </rPr>
          <t>, (1)</t>
        </r>
        <r>
          <rPr>
            <b/>
            <sz val="9"/>
            <color indexed="81"/>
            <rFont val="돋움"/>
            <family val="3"/>
            <charset val="129"/>
          </rPr>
          <t>농식품분야</t>
        </r>
        <r>
          <rPr>
            <b/>
            <sz val="9"/>
            <color indexed="81"/>
            <rFont val="Tahoma"/>
            <family val="2"/>
          </rPr>
          <t xml:space="preserve"> </t>
        </r>
        <r>
          <rPr>
            <b/>
            <sz val="9"/>
            <color indexed="81"/>
            <rFont val="돋움"/>
            <family val="3"/>
            <charset val="129"/>
          </rPr>
          <t>할인률과</t>
        </r>
        <r>
          <rPr>
            <b/>
            <sz val="9"/>
            <color indexed="81"/>
            <rFont val="Tahoma"/>
            <family val="2"/>
          </rPr>
          <t xml:space="preserve"> NTTC</t>
        </r>
        <r>
          <rPr>
            <b/>
            <sz val="9"/>
            <color indexed="81"/>
            <rFont val="돋움"/>
            <family val="3"/>
            <charset val="129"/>
          </rPr>
          <t>할인율간의</t>
        </r>
        <r>
          <rPr>
            <b/>
            <sz val="9"/>
            <color indexed="81"/>
            <rFont val="Tahoma"/>
            <family val="2"/>
          </rPr>
          <t xml:space="preserve"> </t>
        </r>
        <r>
          <rPr>
            <b/>
            <sz val="9"/>
            <color indexed="81"/>
            <rFont val="돋움"/>
            <family val="3"/>
            <charset val="129"/>
          </rPr>
          <t>차이</t>
        </r>
        <r>
          <rPr>
            <b/>
            <sz val="9"/>
            <color indexed="81"/>
            <rFont val="Tahoma"/>
            <family val="2"/>
          </rPr>
          <t>, (2)</t>
        </r>
        <r>
          <rPr>
            <b/>
            <sz val="9"/>
            <color indexed="81"/>
            <rFont val="돋움"/>
            <family val="3"/>
            <charset val="129"/>
          </rPr>
          <t>상장기업과</t>
        </r>
        <r>
          <rPr>
            <b/>
            <sz val="9"/>
            <color indexed="81"/>
            <rFont val="Tahoma"/>
            <family val="2"/>
          </rPr>
          <t xml:space="preserve"> </t>
        </r>
        <r>
          <rPr>
            <b/>
            <sz val="9"/>
            <color indexed="81"/>
            <rFont val="돋움"/>
            <family val="3"/>
            <charset val="129"/>
          </rPr>
          <t>비상장기업</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창업기업간</t>
        </r>
        <r>
          <rPr>
            <b/>
            <sz val="9"/>
            <color indexed="81"/>
            <rFont val="Tahoma"/>
            <family val="2"/>
          </rPr>
          <t xml:space="preserve"> </t>
        </r>
        <r>
          <rPr>
            <b/>
            <sz val="9"/>
            <color indexed="81"/>
            <rFont val="돋움"/>
            <family val="3"/>
            <charset val="129"/>
          </rPr>
          <t>할인율의</t>
        </r>
        <r>
          <rPr>
            <b/>
            <sz val="9"/>
            <color indexed="81"/>
            <rFont val="Tahoma"/>
            <family val="2"/>
          </rPr>
          <t xml:space="preserve"> </t>
        </r>
        <r>
          <rPr>
            <b/>
            <sz val="9"/>
            <color indexed="81"/>
            <rFont val="돋움"/>
            <family val="3"/>
            <charset val="129"/>
          </rPr>
          <t>차이</t>
        </r>
        <r>
          <rPr>
            <b/>
            <sz val="9"/>
            <color indexed="81"/>
            <rFont val="Tahoma"/>
            <family val="2"/>
          </rPr>
          <t>, (3)</t>
        </r>
        <r>
          <rPr>
            <b/>
            <sz val="9"/>
            <color indexed="81"/>
            <rFont val="돋움"/>
            <family val="3"/>
            <charset val="129"/>
          </rPr>
          <t>기술성숙도</t>
        </r>
        <r>
          <rPr>
            <b/>
            <sz val="9"/>
            <color indexed="81"/>
            <rFont val="Tahoma"/>
            <family val="2"/>
          </rPr>
          <t xml:space="preserve"> 5</t>
        </r>
        <r>
          <rPr>
            <b/>
            <sz val="9"/>
            <color indexed="81"/>
            <rFont val="돋움"/>
            <family val="3"/>
            <charset val="129"/>
          </rPr>
          <t>단계별</t>
        </r>
        <r>
          <rPr>
            <b/>
            <sz val="9"/>
            <color indexed="81"/>
            <rFont val="Tahoma"/>
            <family val="2"/>
          </rPr>
          <t xml:space="preserve"> </t>
        </r>
        <r>
          <rPr>
            <b/>
            <sz val="9"/>
            <color indexed="81"/>
            <rFont val="돋움"/>
            <family val="3"/>
            <charset val="129"/>
          </rPr>
          <t>할인율의</t>
        </r>
        <r>
          <rPr>
            <b/>
            <sz val="9"/>
            <color indexed="81"/>
            <rFont val="Tahoma"/>
            <family val="2"/>
          </rPr>
          <t xml:space="preserve"> </t>
        </r>
        <r>
          <rPr>
            <b/>
            <sz val="9"/>
            <color indexed="81"/>
            <rFont val="돋움"/>
            <family val="3"/>
            <charset val="129"/>
          </rPr>
          <t>변별력</t>
        </r>
        <r>
          <rPr>
            <b/>
            <sz val="9"/>
            <color indexed="81"/>
            <rFont val="Tahoma"/>
            <family val="2"/>
          </rPr>
          <t xml:space="preserve"> </t>
        </r>
        <r>
          <rPr>
            <b/>
            <sz val="9"/>
            <color indexed="81"/>
            <rFont val="돋움"/>
            <family val="3"/>
            <charset val="129"/>
          </rPr>
          <t>등을</t>
        </r>
        <r>
          <rPr>
            <b/>
            <sz val="9"/>
            <color indexed="81"/>
            <rFont val="Tahoma"/>
            <family val="2"/>
          </rPr>
          <t xml:space="preserve"> </t>
        </r>
        <r>
          <rPr>
            <b/>
            <sz val="9"/>
            <color indexed="81"/>
            <rFont val="돋움"/>
            <family val="3"/>
            <charset val="129"/>
          </rPr>
          <t>종합적으로</t>
        </r>
        <r>
          <rPr>
            <b/>
            <sz val="9"/>
            <color indexed="81"/>
            <rFont val="Tahoma"/>
            <family val="2"/>
          </rPr>
          <t xml:space="preserve"> </t>
        </r>
        <r>
          <rPr>
            <b/>
            <sz val="9"/>
            <color indexed="81"/>
            <rFont val="돋움"/>
            <family val="3"/>
            <charset val="129"/>
          </rPr>
          <t>감안하여</t>
        </r>
        <r>
          <rPr>
            <b/>
            <sz val="9"/>
            <color indexed="81"/>
            <rFont val="Tahoma"/>
            <family val="2"/>
          </rPr>
          <t xml:space="preserve"> </t>
        </r>
        <r>
          <rPr>
            <b/>
            <sz val="9"/>
            <color indexed="81"/>
            <rFont val="돋움"/>
            <family val="3"/>
            <charset val="129"/>
          </rPr>
          <t>전문가</t>
        </r>
        <r>
          <rPr>
            <b/>
            <sz val="9"/>
            <color indexed="81"/>
            <rFont val="Tahoma"/>
            <family val="2"/>
          </rPr>
          <t xml:space="preserve"> </t>
        </r>
        <r>
          <rPr>
            <b/>
            <sz val="9"/>
            <color indexed="81"/>
            <rFont val="돋움"/>
            <family val="3"/>
            <charset val="129"/>
          </rPr>
          <t>합의를</t>
        </r>
        <r>
          <rPr>
            <b/>
            <sz val="9"/>
            <color indexed="81"/>
            <rFont val="Tahoma"/>
            <family val="2"/>
          </rPr>
          <t xml:space="preserve"> </t>
        </r>
        <r>
          <rPr>
            <b/>
            <sz val="9"/>
            <color indexed="81"/>
            <rFont val="돋움"/>
            <family val="3"/>
            <charset val="129"/>
          </rPr>
          <t>거쳐</t>
        </r>
        <r>
          <rPr>
            <b/>
            <sz val="9"/>
            <color indexed="81"/>
            <rFont val="Tahoma"/>
            <family val="2"/>
          </rPr>
          <t xml:space="preserve"> </t>
        </r>
        <r>
          <rPr>
            <b/>
            <sz val="9"/>
            <color indexed="81"/>
            <rFont val="돋움"/>
            <family val="3"/>
            <charset val="129"/>
          </rPr>
          <t>기술성숙도</t>
        </r>
        <r>
          <rPr>
            <b/>
            <sz val="9"/>
            <color indexed="81"/>
            <rFont val="Tahoma"/>
            <family val="2"/>
          </rPr>
          <t xml:space="preserve"> </t>
        </r>
        <r>
          <rPr>
            <b/>
            <sz val="9"/>
            <color indexed="81"/>
            <rFont val="돋움"/>
            <family val="3"/>
            <charset val="129"/>
          </rPr>
          <t>단계별</t>
        </r>
        <r>
          <rPr>
            <b/>
            <sz val="9"/>
            <color indexed="81"/>
            <rFont val="Tahoma"/>
            <family val="2"/>
          </rPr>
          <t xml:space="preserve"> </t>
        </r>
        <r>
          <rPr>
            <b/>
            <sz val="9"/>
            <color indexed="81"/>
            <rFont val="돋움"/>
            <family val="3"/>
            <charset val="129"/>
          </rPr>
          <t>프리미엄</t>
        </r>
        <r>
          <rPr>
            <b/>
            <sz val="9"/>
            <color indexed="81"/>
            <rFont val="Tahoma"/>
            <family val="2"/>
          </rPr>
          <t xml:space="preserve"> </t>
        </r>
        <r>
          <rPr>
            <b/>
            <sz val="9"/>
            <color indexed="81"/>
            <rFont val="돋움"/>
            <family val="3"/>
            <charset val="129"/>
          </rPr>
          <t>할인율을</t>
        </r>
        <r>
          <rPr>
            <b/>
            <sz val="9"/>
            <color indexed="81"/>
            <rFont val="Tahoma"/>
            <family val="2"/>
          </rPr>
          <t xml:space="preserve"> </t>
        </r>
        <r>
          <rPr>
            <b/>
            <sz val="9"/>
            <color indexed="81"/>
            <rFont val="돋움"/>
            <family val="3"/>
            <charset val="129"/>
          </rPr>
          <t>산정함</t>
        </r>
      </text>
    </comment>
    <comment ref="D27" authorId="2" shapeId="0" xr:uid="{00000000-0006-0000-0A00-000005000000}">
      <text>
        <r>
          <rPr>
            <b/>
            <sz val="9"/>
            <color indexed="81"/>
            <rFont val="돋움"/>
            <family val="3"/>
            <charset val="129"/>
          </rPr>
          <t>미성숙 시장인 경우, 선별적으로 적용
2020년 11월 현행화 용역결과 보고서 P45 &lt;표 Ⅲ-16&gt; 기술성숙도 단계별 평균 위험프리미엄(%) 적용함</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2" authorId="0" shapeId="0" xr:uid="{00000000-0006-0000-0B00-000001000000}">
      <text>
        <r>
          <rPr>
            <b/>
            <sz val="9"/>
            <color indexed="81"/>
            <rFont val="Tahoma"/>
            <family val="2"/>
          </rPr>
          <t>Ph.D.:</t>
        </r>
        <r>
          <rPr>
            <sz val="9"/>
            <color indexed="81"/>
            <rFont val="Tahoma"/>
            <family val="2"/>
          </rPr>
          <t xml:space="preserve">
</t>
        </r>
        <r>
          <rPr>
            <sz val="9"/>
            <color indexed="81"/>
            <rFont val="돋움"/>
            <family val="3"/>
            <charset val="129"/>
          </rPr>
          <t>상관행법</t>
        </r>
        <r>
          <rPr>
            <sz val="9"/>
            <color indexed="81"/>
            <rFont val="Tahoma"/>
            <family val="2"/>
          </rPr>
          <t xml:space="preserve"> </t>
        </r>
        <r>
          <rPr>
            <sz val="9"/>
            <color indexed="81"/>
            <rFont val="돋움"/>
            <family val="3"/>
            <charset val="129"/>
          </rPr>
          <t>셀의</t>
        </r>
        <r>
          <rPr>
            <sz val="9"/>
            <color indexed="81"/>
            <rFont val="Tahoma"/>
            <family val="2"/>
          </rPr>
          <t xml:space="preserve"> </t>
        </r>
        <r>
          <rPr>
            <sz val="9"/>
            <color indexed="81"/>
            <rFont val="돋움"/>
            <family val="3"/>
            <charset val="129"/>
          </rPr>
          <t xml:space="preserve">소분류코드
</t>
        </r>
        <r>
          <rPr>
            <sz val="9"/>
            <color indexed="81"/>
            <rFont val="Tahoma"/>
            <family val="2"/>
          </rPr>
          <t>Vlookup</t>
        </r>
        <r>
          <rPr>
            <sz val="9"/>
            <color indexed="81"/>
            <rFont val="돋움"/>
            <family val="3"/>
            <charset val="129"/>
          </rPr>
          <t>함수용</t>
        </r>
      </text>
    </comment>
    <comment ref="J14" authorId="0" shapeId="0" xr:uid="{00000000-0006-0000-0B00-000002000000}">
      <text>
        <r>
          <rPr>
            <b/>
            <sz val="9"/>
            <color indexed="81"/>
            <rFont val="Tahoma"/>
            <family val="2"/>
          </rPr>
          <t>Ph.D Yoon:</t>
        </r>
        <r>
          <rPr>
            <sz val="9"/>
            <color indexed="81"/>
            <rFont val="Tahoma"/>
            <family val="2"/>
          </rPr>
          <t xml:space="preserve"> </t>
        </r>
        <r>
          <rPr>
            <sz val="9"/>
            <color indexed="81"/>
            <rFont val="돋움"/>
            <family val="3"/>
            <charset val="129"/>
          </rPr>
          <t>경상로열티율</t>
        </r>
        <r>
          <rPr>
            <sz val="9"/>
            <color indexed="81"/>
            <rFont val="Tahoma"/>
            <family val="2"/>
          </rPr>
          <t xml:space="preserve"> </t>
        </r>
        <r>
          <rPr>
            <sz val="9"/>
            <color indexed="81"/>
            <rFont val="돋움"/>
            <family val="3"/>
            <charset val="129"/>
          </rPr>
          <t>자료</t>
        </r>
        <r>
          <rPr>
            <sz val="9"/>
            <color indexed="81"/>
            <rFont val="Tahoma"/>
            <family val="2"/>
          </rPr>
          <t xml:space="preserve"> </t>
        </r>
        <r>
          <rPr>
            <sz val="9"/>
            <color indexed="81"/>
            <rFont val="돋움"/>
            <family val="3"/>
            <charset val="129"/>
          </rPr>
          <t>부재로</t>
        </r>
        <r>
          <rPr>
            <sz val="9"/>
            <color indexed="81"/>
            <rFont val="Tahoma"/>
            <family val="2"/>
          </rPr>
          <t xml:space="preserve"> </t>
        </r>
        <r>
          <rPr>
            <sz val="9"/>
            <color indexed="81"/>
            <rFont val="돋움"/>
            <family val="3"/>
            <charset val="129"/>
          </rPr>
          <t>해당업종</t>
        </r>
        <r>
          <rPr>
            <sz val="9"/>
            <color indexed="81"/>
            <rFont val="Tahoma"/>
            <family val="2"/>
          </rPr>
          <t xml:space="preserve"> </t>
        </r>
        <r>
          <rPr>
            <sz val="9"/>
            <color indexed="81"/>
            <rFont val="돋움"/>
            <family val="3"/>
            <charset val="129"/>
          </rPr>
          <t>상관행법</t>
        </r>
        <r>
          <rPr>
            <sz val="9"/>
            <color indexed="81"/>
            <rFont val="Tahoma"/>
            <family val="2"/>
          </rPr>
          <t xml:space="preserve"> </t>
        </r>
        <r>
          <rPr>
            <sz val="9"/>
            <color indexed="81"/>
            <rFont val="돋움"/>
            <family val="3"/>
            <charset val="129"/>
          </rPr>
          <t>로열티율</t>
        </r>
        <r>
          <rPr>
            <sz val="9"/>
            <color indexed="81"/>
            <rFont val="Tahoma"/>
            <family val="2"/>
          </rPr>
          <t xml:space="preserve"> </t>
        </r>
        <r>
          <rPr>
            <sz val="9"/>
            <color indexed="81"/>
            <rFont val="돋움"/>
            <family val="3"/>
            <charset val="129"/>
          </rPr>
          <t>전체값</t>
        </r>
        <r>
          <rPr>
            <sz val="9"/>
            <color indexed="81"/>
            <rFont val="Tahoma"/>
            <family val="2"/>
          </rPr>
          <t xml:space="preserve"> </t>
        </r>
        <r>
          <rPr>
            <sz val="9"/>
            <color indexed="81"/>
            <rFont val="돋움"/>
            <family val="3"/>
            <charset val="129"/>
          </rPr>
          <t>준용</t>
        </r>
        <r>
          <rPr>
            <sz val="9"/>
            <color indexed="81"/>
            <rFont val="Tahoma"/>
            <family val="2"/>
          </rPr>
          <t>(</t>
        </r>
        <r>
          <rPr>
            <sz val="9"/>
            <color indexed="81"/>
            <rFont val="돋움"/>
            <family val="3"/>
            <charset val="129"/>
          </rPr>
          <t>작물재배업</t>
        </r>
        <r>
          <rPr>
            <sz val="9"/>
            <color indexed="81"/>
            <rFont val="Tahoma"/>
            <family val="2"/>
          </rPr>
          <t>)</t>
        </r>
      </text>
    </comment>
    <comment ref="J21" authorId="0" shapeId="0" xr:uid="{00000000-0006-0000-0B00-000003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축산업</t>
        </r>
        <r>
          <rPr>
            <b/>
            <sz val="9"/>
            <color indexed="81"/>
            <rFont val="Tahoma"/>
            <family val="2"/>
          </rPr>
          <t>)</t>
        </r>
      </text>
    </comment>
    <comment ref="J58" authorId="0" shapeId="0" xr:uid="{00000000-0006-0000-0B00-000004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임업</t>
        </r>
        <r>
          <rPr>
            <b/>
            <sz val="9"/>
            <color indexed="81"/>
            <rFont val="Tahoma"/>
            <family val="2"/>
          </rPr>
          <t>)</t>
        </r>
      </text>
    </comment>
    <comment ref="J93" authorId="0" shapeId="0" xr:uid="{00000000-0006-0000-0B00-000005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어로어업</t>
        </r>
        <r>
          <rPr>
            <b/>
            <sz val="9"/>
            <color indexed="81"/>
            <rFont val="Tahoma"/>
            <family val="2"/>
          </rPr>
          <t>)</t>
        </r>
      </text>
    </comment>
    <comment ref="J95" authorId="0" shapeId="0" xr:uid="{00000000-0006-0000-0B00-000006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양식어업</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어업관련</t>
        </r>
        <r>
          <rPr>
            <b/>
            <sz val="9"/>
            <color indexed="81"/>
            <rFont val="Tahoma"/>
            <family val="2"/>
          </rPr>
          <t xml:space="preserve"> </t>
        </r>
        <r>
          <rPr>
            <b/>
            <sz val="9"/>
            <color indexed="81"/>
            <rFont val="돋움"/>
            <family val="3"/>
            <charset val="129"/>
          </rPr>
          <t>서비스업</t>
        </r>
        <r>
          <rPr>
            <b/>
            <sz val="9"/>
            <color indexed="81"/>
            <rFont val="Tahoma"/>
            <family val="2"/>
          </rPr>
          <t>)</t>
        </r>
      </text>
    </comment>
    <comment ref="K140" authorId="0" shapeId="0" xr:uid="{00000000-0006-0000-0B00-000007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도축</t>
        </r>
        <r>
          <rPr>
            <b/>
            <sz val="9"/>
            <color indexed="81"/>
            <rFont val="Tahoma"/>
            <family val="2"/>
          </rPr>
          <t xml:space="preserve">, </t>
        </r>
        <r>
          <rPr>
            <b/>
            <sz val="9"/>
            <color indexed="81"/>
            <rFont val="돋움"/>
            <family val="3"/>
            <charset val="129"/>
          </rPr>
          <t>육류</t>
        </r>
        <r>
          <rPr>
            <b/>
            <sz val="9"/>
            <color indexed="81"/>
            <rFont val="Tahoma"/>
            <family val="2"/>
          </rPr>
          <t xml:space="preserve"> </t>
        </r>
        <r>
          <rPr>
            <b/>
            <sz val="9"/>
            <color indexed="81"/>
            <rFont val="돋움"/>
            <family val="3"/>
            <charset val="129"/>
          </rPr>
          <t>가공</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저장</t>
        </r>
        <r>
          <rPr>
            <b/>
            <sz val="9"/>
            <color indexed="81"/>
            <rFont val="Tahoma"/>
            <family val="2"/>
          </rPr>
          <t xml:space="preserve"> </t>
        </r>
        <r>
          <rPr>
            <b/>
            <sz val="9"/>
            <color indexed="81"/>
            <rFont val="돋움"/>
            <family val="3"/>
            <charset val="129"/>
          </rPr>
          <t>처리업</t>
        </r>
        <r>
          <rPr>
            <b/>
            <sz val="9"/>
            <color indexed="81"/>
            <rFont val="Tahoma"/>
            <family val="2"/>
          </rPr>
          <t>)</t>
        </r>
      </text>
    </comment>
    <comment ref="J142" authorId="0" shapeId="0" xr:uid="{00000000-0006-0000-0B00-000008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수산물</t>
        </r>
        <r>
          <rPr>
            <b/>
            <sz val="9"/>
            <color indexed="81"/>
            <rFont val="Tahoma"/>
            <family val="2"/>
          </rPr>
          <t xml:space="preserve"> </t>
        </r>
        <r>
          <rPr>
            <b/>
            <sz val="9"/>
            <color indexed="81"/>
            <rFont val="돋움"/>
            <family val="3"/>
            <charset val="129"/>
          </rPr>
          <t>가공</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저장</t>
        </r>
        <r>
          <rPr>
            <b/>
            <sz val="9"/>
            <color indexed="81"/>
            <rFont val="Tahoma"/>
            <family val="2"/>
          </rPr>
          <t xml:space="preserve"> </t>
        </r>
        <r>
          <rPr>
            <b/>
            <sz val="9"/>
            <color indexed="81"/>
            <rFont val="돋움"/>
            <family val="3"/>
            <charset val="129"/>
          </rPr>
          <t>처리업</t>
        </r>
        <r>
          <rPr>
            <b/>
            <sz val="9"/>
            <color indexed="81"/>
            <rFont val="Tahoma"/>
            <family val="2"/>
          </rPr>
          <t>)</t>
        </r>
      </text>
    </comment>
    <comment ref="K146" authorId="0" shapeId="0" xr:uid="{00000000-0006-0000-0B00-000009000000}">
      <text>
        <r>
          <rPr>
            <b/>
            <sz val="9"/>
            <color indexed="81"/>
            <rFont val="Tahoma"/>
            <family val="2"/>
          </rPr>
          <t>Ph.D. Yoonr:</t>
        </r>
        <r>
          <rPr>
            <sz val="9"/>
            <color indexed="81"/>
            <rFont val="Tahoma"/>
            <family val="2"/>
          </rPr>
          <t xml:space="preserve">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낙농제품</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식용빙과류</t>
        </r>
        <r>
          <rPr>
            <b/>
            <sz val="9"/>
            <color indexed="81"/>
            <rFont val="Tahoma"/>
            <family val="2"/>
          </rPr>
          <t xml:space="preserve"> </t>
        </r>
        <r>
          <rPr>
            <b/>
            <sz val="9"/>
            <color indexed="81"/>
            <rFont val="돋움"/>
            <family val="3"/>
            <charset val="129"/>
          </rPr>
          <t>제조업</t>
        </r>
        <r>
          <rPr>
            <b/>
            <sz val="9"/>
            <color indexed="81"/>
            <rFont val="Tahoma"/>
            <family val="2"/>
          </rPr>
          <t>)</t>
        </r>
      </text>
    </comment>
    <comment ref="I150" authorId="0" shapeId="0" xr:uid="{00000000-0006-0000-0B00-00000A000000}">
      <text>
        <r>
          <rPr>
            <b/>
            <sz val="9"/>
            <color indexed="81"/>
            <rFont val="Tahoma"/>
            <family val="2"/>
          </rPr>
          <t>Ph.D. Yoon:</t>
        </r>
        <r>
          <rPr>
            <sz val="9"/>
            <color indexed="81"/>
            <rFont val="Tahoma"/>
            <family val="2"/>
          </rPr>
          <t xml:space="preserve">
</t>
        </r>
        <r>
          <rPr>
            <sz val="9"/>
            <color indexed="81"/>
            <rFont val="돋움"/>
            <family val="3"/>
            <charset val="129"/>
          </rPr>
          <t>최대값에</t>
        </r>
        <r>
          <rPr>
            <sz val="9"/>
            <color indexed="81"/>
            <rFont val="Tahoma"/>
            <family val="2"/>
          </rPr>
          <t xml:space="preserve"> </t>
        </r>
        <r>
          <rPr>
            <sz val="9"/>
            <color indexed="81"/>
            <rFont val="돋움"/>
            <family val="3"/>
            <charset val="129"/>
          </rPr>
          <t>특이치가</t>
        </r>
        <r>
          <rPr>
            <sz val="9"/>
            <color indexed="81"/>
            <rFont val="Tahoma"/>
            <family val="2"/>
          </rPr>
          <t xml:space="preserve"> </t>
        </r>
        <r>
          <rPr>
            <sz val="9"/>
            <color indexed="81"/>
            <rFont val="돋움"/>
            <family val="3"/>
            <charset val="129"/>
          </rPr>
          <t>발생하여</t>
        </r>
        <r>
          <rPr>
            <sz val="9"/>
            <color indexed="81"/>
            <rFont val="Tahoma"/>
            <family val="2"/>
          </rPr>
          <t xml:space="preserve"> </t>
        </r>
        <r>
          <rPr>
            <sz val="9"/>
            <color indexed="81"/>
            <rFont val="돋움"/>
            <family val="3"/>
            <charset val="129"/>
          </rPr>
          <t>특이치</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수치</t>
        </r>
        <r>
          <rPr>
            <sz val="9"/>
            <color indexed="81"/>
            <rFont val="Tahoma"/>
            <family val="2"/>
          </rPr>
          <t xml:space="preserve"> </t>
        </r>
        <r>
          <rPr>
            <sz val="9"/>
            <color indexed="81"/>
            <rFont val="돋움"/>
            <family val="3"/>
            <charset val="129"/>
          </rPr>
          <t>수정</t>
        </r>
      </text>
    </comment>
    <comment ref="J156" authorId="0" shapeId="0" xr:uid="{00000000-0006-0000-0B00-00000B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t>
        </r>
        <r>
          <rPr>
            <b/>
            <sz val="9"/>
            <color indexed="81"/>
            <rFont val="Tahoma"/>
            <family val="2"/>
          </rPr>
          <t xml:space="preserve"> </t>
        </r>
        <r>
          <rPr>
            <b/>
            <sz val="9"/>
            <color indexed="81"/>
            <rFont val="돋움"/>
            <family val="3"/>
            <charset val="129"/>
          </rPr>
          <t>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알콜음료제조업</t>
        </r>
        <r>
          <rPr>
            <b/>
            <sz val="9"/>
            <color indexed="81"/>
            <rFont val="Tahoma"/>
            <family val="2"/>
          </rPr>
          <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 authorId="0" shapeId="0" xr:uid="{00000000-0006-0000-0C00-000001000000}">
      <text>
        <r>
          <rPr>
            <b/>
            <sz val="9"/>
            <color indexed="81"/>
            <rFont val="Tahoma"/>
            <family val="2"/>
          </rPr>
          <t>Ph.D. Yoon:</t>
        </r>
        <r>
          <rPr>
            <sz val="9"/>
            <color indexed="81"/>
            <rFont val="Tahoma"/>
            <family val="2"/>
          </rPr>
          <t xml:space="preserve">
</t>
        </r>
        <r>
          <rPr>
            <sz val="9"/>
            <color indexed="81"/>
            <rFont val="돋움"/>
            <family val="3"/>
            <charset val="129"/>
          </rPr>
          <t>얼음</t>
        </r>
        <r>
          <rPr>
            <sz val="9"/>
            <color indexed="81"/>
            <rFont val="Tahoma"/>
            <family val="2"/>
          </rPr>
          <t xml:space="preserve"> </t>
        </r>
        <r>
          <rPr>
            <sz val="9"/>
            <color indexed="81"/>
            <rFont val="돋움"/>
            <family val="3"/>
            <charset val="129"/>
          </rPr>
          <t>제조업의</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재무자료가</t>
        </r>
        <r>
          <rPr>
            <sz val="9"/>
            <color indexed="81"/>
            <rFont val="Tahoma"/>
            <family val="2"/>
          </rPr>
          <t xml:space="preserve"> </t>
        </r>
        <r>
          <rPr>
            <sz val="9"/>
            <color indexed="81"/>
            <rFont val="돋움"/>
            <family val="3"/>
            <charset val="129"/>
          </rPr>
          <t>없으므로</t>
        </r>
        <r>
          <rPr>
            <sz val="9"/>
            <color indexed="81"/>
            <rFont val="Tahoma"/>
            <family val="2"/>
          </rPr>
          <t xml:space="preserve"> </t>
        </r>
        <r>
          <rPr>
            <sz val="9"/>
            <color indexed="81"/>
            <rFont val="돋움"/>
            <family val="3"/>
            <charset val="129"/>
          </rPr>
          <t>한국은행</t>
        </r>
        <r>
          <rPr>
            <sz val="9"/>
            <color indexed="81"/>
            <rFont val="Tahoma"/>
            <family val="2"/>
          </rPr>
          <t xml:space="preserve"> </t>
        </r>
        <r>
          <rPr>
            <sz val="9"/>
            <color indexed="81"/>
            <rFont val="돋움"/>
            <family val="3"/>
            <charset val="129"/>
          </rPr>
          <t>기업경영분석</t>
        </r>
        <r>
          <rPr>
            <sz val="9"/>
            <color indexed="81"/>
            <rFont val="Tahoma"/>
            <family val="2"/>
          </rPr>
          <t xml:space="preserve"> </t>
        </r>
        <r>
          <rPr>
            <sz val="9"/>
            <color indexed="81"/>
            <rFont val="돋움"/>
            <family val="3"/>
            <charset val="129"/>
          </rPr>
          <t>데이터</t>
        </r>
        <r>
          <rPr>
            <sz val="9"/>
            <color indexed="81"/>
            <rFont val="Tahoma"/>
            <family val="2"/>
          </rPr>
          <t xml:space="preserve"> </t>
        </r>
        <r>
          <rPr>
            <sz val="9"/>
            <color indexed="81"/>
            <rFont val="돋움"/>
            <family val="3"/>
            <charset val="129"/>
          </rPr>
          <t>혹은</t>
        </r>
        <r>
          <rPr>
            <sz val="9"/>
            <color indexed="81"/>
            <rFont val="Tahoma"/>
            <family val="2"/>
          </rPr>
          <t xml:space="preserve"> kisti stavalue</t>
        </r>
        <r>
          <rPr>
            <sz val="9"/>
            <color indexed="81"/>
            <rFont val="돋움"/>
            <family val="3"/>
            <charset val="129"/>
          </rPr>
          <t>에서</t>
        </r>
        <r>
          <rPr>
            <sz val="9"/>
            <color indexed="81"/>
            <rFont val="Tahoma"/>
            <family val="2"/>
          </rPr>
          <t xml:space="preserve"> </t>
        </r>
        <r>
          <rPr>
            <sz val="9"/>
            <color indexed="81"/>
            <rFont val="돋움"/>
            <family val="3"/>
            <charset val="129"/>
          </rPr>
          <t>상위</t>
        </r>
        <r>
          <rPr>
            <sz val="9"/>
            <color indexed="81"/>
            <rFont val="Tahoma"/>
            <family val="2"/>
          </rPr>
          <t xml:space="preserve"> 112 </t>
        </r>
        <r>
          <rPr>
            <sz val="9"/>
            <color indexed="81"/>
            <rFont val="돋움"/>
            <family val="3"/>
            <charset val="129"/>
          </rPr>
          <t>비알코올</t>
        </r>
        <r>
          <rPr>
            <sz val="9"/>
            <color indexed="81"/>
            <rFont val="Tahoma"/>
            <family val="2"/>
          </rPr>
          <t xml:space="preserve"> </t>
        </r>
        <r>
          <rPr>
            <sz val="9"/>
            <color indexed="81"/>
            <rFont val="돋움"/>
            <family val="3"/>
            <charset val="129"/>
          </rPr>
          <t>음료</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얼음</t>
        </r>
        <r>
          <rPr>
            <sz val="9"/>
            <color indexed="81"/>
            <rFont val="Tahoma"/>
            <family val="2"/>
          </rPr>
          <t xml:space="preserve"> </t>
        </r>
        <r>
          <rPr>
            <sz val="9"/>
            <color indexed="81"/>
            <rFont val="돋움"/>
            <family val="3"/>
            <charset val="129"/>
          </rPr>
          <t>제조업</t>
        </r>
        <r>
          <rPr>
            <sz val="9"/>
            <color indexed="81"/>
            <rFont val="Tahoma"/>
            <family val="2"/>
          </rPr>
          <t xml:space="preserve"> </t>
        </r>
        <r>
          <rPr>
            <sz val="9"/>
            <color indexed="81"/>
            <rFont val="돋움"/>
            <family val="3"/>
            <charset val="129"/>
          </rPr>
          <t>재무데이타</t>
        </r>
        <r>
          <rPr>
            <sz val="9"/>
            <color indexed="81"/>
            <rFont val="Tahoma"/>
            <family val="2"/>
          </rPr>
          <t xml:space="preserve"> </t>
        </r>
        <r>
          <rPr>
            <sz val="9"/>
            <color indexed="81"/>
            <rFont val="돋움"/>
            <family val="3"/>
            <charset val="129"/>
          </rPr>
          <t>활용해주세요</t>
        </r>
      </text>
    </comment>
    <comment ref="C4" authorId="0" shapeId="0" xr:uid="{00000000-0006-0000-0C00-000002000000}">
      <text>
        <r>
          <rPr>
            <b/>
            <sz val="7"/>
            <color indexed="81"/>
            <rFont val="Tahoma"/>
            <family val="2"/>
          </rPr>
          <t xml:space="preserve">Ph.D Yoon: </t>
        </r>
        <r>
          <rPr>
            <b/>
            <sz val="7"/>
            <color indexed="81"/>
            <rFont val="돋움"/>
            <family val="3"/>
            <charset val="129"/>
          </rPr>
          <t>향후</t>
        </r>
        <r>
          <rPr>
            <b/>
            <sz val="7"/>
            <color indexed="81"/>
            <rFont val="Tahoma"/>
            <family val="2"/>
          </rPr>
          <t xml:space="preserve"> </t>
        </r>
        <r>
          <rPr>
            <b/>
            <sz val="7"/>
            <color indexed="81"/>
            <rFont val="돋움"/>
            <family val="3"/>
            <charset val="129"/>
          </rPr>
          <t>현행화시</t>
        </r>
        <r>
          <rPr>
            <b/>
            <sz val="7"/>
            <color indexed="81"/>
            <rFont val="Tahoma"/>
            <family val="2"/>
          </rPr>
          <t xml:space="preserve">, </t>
        </r>
        <r>
          <rPr>
            <b/>
            <sz val="7"/>
            <color indexed="81"/>
            <rFont val="돋움"/>
            <family val="3"/>
            <charset val="129"/>
          </rPr>
          <t>수식</t>
        </r>
        <r>
          <rPr>
            <b/>
            <sz val="7"/>
            <color indexed="81"/>
            <rFont val="Tahoma"/>
            <family val="2"/>
          </rPr>
          <t xml:space="preserve"> -&gt; </t>
        </r>
        <r>
          <rPr>
            <b/>
            <sz val="7"/>
            <color indexed="81"/>
            <rFont val="돋움"/>
            <family val="3"/>
            <charset val="129"/>
          </rPr>
          <t>이름관리자에서</t>
        </r>
        <r>
          <rPr>
            <b/>
            <sz val="7"/>
            <color indexed="81"/>
            <rFont val="Tahoma"/>
            <family val="2"/>
          </rPr>
          <t xml:space="preserve"> </t>
        </r>
        <r>
          <rPr>
            <b/>
            <sz val="7"/>
            <color indexed="81"/>
            <rFont val="돋움"/>
            <family val="3"/>
            <charset val="129"/>
          </rPr>
          <t>명칭</t>
        </r>
        <r>
          <rPr>
            <b/>
            <sz val="7"/>
            <color indexed="81"/>
            <rFont val="Tahoma"/>
            <family val="2"/>
          </rPr>
          <t xml:space="preserve"> </t>
        </r>
        <r>
          <rPr>
            <b/>
            <sz val="7"/>
            <color indexed="81"/>
            <rFont val="돋움"/>
            <family val="3"/>
            <charset val="129"/>
          </rPr>
          <t>수정</t>
        </r>
        <r>
          <rPr>
            <b/>
            <sz val="7"/>
            <color indexed="81"/>
            <rFont val="Tahoma"/>
            <family val="2"/>
          </rPr>
          <t xml:space="preserve"> -&gt; </t>
        </r>
        <r>
          <rPr>
            <b/>
            <sz val="7"/>
            <color indexed="81"/>
            <rFont val="돋움"/>
            <family val="3"/>
            <charset val="129"/>
          </rPr>
          <t>해당</t>
        </r>
        <r>
          <rPr>
            <b/>
            <sz val="7"/>
            <color indexed="81"/>
            <rFont val="Tahoma"/>
            <family val="2"/>
          </rPr>
          <t xml:space="preserve"> </t>
        </r>
        <r>
          <rPr>
            <b/>
            <sz val="7"/>
            <color indexed="81"/>
            <rFont val="돋움"/>
            <family val="3"/>
            <charset val="129"/>
          </rPr>
          <t>셀의</t>
        </r>
        <r>
          <rPr>
            <b/>
            <sz val="7"/>
            <color indexed="81"/>
            <rFont val="Tahoma"/>
            <family val="2"/>
          </rPr>
          <t xml:space="preserve"> </t>
        </r>
        <r>
          <rPr>
            <b/>
            <sz val="7"/>
            <color indexed="81"/>
            <rFont val="돋움"/>
            <family val="3"/>
            <charset val="129"/>
          </rPr>
          <t>이름을</t>
        </r>
        <r>
          <rPr>
            <b/>
            <sz val="7"/>
            <color indexed="81"/>
            <rFont val="Tahoma"/>
            <family val="2"/>
          </rPr>
          <t xml:space="preserve"> </t>
        </r>
        <r>
          <rPr>
            <b/>
            <sz val="7"/>
            <color indexed="81"/>
            <rFont val="돋움"/>
            <family val="3"/>
            <charset val="129"/>
          </rPr>
          <t>변경한</t>
        </r>
        <r>
          <rPr>
            <b/>
            <sz val="7"/>
            <color indexed="81"/>
            <rFont val="Tahoma"/>
            <family val="2"/>
          </rPr>
          <t xml:space="preserve"> </t>
        </r>
        <r>
          <rPr>
            <b/>
            <sz val="7"/>
            <color indexed="81"/>
            <rFont val="돋움"/>
            <family val="3"/>
            <charset val="129"/>
          </rPr>
          <t>후에</t>
        </r>
        <r>
          <rPr>
            <b/>
            <sz val="7"/>
            <color indexed="81"/>
            <rFont val="Tahoma"/>
            <family val="2"/>
          </rPr>
          <t xml:space="preserve"> indirect </t>
        </r>
        <r>
          <rPr>
            <b/>
            <sz val="7"/>
            <color indexed="81"/>
            <rFont val="돋움"/>
            <family val="3"/>
            <charset val="129"/>
          </rPr>
          <t>함수</t>
        </r>
        <r>
          <rPr>
            <b/>
            <sz val="7"/>
            <color indexed="81"/>
            <rFont val="Tahoma"/>
            <family val="2"/>
          </rPr>
          <t xml:space="preserve"> </t>
        </r>
        <r>
          <rPr>
            <b/>
            <sz val="7"/>
            <color indexed="81"/>
            <rFont val="돋움"/>
            <family val="3"/>
            <charset val="129"/>
          </rPr>
          <t>활용해야</t>
        </r>
        <r>
          <rPr>
            <b/>
            <sz val="7"/>
            <color indexed="81"/>
            <rFont val="Tahoma"/>
            <family val="2"/>
          </rPr>
          <t xml:space="preserve"> #REF</t>
        </r>
        <r>
          <rPr>
            <b/>
            <sz val="7"/>
            <color indexed="81"/>
            <rFont val="돋움"/>
            <family val="3"/>
            <charset val="129"/>
          </rPr>
          <t>오류를</t>
        </r>
        <r>
          <rPr>
            <b/>
            <sz val="7"/>
            <color indexed="81"/>
            <rFont val="Tahoma"/>
            <family val="2"/>
          </rPr>
          <t xml:space="preserve"> </t>
        </r>
        <r>
          <rPr>
            <b/>
            <sz val="7"/>
            <color indexed="81"/>
            <rFont val="돋움"/>
            <family val="3"/>
            <charset val="129"/>
          </rPr>
          <t>막을</t>
        </r>
        <r>
          <rPr>
            <b/>
            <sz val="7"/>
            <color indexed="81"/>
            <rFont val="Tahoma"/>
            <family val="2"/>
          </rPr>
          <t xml:space="preserve"> </t>
        </r>
        <r>
          <rPr>
            <b/>
            <sz val="7"/>
            <color indexed="81"/>
            <rFont val="돋움"/>
            <family val="3"/>
            <charset val="129"/>
          </rPr>
          <t>수</t>
        </r>
        <r>
          <rPr>
            <b/>
            <sz val="7"/>
            <color indexed="81"/>
            <rFont val="Tahoma"/>
            <family val="2"/>
          </rPr>
          <t xml:space="preserve"> </t>
        </r>
        <r>
          <rPr>
            <b/>
            <sz val="7"/>
            <color indexed="81"/>
            <rFont val="돋움"/>
            <family val="3"/>
            <charset val="129"/>
          </rPr>
          <t>있음</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user</author>
    <author>윤홍근</author>
  </authors>
  <commentList>
    <comment ref="G7" authorId="0" shapeId="0" xr:uid="{00000000-0006-0000-0D00-000001000000}">
      <text>
        <r>
          <rPr>
            <b/>
            <sz val="9"/>
            <color indexed="81"/>
            <rFont val="Tahoma"/>
            <family val="2"/>
          </rPr>
          <t xml:space="preserve">user: </t>
        </r>
        <r>
          <rPr>
            <b/>
            <sz val="9"/>
            <color indexed="81"/>
            <rFont val="돋움"/>
            <family val="3"/>
            <charset val="129"/>
          </rPr>
          <t>업종별</t>
        </r>
        <r>
          <rPr>
            <b/>
            <sz val="9"/>
            <color indexed="81"/>
            <rFont val="Tahoma"/>
            <family val="2"/>
          </rPr>
          <t xml:space="preserve"> </t>
        </r>
        <r>
          <rPr>
            <b/>
            <sz val="9"/>
            <color indexed="81"/>
            <rFont val="돋움"/>
            <family val="3"/>
            <charset val="129"/>
          </rPr>
          <t>자본구조비용</t>
        </r>
        <r>
          <rPr>
            <b/>
            <sz val="9"/>
            <color indexed="81"/>
            <rFont val="Tahoma"/>
            <family val="2"/>
          </rPr>
          <t xml:space="preserve"> </t>
        </r>
        <r>
          <rPr>
            <b/>
            <sz val="9"/>
            <color indexed="81"/>
            <rFont val="돋움"/>
            <family val="3"/>
            <charset val="129"/>
          </rPr>
          <t>특이치를</t>
        </r>
        <r>
          <rPr>
            <b/>
            <sz val="9"/>
            <color indexed="81"/>
            <rFont val="Tahoma"/>
            <family val="2"/>
          </rPr>
          <t xml:space="preserve"> </t>
        </r>
        <r>
          <rPr>
            <b/>
            <sz val="9"/>
            <color indexed="81"/>
            <rFont val="돋움"/>
            <family val="3"/>
            <charset val="129"/>
          </rPr>
          <t>제외한</t>
        </r>
        <r>
          <rPr>
            <b/>
            <sz val="9"/>
            <color indexed="81"/>
            <rFont val="Tahoma"/>
            <family val="2"/>
          </rPr>
          <t xml:space="preserve"> </t>
        </r>
        <r>
          <rPr>
            <b/>
            <sz val="9"/>
            <color indexed="81"/>
            <rFont val="돋움"/>
            <family val="3"/>
            <charset val="129"/>
          </rPr>
          <t>후</t>
        </r>
        <r>
          <rPr>
            <b/>
            <sz val="9"/>
            <color indexed="81"/>
            <rFont val="Tahoma"/>
            <family val="2"/>
          </rPr>
          <t xml:space="preserve"> WACC</t>
        </r>
        <r>
          <rPr>
            <b/>
            <sz val="9"/>
            <color indexed="81"/>
            <rFont val="돋움"/>
            <family val="3"/>
            <charset val="129"/>
          </rPr>
          <t>을</t>
        </r>
        <r>
          <rPr>
            <b/>
            <sz val="9"/>
            <color indexed="81"/>
            <rFont val="Tahoma"/>
            <family val="2"/>
          </rPr>
          <t xml:space="preserve"> </t>
        </r>
        <r>
          <rPr>
            <b/>
            <sz val="9"/>
            <color indexed="81"/>
            <rFont val="돋움"/>
            <family val="3"/>
            <charset val="129"/>
          </rPr>
          <t>보정해</t>
        </r>
        <r>
          <rPr>
            <b/>
            <sz val="9"/>
            <color indexed="81"/>
            <rFont val="Tahoma"/>
            <family val="2"/>
          </rPr>
          <t xml:space="preserve"> </t>
        </r>
        <r>
          <rPr>
            <b/>
            <sz val="9"/>
            <color indexed="81"/>
            <rFont val="돋움"/>
            <family val="3"/>
            <charset val="129"/>
          </rPr>
          <t>개선함
담배제조업의</t>
        </r>
        <r>
          <rPr>
            <b/>
            <sz val="9"/>
            <color indexed="81"/>
            <rFont val="Tahoma"/>
            <family val="2"/>
          </rPr>
          <t xml:space="preserve"> </t>
        </r>
        <r>
          <rPr>
            <b/>
            <sz val="9"/>
            <color indexed="81"/>
            <rFont val="돋움"/>
            <family val="3"/>
            <charset val="129"/>
          </rPr>
          <t>경우</t>
        </r>
        <r>
          <rPr>
            <b/>
            <sz val="9"/>
            <color indexed="81"/>
            <rFont val="Tahoma"/>
            <family val="2"/>
          </rPr>
          <t xml:space="preserve">, KISTI STAR-VALUE DB </t>
        </r>
        <r>
          <rPr>
            <b/>
            <sz val="9"/>
            <color indexed="81"/>
            <rFont val="돋움"/>
            <family val="3"/>
            <charset val="129"/>
          </rPr>
          <t>기준</t>
        </r>
        <r>
          <rPr>
            <b/>
            <sz val="9"/>
            <color indexed="81"/>
            <rFont val="Tahoma"/>
            <family val="2"/>
          </rPr>
          <t xml:space="preserve">, </t>
        </r>
        <r>
          <rPr>
            <b/>
            <sz val="9"/>
            <color indexed="81"/>
            <rFont val="돋움"/>
            <family val="3"/>
            <charset val="129"/>
          </rPr>
          <t>재무관련</t>
        </r>
        <r>
          <rPr>
            <b/>
            <sz val="9"/>
            <color indexed="81"/>
            <rFont val="Tahoma"/>
            <family val="2"/>
          </rPr>
          <t xml:space="preserve"> </t>
        </r>
        <r>
          <rPr>
            <b/>
            <sz val="9"/>
            <color indexed="81"/>
            <rFont val="돋움"/>
            <family val="3"/>
            <charset val="129"/>
          </rPr>
          <t>원자료에서</t>
        </r>
        <r>
          <rPr>
            <b/>
            <sz val="9"/>
            <color indexed="81"/>
            <rFont val="Tahoma"/>
            <family val="2"/>
          </rPr>
          <t xml:space="preserve"> </t>
        </r>
        <r>
          <rPr>
            <b/>
            <sz val="9"/>
            <color indexed="81"/>
            <rFont val="돋움"/>
            <family val="3"/>
            <charset val="129"/>
          </rPr>
          <t>타인자본비용이</t>
        </r>
        <r>
          <rPr>
            <b/>
            <sz val="9"/>
            <color indexed="81"/>
            <rFont val="Tahoma"/>
            <family val="2"/>
          </rPr>
          <t xml:space="preserve"> </t>
        </r>
        <r>
          <rPr>
            <b/>
            <sz val="9"/>
            <color indexed="81"/>
            <rFont val="돋움"/>
            <family val="3"/>
            <charset val="129"/>
          </rPr>
          <t>자기자본비용보다</t>
        </r>
        <r>
          <rPr>
            <b/>
            <sz val="9"/>
            <color indexed="81"/>
            <rFont val="Tahoma"/>
            <family val="2"/>
          </rPr>
          <t xml:space="preserve"> </t>
        </r>
        <r>
          <rPr>
            <b/>
            <sz val="9"/>
            <color indexed="81"/>
            <rFont val="돋움"/>
            <family val="3"/>
            <charset val="129"/>
          </rPr>
          <t>높게</t>
        </r>
        <r>
          <rPr>
            <b/>
            <sz val="9"/>
            <color indexed="81"/>
            <rFont val="Tahoma"/>
            <family val="2"/>
          </rPr>
          <t xml:space="preserve"> </t>
        </r>
        <r>
          <rPr>
            <b/>
            <sz val="9"/>
            <color indexed="81"/>
            <rFont val="돋움"/>
            <family val="3"/>
            <charset val="129"/>
          </rPr>
          <t>도출되었다고</t>
        </r>
        <r>
          <rPr>
            <b/>
            <sz val="9"/>
            <color indexed="81"/>
            <rFont val="Tahoma"/>
            <family val="2"/>
          </rPr>
          <t xml:space="preserve"> </t>
        </r>
        <r>
          <rPr>
            <b/>
            <sz val="9"/>
            <color indexed="81"/>
            <rFont val="돋움"/>
            <family val="3"/>
            <charset val="129"/>
          </rPr>
          <t>함</t>
        </r>
        <r>
          <rPr>
            <b/>
            <sz val="9"/>
            <color indexed="81"/>
            <rFont val="Tahoma"/>
            <family val="2"/>
          </rPr>
          <t>.</t>
        </r>
      </text>
    </comment>
    <comment ref="H7" authorId="1" shapeId="0" xr:uid="{00000000-0006-0000-0D00-000002000000}">
      <text>
        <r>
          <rPr>
            <b/>
            <sz val="9"/>
            <color indexed="81"/>
            <rFont val="돋움"/>
            <family val="3"/>
            <charset val="129"/>
          </rPr>
          <t>윤홍근</t>
        </r>
        <r>
          <rPr>
            <b/>
            <sz val="9"/>
            <color indexed="81"/>
            <rFont val="Tahoma"/>
            <family val="2"/>
          </rPr>
          <t>:</t>
        </r>
        <r>
          <rPr>
            <sz val="9"/>
            <color indexed="81"/>
            <rFont val="Tahoma"/>
            <family val="2"/>
          </rPr>
          <t xml:space="preserve">
</t>
        </r>
        <r>
          <rPr>
            <sz val="9"/>
            <color indexed="81"/>
            <rFont val="돋움"/>
            <family val="3"/>
            <charset val="129"/>
          </rPr>
          <t>현금흐름</t>
        </r>
        <r>
          <rPr>
            <sz val="9"/>
            <color indexed="81"/>
            <rFont val="Tahoma"/>
            <family val="2"/>
          </rPr>
          <t xml:space="preserve"> Sheet</t>
        </r>
        <r>
          <rPr>
            <sz val="9"/>
            <color indexed="81"/>
            <rFont val="돋움"/>
            <family val="3"/>
            <charset val="129"/>
          </rPr>
          <t>에서</t>
        </r>
        <r>
          <rPr>
            <sz val="9"/>
            <color indexed="81"/>
            <rFont val="Tahoma"/>
            <family val="2"/>
          </rPr>
          <t xml:space="preserve"> </t>
        </r>
        <r>
          <rPr>
            <sz val="9"/>
            <color indexed="81"/>
            <rFont val="돋움"/>
            <family val="3"/>
            <charset val="129"/>
          </rPr>
          <t>현금흐름</t>
        </r>
        <r>
          <rPr>
            <sz val="9"/>
            <color indexed="81"/>
            <rFont val="Tahoma"/>
            <family val="2"/>
          </rPr>
          <t xml:space="preserve"> </t>
        </r>
        <r>
          <rPr>
            <sz val="9"/>
            <color indexed="81"/>
            <rFont val="돋움"/>
            <family val="3"/>
            <charset val="129"/>
          </rPr>
          <t>추정기간동안의
유효법인세율</t>
        </r>
        <r>
          <rPr>
            <sz val="9"/>
            <color indexed="81"/>
            <rFont val="Tahoma"/>
            <family val="2"/>
          </rPr>
          <t>(</t>
        </r>
        <r>
          <rPr>
            <sz val="9"/>
            <color indexed="81"/>
            <rFont val="돋움"/>
            <family val="3"/>
            <charset val="129"/>
          </rPr>
          <t>법인세</t>
        </r>
        <r>
          <rPr>
            <sz val="9"/>
            <color indexed="81"/>
            <rFont val="Tahoma"/>
            <family val="2"/>
          </rPr>
          <t xml:space="preserve"> </t>
        </r>
        <r>
          <rPr>
            <sz val="9"/>
            <color indexed="81"/>
            <rFont val="돋움"/>
            <family val="3"/>
            <charset val="129"/>
          </rPr>
          <t>합계액</t>
        </r>
        <r>
          <rPr>
            <sz val="9"/>
            <color indexed="81"/>
            <rFont val="Tahoma"/>
            <family val="2"/>
          </rPr>
          <t>/</t>
        </r>
        <r>
          <rPr>
            <sz val="9"/>
            <color indexed="81"/>
            <rFont val="돋움"/>
            <family val="3"/>
            <charset val="129"/>
          </rPr>
          <t>세전영업이익</t>
        </r>
        <r>
          <rPr>
            <sz val="9"/>
            <color indexed="81"/>
            <rFont val="Tahoma"/>
            <family val="2"/>
          </rPr>
          <t xml:space="preserve"> </t>
        </r>
        <r>
          <rPr>
            <sz val="9"/>
            <color indexed="81"/>
            <rFont val="돋움"/>
            <family val="3"/>
            <charset val="129"/>
          </rPr>
          <t>합계액</t>
        </r>
        <r>
          <rPr>
            <sz val="9"/>
            <color indexed="81"/>
            <rFont val="Tahoma"/>
            <family val="2"/>
          </rPr>
          <t>)</t>
        </r>
        <r>
          <rPr>
            <sz val="9"/>
            <color indexed="81"/>
            <rFont val="돋움"/>
            <family val="3"/>
            <charset val="129"/>
          </rPr>
          <t xml:space="preserve">을
</t>
        </r>
        <r>
          <rPr>
            <sz val="9"/>
            <color indexed="81"/>
            <rFont val="Tahoma"/>
            <family val="2"/>
          </rPr>
          <t xml:space="preserve"> </t>
        </r>
        <r>
          <rPr>
            <sz val="9"/>
            <color indexed="81"/>
            <rFont val="돋움"/>
            <family val="3"/>
            <charset val="129"/>
          </rPr>
          <t>할인율</t>
        </r>
        <r>
          <rPr>
            <sz val="9"/>
            <color indexed="81"/>
            <rFont val="Tahoma"/>
            <family val="2"/>
          </rPr>
          <t>(wacc)</t>
        </r>
        <r>
          <rPr>
            <sz val="9"/>
            <color indexed="81"/>
            <rFont val="돋움"/>
            <family val="3"/>
            <charset val="129"/>
          </rPr>
          <t>의</t>
        </r>
        <r>
          <rPr>
            <sz val="9"/>
            <color indexed="81"/>
            <rFont val="Tahoma"/>
            <family val="2"/>
          </rPr>
          <t xml:space="preserve"> t</t>
        </r>
        <r>
          <rPr>
            <sz val="9"/>
            <color indexed="81"/>
            <rFont val="돋움"/>
            <family val="3"/>
            <charset val="129"/>
          </rPr>
          <t>값</t>
        </r>
        <r>
          <rPr>
            <sz val="9"/>
            <color indexed="81"/>
            <rFont val="Tahoma"/>
            <family val="2"/>
          </rPr>
          <t>(</t>
        </r>
        <r>
          <rPr>
            <sz val="9"/>
            <color indexed="81"/>
            <rFont val="돋움"/>
            <family val="3"/>
            <charset val="129"/>
          </rPr>
          <t>법인세율</t>
        </r>
        <r>
          <rPr>
            <sz val="9"/>
            <color indexed="81"/>
            <rFont val="Tahoma"/>
            <family val="2"/>
          </rPr>
          <t>)</t>
        </r>
        <r>
          <rPr>
            <sz val="9"/>
            <color indexed="81"/>
            <rFont val="돋움"/>
            <family val="3"/>
            <charset val="129"/>
          </rPr>
          <t>으로</t>
        </r>
        <r>
          <rPr>
            <sz val="9"/>
            <color indexed="81"/>
            <rFont val="Tahoma"/>
            <family val="2"/>
          </rPr>
          <t xml:space="preserve"> </t>
        </r>
        <r>
          <rPr>
            <sz val="9"/>
            <color indexed="81"/>
            <rFont val="돋움"/>
            <family val="3"/>
            <charset val="129"/>
          </rPr>
          <t>적용</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000-000001000000}">
      <text>
        <r>
          <rPr>
            <b/>
            <sz val="9"/>
            <color indexed="81"/>
            <rFont val="Tahoma"/>
            <family val="2"/>
          </rPr>
          <t xml:space="preserve">Ph.D. Yoon: </t>
        </r>
        <r>
          <rPr>
            <b/>
            <sz val="9"/>
            <color indexed="81"/>
            <rFont val="돋움"/>
            <family val="3"/>
            <charset val="129"/>
          </rPr>
          <t>그</t>
        </r>
        <r>
          <rPr>
            <b/>
            <sz val="9"/>
            <color indexed="81"/>
            <rFont val="Tahoma"/>
            <family val="2"/>
          </rPr>
          <t xml:space="preserve"> </t>
        </r>
        <r>
          <rPr>
            <b/>
            <sz val="9"/>
            <color indexed="81"/>
            <rFont val="돋움"/>
            <family val="3"/>
            <charset val="129"/>
          </rPr>
          <t>외</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축산업</t>
        </r>
        <r>
          <rPr>
            <b/>
            <sz val="9"/>
            <color indexed="81"/>
            <rFont val="Tahoma"/>
            <family val="2"/>
          </rPr>
          <t xml:space="preserve">
</t>
        </r>
        <r>
          <rPr>
            <b/>
            <sz val="9"/>
            <color indexed="81"/>
            <rFont val="돋움"/>
            <family val="3"/>
            <charset val="129"/>
          </rPr>
          <t>달리</t>
        </r>
        <r>
          <rPr>
            <b/>
            <sz val="9"/>
            <color indexed="81"/>
            <rFont val="Tahoma"/>
            <family val="2"/>
          </rPr>
          <t xml:space="preserve"> </t>
        </r>
        <r>
          <rPr>
            <b/>
            <sz val="9"/>
            <color indexed="81"/>
            <rFont val="돋움"/>
            <family val="3"/>
            <charset val="129"/>
          </rPr>
          <t>분류되지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육지동물</t>
        </r>
        <r>
          <rPr>
            <b/>
            <sz val="9"/>
            <color indexed="81"/>
            <rFont val="Tahoma"/>
            <family val="2"/>
          </rPr>
          <t>(</t>
        </r>
        <r>
          <rPr>
            <b/>
            <sz val="9"/>
            <color indexed="81"/>
            <rFont val="돋움"/>
            <family val="3"/>
            <charset val="129"/>
          </rPr>
          <t>소</t>
        </r>
        <r>
          <rPr>
            <b/>
            <sz val="9"/>
            <color indexed="81"/>
            <rFont val="Tahoma"/>
            <family val="2"/>
          </rPr>
          <t xml:space="preserve">, </t>
        </r>
        <r>
          <rPr>
            <b/>
            <sz val="9"/>
            <color indexed="81"/>
            <rFont val="돋움"/>
            <family val="3"/>
            <charset val="129"/>
          </rPr>
          <t>돼지</t>
        </r>
        <r>
          <rPr>
            <b/>
            <sz val="9"/>
            <color indexed="81"/>
            <rFont val="Tahoma"/>
            <family val="2"/>
          </rPr>
          <t xml:space="preserve">, </t>
        </r>
        <r>
          <rPr>
            <b/>
            <sz val="9"/>
            <color indexed="81"/>
            <rFont val="돋움"/>
            <family val="3"/>
            <charset val="129"/>
          </rPr>
          <t>가금류</t>
        </r>
        <r>
          <rPr>
            <b/>
            <sz val="9"/>
            <color indexed="81"/>
            <rFont val="Tahoma"/>
            <family val="2"/>
          </rPr>
          <t xml:space="preserve">, </t>
        </r>
        <r>
          <rPr>
            <b/>
            <sz val="9"/>
            <color indexed="81"/>
            <rFont val="돋움"/>
            <family val="3"/>
            <charset val="129"/>
          </rPr>
          <t>말</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양을</t>
        </r>
        <r>
          <rPr>
            <b/>
            <sz val="9"/>
            <color indexed="81"/>
            <rFont val="Tahoma"/>
            <family val="2"/>
          </rPr>
          <t xml:space="preserve"> </t>
        </r>
        <r>
          <rPr>
            <b/>
            <sz val="9"/>
            <color indexed="81"/>
            <rFont val="돋움"/>
            <family val="3"/>
            <charset val="129"/>
          </rPr>
          <t>제외</t>
        </r>
        <r>
          <rPr>
            <b/>
            <sz val="9"/>
            <color indexed="81"/>
            <rFont val="Tahoma"/>
            <family val="2"/>
          </rPr>
          <t>)</t>
        </r>
        <r>
          <rPr>
            <b/>
            <sz val="9"/>
            <color indexed="81"/>
            <rFont val="돋움"/>
            <family val="3"/>
            <charset val="129"/>
          </rPr>
          <t>을</t>
        </r>
        <r>
          <rPr>
            <b/>
            <sz val="9"/>
            <color indexed="81"/>
            <rFont val="Tahoma"/>
            <family val="2"/>
          </rPr>
          <t xml:space="preserve"> </t>
        </r>
        <r>
          <rPr>
            <b/>
            <sz val="9"/>
            <color indexed="81"/>
            <rFont val="돋움"/>
            <family val="3"/>
            <charset val="129"/>
          </rPr>
          <t>번식</t>
        </r>
        <r>
          <rPr>
            <b/>
            <sz val="9"/>
            <color indexed="81"/>
            <rFont val="MS Gothic"/>
            <family val="3"/>
            <charset val="128"/>
          </rPr>
          <t>・</t>
        </r>
        <r>
          <rPr>
            <b/>
            <sz val="9"/>
            <color indexed="81"/>
            <rFont val="돋움"/>
            <family val="3"/>
            <charset val="129"/>
          </rPr>
          <t>증식</t>
        </r>
        <r>
          <rPr>
            <b/>
            <sz val="9"/>
            <color indexed="81"/>
            <rFont val="MS Gothic"/>
            <family val="3"/>
            <charset val="128"/>
          </rPr>
          <t>・</t>
        </r>
        <r>
          <rPr>
            <b/>
            <sz val="9"/>
            <color indexed="81"/>
            <rFont val="돋움"/>
            <family val="3"/>
            <charset val="129"/>
          </rPr>
          <t>사육하는</t>
        </r>
        <r>
          <rPr>
            <b/>
            <sz val="9"/>
            <color indexed="81"/>
            <rFont val="Tahoma"/>
            <family val="2"/>
          </rPr>
          <t xml:space="preserve"> </t>
        </r>
        <r>
          <rPr>
            <b/>
            <sz val="9"/>
            <color indexed="81"/>
            <rFont val="돋움"/>
            <family val="3"/>
            <charset val="129"/>
          </rPr>
          <t>산업활동을</t>
        </r>
        <r>
          <rPr>
            <b/>
            <sz val="9"/>
            <color indexed="81"/>
            <rFont val="Tahoma"/>
            <family val="2"/>
          </rPr>
          <t xml:space="preserve"> </t>
        </r>
        <r>
          <rPr>
            <b/>
            <sz val="9"/>
            <color indexed="81"/>
            <rFont val="돋움"/>
            <family val="3"/>
            <charset val="129"/>
          </rPr>
          <t>말한다</t>
        </r>
        <r>
          <rPr>
            <b/>
            <sz val="9"/>
            <color indexed="81"/>
            <rFont val="Tahoma"/>
            <family val="2"/>
          </rPr>
          <t xml:space="preserve">. 
</t>
        </r>
        <r>
          <rPr>
            <b/>
            <sz val="9"/>
            <color indexed="81"/>
            <rFont val="돋움"/>
            <family val="3"/>
            <charset val="129"/>
          </rPr>
          <t>누에고치</t>
        </r>
        <r>
          <rPr>
            <b/>
            <sz val="9"/>
            <color indexed="81"/>
            <rFont val="Tahoma"/>
            <family val="2"/>
          </rPr>
          <t xml:space="preserve">, </t>
        </r>
        <r>
          <rPr>
            <b/>
            <sz val="9"/>
            <color indexed="81"/>
            <rFont val="돋움"/>
            <family val="3"/>
            <charset val="129"/>
          </rPr>
          <t>양봉업</t>
        </r>
        <r>
          <rPr>
            <b/>
            <sz val="9"/>
            <color indexed="81"/>
            <rFont val="Tahoma"/>
            <family val="2"/>
          </rPr>
          <t xml:space="preserve">, </t>
        </r>
        <r>
          <rPr>
            <b/>
            <sz val="9"/>
            <color indexed="81"/>
            <rFont val="돋움"/>
            <family val="3"/>
            <charset val="129"/>
          </rPr>
          <t>곤축사육</t>
        </r>
        <r>
          <rPr>
            <b/>
            <sz val="9"/>
            <color indexed="81"/>
            <rFont val="Tahoma"/>
            <family val="2"/>
          </rPr>
          <t xml:space="preserve"> </t>
        </r>
        <r>
          <rPr>
            <b/>
            <sz val="9"/>
            <color indexed="81"/>
            <rFont val="돋움"/>
            <family val="3"/>
            <charset val="129"/>
          </rPr>
          <t>등도</t>
        </r>
        <r>
          <rPr>
            <b/>
            <sz val="9"/>
            <color indexed="81"/>
            <rFont val="Tahoma"/>
            <family val="2"/>
          </rPr>
          <t xml:space="preserve"> </t>
        </r>
        <r>
          <rPr>
            <b/>
            <sz val="9"/>
            <color indexed="81"/>
            <rFont val="돋움"/>
            <family val="3"/>
            <charset val="129"/>
          </rPr>
          <t>여기에</t>
        </r>
        <r>
          <rPr>
            <b/>
            <sz val="9"/>
            <color indexed="81"/>
            <rFont val="Tahoma"/>
            <family val="2"/>
          </rPr>
          <t xml:space="preserve"> </t>
        </r>
        <r>
          <rPr>
            <b/>
            <sz val="9"/>
            <color indexed="81"/>
            <rFont val="돋움"/>
            <family val="3"/>
            <charset val="129"/>
          </rPr>
          <t>포함됨</t>
        </r>
      </text>
    </comment>
  </commentList>
</comments>
</file>

<file path=xl/sharedStrings.xml><?xml version="1.0" encoding="utf-8"?>
<sst xmlns="http://schemas.openxmlformats.org/spreadsheetml/2006/main" count="14589" uniqueCount="3249">
  <si>
    <t>기타</t>
  </si>
  <si>
    <t>업종코드</t>
    <phoneticPr fontId="11" type="noConversion"/>
  </si>
  <si>
    <t>축산업</t>
  </si>
  <si>
    <t>양돈업</t>
  </si>
  <si>
    <t>영림업</t>
  </si>
  <si>
    <t>수목치료업</t>
  </si>
  <si>
    <t>도축업</t>
  </si>
  <si>
    <t>자기자본비율</t>
  </si>
  <si>
    <t>재고자산회전율</t>
  </si>
  <si>
    <t>매출채권회전율</t>
  </si>
  <si>
    <t>매입채무회전율</t>
  </si>
  <si>
    <t>년도</t>
    <phoneticPr fontId="11" type="noConversion"/>
  </si>
  <si>
    <t>대상</t>
    <phoneticPr fontId="11" type="noConversion"/>
  </si>
  <si>
    <t>상위25%</t>
    <phoneticPr fontId="11" type="noConversion"/>
  </si>
  <si>
    <t>하위25%</t>
    <phoneticPr fontId="11" type="noConversion"/>
  </si>
  <si>
    <t>전체</t>
    <phoneticPr fontId="11" type="noConversion"/>
  </si>
  <si>
    <t>비율</t>
    <phoneticPr fontId="11" type="noConversion"/>
  </si>
  <si>
    <t>매출원가율</t>
    <phoneticPr fontId="11" type="noConversion"/>
  </si>
  <si>
    <t>작물재배업</t>
  </si>
  <si>
    <t>농산물가공품제조업;식료품제외</t>
  </si>
  <si>
    <t>농산물가공외농업관련제조업</t>
  </si>
  <si>
    <t>농업관련서비스업</t>
  </si>
  <si>
    <t>영림업및벌목업</t>
  </si>
  <si>
    <t>기타임산물생산업</t>
  </si>
  <si>
    <t>나무제품제조업</t>
  </si>
  <si>
    <t>나무제품외임산물가공품제조업</t>
  </si>
  <si>
    <t>임산물가공외임업관련제조업</t>
  </si>
  <si>
    <t>임업관련서비스업</t>
  </si>
  <si>
    <t>어로어업</t>
  </si>
  <si>
    <t>양식어업</t>
  </si>
  <si>
    <t>수산물가공업;식료품제외</t>
  </si>
  <si>
    <t>수산물가공외수산업관련제조업</t>
  </si>
  <si>
    <t>어업관련서비스업</t>
  </si>
  <si>
    <t>도축,육류가공및저장처리업</t>
  </si>
  <si>
    <t>수산물가공및저장처리업</t>
  </si>
  <si>
    <t>과실,채소가공및저장처리업</t>
  </si>
  <si>
    <t>동물성및식물성유지제조업</t>
  </si>
  <si>
    <t>낙농제품및식용빙과류제조업</t>
  </si>
  <si>
    <t>곡물가공품,전분및전분제품제조업</t>
  </si>
  <si>
    <t>동물용사료및조제식품제조업</t>
  </si>
  <si>
    <t>기타식품제조업</t>
  </si>
  <si>
    <t>알콜음료제조업</t>
  </si>
  <si>
    <t>비알콜음료및얼음제조업</t>
  </si>
  <si>
    <t>식품산업관련제조업</t>
  </si>
  <si>
    <t>식품산업관련서비스업</t>
  </si>
  <si>
    <t>곡물및기타식량작물재배업</t>
  </si>
  <si>
    <t>채소및화훼작물재배업</t>
  </si>
  <si>
    <t>과실,음료용및향신용작물재배업</t>
  </si>
  <si>
    <t>종자및묘목재배업</t>
  </si>
  <si>
    <t>시설작물재배업</t>
  </si>
  <si>
    <t>기타작물재배업</t>
  </si>
  <si>
    <t>소사육업</t>
  </si>
  <si>
    <t>가금류및조류사육업</t>
  </si>
  <si>
    <t>곤충사육업</t>
  </si>
  <si>
    <t>기타축산업</t>
  </si>
  <si>
    <t>농산물가공섬유제조업</t>
  </si>
  <si>
    <t>담배제조업</t>
  </si>
  <si>
    <t>모피및가죽제조업</t>
  </si>
  <si>
    <t>농산물가공의료용물질및의약품제조업</t>
  </si>
  <si>
    <t>농산물가공세제,화장품및광택제제조업</t>
  </si>
  <si>
    <t>기타농산물가공품제조업</t>
  </si>
  <si>
    <t>비료및질소화합물제조업</t>
  </si>
  <si>
    <t>농약제조업</t>
  </si>
  <si>
    <t>농업용플라스틱제품제조업</t>
  </si>
  <si>
    <t>농업용금속제품제조업;기계제외</t>
  </si>
  <si>
    <t>농업용기계제조업</t>
  </si>
  <si>
    <t>농업관련측정,시험,제어및기타정밀기기제조업</t>
  </si>
  <si>
    <t>농업의료용물질및의약품제조업</t>
  </si>
  <si>
    <t>기타농산물가공외농업관련제조업</t>
  </si>
  <si>
    <t>작물재배관련서비스업</t>
  </si>
  <si>
    <t>수의업</t>
  </si>
  <si>
    <t>농학연구개발업</t>
  </si>
  <si>
    <t>농업정보서비스업</t>
  </si>
  <si>
    <t>농업관련폐기물처리,원료재생및환경복원업</t>
  </si>
  <si>
    <t>농업관련기술시험,검사및분석업</t>
  </si>
  <si>
    <t>농업엔지니어링서비스업</t>
  </si>
  <si>
    <t>기타농업관련서비스업</t>
  </si>
  <si>
    <t>벌목업</t>
  </si>
  <si>
    <t>제재및목재가공업</t>
  </si>
  <si>
    <t>박판,합판및강화목제품제조업</t>
  </si>
  <si>
    <t>건축용나무제품제조업</t>
  </si>
  <si>
    <t>목재상자,드럼및적재판제조업</t>
  </si>
  <si>
    <t>코르크및조물제품제조업</t>
  </si>
  <si>
    <t>목재가구제조업</t>
  </si>
  <si>
    <t>기타나무제품제조업</t>
  </si>
  <si>
    <t>펄프제조업</t>
  </si>
  <si>
    <t>천연수지및나무화학물질제조업</t>
  </si>
  <si>
    <t>종이및판지제조업</t>
  </si>
  <si>
    <t>기타임산물가공품제조업</t>
  </si>
  <si>
    <t>임업관련날붙이,수공구및일반철물제조업</t>
  </si>
  <si>
    <t>임업관련구조용금속제품제조업</t>
  </si>
  <si>
    <t>임업관련기계제조업</t>
  </si>
  <si>
    <t>기타임산물가공외임업관련제조업</t>
  </si>
  <si>
    <t>임업용정보서비스업</t>
  </si>
  <si>
    <t>조경건설업</t>
  </si>
  <si>
    <t>조경관리서비스업</t>
  </si>
  <si>
    <t>조경설계서비스업</t>
  </si>
  <si>
    <t>임업관련폐기물처리,원료재생및환경복원업</t>
  </si>
  <si>
    <t>임업관련연구개발업</t>
  </si>
  <si>
    <t>기타임업관련서비스업</t>
  </si>
  <si>
    <t>해면어업</t>
  </si>
  <si>
    <t>내수면어업</t>
  </si>
  <si>
    <t>진주가공업</t>
  </si>
  <si>
    <t>나전칠기제품제조업</t>
  </si>
  <si>
    <t>기타비식용수산물가공품제조업</t>
  </si>
  <si>
    <t>선박건조업</t>
  </si>
  <si>
    <t>오락및스포츠용보트건조업</t>
  </si>
  <si>
    <t>선박용구성부분품제조업;측정,시험,항해,제어및기타정밀기기제외</t>
  </si>
  <si>
    <t>어업관련측정,시험,항해,제어및기타정밀기기제조업</t>
  </si>
  <si>
    <t>어망및기타어업관련끈가공품제조업</t>
  </si>
  <si>
    <t>어업관련금속구조재제조업;선박용제외</t>
  </si>
  <si>
    <t>어업관련판유리가공품제조업</t>
  </si>
  <si>
    <t>어업관련비금속광물질구조재제조업;세라믹,콘크리트및유사재료기반</t>
  </si>
  <si>
    <t>기타수산물가공외어업관련제조업</t>
  </si>
  <si>
    <t>수중공사업</t>
  </si>
  <si>
    <t>어업정보서비스업</t>
  </si>
  <si>
    <t>어업관련연구개발업</t>
  </si>
  <si>
    <t>어업관련기술시험,검사및분석업</t>
  </si>
  <si>
    <t>어업엔지니어링서비스업</t>
  </si>
  <si>
    <t>수생동물치료업</t>
  </si>
  <si>
    <t>어업관련폐기물처리,원료재생및환경복원업</t>
  </si>
  <si>
    <t>기타어업관련서비스업</t>
  </si>
  <si>
    <t>육류가공및저장처리업</t>
  </si>
  <si>
    <t>수산동물가공및저장처리업</t>
  </si>
  <si>
    <t>수산식물가공및저장처리업</t>
  </si>
  <si>
    <t>곡물가공품제조업</t>
  </si>
  <si>
    <t>전분제품및당류제조업</t>
  </si>
  <si>
    <t>떡,빵및과자류제조업</t>
  </si>
  <si>
    <t>설탕제조업</t>
  </si>
  <si>
    <t>면류,마카로니및유사식품제조업</t>
  </si>
  <si>
    <t>조미료및식품첨가물제조업</t>
  </si>
  <si>
    <t>건강기능식품제조업</t>
  </si>
  <si>
    <t>기타식료품제조업</t>
  </si>
  <si>
    <t>발효주제조업</t>
  </si>
  <si>
    <t>증류주및합성주제조업</t>
  </si>
  <si>
    <t>음·식료품가공기계제조업</t>
  </si>
  <si>
    <t>주방용전기기기제조업</t>
  </si>
  <si>
    <t>식품가공용금속제품제조업;기계,전기기기제외</t>
  </si>
  <si>
    <t>식품관련위생용품제조업</t>
  </si>
  <si>
    <t>식품용기및포장관련제조업</t>
  </si>
  <si>
    <t>기타식품산업관련제조업</t>
  </si>
  <si>
    <t>식품연구개발업</t>
  </si>
  <si>
    <t>식품정보서비스업</t>
  </si>
  <si>
    <t>식품관련기술시험,검사및분석업</t>
  </si>
  <si>
    <t>식품관련폐기물처리,원료재생및환경복원업</t>
  </si>
  <si>
    <t>기타식품관련서비스업</t>
  </si>
  <si>
    <t>생수 생산업</t>
  </si>
  <si>
    <t>1. 잔여 인용특허수명</t>
    <phoneticPr fontId="11" type="noConversion"/>
  </si>
  <si>
    <t>농림수산식품산업관련 IPC (코드)</t>
  </si>
  <si>
    <t>농림수산식품 산업관련 IPC (명칭)</t>
  </si>
  <si>
    <t>Q1</t>
  </si>
  <si>
    <t>Q3</t>
  </si>
  <si>
    <t>구  분</t>
  </si>
  <si>
    <t>세부 요인</t>
  </si>
  <si>
    <t>평  점</t>
  </si>
  <si>
    <t>영향요인 평점 합계</t>
  </si>
  <si>
    <t>&lt;현금흐름 추정&gt;</t>
    <phoneticPr fontId="11" type="noConversion"/>
  </si>
  <si>
    <t>(단위:백만원)</t>
    <phoneticPr fontId="21" type="noConversion"/>
  </si>
  <si>
    <t>구분</t>
  </si>
  <si>
    <t>Y+2</t>
  </si>
  <si>
    <t>Y+3</t>
  </si>
  <si>
    <t>Y+4</t>
  </si>
  <si>
    <t>Y+5</t>
  </si>
  <si>
    <t>합계</t>
  </si>
  <si>
    <t>매출액</t>
  </si>
  <si>
    <t>(-) 매출원가</t>
    <phoneticPr fontId="21" type="noConversion"/>
  </si>
  <si>
    <t>매출원가율</t>
    <phoneticPr fontId="21" type="noConversion"/>
  </si>
  <si>
    <t>(-) 판관비</t>
    <phoneticPr fontId="21" type="noConversion"/>
  </si>
  <si>
    <t>판관비율</t>
    <phoneticPr fontId="21" type="noConversion"/>
  </si>
  <si>
    <t>(-) 법인세비용</t>
    <phoneticPr fontId="21" type="noConversion"/>
  </si>
  <si>
    <t>(+) 감가상각비(B)</t>
    <phoneticPr fontId="21" type="noConversion"/>
  </si>
  <si>
    <t>(-) 자본적지출(C)</t>
    <phoneticPr fontId="21" type="noConversion"/>
  </si>
  <si>
    <t>(-) 운전자본증감(D)</t>
    <phoneticPr fontId="21" type="noConversion"/>
  </si>
  <si>
    <t>(+) 투자액회수(E)</t>
    <phoneticPr fontId="21" type="noConversion"/>
  </si>
  <si>
    <t>여유현금흐름(F)
(F=A+B-C-D+E)</t>
    <phoneticPr fontId="21" type="noConversion"/>
  </si>
  <si>
    <t>현가계수 (G)</t>
  </si>
  <si>
    <t>현재가치 (H)
(H=F×G)</t>
    <phoneticPr fontId="21" type="noConversion"/>
  </si>
  <si>
    <t>NPV</t>
    <phoneticPr fontId="21" type="noConversion"/>
  </si>
  <si>
    <t>wt.</t>
  </si>
  <si>
    <t>특성</t>
  </si>
  <si>
    <t>입력란</t>
    <phoneticPr fontId="21" type="noConversion"/>
  </si>
  <si>
    <t>경제적 수명</t>
  </si>
  <si>
    <t>파생적 매출</t>
  </si>
  <si>
    <t>총계</t>
    <phoneticPr fontId="21" type="noConversion"/>
  </si>
  <si>
    <t>차별성</t>
  </si>
  <si>
    <t>구 분</t>
  </si>
  <si>
    <t>효용성</t>
  </si>
  <si>
    <t>경쟁성</t>
  </si>
  <si>
    <t>개별기술특성점수</t>
  </si>
  <si>
    <t>강도비율(%)</t>
  </si>
  <si>
    <t>가중치</t>
  </si>
  <si>
    <t>개별기술강도
(효용성 및 경쟁성 강도비율의 평균)</t>
    <phoneticPr fontId="21" type="noConversion"/>
  </si>
  <si>
    <t>최종 기술기여도( %)</t>
  </si>
  <si>
    <t>FACT 할인율</t>
    <phoneticPr fontId="21" type="noConversion"/>
  </si>
  <si>
    <t>WACC</t>
  </si>
  <si>
    <t>자기자본비용</t>
  </si>
  <si>
    <t>타인자본비용</t>
  </si>
  <si>
    <t>기술사업화 위험프리미엄</t>
    <phoneticPr fontId="21" type="noConversion"/>
  </si>
  <si>
    <t>기술적 성숙도 위험프리미엄</t>
    <phoneticPr fontId="21" type="noConversion"/>
  </si>
  <si>
    <t>최종 할인율</t>
  </si>
  <si>
    <t>사업화 위험프리미엄 분석</t>
    <phoneticPr fontId="21" type="noConversion"/>
  </si>
  <si>
    <t>평가항목</t>
  </si>
  <si>
    <t>평점</t>
  </si>
  <si>
    <t>입력란</t>
    <phoneticPr fontId="21" type="noConversion"/>
  </si>
  <si>
    <t xml:space="preserve">종합평점 </t>
  </si>
  <si>
    <t>프리미엄</t>
  </si>
  <si>
    <t>권리의 안정성</t>
  </si>
  <si>
    <t>시장 및 사업위험</t>
  </si>
  <si>
    <t>생산 용이성</t>
  </si>
  <si>
    <t>수익성</t>
  </si>
  <si>
    <t>종합평점</t>
  </si>
  <si>
    <t>위험프리미엄</t>
  </si>
  <si>
    <t>성숙도 위험프리미엄 분석</t>
    <phoneticPr fontId="21" type="noConversion"/>
  </si>
  <si>
    <t>기술성숙도</t>
  </si>
  <si>
    <t>(*)</t>
    <phoneticPr fontId="11" type="noConversion"/>
  </si>
  <si>
    <t>2. 영향요인 평점 합계</t>
    <phoneticPr fontId="11" type="noConversion"/>
  </si>
  <si>
    <t>3. 경제적 수명기간 산출</t>
    <phoneticPr fontId="11" type="noConversion"/>
  </si>
  <si>
    <t>&lt;매출액 추정&gt;</t>
    <phoneticPr fontId="11" type="noConversion"/>
  </si>
  <si>
    <t>년도</t>
    <phoneticPr fontId="11" type="noConversion"/>
  </si>
  <si>
    <t>특허인용지수 (TCT)</t>
    <phoneticPr fontId="11" type="noConversion"/>
  </si>
  <si>
    <t>Y</t>
    <phoneticPr fontId="11" type="noConversion"/>
  </si>
  <si>
    <t>Y+1</t>
    <phoneticPr fontId="11" type="noConversion"/>
  </si>
  <si>
    <t>Y+6</t>
  </si>
  <si>
    <t>Y+7</t>
  </si>
  <si>
    <t>Y+8</t>
  </si>
  <si>
    <t>Y+9</t>
  </si>
  <si>
    <t>A01G</t>
  </si>
  <si>
    <t>등록일</t>
    <phoneticPr fontId="11" type="noConversion"/>
  </si>
  <si>
    <t>코드</t>
    <phoneticPr fontId="21" type="noConversion"/>
  </si>
  <si>
    <t>설명</t>
    <phoneticPr fontId="21" type="noConversion"/>
  </si>
  <si>
    <t>A01B</t>
  </si>
  <si>
    <t>A01C</t>
  </si>
  <si>
    <t>A01D</t>
  </si>
  <si>
    <t>수확; 예취</t>
  </si>
  <si>
    <t>A01F</t>
  </si>
  <si>
    <t>A01H</t>
  </si>
  <si>
    <t>A01J</t>
  </si>
  <si>
    <t>A01K</t>
  </si>
  <si>
    <t>축산; 조류, 어류, 곤충의 사육; 어업; 달리 분류되지 않는 동물의 사육 또는 번식; 새로운 동물</t>
  </si>
  <si>
    <t>A01L</t>
  </si>
  <si>
    <t>A01M</t>
  </si>
  <si>
    <t>A01N</t>
  </si>
  <si>
    <t>A01P</t>
  </si>
  <si>
    <t>A21B</t>
  </si>
  <si>
    <t>A21C</t>
  </si>
  <si>
    <t>A21D</t>
  </si>
  <si>
    <t>A22B</t>
  </si>
  <si>
    <t>도살</t>
  </si>
  <si>
    <t>A22C</t>
  </si>
  <si>
    <t>A23B</t>
  </si>
  <si>
    <t>식육, 어류, 난류, 과일, 채소, 식용종자의 보존, 예. 통조림에 의한 것; 과일 또는 야채의 화학적 숙성; 보존, 숙성 또는 통조림 제품</t>
  </si>
  <si>
    <t>A23C</t>
  </si>
  <si>
    <t>A23D</t>
  </si>
  <si>
    <t>A23F</t>
  </si>
  <si>
    <t>커피; 차(茶); 그것들의 대용품; 그것들의 제조, 조제 또는 다려내기</t>
  </si>
  <si>
    <t>A23G</t>
  </si>
  <si>
    <t>A23J</t>
  </si>
  <si>
    <t>A23K</t>
  </si>
  <si>
    <t>동물을 위해 특히 적합한 먹이; 그것의 생산을 위해 특히 적합한 방법</t>
  </si>
  <si>
    <t>A23L</t>
  </si>
  <si>
    <t>A23N</t>
  </si>
  <si>
    <t>A23P</t>
  </si>
  <si>
    <t>A24B</t>
  </si>
  <si>
    <t>흡연 또는 씹는담배의 제조 또는 처리; 담배; 코담배 (SNUFF)</t>
  </si>
  <si>
    <t>A24C</t>
  </si>
  <si>
    <t>엽권담배 또는 지권담배의 제조장치</t>
  </si>
  <si>
    <t>A24D</t>
  </si>
  <si>
    <t>엽권담배; 지권담배; 담배필터; 엽권담배 또는 지권담배의 마우스피스; 담배필터 또는 마우스피스의 제조</t>
  </si>
  <si>
    <t>A24F</t>
  </si>
  <si>
    <t>A41B</t>
  </si>
  <si>
    <t>셔츠; 속옷; 유아용 린네르(LINEN) 제품; 손수건</t>
  </si>
  <si>
    <t>A41C</t>
  </si>
  <si>
    <t>코르셋; 브래지어</t>
  </si>
  <si>
    <t>A41D</t>
  </si>
  <si>
    <t>A41F</t>
  </si>
  <si>
    <t>A41G</t>
  </si>
  <si>
    <t>조화; 가발; 마스크(가면); 깃털</t>
  </si>
  <si>
    <t>A41H</t>
  </si>
  <si>
    <t>A42B</t>
  </si>
  <si>
    <t>A42C</t>
  </si>
  <si>
    <t>모자(hats) 또는 그 밖의 머리를 덮는 것의 제조 혹은 다듬질</t>
  </si>
  <si>
    <t>A43B</t>
  </si>
  <si>
    <t>신발류의 특징적 모습; 신발류의 부분</t>
  </si>
  <si>
    <t>A43C</t>
  </si>
  <si>
    <t>신발용 조임구 또는 부속품; 일반적인 구두끈</t>
  </si>
  <si>
    <t>A43D</t>
  </si>
  <si>
    <t>기계, 도구 , 장치, 제조방법 또는 신발수선</t>
  </si>
  <si>
    <t>A44B</t>
  </si>
  <si>
    <t>A44C</t>
  </si>
  <si>
    <t>A45B</t>
  </si>
  <si>
    <t>A45C</t>
  </si>
  <si>
    <t>A45D</t>
  </si>
  <si>
    <t>A45F</t>
  </si>
  <si>
    <t>A46B</t>
  </si>
  <si>
    <t>A46D</t>
  </si>
  <si>
    <t>브러시(brush)의 제법</t>
  </si>
  <si>
    <t>A47B</t>
  </si>
  <si>
    <t>A47C</t>
  </si>
  <si>
    <t>A47D</t>
  </si>
  <si>
    <t>A47F</t>
  </si>
  <si>
    <t>A47G</t>
  </si>
  <si>
    <t>A47H</t>
  </si>
  <si>
    <t>A47J</t>
  </si>
  <si>
    <t>A47K</t>
  </si>
  <si>
    <t>A47L</t>
  </si>
  <si>
    <t>A61B</t>
  </si>
  <si>
    <t>A61C</t>
  </si>
  <si>
    <t>A61D</t>
  </si>
  <si>
    <t>수의용 기구, 기계, 기구 또는 용법</t>
  </si>
  <si>
    <t>A61F</t>
  </si>
  <si>
    <t>A61G</t>
  </si>
  <si>
    <t>A61H</t>
  </si>
  <si>
    <t>A61J</t>
  </si>
  <si>
    <t>의료 또는 제제 목적을 위해 특히 적합한 용기; 의약품을 특정의 물리적 형태 또는 복용형태로 하기 위해 특히 적합한 장치 또는 방법; 식품 또는 의약품의 경구투여장치; 어린이 장난감 고무젖꼭지; 타구</t>
  </si>
  <si>
    <t>A61K</t>
  </si>
  <si>
    <t>A61L</t>
  </si>
  <si>
    <t>A61M</t>
  </si>
  <si>
    <t>A61N</t>
  </si>
  <si>
    <t>A61P</t>
  </si>
  <si>
    <t>화합물 또는 의약품 제제의 특정한 치료효과</t>
  </si>
  <si>
    <t>A61Q</t>
  </si>
  <si>
    <t>화장품 또는 유사 화장품 제제의 특정한 용도</t>
  </si>
  <si>
    <t>A62B</t>
  </si>
  <si>
    <t>A62C</t>
  </si>
  <si>
    <t>A62D</t>
  </si>
  <si>
    <t>A63B</t>
  </si>
  <si>
    <t>신체의 단련, 체조, 수영, 등반 또는 펜싱; 구기; 단련용구</t>
  </si>
  <si>
    <t>A63C</t>
  </si>
  <si>
    <t>A63D</t>
  </si>
  <si>
    <t>A63F</t>
  </si>
  <si>
    <t>A63G</t>
  </si>
  <si>
    <t>A63H</t>
  </si>
  <si>
    <t>A63J</t>
  </si>
  <si>
    <t>극장, 서커스 또는 그 유사한 장치; 마술용 설비 또는 그 유사물</t>
  </si>
  <si>
    <t>A63K</t>
  </si>
  <si>
    <t>B01B</t>
  </si>
  <si>
    <t>비등; 비등장치</t>
  </si>
  <si>
    <t>B01D</t>
  </si>
  <si>
    <t>B01F</t>
  </si>
  <si>
    <t>B01J</t>
  </si>
  <si>
    <t>B01L</t>
  </si>
  <si>
    <t>B02B</t>
  </si>
  <si>
    <t>B02C</t>
  </si>
  <si>
    <t>B03B</t>
  </si>
  <si>
    <t>B03C</t>
  </si>
  <si>
    <t>B03D</t>
  </si>
  <si>
    <t>B04B</t>
  </si>
  <si>
    <t>B04C</t>
  </si>
  <si>
    <t>B05B</t>
  </si>
  <si>
    <t>B05C</t>
  </si>
  <si>
    <t>B05D</t>
  </si>
  <si>
    <t>B06B</t>
  </si>
  <si>
    <t>B07B</t>
  </si>
  <si>
    <t>B07C</t>
  </si>
  <si>
    <t>B08B</t>
  </si>
  <si>
    <t>B09C</t>
  </si>
  <si>
    <t>B21B</t>
  </si>
  <si>
    <t>B21C</t>
  </si>
  <si>
    <t>압연 이외의 방법에 의한 금속판, 선, 봉, 관, 프로파일 의 제조 또는 기타 반제품; 본질적으로 재료를 제거하지 아니하는 금속가공과 관련해서 사용하는 보조조작</t>
  </si>
  <si>
    <t>B21D</t>
  </si>
  <si>
    <t>B21F</t>
  </si>
  <si>
    <t>B21G</t>
  </si>
  <si>
    <t>B21H</t>
  </si>
  <si>
    <t>B21J</t>
  </si>
  <si>
    <t>B21K</t>
  </si>
  <si>
    <t>B21L</t>
  </si>
  <si>
    <t>B22C</t>
  </si>
  <si>
    <t>B22D</t>
  </si>
  <si>
    <t>B22F</t>
  </si>
  <si>
    <t>B23B</t>
  </si>
  <si>
    <t>B23C</t>
  </si>
  <si>
    <t>B23D</t>
  </si>
  <si>
    <t>B23F</t>
  </si>
  <si>
    <t>B23G</t>
  </si>
  <si>
    <t>B23H</t>
  </si>
  <si>
    <t>B23K</t>
  </si>
  <si>
    <t>B23P</t>
  </si>
  <si>
    <t>B23Q</t>
  </si>
  <si>
    <t>B24B</t>
  </si>
  <si>
    <t>B24C</t>
  </si>
  <si>
    <t>B24D</t>
  </si>
  <si>
    <t>B25B</t>
  </si>
  <si>
    <t>달리 분류되지 않는 공구 또는 작업대 장치, 고착구, 연결구, 해체구 또는 고정구</t>
  </si>
  <si>
    <t>B25C</t>
  </si>
  <si>
    <t>B25D</t>
  </si>
  <si>
    <t>B25F</t>
  </si>
  <si>
    <t>B25G</t>
  </si>
  <si>
    <t>B25H</t>
  </si>
  <si>
    <t>B25J</t>
  </si>
  <si>
    <t>B26B</t>
  </si>
  <si>
    <t>B26D</t>
  </si>
  <si>
    <t>B26F</t>
  </si>
  <si>
    <t>B27B</t>
  </si>
  <si>
    <t>B27C</t>
  </si>
  <si>
    <t>B27D</t>
  </si>
  <si>
    <t>B27F</t>
  </si>
  <si>
    <t>B27G</t>
  </si>
  <si>
    <t>B27H</t>
  </si>
  <si>
    <t>B27J</t>
  </si>
  <si>
    <t>대나무, 등나무, 코르크 또는 유사 재료의 기계적 가공</t>
  </si>
  <si>
    <t>B27K</t>
  </si>
  <si>
    <t>B27L</t>
  </si>
  <si>
    <t>수피 또는 기적(vestiges of branches)의 제거(임업 A01G); 목재의 분할; 단판, 나무봉, 대팻밥, 목섬유 또는 목분의 제조</t>
  </si>
  <si>
    <t>B27M</t>
  </si>
  <si>
    <t>서브클래스 B27B로부터 B27L로 분류되지 않는 목재의 가공; 특정 목제품의 제조</t>
  </si>
  <si>
    <t>B27N</t>
  </si>
  <si>
    <t>B28B</t>
  </si>
  <si>
    <t>B28C</t>
  </si>
  <si>
    <t>B28D</t>
  </si>
  <si>
    <t>B29B</t>
  </si>
  <si>
    <t>성형 재료의 준비 또는 전처리; 조립 또는 예비 성형품의 제조; 플라스틱을 함유하는 폐기물로부터 플라스틱 또는 다른 구성 성분의 회수</t>
  </si>
  <si>
    <t>B29C</t>
  </si>
  <si>
    <t>B29D</t>
  </si>
  <si>
    <t>B29K</t>
  </si>
  <si>
    <t>B29L</t>
  </si>
  <si>
    <t>B30B</t>
  </si>
  <si>
    <t>B31B</t>
  </si>
  <si>
    <t>B31C</t>
  </si>
  <si>
    <t>B31D</t>
  </si>
  <si>
    <t>B31F</t>
  </si>
  <si>
    <t>B32B</t>
  </si>
  <si>
    <t>적층체, 즉 평평하거나 평평하지 않은 형상 (예. 세포상(cellular) 또는 벌집 구조(honeycomb)) 의 층으로 조립된 제품</t>
  </si>
  <si>
    <t>B41B</t>
  </si>
  <si>
    <t>활자의 제조, 식자 또는 해판용의 기계 또는 부속 장치; 활자; 사진적 또는 광전적 식자 장치(사진 장치 일반 G03)</t>
  </si>
  <si>
    <t>B41C</t>
  </si>
  <si>
    <t>B41D</t>
  </si>
  <si>
    <t>B41F</t>
  </si>
  <si>
    <t>B41G</t>
  </si>
  <si>
    <t>B41J</t>
  </si>
  <si>
    <t>B41K</t>
  </si>
  <si>
    <t>B41L</t>
  </si>
  <si>
    <t>사무 또는 다른 상업용의 복사 장치, 전사 장치 또는 인쇄 장치; 수신자 인쇄기 또는 그것과 유사한 인쇄기(산업용 인쇄기 B41F; 압인 장치 또는 번호 인자 장치 B41K; 시트 또는 웨이브의 취급 일반 B65H)</t>
  </si>
  <si>
    <t>B41M</t>
  </si>
  <si>
    <t>B41N</t>
  </si>
  <si>
    <t>인쇄판 또는 포일(Foil) (감광성 재료 G03); 인쇄, 잉크 도포, 습윤(damping) 등 인쇄기에 사용되는 표면용 재료; 그 표면의 사용 준비 또는 보존</t>
  </si>
  <si>
    <t>B42B</t>
  </si>
  <si>
    <t>용지, 첩 또는 절첩을 서로 영구적으로 합철하는 일 또는 그러한 물건을 영구적으로 합철하는 일(못질 또는 스테이플링 일반 B25C, B27F,; 지엽 또는 절첩을 상호 영구적으로 합철하기 위한 기계 B42C 1/12); 용지, 첩 또는 절첩을 서로 영구적으로 합철하는 일 또는 그러한 물건을 영구적으로 합철하는 일(못질 또는 스테이플링 일반 B25C, B27F,; 지엽 또는 절첩을 상호 영구적으로 합철하기 위한 기계 B42C 1/12)</t>
  </si>
  <si>
    <t>B42C</t>
  </si>
  <si>
    <t>제본(절단 또는 구멍을 뚫는 기계, 장치 또는 도구 B26; 지엽의 접기 B31F; 책의 장식 B44)</t>
  </si>
  <si>
    <t>B42D</t>
  </si>
  <si>
    <t>B42F</t>
  </si>
  <si>
    <t>일반적으로 함께 부착된 시트; 철하는 용구; 화일 카드; 색인(서견태 A47B 19/00 서가 A47B 23/00)</t>
  </si>
  <si>
    <t>B43K</t>
  </si>
  <si>
    <t>B43L</t>
  </si>
  <si>
    <t>필기용구 또는 제도 용구; 필기 또는 제도의 부속구(선긋기 작업 용구 B25H 7/00; 교습용 필기구 또는 제도 용구 G09B 11/00)</t>
  </si>
  <si>
    <t>B43M</t>
  </si>
  <si>
    <t>달리 분류되지 않는 책상 부속구(고정구 B25C, B27F, 시트를 일시적으로 함께 부착하기 위한 장치 B42F; 점착 테이프 조출기 B65H 35/07)</t>
  </si>
  <si>
    <t>B44B</t>
  </si>
  <si>
    <t>B44C</t>
  </si>
  <si>
    <t>B44D</t>
  </si>
  <si>
    <t>B44F</t>
  </si>
  <si>
    <t>특수 디자인 또는 그림</t>
  </si>
  <si>
    <t>B60B</t>
  </si>
  <si>
    <t>B60C</t>
  </si>
  <si>
    <t>B60D</t>
  </si>
  <si>
    <t>차량연결기(브레이크시스템의 부품 B60T 17/04)</t>
  </si>
  <si>
    <t>B60F</t>
  </si>
  <si>
    <t>B60G</t>
  </si>
  <si>
    <t>차체현가장치(공기스프링식 차체 B60V; 차체와 프레임 사이의 연결 B62D 24/00)</t>
  </si>
  <si>
    <t>B60H</t>
  </si>
  <si>
    <t>특히 차량의 객실 또는 화물실의 난방, 냉방, 환기 또는 다른 공기처리수단에 관한 장치 또는 개조장치</t>
  </si>
  <si>
    <t>B60J</t>
  </si>
  <si>
    <t>차량의 창, 방풍 유리, 비고정식의 지붕, 문 또는 동류의 장치； 차량에 특별히 적합하게 분리가능한 외부 보호 커버(이러한 잠금쇠, 매다는 도구, 폐쇄도구, 개방도구 E05)</t>
  </si>
  <si>
    <t>B60K</t>
  </si>
  <si>
    <t>B60L</t>
  </si>
  <si>
    <t>B60M</t>
  </si>
  <si>
    <t>전기적 추진차량을 위한 전력공급선 또는 레일에 따른 장치(철도노선에 따르는 포인트제어 또는 안전장치 B61L; 레일과 포인트의 구조일반 E01B)</t>
  </si>
  <si>
    <t>B60N</t>
  </si>
  <si>
    <t>달리 분류되지 않는 승객설비(가구구조 A47)</t>
  </si>
  <si>
    <t>B60P</t>
  </si>
  <si>
    <t>하물이송에 적합한 차량 또는 특수하물 또는 특수목적물을 이송, 운반 또는 반입하는 데 적합한 차량(환자 또는 신체장애자를 위한 특별한 설비를 가진 차량 A61G 3/00)</t>
  </si>
  <si>
    <t>B60Q</t>
  </si>
  <si>
    <t>B60R</t>
  </si>
  <si>
    <t>달리 분류되지 않는 차량, 차량 부속구 또는 차량부품(차량에 특히 적합하게 된 화재예방, 억제 또는 소화 A62C 3/07)</t>
  </si>
  <si>
    <t>B60S</t>
  </si>
  <si>
    <t>달리 분류되지 않는 차량의 손질, 세척, 수리, 지지, 들어 올림 또는 이동</t>
  </si>
  <si>
    <t>B60T</t>
  </si>
  <si>
    <t>B60V</t>
  </si>
  <si>
    <t>공기쿠션차량</t>
  </si>
  <si>
    <t>B60W</t>
  </si>
  <si>
    <t>B61B</t>
  </si>
  <si>
    <t>철도 방식; 달리 분류되지 않는 설비(리프트, 호이스트, 엘리베이터, 에스컬레이터 또는 움직이는 보도 B66B)</t>
  </si>
  <si>
    <t>B61C</t>
  </si>
  <si>
    <t>기관차; 동력차(차량 일반 B60; 프레임 및 대차 B61F; 기관차를 위한 특별한 철도 선로의 설비 B61J, B61K)</t>
  </si>
  <si>
    <t>B61D</t>
  </si>
  <si>
    <t>철도 차량의 종류와 차체 세부(차량 일반 B60; 특수 기구의 차량 B61B; 태프레임 B61F)</t>
  </si>
  <si>
    <t>B61F</t>
  </si>
  <si>
    <t>철도 차량 현가 장치, 예. 대프레임, 대차, 차축 장치; 상이한 간격의 궤도에 사용하는 철도 차량; 탈선 방지; 차량 보호 장치; 장애 제거 장치 또는 유사한 것(차량용 일반 B60; 차축, 차륜 B60B; 타이어 B60C)</t>
  </si>
  <si>
    <t>B61G</t>
  </si>
  <si>
    <t>철도차량에 특별히 적용되는 연결기; 철도차량에 특별히 적용되는 인장 또는 완충 장치</t>
  </si>
  <si>
    <t>B61H</t>
  </si>
  <si>
    <t>B61J</t>
  </si>
  <si>
    <t>차량을 이동하는 것 또는 교환하는 것(조차 계통 B61B; 차량을 이동하는 것의 일반 B60S)</t>
  </si>
  <si>
    <t>B61K</t>
  </si>
  <si>
    <t>철도를 위한 다른 보조 장치(에너지 축적 제동 B61H; 기후의 영향에 대한 궤도의 보호 E01B; 레일 청소, 제설 E01H)</t>
  </si>
  <si>
    <t>B61L</t>
  </si>
  <si>
    <t>철도 교통의 안내; 철도 교통의 보안(제동 장치 또는 보조 장치 B61H, B61K; 전철기 또는 철우(points)의 구성 E01B)</t>
  </si>
  <si>
    <t>B62B</t>
  </si>
  <si>
    <t>수동 추진 차량, 예. 손수레(Hand cart), 유모차; 썰매</t>
  </si>
  <si>
    <t>B62C</t>
  </si>
  <si>
    <t>동물 견인 운반차</t>
  </si>
  <si>
    <t>B62D</t>
  </si>
  <si>
    <t>B62H</t>
  </si>
  <si>
    <t>자전차 스탠드; 자동차의 주차 또는 저장을 위한 지지 또는 유지구; 자전차의 불허가 사용 또는 도난을 방지하거나 표시하는 기구; 자전차 자물쇠; 자전차 연습 장치</t>
  </si>
  <si>
    <t>B62J</t>
  </si>
  <si>
    <t>자전차용 새들 또는 시트; 자전차 특유의 것으로 달리 분류되지 않는 부속품 예. 자전차용의 하물대, 자전차용의 보호장치</t>
  </si>
  <si>
    <t>B62K</t>
  </si>
  <si>
    <t>자전차; 자전차 프레임; 자전차 조향 장치; 특히 자전차용에 적용된 운전자 조작 제어장치; 차축 현가 장치(axle suspension), 사이드 카아, 전방에 연결하는 차체, 그 밖에 이것과 유사한 것</t>
  </si>
  <si>
    <t>B62L</t>
  </si>
  <si>
    <t>자전차용 제동장치</t>
  </si>
  <si>
    <t>B62M</t>
  </si>
  <si>
    <t>차륜이 부착된 차량 또는 썰매의 인력 추진; 썰매 또는 사이클의 동력 추진; 그와 같은 차량에 특히 적합한 동력전달장치(차량 전동장치의 배치 또는 설치 일반 B60K; 동력전달 장치 요소 그 자체 F16)</t>
  </si>
  <si>
    <t>B63B</t>
  </si>
  <si>
    <t>B63C</t>
  </si>
  <si>
    <t>선박의 진수, 견인에 의한 운반, 드라이 독크(dry- docking)에의 입출; 수난구조; 수중에서의 생존 또는 탐색용의 장치; 수중물의 인상 또는 탐색용의 장치(해면에서의 비행기의 회수를 위한 부양넷트, 부양경사로 또한 그것에 유사한 것 B63B 35/52 )</t>
  </si>
  <si>
    <t>B63G</t>
  </si>
  <si>
    <t>선박용의 공격 또는 방어용 설비; 기뢰 부설; 소해; 잠수함; 항공모함(공격 또는 방어 일반. 예. 포탑, F41H)</t>
  </si>
  <si>
    <t>B63H</t>
  </si>
  <si>
    <t>선박의 추진 또는 조타(원자력 추진 이외의 잠수함에 특유한 것 B63G; 수중어뢰에 특유한 것 F42B 19/00)</t>
  </si>
  <si>
    <t>B63J</t>
  </si>
  <si>
    <t>선박용 보조장치</t>
  </si>
  <si>
    <t>B64B</t>
  </si>
  <si>
    <t>경항공기(항공기용 지상 설비 일반 B64F)</t>
  </si>
  <si>
    <t>B64C</t>
  </si>
  <si>
    <t>비행기; 헬리콥터(에어쿠션 비행체 B60V)</t>
  </si>
  <si>
    <t>B64D</t>
  </si>
  <si>
    <t>B64F</t>
  </si>
  <si>
    <t>B64G</t>
  </si>
  <si>
    <t>우주비행; 우주 항공체 또는 그 장비(지구외의 광원에서의 원광용의 장치 또는 방법 E21C 51/00)</t>
  </si>
  <si>
    <t>B65B</t>
  </si>
  <si>
    <t>B65C</t>
  </si>
  <si>
    <t>라벨 부착 또는 태그(tag)부착용 기계, 장치 또는 과정 (못질 또는 스테이 플링 일반 B25C, B27F; 데칼코마니아의 적용 방법 B44C 1/16; 포장용 라벨 부착 B65B; 라벨, 네임프레이트 G09F)</t>
  </si>
  <si>
    <t>B65D</t>
  </si>
  <si>
    <t>물품 또는 재료의 보관 또는 수송용의 용기, 예. 장류(Bags), 나무통, 병, 상자, 캔류(Cans), 마분지 상자(Carton), 나무상자(Crate), 드럼, 호리병(Jars), 탱크, 호퍼(Hopper), 운송 콘테이너, 부속품, 폐개구(Closures) 또는 그 부착; 포장 요소; 포장체</t>
  </si>
  <si>
    <t>B65F</t>
  </si>
  <si>
    <t>가정의 쓰레기 또는 그것에 유사한 쓰레기의 수집 또는 이송(쓰레기의 소독 A61L; 쓰레기의 파쇄기 B02C; 쓰레기의 선별 B03B, B07B; 쓰레기 용기를 운반하기 위한 손수레 B62B; 대 지지구 B65B 67/00; 쓰레기의 비료에의 변환 C05F; 쓰레기의 고체 연료에의 변환 C10L; 하수, 오수 받이 E03F; 쓰레기 처리를 위한 건축물에 있어서의 장치 E04F 17/10; 쓰레기의 소각로 F23G)</t>
  </si>
  <si>
    <t>B65G</t>
  </si>
  <si>
    <t>B65H</t>
  </si>
  <si>
    <t>박판상 또는 선조재료, 예. 시트, 웹, 케이블의 취급</t>
  </si>
  <si>
    <t>B66B</t>
  </si>
  <si>
    <t>B66C</t>
  </si>
  <si>
    <t>클레인; 크레인, 캡스탄, 윈치(winches) 또는 태클(tackles)용 하물 계합 요소 또는 장치(로프, 케이블, 체인을 감는 기구, 그것을 위한 브레이크 장치 또는 회전 방지 장치 B66D; 특히 원자로에 적합한 것 G21)</t>
  </si>
  <si>
    <t>B66D</t>
  </si>
  <si>
    <t>B66F</t>
  </si>
  <si>
    <t>B67B</t>
  </si>
  <si>
    <t>병, 단지 또는 이것과 유사한 용기의 밀폐 부재의 장착; 밀폐용기의 개봉(용기 또는 용기 밀폐 구에 부착 또는 결합된 개봉 또는 밀폐장치 B65D)</t>
  </si>
  <si>
    <t>B67C</t>
  </si>
  <si>
    <t>달리 분류되지 않는 병, 단지, 캔, 통 또는 유사한 용기의 액체 또는 반 액체의 충전, 비움(Emptyin6g); 깔대기</t>
  </si>
  <si>
    <t>B67D</t>
  </si>
  <si>
    <t>달리 분류되지 않는 액체의 분배, 방출 또는 이송(관 또는 튜브의 세정, 관 또는 튜브 시스템의 세정 B08B 9/02; 달리 분류되지 않는 병, 단지, 캔, 나무통, 통 또는 유사 용기를 비우거나 충전 B67C; 물의 공급 E03; 배관 장치 F17D; 옥내 온수 공급 장치 F24D; 체적, 체적유량, 물질 유량 또는 액위 측정, 체적에 의한 계량 G01F; 코인에 의해 작동되는 장치 또는 이와 유사한 장치 G07F)</t>
  </si>
  <si>
    <t>B68B</t>
  </si>
  <si>
    <t>마구; 그것에 관련하여 사용하는 기구; 말채찍 또는 그와 유사한 것(경마 또는 승마를 위한 설비, 부속품 A63K 3/00)</t>
  </si>
  <si>
    <t>B68C</t>
  </si>
  <si>
    <t>말의 안장; 등자</t>
  </si>
  <si>
    <t>B68F</t>
  </si>
  <si>
    <t>B68G</t>
  </si>
  <si>
    <t>충전물(예: 소파, 의자, 침대, 이불, 베개 등의 가구용 충전재,; 의자, 침대, 소파 그 자체 A47C); 충전물로 속을 채우는 방법, 장치 또는 기계; 달리 분류되지 않은 충전물로 속을 채워서 된 물품(예: 가구용 충전재, 소파, 의자, 침대, 이불, 베개 등; 의자, 침대, 소파 그 자체 A47C)</t>
  </si>
  <si>
    <t>B81B</t>
  </si>
  <si>
    <t>B81C</t>
  </si>
  <si>
    <t>B82B</t>
  </si>
  <si>
    <t>B82Y</t>
  </si>
  <si>
    <t>C01B</t>
  </si>
  <si>
    <t>비금속 원소; 그 화합물 (이산화탄소를 제외한 무기화합물 또는 요소의 준비를 위한 효소사용 또는 발효 과정 C12P 3/00; 전기영동 또는 전기분해에 의한 무기 화합물 또는 비금속 원소의 생산 C25B)</t>
  </si>
  <si>
    <t>C01C</t>
  </si>
  <si>
    <t>C01D</t>
  </si>
  <si>
    <t>C01F</t>
  </si>
  <si>
    <t>C01G</t>
  </si>
  <si>
    <t>C02F</t>
  </si>
  <si>
    <t>C03B</t>
  </si>
  <si>
    <t>제조, 성형 또는 보조공정</t>
  </si>
  <si>
    <t>C03C</t>
  </si>
  <si>
    <t>유리, 유약(glazes) 또는 유리질법랑(Vitreous enamels) 의 화학적 조성; 유리의 표면처리; 유리, 광물 또는 슬래 그로부터의 섬유 또는 필라멘트의 표면처리; 유리와 유리 또는 타물질과의 접착</t>
  </si>
  <si>
    <t>C04B</t>
  </si>
  <si>
    <t>C05B</t>
  </si>
  <si>
    <t>인산 비료</t>
  </si>
  <si>
    <t>C05C</t>
  </si>
  <si>
    <t>질소 비료</t>
  </si>
  <si>
    <t>C05D</t>
  </si>
  <si>
    <t>서브클래스 C05B, C05C 에 분류되지 않는 무기질 비료; 이산화탄소를 생성하는 비료</t>
  </si>
  <si>
    <t>C05F</t>
  </si>
  <si>
    <t>서브클래스 C05B, C 에 분류되지 않는 유기질 비료, 예. 폐기물 또는 쓰레기로부터 되는 비료</t>
  </si>
  <si>
    <t>C05G</t>
  </si>
  <si>
    <t>각각이 C05 중의 상이한 서브클래스에 포함되는 비료의 혼합물; 하나 또는 그 이상의 비료와 특히 비료 활성을 갖지 않는 물질과의 혼합물, 예. 살충제, 토양 조절제, 습윤제와의 혼합물(첨가 미생물의 배양물, 균사체 또는 그와 같은 것을 함유한 유기질 비료 C05F 11/08; 식물 비타민 또는 식물 호르몬을 함유한 유기질 비료 C05F 11/10); 형태에 특징이 있는 비료</t>
  </si>
  <si>
    <t>C06B</t>
  </si>
  <si>
    <t>C06C</t>
  </si>
  <si>
    <t>C06D</t>
  </si>
  <si>
    <t>C06F</t>
  </si>
  <si>
    <t>성냥; 성냥의 제조</t>
  </si>
  <si>
    <t>C07B</t>
  </si>
  <si>
    <t>유기 화학의 일반적 방법; 장치(텔로머화(telomerisation)에 의한 카르복시산에스테르의 제조 C07C 67/47; 고분자 화합물을 제조하기 위한 처리, 예. 텔로머화(telomerisation) C08F, C08G)</t>
  </si>
  <si>
    <t>C07C</t>
  </si>
  <si>
    <t>비환 화합물 또는 탄소환 화합물(고분자 화합물 C08; 전기분해, 전기영동에 의한 유기 화합물 제조 C25B 3/00, C25B 7/00)</t>
  </si>
  <si>
    <t>C07D</t>
  </si>
  <si>
    <t>C07F</t>
  </si>
  <si>
    <t>탄소, 수소, 할로겐, 산소, 질소, 황, 셀레늄 또는 텔루르 이외의 원소를 함유하는 비환식, 탄소 고리 또는 이종원자 고리 화합물(금속함유 포르피린 C07D 487/22; 고분자 화합물 C08)</t>
  </si>
  <si>
    <t>C07G</t>
  </si>
  <si>
    <t>구조불명의 화합물(구조불명의 술폰화지방, 지방유 또는 왁스 C07C 309/62)</t>
  </si>
  <si>
    <t>C07H</t>
  </si>
  <si>
    <t>당류; 그 유도체; 뉴클레오시드; 뉴클레오티드; 핵산(알돈산 또는 당산의 유도체 C07C, D; 알돈산, 당산 C07C 59/105, 59/285; 시안히드린 C07C 255/16; 글리칼(glyclas) C07D; 구조 불명의 화합물 C07G; 다당류, 그 유도체 C08B; 유전자 공학에 관한 DNA 또는 RNA, 벡터, 예. 플라즈미드 또는 그의 분리, 조제 또는 정제 C12N 15/00; 당 또는 전분공업 C13)</t>
  </si>
  <si>
    <t>C07J</t>
  </si>
  <si>
    <t>스테로이드(a세코-스테로이드 C07C)</t>
  </si>
  <si>
    <t>C07K</t>
  </si>
  <si>
    <t>C08B</t>
  </si>
  <si>
    <t>다당류; 그 유도체(글리코시드 결합에 의하여 상호 결합된 6개 미만의 당류기를 함유하는 다당류 C07H; 발효 또는 효소를 사용하는 공정 C12P 19/00; 당공업 C13; 셀룰로스의 제조 D21)</t>
  </si>
  <si>
    <t>C08C</t>
  </si>
  <si>
    <t>고무의 처리 및 화학적 변성</t>
  </si>
  <si>
    <t>C08F</t>
  </si>
  <si>
    <t>C08G</t>
  </si>
  <si>
    <t>C08H</t>
  </si>
  <si>
    <t>천연 고분자 화합물의 유도체(다당류 C08B, 천연고무 C08C; 천연 수지 또는 유도체 C09F; 피치, 아스팔트, 역청으로 작업 C10C 3/00)</t>
  </si>
  <si>
    <t>C08J</t>
  </si>
  <si>
    <t>C08K</t>
  </si>
  <si>
    <t>C08L</t>
  </si>
  <si>
    <t>C09B</t>
  </si>
  <si>
    <t>유기 염료 또는 염료 제조에 밀접한 관련이 있는 화합물; 매염제; 레이크(발효 또는 효소를 사용하여 소망의 화학 물질을 합성하는 방법은 C12P)</t>
  </si>
  <si>
    <t>C09C</t>
  </si>
  <si>
    <t>안료성 또는 충전제 성질을 개량하기 위한 섬유성 충전제 이외의 무기물질의 처리(무기 화합물 또는 비금속 원소의 제조 C01; 모르타르, 콘크리트 또는 인조석에 대한 물질의 충진성을 향상시키기 위한 특히 적합한 처리 C04B 14/00, C04B 18/00, C04B 20/00); 카본 블랙의 제조</t>
  </si>
  <si>
    <t>C09D</t>
  </si>
  <si>
    <t>C09F</t>
  </si>
  <si>
    <t>천연수지; 프랑스 니스(FRENCH POLISH); 건성유(DRYING-OILS); 드라이어(건조제(SICCATIVES)); 테레빈(송진(TURPENTINE))</t>
  </si>
  <si>
    <t>C09G</t>
  </si>
  <si>
    <t>프랑스 니스 이외의 광택제 조성물(POLISHING COMPOSITIONS); 스키 왁스(SKI WAXES)</t>
  </si>
  <si>
    <t>C09H</t>
  </si>
  <si>
    <t>아교(GLUE) 또는 젤라틴(GELATINE)의 제조</t>
  </si>
  <si>
    <t>C09J</t>
  </si>
  <si>
    <t>C09K</t>
  </si>
  <si>
    <t>그 밖에 분류되지 않는 응용되는 물질； 그 밖에 분류되지 않는 물질의 응용</t>
  </si>
  <si>
    <t>C10B</t>
  </si>
  <si>
    <t>C10C</t>
  </si>
  <si>
    <t>타르, 피치, 아스팔트, 역청(Bitumen)의 처리; 목초산</t>
  </si>
  <si>
    <t>C10F</t>
  </si>
  <si>
    <t>이탄의 건조 또는 처리</t>
  </si>
  <si>
    <t>C10G</t>
  </si>
  <si>
    <t>C10H</t>
  </si>
  <si>
    <t>C10J</t>
  </si>
  <si>
    <t>C10K</t>
  </si>
  <si>
    <t>일산화탄소 함유 가연성 기체의 정제 또는 화학 조성의 변성</t>
  </si>
  <si>
    <t>C10L</t>
  </si>
  <si>
    <t>달리 분류되지 않는 연료; 천연가스; 서브클래스 C10G 또는 C10K에 의하여 분류되지 않는 방법으로 얻어지는 천연 가스; 액체 석유 가스; 연료 또는 화염의 첨가제 사용; 화염 착화제</t>
  </si>
  <si>
    <t>C10M</t>
  </si>
  <si>
    <t>C11B</t>
  </si>
  <si>
    <t>지방, 지방성 물질 (예. 라놀린), 지방유 또는 왁스의 제조 (압착, 유출), 정제 또는 보존 및 그 폐기물로부터의 추출; 정유; 향료(건성유 C09F)</t>
  </si>
  <si>
    <t>C11C</t>
  </si>
  <si>
    <t>C11D</t>
  </si>
  <si>
    <t>세정성 조성물; 세정제로서 단일 물질의 사용; 비누 또는 비누 제조; 수지 비누; 글리세롤의 회수</t>
  </si>
  <si>
    <t>C12C</t>
  </si>
  <si>
    <t>맥주양조(조원료의 세척 A23N; 원료의 투입 혹은 회수하는 장치, 저장실의 도구 C12L; 효모의 증식 C12N 1/14)</t>
  </si>
  <si>
    <t>C12F</t>
  </si>
  <si>
    <t>발효액의 부산물 회수; 알코올의 변성 또는 변성 알코올</t>
  </si>
  <si>
    <t>C12G</t>
  </si>
  <si>
    <t>포도주; 그 밖의 기타 알코올 음료; 조제(맥주 C12C)</t>
  </si>
  <si>
    <t>C12H</t>
  </si>
  <si>
    <t>알코올음료의 저온살균; 살균; 보존; 정제; 청정; 숙성 또는 알코올의 제거(탈산 포도주 C12G 1/10; 포도주 침전 방지 C12G 1/12; 가향에 의한 유사 숙성 C12G 3/06)</t>
  </si>
  <si>
    <t>C12J</t>
  </si>
  <si>
    <t>식초; 그것의 조제</t>
  </si>
  <si>
    <t>C12M</t>
  </si>
  <si>
    <t>C12N</t>
  </si>
  <si>
    <t>C12P</t>
  </si>
  <si>
    <t>C12Q</t>
  </si>
  <si>
    <t>C12R</t>
  </si>
  <si>
    <t>C13B</t>
  </si>
  <si>
    <t>C13K</t>
  </si>
  <si>
    <t>자당 이외의, 자연원으로부터 또는 자연적으로 발생하는 이당-, 올리고-, 다당류의 가수분해에 의해 얻어진 당류(화학적으로 합성된 설탕 또는 설탕 유도체 C07H; 다당류, 예. 전분, 그 유도체 C08B; 당류 라디칼을 포함하는 조성물을 제조하기 위해 발효 또는 효소를 이용한 공정 C12P 19/00)</t>
  </si>
  <si>
    <t>C14B</t>
  </si>
  <si>
    <t>원피, 나피 또는 피혁의 기계적 처리 및 가공 일반; 내장 분할기; 나피 전단기(생피 또는 그 유사품의 기계적 세정 D06G)</t>
  </si>
  <si>
    <t>C14C</t>
  </si>
  <si>
    <t>C21B</t>
  </si>
  <si>
    <t>C21C</t>
  </si>
  <si>
    <t>C21D</t>
  </si>
  <si>
    <t>철계금속의 물리적구조의 개량; 철계 또는 비철계금속 또는 합금의 열처리를 위한 일반적 장치; 탈탄, 소려 또는 타처리에 의한 금속의 가단화(확산법에 의한 세멘테이션(Cementation) C23C; 적어도 1공정은 C23에 분류되고, 적어도 1공정은 서브클래스에 포함되고, 금속질재료의 다공정의 표면처리 C23F 17/00; 공정물질의 1방향 개화 또는 공석정물질의 1방향석출 C30B)</t>
  </si>
  <si>
    <t>C22B</t>
  </si>
  <si>
    <t>금속의 제조 또는 정제(금속분 또는 그 현탁액의 제조 B22F 9/00; 전기분해 또는 전기영동에 의한 금속의 제조 C25); 원료의 예비처리</t>
  </si>
  <si>
    <t>C22C</t>
  </si>
  <si>
    <t>합금(합금의 처리 C21D, C22F)</t>
  </si>
  <si>
    <t>C22F</t>
  </si>
  <si>
    <t>비철금속 또는 비철합금의 물리적 구조의 변화(철합금 또는 스틸의 열처리에 특화된 처리 및 금속 또는 합금의 열처리를 위한 장치 C21D)</t>
  </si>
  <si>
    <t>C23C</t>
  </si>
  <si>
    <t>C23D</t>
  </si>
  <si>
    <t>금속의 법랑피복 또는 유리질 피막의 형성(법랑의 화학조성 C03C)</t>
  </si>
  <si>
    <t>C23F</t>
  </si>
  <si>
    <t>C23G</t>
  </si>
  <si>
    <t>전해법 이외의 화학적방법에 의한 금속재료의 청정 또는 탈지(연마 조성물 C09G; 세정제 C11D)</t>
  </si>
  <si>
    <t>C25B</t>
  </si>
  <si>
    <t>C25C</t>
  </si>
  <si>
    <t>C25D</t>
  </si>
  <si>
    <t>C25F</t>
  </si>
  <si>
    <t>C30B</t>
  </si>
  <si>
    <t>C40B</t>
  </si>
  <si>
    <t>D01B</t>
  </si>
  <si>
    <t>섬유 또는 필라멘트를 채취하기 위한 천연 섬유 또는 필라멘트 소재의 기계적 처리, 예. 방적(광석으로부터 석면(asbestos) 섬유의 원 추출 B03B, 물에 담가 부드럽게 하는(retting) 장치 D01C)</t>
  </si>
  <si>
    <t>D01C</t>
  </si>
  <si>
    <t>D01D</t>
  </si>
  <si>
    <t>D01F</t>
  </si>
  <si>
    <t>인조필라멘트, 사, 섬유, 강모, 또는 리본의 제조에 있어서 화학적 특징을 가지는 것; 탄소 필라멘트 제조에 특히 적합한 장치</t>
  </si>
  <si>
    <t>D01G</t>
  </si>
  <si>
    <t>섬유의 예비처리, 예. 방적용(랩, 웹, 슬라이버 또는 조사의 권취 또는 되감기, 집속 또는 안내일반, 슬라이버 또는 조사의 캔(cans), 슬라이버 또는 로빙 캔에의 집적 B65H; 제지용 섬유의 전처리 D21)</t>
  </si>
  <si>
    <t>D01H</t>
  </si>
  <si>
    <t>방적 또는 연사(방적 또는 연사와 인접한 관련이 없는 필라멘트상의 재료의 되감기, 조출, 송출, 권취 ,코일상권치 B65H; 코일모양으로 감거나 감은 재료에 대한 중심부, 형상, 지지구 도는 파지(보지)구. 예. 보빈, B65H; 오우컴의 가연 D01G 35/00; 섬유; 필라멘트 또는 실의 권축 (Crimping 또는 Curling) D02G 1/00; 쉐닐사의 제조 D03D, D04D 3/00; 실, 조사, 슬라이버, 섬유 또는 섬유웨브의 시험 G01)</t>
  </si>
  <si>
    <t>D02G</t>
  </si>
  <si>
    <t>섬유, 필라멘트, 가연사 또는 사의 권축처리; 사 또는 가연사</t>
  </si>
  <si>
    <t>D02H</t>
  </si>
  <si>
    <t>정경, 빔 권취 또는 리싱(leasing)</t>
  </si>
  <si>
    <t>D02J</t>
  </si>
  <si>
    <t>필라멘트, 사, 가연사, 끈, 로프 또는 이들의 유사물의 끝마무리 또는 가공(권축 D02G; 액체, 기체 또는 증기로 처리하는 것 D06B; 액체 처리 이외의 정경사 또는 시트상 사 그룹의 끝마무리 D06C; 화학적 사항에 대해서는 D06L, D06M, D06P, D06Q를 참조; 로프의 제작과정 처리, 로프 제조에 부수한 로프의 처리장치 D07B)</t>
  </si>
  <si>
    <t>D03C</t>
  </si>
  <si>
    <t>개구기구; 문직 또는 문직용 체인; 문지의 펀칭(punching); 모양의 설계</t>
  </si>
  <si>
    <t>D03D</t>
  </si>
  <si>
    <t>직물; 제직방법; 직기</t>
  </si>
  <si>
    <t>D03J</t>
  </si>
  <si>
    <t>제직 보조 장치; 제직용의 용구; 북(shuttles)</t>
  </si>
  <si>
    <t>D04B</t>
  </si>
  <si>
    <t>메리야스편성</t>
  </si>
  <si>
    <t>D04C</t>
  </si>
  <si>
    <t>보빈네트(bobbin-net) 또는 탄화레이스를 포함한 레이스의 끈꼬기 또는 제조; 끈꼬는 기계; 브레이드(braid, 꼰끈); 레이스(세장편재료로서 신창을 만드는 기계 A43D 29/00; 등 나무세공 B27J 1/00)</t>
  </si>
  <si>
    <t>D04D</t>
  </si>
  <si>
    <t>장식품; 달리 분류되지 아니하는 리본, 테이프 또는 밴드 (차양이 붙은 모자를 위한 부속품 또는 장식품, 예. 차양이 붙은 모자의 밴드 A42C 5/00; 장식미술 B44; 사 또는 연사 D02G; 직성 D03; 꼰끈 또는 레이스 D04C; 부직포 D04H)</t>
  </si>
  <si>
    <t>D04G</t>
  </si>
  <si>
    <t>필라멘트상 재료의 매듭 장식에 의한 제망; 매듭 장식 양탄자(knotted carpet) 또는 타페스트리(tapestries)의 제조; 달리 분류되지 아니하는 매듭 장식(수확기의 사결속기 A01D 59/04; 금망 B21F; 매듭 장식에 의한 포장 B65B; 감기 또는 되감기에 관련된 매듭 장식 B65H 69/00; 직성에 있어서의 매듭 장식 D03J; 다른 기술에 의하여 만들어진 망, 양탄자나 타페스트리는 적절한 서브클래스를 참조)</t>
  </si>
  <si>
    <t>D04H</t>
  </si>
  <si>
    <t>직물(textile fabrics)의 제조, 예. 섬유 또는 필라멘트상 재요로부터(직성 D03; 편성 D04B; 조성 D04C; 제망 D04G 봉성 D05B; 터프팅 D05C; 부직포의 마무리 D06); 이와 같은 방법 또는 장치로서 제조된 직물, 예. 펠트, 부직포; 탈지면(cotton wool); 충전물(wadding)(이종의 중간층 또는 외층, 예. 직성에 의한 직물을 가진 부직물 B32B)</t>
  </si>
  <si>
    <t>D05B</t>
  </si>
  <si>
    <t>봉제(재봉사를 위한 기구 A41H; 재봉대 A47B 29/00; 제본에 있어서의 재봉 B42B 2/00; 편물용으로 변형된 미싱 D04B 39/08)</t>
  </si>
  <si>
    <t>D05C</t>
  </si>
  <si>
    <t>자수(자수가능한 프로그램 제어 재봉기 D05B 19/00, D05B 21/00); 터프팅(부직포 제조 D04H; 재봉 D05B)</t>
  </si>
  <si>
    <t>D06B</t>
  </si>
  <si>
    <t>섬유재료의 액체, 기체 또는 증기에 의한 처리(액체의 표면에의 부여 일반필라멘트의 웨이브처리 일반 B05; 가죽의 처리 C14C / 동물섬유로부터의 불순물의 기계적 제거 D01B; B05; 운반 일반, 세탁 D06F; 화학적인 사항은 D06L～ D06Q 참조)</t>
  </si>
  <si>
    <t>D06C</t>
  </si>
  <si>
    <t>직물의 피니싱(finishing), 드레싱(dressing), 텐터링(Tentering) 또는 신장(화학적인 사항은 D06L～ D06Q 참조; 건조 F26B)</t>
  </si>
  <si>
    <t>D06F</t>
  </si>
  <si>
    <t>섬유제품의 세탁, 건조, 다림질, 프레스 또는 절첩(모자의 모양 뜨기, 프레스, 김 쐬기신장에 관한 장치 A42C / 섬유재료의 액체, 기체 또는 증기 처리 D06B / 화학적인 사항 D06L, D06M을 참조)</t>
  </si>
  <si>
    <t>D06G</t>
  </si>
  <si>
    <t>카펫트, 양탄자, 마대, 가죽 또는 기타 피혁 또는 섬유제품 또는 직물의 기계식 또는 압력식 청정; 가요성의 튜브 기타 중공물질의 안 밖을 뒤집기(침대깃털의 기계적 조성 또는 처리 B68G 3/00)</t>
  </si>
  <si>
    <t>D06H</t>
  </si>
  <si>
    <t>섬유재료의 마킹, 검사, 접합, 분리(봉합에 의한 접합 D05B; 제조에 부수하는 것, 관련서브클래스 참조)</t>
  </si>
  <si>
    <t>D06J</t>
  </si>
  <si>
    <t>D06L</t>
  </si>
  <si>
    <t>D06M</t>
  </si>
  <si>
    <t>D06N</t>
  </si>
  <si>
    <t>D06P</t>
  </si>
  <si>
    <t>섬유제품의 염색 또는 날염; 피혁, 모피 또는 여러가지 형태의 고체상 고분자 물질의 염색(기계적 사항에 관여하는 B41F, B41J, D06B, D06C를 참조; 섬유제품 이외의 재료의 표면의 전사 또는 인쇄 B41M; 유리, 광물 또는 슬러그로 된 섬유 또는 필라멘트의 표면처리 C03C 25/00; 매염염색 D06M; 지의 염색 D21H)</t>
  </si>
  <si>
    <t>D06Q</t>
  </si>
  <si>
    <t>섬유제품의 장식(기계적 수단에 의한 섬유제품의 처리에 관하여는 D06B～ D06J를 참조; 섬유제품표면 전체의 금속 처리 D06M 11/83; 고분자물질에 접착된 직물사, 필라멘트, 실 혹은 밧줄 D06N7/00; 염색 또는 날염 D06P)</t>
  </si>
  <si>
    <t>D07B</t>
  </si>
  <si>
    <t>로프 또는 케이블 일반(상호적으로 또는 기타 물체에 접속되어 있는 로프, 또는 케이블 B65H 69/00, F16G 11/00; 로프의 기계적 마무리 또는 가공 D02J; 장식로프 또는 코드 D04D; 교양용 현수케이블 E01D 19/16; 푸리 또는 기타 전동요소에 의한 구동 또는 견인에 특히 적당한 것 F16G 9/00; 전기적인 분야에 관한 케이블 또는 접속구 H01B, H01R)</t>
  </si>
  <si>
    <t>D21B</t>
  </si>
  <si>
    <t>섬유원료 또는 그의 기계적 처리</t>
  </si>
  <si>
    <t>D21C</t>
  </si>
  <si>
    <t>셀룰로스함유 재료로부터 비셀룰로스물질을 제거하는 것에 의한 셀룰로스의 제조; 펄프 화약액 (pulping liquor)의 재생; 이를 위한 장치</t>
  </si>
  <si>
    <t>D21D</t>
  </si>
  <si>
    <t>D21F</t>
  </si>
  <si>
    <t>초지기; 이에 의한 종이의 제조방법</t>
  </si>
  <si>
    <t>D21G</t>
  </si>
  <si>
    <t>캘린더(calendar); 초지기의 부속품(완성된 제품을 감는 장치(winder, rewinder), 주름 또는 측면방향 늘임을 조정하는 수단 B65H)</t>
  </si>
  <si>
    <t>D21H</t>
  </si>
  <si>
    <t>D21J</t>
  </si>
  <si>
    <t>섬유판; 셀룰로스성 섬유의 현탁액 또는 혼응지로부터 물품의 제조(건식법에 의한 물품의 제조 B27N)</t>
  </si>
  <si>
    <t>E01B</t>
  </si>
  <si>
    <t>E01C</t>
  </si>
  <si>
    <t>도로, 경기장 또는 그와 유사한 것의 건설 또는 그 표면의 시공; 건설 및 보수용 기계 또는 보조 공구(눈이나 얼음을 굳게 하기도 하고, 정지(整地)하여 도로나 유사 표면을 형성하는 것 E01H)</t>
  </si>
  <si>
    <t>E01D</t>
  </si>
  <si>
    <t>E01F</t>
  </si>
  <si>
    <t>E01H</t>
  </si>
  <si>
    <t>E02B</t>
  </si>
  <si>
    <t>E02C</t>
  </si>
  <si>
    <t>선박의 리프트 장치 및 기구</t>
  </si>
  <si>
    <t>E02D</t>
  </si>
  <si>
    <t>E02F</t>
  </si>
  <si>
    <t>E03B</t>
  </si>
  <si>
    <t>E03C</t>
  </si>
  <si>
    <t>E03D</t>
  </si>
  <si>
    <t>E03F</t>
  </si>
  <si>
    <t>E04B</t>
  </si>
  <si>
    <t>E04C</t>
  </si>
  <si>
    <t>E04D</t>
  </si>
  <si>
    <t>E04F</t>
  </si>
  <si>
    <t>E04G</t>
  </si>
  <si>
    <t>E04H</t>
  </si>
  <si>
    <t>E05B</t>
  </si>
  <si>
    <t>자물쇠; 자물쇠를 위한 부속품; 수갑</t>
  </si>
  <si>
    <t>E05C</t>
  </si>
  <si>
    <t>E05D</t>
  </si>
  <si>
    <t>도어, 창 또는 윙용 힌지(Hinge) 및 다른 지지 장치(피봇 일반 F16C 11/00)</t>
  </si>
  <si>
    <t>E05F</t>
  </si>
  <si>
    <t>E05G</t>
  </si>
  <si>
    <t>E06B</t>
  </si>
  <si>
    <t>E06C</t>
  </si>
  <si>
    <t>사다리(E04F 11/00이 우선; 계단 의자 A47C 12/00; 선박용 B63B, 항공기용 B64; 비계 E04G)</t>
  </si>
  <si>
    <t>E21B</t>
  </si>
  <si>
    <t>지중 또는 암석의 굴착(채광, 채석 E21C; 수직갱의 굴착, 갱도 또는 터널의 굴진 E21D); 채굴정 에서의 오일, 가스, 물, 용해성 또는 용융성 물질 또는 광물 슬러리의 채취</t>
  </si>
  <si>
    <t>E21C</t>
  </si>
  <si>
    <t>E21D</t>
  </si>
  <si>
    <t>E21F</t>
  </si>
  <si>
    <t>F01B</t>
  </si>
  <si>
    <t>F01C</t>
  </si>
  <si>
    <t>회전피스톤식 또는 요동피스톤식 기계 또는 기관(연소기관 F02; 내부연소에 관한 것 F02B 53/00, 55/00; 유체용 기계 F03, F04)</t>
  </si>
  <si>
    <t>F01D</t>
  </si>
  <si>
    <t>F01K</t>
  </si>
  <si>
    <t>증기기관설비; 증기어큐뮬레이터(accumulator); 달리 분류되지 않는 기관설비; 특수한 작동유체 또는 사이클을 사용한 기관(가스터빈 혹은 제트추진설비 F02; 증기발생 F22; 원자력동력설비, 그 기관의 배설 G21D)</t>
  </si>
  <si>
    <t>F01L</t>
  </si>
  <si>
    <t>주기적으로 작동하는 기계 또는 기관용 밸브(밸브일반 F16K)</t>
  </si>
  <si>
    <t>F01M</t>
  </si>
  <si>
    <t>기계 또는 기관의 윤활일반(윤활 일반 F16C); 내연기관의 윤활; 크랭크실의 환기</t>
  </si>
  <si>
    <t>F01N</t>
  </si>
  <si>
    <t>기계 또는 기관을 위한 가스유 소음기 또는 배기장치 일반; 내연기관용 관한 것 B60K 13/00; 특히 내연기관에 응용되고 결합되는 연소가스유 소음기 또는 배기장치(차량용 추진장치의 배기구 배치에 공기 입구소음기 F02M 35/00; 잡음의 방지 혹은 경감 일반 G01K 11/00)</t>
  </si>
  <si>
    <t>F01P</t>
  </si>
  <si>
    <t>기계 또는 기관의 냉각일반; 내연기관의 냉각(차량용 추진장치의 냉각기, 배치에 관한 것 B60K 11/00; 열전달, 열교환 혹은 열저장 물질 C09K 5/00; 열교환 일반, 라디에이터 F28)</t>
  </si>
  <si>
    <t>F02B</t>
  </si>
  <si>
    <t>내연식 피스톤기관; 연소기관 일반(주기적으로 밸브를 작동하는 것 F01L; 내연 기관에 윤활유를 칠하는 것 F01M; 기체흐름 소음장치 또는 그것을 위한 배기장치 F01N; 내연 기관의 냉각 F01P; 내연터빈 F02C; 연소생성물을 이용하는 설비 F02C, F02G)</t>
  </si>
  <si>
    <t>F02C</t>
  </si>
  <si>
    <t>가스터빈 설비；제트 추진 설비를 위한 공기의 도입；공기 흡입 제트 추진 설비에 있어서의 연료 공급 제어(터빈의 구조 F01D；제트 추진 설비 F02K；압축기 또는 팬의 구조 F04；연소가 연료 또는 다른 입자의 유체층에서 발생하는 연소 장치 F23C10/00；고압 또는 고속의 연소 생성물의 생성 F23R；압축 냉동 설비에 있어서의 가스터빈의 사용 F25B11/00；차량 있어서의 가스터빈의 사용, 관련하는 차량 클래스 참조)</t>
  </si>
  <si>
    <t>F02D</t>
  </si>
  <si>
    <t>F02F</t>
  </si>
  <si>
    <t>연소기관의 실린더, 피스톤 또는 케이싱; 연소기관의 밀봉장치의 구성(특히 회전 피스톤 또는 요동피스톤 내연기관에 응용한 것 F02B; 특히 가스터빈 장치에 응용한 것 F02C; 특히 제트추진장치에 응용한 것 F02K)</t>
  </si>
  <si>
    <t>F02G</t>
  </si>
  <si>
    <t>열가스 또는 연소생성 용적형 기관설비(증기기관설비, 특수한 증기설비, 타의 유체와 같이 열 가스 또는 연소생성가스의 어느 것인가에 의해 작동하는 설비 F01K; 가스터빈설비 F02C; 제트추진설비 F02K); 연소기관의 폐열을 이용하는 것으로서 달리 분류되지 않는 것</t>
  </si>
  <si>
    <t>F02K</t>
  </si>
  <si>
    <t>F02M</t>
  </si>
  <si>
    <t>일반 연소기관에의 가연혼합물 또는 그의 성분의 공급(전기기관에의 충전 F02B)</t>
  </si>
  <si>
    <t>F02N</t>
  </si>
  <si>
    <t>연소기관의 시동(자동피스톤 연소기관의 시동 F02B 71/02; 가스터빈장치의 시동 F02C 7/26); 연소기관의 시동(자동피스톤 연소기관의 시동 F02B 71/02; 가스터빈장치의 시동 F02C 7/26)</t>
  </si>
  <si>
    <t>F02P</t>
  </si>
  <si>
    <t>내연기관의 점화에서 압축 점화 이외의 것; 압축 점화 기관의 점화시기의 시험(특히 회전피스톤 또는 요동피스톤기관에 적합한 것 F02B 53/12; 내연장치의 점화일반, 예열플러그 F23Q; 물리적 변수의 측정일반 G01; 제어일반 G05; 데이터처리일반 G06; 전기적인 구성부품일반 섹션 H; 점화플러그 H01T)</t>
  </si>
  <si>
    <t>F03B</t>
  </si>
  <si>
    <t>액체용 기계 또는 기관(액체 및 압축성 유체용기계 또는 기관 F01; 액체용 용적형기관 F03C; 액체용 용적형기계 F04)</t>
  </si>
  <si>
    <t>F03C</t>
  </si>
  <si>
    <t>액체에 의해 구동되는 용적형기관(액체 및 압축성유체용 용적형기관 F01; 액체용용적형기계; 유체압 액추에이터(actuator) F15B; 유체전동장치 F16H)</t>
  </si>
  <si>
    <t>F03D</t>
  </si>
  <si>
    <t>풍력원동기</t>
  </si>
  <si>
    <t>F03G</t>
  </si>
  <si>
    <t>스프링, 동력, 관성 또는 비슷한 원동기; 기계적 동력을 발생하는 장치 또는 기구로서, 타류에 속하지 않는 또는 타류에 속하지 않는 에너지원을 사용하는 것(차량에 자연력으로부터 동력공급에 관하는 배치 B60K 16/00; 차량에서 자연력으로부터 동력공급에 의한 전기적 추진 B60L 8/00)</t>
  </si>
  <si>
    <t>F03H</t>
  </si>
  <si>
    <t>반동추진력을 발생시키는 것으로서 타류에 속하지 않는 것(연소생성물로부터의 것 F02K)</t>
  </si>
  <si>
    <t>F04B</t>
  </si>
  <si>
    <t>F04C</t>
  </si>
  <si>
    <t>액체용 회전피스톤 또는 요동피스톤, 용적형 기계(액체에 의해 구동되는 기관 F03C); 회전피스톤 또는 요동피스톤, 용적형 펌프(엔진 연료 분사 펌프 F02M)</t>
  </si>
  <si>
    <t>F04D</t>
  </si>
  <si>
    <t>비용적형 펌프 (엔진 연료 분사 펌프 F02M; 이온 펌프 H01J 41/12; 전기역학 펌프 H02K 44/02)</t>
  </si>
  <si>
    <t>F04F</t>
  </si>
  <si>
    <t>타의 유체와의 직접접촉에 의하여 또는 펌핑되는 유체의 관성력을 이용하여 유체를 펌핑하는 것(내부의 가스압에 의하여 유체 또는 반액체의 내용물을 분배하기 위한 특수한 수단이 있는 용기 또는 포장 B65D 83/14); 사이폰</t>
  </si>
  <si>
    <t>F15B</t>
  </si>
  <si>
    <t>F15C</t>
  </si>
  <si>
    <t>주로 계산(computing) 또는 제어(control) 목적에 쓰이는 유체회로소자(변환기 F15B 5/00; 유체동역학 일반 F15D; 유체소자로 구성되는 계산장치 G06D, G06G)</t>
  </si>
  <si>
    <t>F15D</t>
  </si>
  <si>
    <t>유체역학, 즉 기체 또는 액체의 흐름에 영향을 주기 위한 방법 또는 수단(유체회로 소자 F15C~D)</t>
  </si>
  <si>
    <t>F16B</t>
  </si>
  <si>
    <t>구조부재 또는 기계부품끼리를 죄거나 고정하기 위한 장치, 예. 못, 볼트, 써클립(circlip), 클램프, 클립, 쐐기; 이음(JOINT) 또는 접속(JOINTING)</t>
  </si>
  <si>
    <t>F16C</t>
  </si>
  <si>
    <t>F16D</t>
  </si>
  <si>
    <t>F16F</t>
  </si>
  <si>
    <t>스프링; 완충장치; 진동감쇠 수단</t>
  </si>
  <si>
    <t>F16G</t>
  </si>
  <si>
    <t>케이블 또는 로프를 서로 또는 다른 것에 결착하기 위한 수단(신축 교량케이블을 위한 케이블 클램프 E01D 19/16); 케이블 또는 로프에 고착시키기 위한 캡(cap) 또는 슬리브(자동차 또는 케이지(cage)를 들어올리기 위해 부착하는 로프 또는 케이블 B66B 7/08, 감아올리기 위한 드럼 B66D 1/34; 기초공사에 적용되는 앵커(ground anchor) )</t>
  </si>
  <si>
    <t>F16H</t>
  </si>
  <si>
    <t>전동장치(Gearing)</t>
  </si>
  <si>
    <t>F16J</t>
  </si>
  <si>
    <t>피스톤; 실린더; 압력용기 일반; 밀봉장치</t>
  </si>
  <si>
    <t>F16K</t>
  </si>
  <si>
    <t>밸브; 탭(Tap); 콕(Cock); 작동하는 플로트(float); 배기 또는 흡기장치</t>
  </si>
  <si>
    <t>F16L</t>
  </si>
  <si>
    <t>관; 관의 이음 또는 부속품; 관, 케이블 또는 보호관류의 지지; 일반적인 열절연(THERMAL INSULATION) 방법</t>
  </si>
  <si>
    <t>F16M</t>
  </si>
  <si>
    <t>엔진, 기계 또는 장치에서의 프레임, 케이싱(casing) 또는 베드(beds)로서; 다른 곳에 속하는 엔진(engine), 기계 또는 장치에 특유하지 않은; 스탠드 또는 지지체</t>
  </si>
  <si>
    <t>F16N</t>
  </si>
  <si>
    <t>F16P</t>
  </si>
  <si>
    <t>안전장치 일반</t>
  </si>
  <si>
    <t>F16S</t>
  </si>
  <si>
    <t>F16T</t>
  </si>
  <si>
    <t>증기트랩(steam trap) 또는 기체 또는 증기를 강제로 수용하는 밀폐체로부터 액체를 배출하는 유사한 장치</t>
  </si>
  <si>
    <t>F17B</t>
  </si>
  <si>
    <t>F17C</t>
  </si>
  <si>
    <t>압축, 액화 또는 고화(固化)가스의 수용 또는 저장용 용기; 일정용량의 가스탱크; 압축, 액화 또는 고화가스의 용기에의 충전 또는 용기로부터의 방출(자연 또는 인공적인 지중 구멍 또는 실에의 유체저장 B65G 5/00; 토목공학 기술을 이용한 대용량저장용기의 건설 또는 조립 E04H 7/00; 가변용량의 가스탱크 F17B; 액화 또는 냉동기계, 플랜트 및 시스템 F25)</t>
  </si>
  <si>
    <t>F17D</t>
  </si>
  <si>
    <t>관로계; 관로(액체 분배 E03B; 펌프 또는 압축기 F04; 유체 역학 F15D; 밸브 또는 그와 유사한 것 F16K; 파이프, 파이프 부설, 지지대, 조인트, 브랜치(분지), 수리, 전체 라인에서의 작업, 부속품 F16L; 스팀 트랩 또는 그와 유사한 것 F16T; 유체 압력 전기 케이블 H01B 9/06)</t>
  </si>
  <si>
    <t>F21H</t>
  </si>
  <si>
    <t>F21K</t>
  </si>
  <si>
    <t>타류에 속하지 않는 광원</t>
  </si>
  <si>
    <t>F21L</t>
  </si>
  <si>
    <t>F21S</t>
  </si>
  <si>
    <t>F21V</t>
  </si>
  <si>
    <t>조명장치 또는 그 시스템의 기능적 특징 또는 그 세부. 달리 분류되지 않는, 다른 물체와 조명장치의 구조적 결합</t>
  </si>
  <si>
    <t>F21W</t>
  </si>
  <si>
    <t>F21Y</t>
  </si>
  <si>
    <t>F22B</t>
  </si>
  <si>
    <t>증기발생법; 증기보일러(기관부가 주가 된 증기기관설비 F01K; 연소 제품이나 잔류물의 제거, 예. 보일러 튜브의 연소오염 표면을 클리닝 F23J 3/00; 증기를 쓰는 가정용 중앙난방방식 F24D; 열교환 또는 열전달 일반 F28; 원자로의 노심부에서의 증기발생 G21)</t>
  </si>
  <si>
    <t>F22D</t>
  </si>
  <si>
    <t>예열 또는 예열되어 공급된 물의 축열; 급수의 공급; 수위 제어; 보일러내에서 물의 순환를 증진하기 위한 보조 장치(급수의 화학적처리, 예. 정화 C02F; 밀폐 열교환장치 일반 F28D; 제어일반 G05)</t>
  </si>
  <si>
    <t>F22G</t>
  </si>
  <si>
    <t>증기의 과열(보일러의 증기분리장치 F22B 37/26; 연소 제품이나 잔류물의 제거, 예. 보일러 튜브의 연소오염 표면을 클리닝, F23J 3/00)</t>
  </si>
  <si>
    <t>F23B</t>
  </si>
  <si>
    <t>F23C</t>
  </si>
  <si>
    <t>F23D</t>
  </si>
  <si>
    <t>F23G</t>
  </si>
  <si>
    <t>화장로(Cremation Furnaces); 연소에 의해 폐기물 또는 저등급 연료를 소각하는 것</t>
  </si>
  <si>
    <t>F23H</t>
  </si>
  <si>
    <t>화격자(grates)(유동화상(fluidised bed) 연소장치를 위한 유동화공기의 도입부 F23C 10/20); 화격자의 청소 또는 갈퀴질(ranking)</t>
  </si>
  <si>
    <t>F23J</t>
  </si>
  <si>
    <t>연소생성물 또는 연소잔재의 제거 또는 처리; 연도(flue)(연도가스로부터 먼지를 침전 B01D; 연료의 조성 C10; 연기, 배출가스 등을 제거하기위한 위한 연소 장치 F23G 7/06)</t>
  </si>
  <si>
    <t>F23K</t>
  </si>
  <si>
    <t>연소장치에로의 연료의 공급(유동상(fluidised bed) 연소장치에 특히 적합한 연료의 공급 F23C 10/22; 연소의 조절 또는 제어 F23N)</t>
  </si>
  <si>
    <t>F23L</t>
  </si>
  <si>
    <t>F23M</t>
  </si>
  <si>
    <t>달리 분류되지 않는 연소실의 구조상의 세부(증기보일러용 관벽의 구조 또는 지지 F22B; 고압 또는 고속의 연소생성물의 생성 F23R)</t>
  </si>
  <si>
    <t>F23N</t>
  </si>
  <si>
    <t>F23Q</t>
  </si>
  <si>
    <t>점화 (성냥점화용 장치 A24F; 화학적 점화기 C06C 9/00); 소화장치</t>
  </si>
  <si>
    <t>F23R</t>
  </si>
  <si>
    <t>고압 또는 고속의 연소생성물의 생성, 예. 가스터빈 연소실(초대기압에서의 조정을 위해 특별히 조정되는 유동층 연소 장치 F23C 10/16)</t>
  </si>
  <si>
    <t>F24B</t>
  </si>
  <si>
    <t>고체연료 사용의 가정용 스토브(stove) 또는 레인지(Range); 스토브 또는 레인지와 관련하여 이에 사용되는 도구</t>
  </si>
  <si>
    <t>F24C</t>
  </si>
  <si>
    <t>기타의 가정용 스토브 또는 레인지; 일반적으로 적용되는 가정용 스토브 또는 레인지의 세부(유체순환형 복사식 스토브 F24H)</t>
  </si>
  <si>
    <t>F24D</t>
  </si>
  <si>
    <t>F24F</t>
  </si>
  <si>
    <t>F24H</t>
  </si>
  <si>
    <t>F24J</t>
  </si>
  <si>
    <t>달리 분류되지 않는 열의 발생 또는 사용(관련 물질 C09K 5/00; 열에서 기계적 동력을 발생하는 기관 또는 타의 기구는 관련하는 클라스를 참조 예. 자연열을 사용하는 것 F03G)</t>
  </si>
  <si>
    <t>F25B</t>
  </si>
  <si>
    <t>냉동기계, 플랜트(Plants) 또는 시스템; 가열과 냉동을 조합 시스템; 히트 펌프시스템(펌프, 콤프레서(Compressor) F04; 히트 펌프를 이용한 가정용 또는 구역난방 또는 가정용 온수 공급 F24D; 공기조화, 공기가습 F24F; 히트펌프를 이용한 유체가열 F24H)</t>
  </si>
  <si>
    <t>F25C</t>
  </si>
  <si>
    <t>제조, 작업, 저장 또는 분배(얼음과자, 아이스크림을 포함하는 것들의 제조 A23G 9/00; 동결한 용제를 제거함으로써 용액을 농축하는 것 B01D 9/04; 동결에 의한 물의 정제 C02F 1/22; 냉동기계, 플랜트 또는 시스템 F25B; 기체 또는 기체 혼합물의 응고 F25J; 동결건조 F26B)</t>
  </si>
  <si>
    <t>F25D</t>
  </si>
  <si>
    <t>F25J</t>
  </si>
  <si>
    <t>기체 또는 기체혼합물의 가압 및 냉각처리에 의한 액화,응고 또는 분리 (극저온 펌프 F04B 37/08; 기체저장용기 가스탱크 F17; 액화 또는 고화가스의 주입 또는 기화 F17C; 냉동기계, 플랜트 또는 시스템 F25B)</t>
  </si>
  <si>
    <t>F26B</t>
  </si>
  <si>
    <t>F27B</t>
  </si>
  <si>
    <t>F27D</t>
  </si>
  <si>
    <t>F28B</t>
  </si>
  <si>
    <t>수증기 또는 증기응축기(증기의 응축 B01D 5/00; 분산된 분자의 정전기적 침전에 앞서 가스의 예비처리를 하는 동안의 응축 B03/C 3/014 : 응축기를 가진 증기기관 플랜트 F01K; 기체의 액화 F25J; 열교환 또는 열전달 장치의 세부 일반 F28F)</t>
  </si>
  <si>
    <t>F28C</t>
  </si>
  <si>
    <t>열교환매체가 상호 화학작용을 하지 않고 직접 접촉하는 열교환장치로 다른 서브클래스로 분류되지 않는 것(열전달, 열교환 또는 열저장물질 C09K 5/00; 열발생 수단을 갖는 유체가열기 F24H; 열 교환매체와 직접 접촉하는 중간 열전달매체를 갖는 것 F28D 15/00 ～ 19/00; 일반적으로 사용되는 열 교환장치의 세부 F28F)</t>
  </si>
  <si>
    <t>F28D</t>
  </si>
  <si>
    <t>F28F</t>
  </si>
  <si>
    <t>일반적인 열 교환 또는 열전달장치의 세부(열전달, 열교환 또는 열저장물질 C09K 5/00; 물 또는 공기 트랩(trap), 공기빼기(air venting) F16)</t>
  </si>
  <si>
    <t>F28G</t>
  </si>
  <si>
    <t>F41A</t>
  </si>
  <si>
    <t>소화기와 대포 등의 화기에 공통되는 기능적 특징 또는 세부; 소화기 또는 대포용 총포가(mountings)</t>
  </si>
  <si>
    <t>F41B</t>
  </si>
  <si>
    <t>F41C</t>
  </si>
  <si>
    <t>F41F</t>
  </si>
  <si>
    <t>F41G</t>
  </si>
  <si>
    <t>무기용 조준기; 조준(그것들의 광학적 실시형태 G02B)</t>
  </si>
  <si>
    <t>F41H</t>
  </si>
  <si>
    <t>장갑; 장갑포탑; 장갑차량 또는 병장차(兵裝車); 공격 또는 방어의 수단일반, 예. 위장일반</t>
  </si>
  <si>
    <t>F41J</t>
  </si>
  <si>
    <t>표적; 사격장; 탄알받이</t>
  </si>
  <si>
    <t>F42B</t>
  </si>
  <si>
    <t>장약, 예. 폭파용; 불꽃; 탄약(폭발성조성물 C06B; 신관 F42C; 폭파 F42D)</t>
  </si>
  <si>
    <t>F42C</t>
  </si>
  <si>
    <t>탄약 신관(폭파약포의 기폭구 F42B 3/10; 화학적 사항 C06C); 기폭정비 또는 그에 따른 안전기구(신관을 채우는 것 F42B 33/02; 신관에서 또는 신관으로의 외관을 설치 또는 제거 F42B 33/04; 신관용기 F42B 39/30)</t>
  </si>
  <si>
    <t>F42D</t>
  </si>
  <si>
    <t>폭파(도화선 C06C 5/00; 폭파약포 F42B 3/00)</t>
  </si>
  <si>
    <t>G01B</t>
  </si>
  <si>
    <t>길이, 두께 또는 유사한 직선치의 측정; 각도의 측정; 면적의 측정; 표면 또는 윤곽의 불규칙성 측정</t>
  </si>
  <si>
    <t>G01C</t>
  </si>
  <si>
    <t>자이로스코프; 진동질량을 가지는 회전-감응 장치 ; 운동질량이 없는 회전-감응 장치; 자이로스코프 효과를 이용한 각속도의 측정</t>
  </si>
  <si>
    <t>G01D</t>
  </si>
  <si>
    <t>특정변량을 위해서 특별히 적용되지 않는 측정; 단일의 다른 서브클래스에 속하지 않는 그 이상의 변량을 측정하는 장치; 요금계량장치; 특정변량을 위해서 특별히 적용되지 않는 설비의 이동 또는 도입; 달리 분류되지 않는 측정 또는 시험(운전 기록에 대하여, 번개 또는 기타 과전압 방전 장치와 구조적으로 관련된 수단 G01R; 정보를 표시 일반 G09F; 변환기를 통해 재생을 요구하는 방식으로 기록하는 것 G11B)</t>
  </si>
  <si>
    <t>G01F</t>
  </si>
  <si>
    <t>체적. 체적유량, 질량유량 또는 액위측정; 체적에 의한 계량</t>
  </si>
  <si>
    <t>G01G</t>
  </si>
  <si>
    <t>중량 측정</t>
  </si>
  <si>
    <t>G01H</t>
  </si>
  <si>
    <t>G01J</t>
  </si>
  <si>
    <t>G01K</t>
  </si>
  <si>
    <t>온도의 측정; 열량의 측정; 달리 속하지 않는 감온소자(방사선 고온측정법 G01J 5/00)</t>
  </si>
  <si>
    <t>G01L</t>
  </si>
  <si>
    <t>G01M</t>
  </si>
  <si>
    <t>기계 또는 구조물의 정적 또는 동적 평형시험; 달리 분류되지 않는 구조물 또는 장치의 시험</t>
  </si>
  <si>
    <t>G01N</t>
  </si>
  <si>
    <t>G01P</t>
  </si>
  <si>
    <t>G01Q</t>
  </si>
  <si>
    <t>G01R</t>
  </si>
  <si>
    <t>G01S</t>
  </si>
  <si>
    <t>G01T</t>
  </si>
  <si>
    <t>원자핵 방사선 또는 X선의 측정(물질의 방사선 분석, 질량분석기 G01N 23/00; 방사선 또는 입자의 존재, 세기, 밀도 또는 에너지를 결정하기 위한 튜브 H01J 47/00)</t>
  </si>
  <si>
    <t>G01V</t>
  </si>
  <si>
    <t>지구물리; 중력측정; 질량 또는 대상물의 검출; 태그스(TAGS)(진단, 수술 또는 개인식별을 위하여 이물을 검출 또는 탐지하기 위한 것 A61B; 돌발적으로 매몰된, 예. 눈(雪)에 매몰된, 사람의 위치를 지시하는 수단 A63B 29/02; 화학적 또는 물리적 성질의 결정에 의한 지구조성물의 조사 또는 분석 G01N; 지구의 장의 방향 또는 크기 이외의 전기적 또는 자기적 변량의 측정 일반 G01R; 자기 공명장치 일반 G01R 33/20)</t>
  </si>
  <si>
    <t>G01W</t>
  </si>
  <si>
    <t>기상학(레이다, 라이다(lidar), 소나(sonar) 또는 아나로그 시스템, 기상용도의 것 G01S 13/95, G01S 15/88, G01S 17/95)</t>
  </si>
  <si>
    <t>G02B</t>
  </si>
  <si>
    <t>G02C</t>
  </si>
  <si>
    <t>안경; 선글래스 또는 안경과 같은 성질을 가진 보호안경; 콘택트 렌즈</t>
  </si>
  <si>
    <t>G02F</t>
  </si>
  <si>
    <t>광의 강도, 색, 위상, 편광 또는 방향의 제어를 위한 장치 또는 배치, 예. 스위칭, 게이팅, 변조 또는 복조, 의 매체의 광학적성질이 변화에 의하여 광학적 작용이 변화하는 장치 또는 배치; 그와 같은 동작을 위한 기술 또는 처리; 주파수변환; 비선형 광학; 광학적 논리소자; 광학적 아날로그/디지털 변환기  [2,4]</t>
  </si>
  <si>
    <t>G03B</t>
  </si>
  <si>
    <t>사진을 촬영하기 위하여 또는 사진을 투영하여 직시하기 위한 장치 또는 배치; 광파 이외의 파를 사용하는 유사기술을 사용하는 장치 또는 배치; 그것을 위한 부속물(그런 장치의 광학적 부분 G02B; 광사진용 광감지 재료 또는 과정 G03C; 광사진 물질을 노출하기 위한 과정을 위한 장치 G03D)</t>
  </si>
  <si>
    <t>G03C</t>
  </si>
  <si>
    <t>G03D</t>
  </si>
  <si>
    <t>G03F</t>
  </si>
  <si>
    <t>사진제판법에 의한 요철화 또는 패턴화 표면의 제조, 예. 인쇄용, 반도체장치의 제조법용; 그것을 위한 재료; 그것을 위한 원료; 그것을 위한 특별히 적합한 장치(사진식자기 B41B, 사진용 감광재료 또는 처리는 G03C, 엘렉트로그라피, 그것을 위한 감광층 또는 처리는 G03G)</t>
  </si>
  <si>
    <t>G03G</t>
  </si>
  <si>
    <t>일렉트로그래피; 전자사진; 마그네토그래피(기록캐리어와 변환기 사이의 상대적 운동에 기초를 둔 정보기억 G11B; 정보의 기입 또는 독출을 위한 수단을 갖춘 정적 기억 G11C; 텔레비전 신호의 기록 H04N 5/76)</t>
  </si>
  <si>
    <t>G03H</t>
  </si>
  <si>
    <t>G04B</t>
  </si>
  <si>
    <t>G04C</t>
  </si>
  <si>
    <t>전기기계시계 또는 휴대전기기계시계(시계 또는 휴대시계의 기계부분일반 G04B; 가동부분을 갖지 않는 전자시계, 타이밍펄스를 발생하기 위한 전자회로 G04G)</t>
  </si>
  <si>
    <t>G04D</t>
  </si>
  <si>
    <t>G04F</t>
  </si>
  <si>
    <t>G04G</t>
  </si>
  <si>
    <t>전자시계</t>
  </si>
  <si>
    <t>G04R</t>
  </si>
  <si>
    <t>G05B</t>
  </si>
  <si>
    <t>G05D</t>
  </si>
  <si>
    <t>비전기적 변량의 제어 또는 조정계(금속의 연속주조 B22D 11/26; 밸브 그 자체 F16K; 비전기량의 검출은 G01의 관련 서브클래스를 참조; 전기 또는 자기량의 조정 G05F)</t>
  </si>
  <si>
    <t>G05F</t>
  </si>
  <si>
    <t>G05G</t>
  </si>
  <si>
    <t>기계적 구성에만 특징이 있는 제어장치 제어계(보우덴(Bowden) 또는 유사한 기구; 이 목적에 특유하지 않는 전동장치 기구; 회전운동 전달용 변속 또는 역전 전동장치를 위한 것)</t>
  </si>
  <si>
    <t>G06C</t>
  </si>
  <si>
    <t>모든 계산이 기계적으로 행하여지는 디지털 컴퓨터(카드게임 등에 사용되는 득점계산기 A63F 1/18; 키의 구조, 인쇄기구, 기타 타이프라이터나 인쇄에 일반적으로 응용되는 기타의 부분 B41; 특수한 응용의 키 또는 인쇄기구는 관련 서브클래스, 예. G05G, G06K를 참조; 금전등록기 G07G 1/00)</t>
  </si>
  <si>
    <t>G06D</t>
  </si>
  <si>
    <t>디지털 유체압 계산장치</t>
  </si>
  <si>
    <t>G06E</t>
  </si>
  <si>
    <t>G06F</t>
  </si>
  <si>
    <t>G06G</t>
  </si>
  <si>
    <t>아날로그 컴퓨터(광학적 아날로그계산장치 G06E 3/00; 특정 계산식에 기초한 컴퓨터 시스템 G06N)</t>
  </si>
  <si>
    <t>G06J</t>
  </si>
  <si>
    <t>하이브리드 컴퓨터(광학적 하이브리드 컴퓨터 G06E 3/00; 특정 계산식에 기초한 컴퓨터 시스템 G06N; 영상데이터 처리를 위한 신경 회로망 G06T; 아날로그/디지털 변환 일반 H03M 1/00)</t>
  </si>
  <si>
    <t>G06K</t>
  </si>
  <si>
    <t>G06M</t>
  </si>
  <si>
    <t>계수메커니즘; 다른 방식으로는 분류되지 않는 계수(계수될 물품의 크기 또는 무게의 측정에 따른 계수 G01F, G01G; 전력 또는 전류의 적산량 측정을 위한 전기기계적 배치에 있어서 계수기의 전기계량기에의 적용 G01R 11/16; 계산기 G06C 내지 G06J; 전기펄스의 계수 H03K; 디지털 정보전송을 위한 스위칭 네트웍에서 문자, 단어, 메시지를 계수하는 것 H04L 12/08; 전화시스템의 과금장치 H04M 15/00)</t>
  </si>
  <si>
    <t>G06N</t>
  </si>
  <si>
    <t>특정 계산모델 방식의 컴퓨터시스템</t>
  </si>
  <si>
    <t>G06Q</t>
  </si>
  <si>
    <t>G06T</t>
  </si>
  <si>
    <t>G07B</t>
  </si>
  <si>
    <t>표 발매 기기; 택시미터; 하나 이상의 제어점에서 요금, 통행료 또는 입장요금 징수를 위한 장치; 우편요금기기</t>
  </si>
  <si>
    <t>G07C</t>
  </si>
  <si>
    <t>G07D</t>
  </si>
  <si>
    <t>G07F</t>
  </si>
  <si>
    <t>동전투입식 작동장치 및 유사장치(동전의 분류 G07D 3/00; 동전의 검사 G07D 5/00)</t>
  </si>
  <si>
    <t>G07G</t>
  </si>
  <si>
    <t>현금, 귀중품 또는 명목화폐의 수취를 등록(디지털 컴퓨터일반 G06C, G06F)</t>
  </si>
  <si>
    <t>G08B</t>
  </si>
  <si>
    <t>G08C</t>
  </si>
  <si>
    <t>G08G</t>
  </si>
  <si>
    <t>G09B</t>
  </si>
  <si>
    <t>G09C</t>
  </si>
  <si>
    <t>암호 또는 비밀의 필요성을 포함하는 다른 목적을 위한 암호화 또는 암호해독장치</t>
  </si>
  <si>
    <t>G09D</t>
  </si>
  <si>
    <t>철도 또는 이에 유사한 것의 시각표 또는 요금표; 만년캘린더 (calendar)</t>
  </si>
  <si>
    <t>G09F</t>
  </si>
  <si>
    <t>표시; 광고; 사인; 라벨 또는 명찰; 시일</t>
  </si>
  <si>
    <t>G09G</t>
  </si>
  <si>
    <t>G10B</t>
  </si>
  <si>
    <t>G10C</t>
  </si>
  <si>
    <t>G10D</t>
  </si>
  <si>
    <t>G10F</t>
  </si>
  <si>
    <t>G10G</t>
  </si>
  <si>
    <t>G10H</t>
  </si>
  <si>
    <t>전기악기; 전기기계적 수단 또는 전기적 발생기에 의해 생성된 음 또는 데이터저장체로부터 합성된 음의 악기</t>
  </si>
  <si>
    <t>G10K</t>
  </si>
  <si>
    <t>음을 발생하는 장치(음을 발생하는 완구 A63H 5/00); 소음 또는 기타 음향파를 방호하거나 감쇠시키는 방법 또는 장치 일반; 달리 분류되지 않는 음향</t>
  </si>
  <si>
    <t>G10L</t>
  </si>
  <si>
    <t>G11B</t>
  </si>
  <si>
    <t>G11C</t>
  </si>
  <si>
    <t>G12B</t>
  </si>
  <si>
    <t>G21B</t>
  </si>
  <si>
    <t>핵융합로 (제어되지 않는 융합, 그것의 응용 G21J)</t>
  </si>
  <si>
    <t>G21C</t>
  </si>
  <si>
    <t>원자로(핵융합로, 핵융합-분열노 G21B; 핵폭발 G21J)</t>
  </si>
  <si>
    <t>G21D</t>
  </si>
  <si>
    <t>원자력 발전소</t>
  </si>
  <si>
    <t>G21F</t>
  </si>
  <si>
    <t>X선, 감마(gamma)선, 미립자선 또는 입자충격에 대한 보호; 방사능 오염물질의 처리; 오염제거장치 (약물수단에 의한 방사선보호 A61K 8/00, A61Q 17/04; 우주선내의 것 B64G 1/54; 원자로와 결합한 것 G21C 11/00; X선관과 결합된 것 H01J 35/16; X선 장치와 결합된 것 H05G 1/02)</t>
  </si>
  <si>
    <t>G21G</t>
  </si>
  <si>
    <t>G21H</t>
  </si>
  <si>
    <t>G21J</t>
  </si>
  <si>
    <t>핵폭발; 그 이용</t>
  </si>
  <si>
    <t>G21K</t>
  </si>
  <si>
    <t>H01B</t>
  </si>
  <si>
    <t>H01C</t>
  </si>
  <si>
    <t>저항기</t>
  </si>
  <si>
    <t>H01F</t>
  </si>
  <si>
    <t>H01G</t>
  </si>
  <si>
    <t>H01H</t>
  </si>
  <si>
    <t>H01J</t>
  </si>
  <si>
    <t>전자관 또는 방전램프(스파크-갭 H01T; 소모하는 전극을 갖는 아크 램프 H05B; 입자가속기 H05H)</t>
  </si>
  <si>
    <t>H01K</t>
  </si>
  <si>
    <t>H01L</t>
  </si>
  <si>
    <t>H01M</t>
  </si>
  <si>
    <t>H01P</t>
  </si>
  <si>
    <t>도파관; 도파관형의 공진기, 선로 또는 기타장치(광주파수로 동 작하는 G02B; 공중선 H01Q; 집중 임피던스 소자로서는 회로망 H03H)</t>
  </si>
  <si>
    <t>H01Q</t>
  </si>
  <si>
    <t>H01R</t>
  </si>
  <si>
    <t>도전접속; 복수의 다중-절연된 전기접속부의 구조적 결합; 결합장치; 집전장치(개폐기, 퓨즈 H01H; 도파관형의 결합장치 H01P 5/00; 전력의 공급 또는 배전을 위한 개폐장치 H02B; 전기케이블 또는 전선의 설치, 광케이블과 전기케이블 또는 전선의 결합 설치, 또는 보조장치의 설치 H02G; 인쇄회로에의 또는 사이의 전기접속을 위한 인쇄된 수단 H05K)</t>
  </si>
  <si>
    <t>H01S</t>
  </si>
  <si>
    <t>유도방출을 이용한 장치</t>
  </si>
  <si>
    <t>H01T</t>
  </si>
  <si>
    <t>H02B</t>
  </si>
  <si>
    <t>전력의 공급 또는 배치 또는 배전을 위한 반, 변전소, 또는 개폐장치 (기본전기소자, 그들의 조립, 기판상이나 둘레 또는 그 위에 취부하는 것을 포함하는 것은 각요소의 서브클라스를 참조, 예. 변성기 H01F; 스위치, 퓨즈 H01H, 전선접계기 H01R; (전기케이블 또는 전선 또는 조합된 광(optical)과 전기케이블 또는 전선 또는 부가장치에 관한 것 H02G))</t>
  </si>
  <si>
    <t>H02G</t>
  </si>
  <si>
    <t>전기케이블 또는 전선, 또는 광 및 전기케이블 또는 전선의 결합체의 설치(절연 전기케이블 또는 전선의 배치시설이나 안전시설장치는 H01B 7/40; 배전함 내의 개폐기 H02B; 전화기 코드의 안내 H04M 1/15; 전화기 또는 전화교환설비에 대한 케이블 덕트 또는 부착부재 H04Q 1/06)</t>
  </si>
  <si>
    <t>H02H</t>
  </si>
  <si>
    <t>비상보호회로장치(정상이 아닌 동작상태의 지시 또는 경보 G01R, 예. F01R 31/00, G08B; 선로에 따라서 고장점측정 G01R 31/08; 비상보호장치 H01H)</t>
  </si>
  <si>
    <t>H02J</t>
  </si>
  <si>
    <t>H02K</t>
  </si>
  <si>
    <t>H02M</t>
  </si>
  <si>
    <t>H02N</t>
  </si>
  <si>
    <t>타류에 속하지 않는 전기</t>
  </si>
  <si>
    <t>H02P</t>
  </si>
  <si>
    <t>H03B</t>
  </si>
  <si>
    <t>H03C</t>
  </si>
  <si>
    <t>H03D</t>
  </si>
  <si>
    <t>H03F</t>
  </si>
  <si>
    <t>증폭기(측정, 시험 G01R; 광학적 파라메트릭(Parametric))</t>
  </si>
  <si>
    <t>H03G</t>
  </si>
  <si>
    <t>증폭기의 제어(임피던스 회로망, 예. 감쇠기, H03H; 선로에 있어서의 전송의 제어 H04B 3/04)</t>
  </si>
  <si>
    <t>H03H</t>
  </si>
  <si>
    <t>H03J</t>
  </si>
  <si>
    <t>동조공진회로; 선택공진회로(측정용 지시장치 G01D; 측정, 시험 G01R; 원격제어 일반 G05 G08; 발진기의 자동제어 또는 안정화 H03L)</t>
  </si>
  <si>
    <t>H03K</t>
  </si>
  <si>
    <t>H03L</t>
  </si>
  <si>
    <t>전자적 진동 또는 펄스발생기의 자동제어, 기동, 동기 또는 안정화(발전기의 것은 H02P)</t>
  </si>
  <si>
    <t>H03M</t>
  </si>
  <si>
    <t>복호화 또는 부호변환 일반(유체적 방법을 사용하는 것 F15C 4/00; 광학적 아날로그/디지털 변환기 G02F 7/00; 특수한 용도에 특히 적합한 부호화, 복호화 또는 부호변환은 관련 서브클라스 즉, GO1D, G01R, G06F, G06T, G09G, G10L, G11B, G11C, H04L, H04M, H04N을 참조:암호 또는 비밀의 필요성이 있는 기타 목적을 위한 암호화 또는 해독화 G09C)</t>
  </si>
  <si>
    <t>H04B</t>
  </si>
  <si>
    <t>H04H</t>
  </si>
  <si>
    <t>방송통신(전송일반 H04B; 다중화통신 H04J)</t>
  </si>
  <si>
    <t>H04J</t>
  </si>
  <si>
    <t>다중통신(디지털정보 전송에 대한 특유한 것 H04L 5/00; 하나 이상의 텔레비젼신호를 동시 또는 순차로 전송하기 위한 시스템 H04N 7/08; 교환기에 있어서의 것 H04Q 11/00)</t>
  </si>
  <si>
    <t>H04K</t>
  </si>
  <si>
    <t>H04L</t>
  </si>
  <si>
    <t>H04M</t>
  </si>
  <si>
    <t>전화통신(전화교환장치를 제외하고, 전화선로를 통해서 다른 장치를 제어하는 회로 G08)</t>
  </si>
  <si>
    <t>H04N</t>
  </si>
  <si>
    <t>H04Q</t>
  </si>
  <si>
    <t>H04R</t>
  </si>
  <si>
    <t>H04S</t>
  </si>
  <si>
    <t>H04W</t>
  </si>
  <si>
    <t>H05B</t>
  </si>
  <si>
    <t>전기가열; 달리 분류되지 않는 전기조명</t>
  </si>
  <si>
    <t>H05C</t>
  </si>
  <si>
    <t>생물을 살해, 기절, 포위, 또는 유도하기 위하여 사용되는 장치에 특별히 설계된 전기회로 또는 전기장치(전기적 수단에 의하여 곤충을 포획 또는 살제하기 위한 정치식 장치 A01M 1/22; 곤충 외의 유해동물을 전기적으로 퇴치하기 위한 장치 A01M 19/00; 동물의 전기적 포획 A01M 23/38; 전류에 의한 도살 또는 기절 A22B 3/06)</t>
  </si>
  <si>
    <t>H05F</t>
  </si>
  <si>
    <t>정전기; 자연적으로 발생하는 전기</t>
  </si>
  <si>
    <t>H05G</t>
  </si>
  <si>
    <t>X선 기술(방사선 진단용기기 A61B 6/00; X선 치료 A61N; X선에 의한 시험 G01N; X선 사진을 위한 장치 G03B; 필터, 변환 스크린, 현미경 G21K; X선관 H01J 35/00; X선 입력을 가진 TV 시스템 H04N 5/321)</t>
  </si>
  <si>
    <t>H05H</t>
  </si>
  <si>
    <t>H05K</t>
  </si>
  <si>
    <t>인쇄회로; 전기장치의 상체 또는 구조적 세부, 전기부품의 조립체의 제조(달리 분류되지 않는 기계의 부품 또는 그 외의 장치의 유사한 세부 G21B; 박막 또는 후막회로 H01L 27/01, 27/13; 인쇄회로에의 또는 인쇄회로간의 전기접속을 위한 인쇄에 의하지 않는 수단 H01R; 특수형식의 장치의 상체 또는 구조적 세부는 관련하는 서브클라스 참조; 타에 규정이 있는 단일의 기술, 예. 가열, 스프레이 만을 포함하는 방법은 관련되는 클라스를 참조)</t>
  </si>
  <si>
    <t>건수</t>
  </si>
  <si>
    <t>평균</t>
  </si>
  <si>
    <t>분산</t>
  </si>
  <si>
    <t>최대값</t>
  </si>
  <si>
    <t>최소값</t>
  </si>
  <si>
    <t>최빈값</t>
  </si>
  <si>
    <t>B09B</t>
  </si>
  <si>
    <t>C12S</t>
  </si>
  <si>
    <t>Min</t>
    <phoneticPr fontId="11" type="noConversion"/>
  </si>
  <si>
    <t>Max</t>
    <phoneticPr fontId="11" type="noConversion"/>
  </si>
  <si>
    <t>Q2</t>
    <phoneticPr fontId="11" type="noConversion"/>
  </si>
  <si>
    <t>출원일</t>
    <phoneticPr fontId="11" type="noConversion"/>
  </si>
  <si>
    <t>Mean</t>
    <phoneticPr fontId="11" type="noConversion"/>
  </si>
  <si>
    <t>CAGR</t>
    <phoneticPr fontId="11" type="noConversion"/>
  </si>
  <si>
    <t>사업화
소요기간(년)</t>
    <phoneticPr fontId="11" type="noConversion"/>
  </si>
  <si>
    <t>연평균 매출성장률</t>
    <phoneticPr fontId="11" type="noConversion"/>
  </si>
  <si>
    <t>Y+10</t>
  </si>
  <si>
    <t>Y+11</t>
  </si>
  <si>
    <t>Y+12</t>
  </si>
  <si>
    <t>Y+13</t>
  </si>
  <si>
    <t>Y+14</t>
  </si>
  <si>
    <t>매출액</t>
    <phoneticPr fontId="11" type="noConversion"/>
  </si>
  <si>
    <t>매출 증가액</t>
    <phoneticPr fontId="11" type="noConversion"/>
  </si>
  <si>
    <t>감가상각비</t>
    <phoneticPr fontId="11" type="noConversion"/>
  </si>
  <si>
    <t>운전자본 증감 추정</t>
    <phoneticPr fontId="11" type="noConversion"/>
  </si>
  <si>
    <t>년도</t>
    <phoneticPr fontId="11" type="noConversion"/>
  </si>
  <si>
    <t>Y</t>
  </si>
  <si>
    <t>Y+1</t>
  </si>
  <si>
    <t>기술기여도</t>
    <phoneticPr fontId="21" type="noConversion"/>
  </si>
  <si>
    <t>법인세율
(200억~)</t>
    <phoneticPr fontId="11" type="noConversion"/>
  </si>
  <si>
    <t>법인세율
(~2억)</t>
    <phoneticPr fontId="21" type="noConversion"/>
  </si>
  <si>
    <t>TCT 분포</t>
    <phoneticPr fontId="11" type="noConversion"/>
  </si>
  <si>
    <t>세분류</t>
  </si>
  <si>
    <t>베타</t>
  </si>
  <si>
    <t>기술적성숙도 위험프리미엄</t>
  </si>
  <si>
    <t>(E/V)</t>
  </si>
  <si>
    <t>TDB분류</t>
  </si>
  <si>
    <t>기술개발 단계</t>
  </si>
  <si>
    <t>기술개발 완성도</t>
  </si>
  <si>
    <t>기초연구</t>
  </si>
  <si>
    <t>아이디어</t>
  </si>
  <si>
    <t>실험</t>
  </si>
  <si>
    <t>연구개발</t>
  </si>
  <si>
    <t>시제품</t>
  </si>
  <si>
    <t>연구개발 완료</t>
  </si>
  <si>
    <t>실용화</t>
  </si>
  <si>
    <t>시제품 개발중</t>
  </si>
  <si>
    <t>양산</t>
  </si>
  <si>
    <t>시제품개발 완료</t>
  </si>
  <si>
    <t>(Ke)</t>
    <phoneticPr fontId="11" type="noConversion"/>
  </si>
  <si>
    <t>(Kd)</t>
    <phoneticPr fontId="11" type="noConversion"/>
  </si>
  <si>
    <t>IPC</t>
    <phoneticPr fontId="11" type="noConversion"/>
  </si>
  <si>
    <t>코드</t>
  </si>
  <si>
    <t>코드</t>
    <phoneticPr fontId="11" type="noConversion"/>
  </si>
  <si>
    <t>설명</t>
    <phoneticPr fontId="11" type="noConversion"/>
  </si>
  <si>
    <t>곡물 및 기타 식량작물 재배업</t>
  </si>
  <si>
    <t>채소 및 화훼작물 재배업</t>
  </si>
  <si>
    <t>과실, 음료용 및 향신용 작물 재배업</t>
  </si>
  <si>
    <t>종자 및 묘목 재배업</t>
  </si>
  <si>
    <t>시설작물 재배업</t>
  </si>
  <si>
    <t>기타 작물 재배업</t>
  </si>
  <si>
    <t>소 사육업</t>
  </si>
  <si>
    <t>가금류 및 조류 사육업</t>
  </si>
  <si>
    <t>곤충 사육업</t>
  </si>
  <si>
    <t>기타 축산업</t>
  </si>
  <si>
    <t>농산물 가공 섬유 제조업</t>
  </si>
  <si>
    <t>담배 제조업</t>
  </si>
  <si>
    <t>모피 및 가죽 제조업</t>
  </si>
  <si>
    <t>농산물 가공 의료용 물질 및 의약품 제조업</t>
  </si>
  <si>
    <t>농산물 가공 세제, 화장품 및 광택제 제조업</t>
  </si>
  <si>
    <t>기타 농산물 가공품 제조업</t>
  </si>
  <si>
    <t>비료 및 질소화합물 제조업</t>
  </si>
  <si>
    <t>농약 제조업</t>
  </si>
  <si>
    <t>농업용 플라스틱제품 제조업</t>
  </si>
  <si>
    <t>농업용 금속제품 제조업; 기계 제외</t>
  </si>
  <si>
    <t>농업용 기계 제조업</t>
  </si>
  <si>
    <t>농업 관련 측정, 시험, 제어 및 기타 정밀기기 제조업</t>
  </si>
  <si>
    <t>농업의료용 물질 및 의약품 제조업</t>
  </si>
  <si>
    <t>기타 농산물 가공 외 농업관련 제조업</t>
  </si>
  <si>
    <t>작물재배 관련 서비스업</t>
  </si>
  <si>
    <t>농학 연구개발업</t>
  </si>
  <si>
    <t>농업 정보서비스업</t>
  </si>
  <si>
    <t>농업관련 폐기물 처리, 원료재생 및 환경복원업</t>
  </si>
  <si>
    <t>농업 관련 기술 시험, 검사 및 분석업</t>
  </si>
  <si>
    <t>농업 엔지니어링 서비스업</t>
  </si>
  <si>
    <t>기타 농업관련 서비스업</t>
  </si>
  <si>
    <t>기타 임산물 생산업</t>
  </si>
  <si>
    <t>제재 및 목재 가공업</t>
  </si>
  <si>
    <t>박판, 합판 및 강화목제품 제조업</t>
  </si>
  <si>
    <t>건축용 나무제품 제조업</t>
  </si>
  <si>
    <t>목재 상자, 드럼 및 적재판 제조업</t>
  </si>
  <si>
    <t>코르크 및 조물 제품 제조업</t>
  </si>
  <si>
    <t>목재가구 제조업</t>
  </si>
  <si>
    <t>기타 나무제품 제조업</t>
  </si>
  <si>
    <t>펄프 제조업</t>
  </si>
  <si>
    <t>천연수지 및 나무화학물질 제조업</t>
  </si>
  <si>
    <t>종이 및 판지 제조업</t>
  </si>
  <si>
    <t>기타 임산물 가공품 제조업</t>
  </si>
  <si>
    <t>임업 관련 날붙이, 수공구 및 일반철물 제조업</t>
  </si>
  <si>
    <t>임업 관련 구조용 금속제품 제조업</t>
  </si>
  <si>
    <t>임업 관련 기계 제조업</t>
  </si>
  <si>
    <t>기타 임산물 가공 외 임업관련 제조업</t>
  </si>
  <si>
    <t>임업 정보서비스업</t>
  </si>
  <si>
    <t>조경 건설업</t>
  </si>
  <si>
    <t>조경 관리 서비스업</t>
  </si>
  <si>
    <t>조경설계 서비스업</t>
  </si>
  <si>
    <t>임업관련 폐기물 처리, 원료재생 및 환경복원업</t>
  </si>
  <si>
    <t>임업관련 연구개발업</t>
  </si>
  <si>
    <t>기타 임업 관련 서비스업</t>
  </si>
  <si>
    <t>해면 어업</t>
  </si>
  <si>
    <t>내수면 어업</t>
  </si>
  <si>
    <t>양식 어업</t>
  </si>
  <si>
    <t>진주 가공업</t>
  </si>
  <si>
    <t>나전칠기 제품 제조업</t>
  </si>
  <si>
    <t>기타 비식용 수산물 가공품 제조업</t>
  </si>
  <si>
    <t>선박 건조업</t>
  </si>
  <si>
    <t>오락 및 스포츠용 보트 건조업</t>
  </si>
  <si>
    <t>선박용 구성부분품 제조업; 측정, 시험, 항해, 제어 및 기타 정밀기기 제외</t>
  </si>
  <si>
    <t>어업 관련 측정, 시험, 항해, 제어 및 기타 정밀기기 제조업</t>
  </si>
  <si>
    <t>어망 및 기타 어업 관련 끈가공품 제조업</t>
  </si>
  <si>
    <t>어업 관련 금속 구조재 제조업; 선박용 제외</t>
  </si>
  <si>
    <t>어업 관련 판유리 가공품 제조업</t>
  </si>
  <si>
    <t>어업 관련 비금속 광물질 구조재 제조업; 세라믹, 콘크리트 및 유사재료 기반</t>
  </si>
  <si>
    <t>기타 수산물 가공 외 어업 관련 제조업</t>
  </si>
  <si>
    <t>수중 공사업</t>
  </si>
  <si>
    <t>어업 정보서비스업</t>
  </si>
  <si>
    <t>어업 관련 연구개발업</t>
  </si>
  <si>
    <t>어업 관련 기술 시험, 검사 및 분석업</t>
  </si>
  <si>
    <t>어업 엔지니어링 서비스업</t>
  </si>
  <si>
    <t>수생동물 치료업</t>
  </si>
  <si>
    <t>어업관련 폐기물 처리, 원료재생 및 환경복원업</t>
  </si>
  <si>
    <t>기타 어업 관련 서비스업</t>
  </si>
  <si>
    <t>육류 가공 및 저장 처리업</t>
  </si>
  <si>
    <t xml:space="preserve">수산동물가공및저장처리업 </t>
  </si>
  <si>
    <t xml:space="preserve">수산식물가공및저장처리업 </t>
  </si>
  <si>
    <t>과실, 채소 가공 및 저장 처리업</t>
  </si>
  <si>
    <t>동물성 및 식물성 유지 제조업</t>
  </si>
  <si>
    <t>낙농제품 및 식용빙과류 제조업</t>
  </si>
  <si>
    <t>곡물 가공품 제조업</t>
  </si>
  <si>
    <t>전분제품 및 당류 제조업</t>
  </si>
  <si>
    <t>동물용 사료 및 조제식품 제조업</t>
  </si>
  <si>
    <t>떡, 빵 및 과자류 제조업</t>
  </si>
  <si>
    <t>설탕 제조업</t>
  </si>
  <si>
    <t>조미료 및 식품 첨가물 제조업</t>
  </si>
  <si>
    <t>건강기능식품 제조업</t>
  </si>
  <si>
    <t>기타 식료품 제조업</t>
  </si>
  <si>
    <t>발효주 제조업</t>
  </si>
  <si>
    <t>증류주 및 합성주 제조업</t>
  </si>
  <si>
    <t>비알콜음료 제조업</t>
  </si>
  <si>
    <t>얼음 제조업</t>
  </si>
  <si>
    <t>음·식료품 가공기계 제조업</t>
  </si>
  <si>
    <t>주방용전기기기 제조업</t>
  </si>
  <si>
    <t>식품가공용 금속제품 제조업; 기계, 전기기기 제외</t>
  </si>
  <si>
    <t>식품관련 위생용품 제조업</t>
  </si>
  <si>
    <t>식품용기 및 포장 관련 제조업</t>
  </si>
  <si>
    <t>기타 식품산업관련 제조업</t>
  </si>
  <si>
    <t>식품 연구개발업</t>
  </si>
  <si>
    <t>식품 정보서비스업</t>
  </si>
  <si>
    <t>식품 관련 기술 시험, 검사 및 분석업</t>
  </si>
  <si>
    <t>식품관련 폐기물 처리, 원료재생 및 환경복원업</t>
  </si>
  <si>
    <t>기타 식품 관련 서비스업</t>
  </si>
  <si>
    <t>종자 및 묘목 생산업</t>
  </si>
  <si>
    <t>그외 기타 축산업</t>
  </si>
  <si>
    <t>임산물 채취업</t>
  </si>
  <si>
    <t>임업 관련 서비스업</t>
  </si>
  <si>
    <t>수산동물 가공 및 저장 처리업</t>
  </si>
  <si>
    <t>수산식물 가공 및 저장 처리업</t>
  </si>
  <si>
    <t>기타 비알콜음료 제조업</t>
  </si>
  <si>
    <t>방적 및 가공사 제조업</t>
  </si>
  <si>
    <t>특수직물 및 기타직물 직조업</t>
  </si>
  <si>
    <t>직물포대 제조업</t>
  </si>
  <si>
    <t>어망 및 기타 끈가공품 제조업</t>
  </si>
  <si>
    <t>목재 도구 및 기구 제조업</t>
  </si>
  <si>
    <t>장식용 목제품 제조업</t>
  </si>
  <si>
    <t>그외 기타 나무제품 제조업</t>
  </si>
  <si>
    <t>식품 위생용 종이 상자 및 용기 제조업</t>
  </si>
  <si>
    <t>위생용 종이제품 제조업</t>
  </si>
  <si>
    <t>기초유기화학물질 제조업</t>
  </si>
  <si>
    <t>기타 기초무기화학물질 제조업</t>
  </si>
  <si>
    <t>화장품 제조업</t>
  </si>
  <si>
    <t>가공 및 정제염 제조업</t>
  </si>
  <si>
    <t>접착제 및 젤라틴 제조업</t>
  </si>
  <si>
    <t>그외 기타 분류안된 화학제품 제조업</t>
  </si>
  <si>
    <t>의료용 물질 및 의약품 제조업</t>
  </si>
  <si>
    <t>생물학적 제제 제조업</t>
  </si>
  <si>
    <t>고무의류 및 기타 위생용 고무제품 제조업</t>
  </si>
  <si>
    <t>플라스틱제품 제조업</t>
  </si>
  <si>
    <t>포장용 플라스틱 성형용기 제조업</t>
  </si>
  <si>
    <t>포장용 유리용기 제조업</t>
  </si>
  <si>
    <t>가정용 및 장식용 도자기 제조업</t>
  </si>
  <si>
    <t>구조용 금속제품 제조업</t>
  </si>
  <si>
    <t>날붙이 제조업</t>
  </si>
  <si>
    <t>금속선 가공제품 제조업</t>
  </si>
  <si>
    <t>금속캔 및 기타 포장용기 제조업</t>
  </si>
  <si>
    <t>금속위생용품 제조업</t>
  </si>
  <si>
    <t>기타 무선 통신장비 제조업</t>
  </si>
  <si>
    <t>전기장비 제조업</t>
  </si>
  <si>
    <t>주방용 전기기기 제조업</t>
  </si>
  <si>
    <t>가정용 비전기식 조리 및 난방 기구 제조업</t>
  </si>
  <si>
    <t>기타 기계 및 장비 제조업</t>
  </si>
  <si>
    <t>산업용 냉장 및 냉동 장비 제조업</t>
  </si>
  <si>
    <t>동력식 수지공구 제조업</t>
  </si>
  <si>
    <t>농업 및 임업용 기계 제조업</t>
  </si>
  <si>
    <t>선박 구성부분품 제조업</t>
  </si>
  <si>
    <t>귀금속 및 관련제품 제조업</t>
  </si>
  <si>
    <t>낚시 및 수렵용구 제조업</t>
  </si>
  <si>
    <t>그외 기타 달리 분류되지 않은 제품 제조업</t>
  </si>
  <si>
    <t>환경 정화 및 복원업</t>
  </si>
  <si>
    <t>내부 통신배선 공사업</t>
  </si>
  <si>
    <t>정보서비스업</t>
  </si>
  <si>
    <t>자연과학 및 공학 연구개발업</t>
  </si>
  <si>
    <t>자연과학 연구개발업</t>
  </si>
  <si>
    <t>도시계획 및 조경설계 서비스업</t>
  </si>
  <si>
    <t>엔지니어링 서비스업</t>
  </si>
  <si>
    <t>지질조사 및 탐사업</t>
  </si>
  <si>
    <t>조경 관리 및 유지 서비스업</t>
  </si>
  <si>
    <t>유원지 및 테마파크 운영업</t>
  </si>
  <si>
    <t>낚시장 운영업</t>
  </si>
  <si>
    <t>기타 수상오락 서비스업</t>
  </si>
  <si>
    <t>입력란</t>
    <phoneticPr fontId="21" type="noConversion"/>
  </si>
  <si>
    <t>평가자</t>
    <phoneticPr fontId="11" type="noConversion"/>
  </si>
  <si>
    <t>사업화
소요기간(년)</t>
    <phoneticPr fontId="11" type="noConversion"/>
  </si>
  <si>
    <t>할인율</t>
    <phoneticPr fontId="21" type="noConversion"/>
  </si>
  <si>
    <t>구  분</t>
    <phoneticPr fontId="11" type="noConversion"/>
  </si>
  <si>
    <t>시장 및
사업위험</t>
    <phoneticPr fontId="11" type="noConversion"/>
  </si>
  <si>
    <t>박영수</t>
    <phoneticPr fontId="11" type="noConversion"/>
  </si>
  <si>
    <t>평가방법</t>
    <phoneticPr fontId="11" type="noConversion"/>
  </si>
  <si>
    <t>수익접근법</t>
    <phoneticPr fontId="11" type="noConversion"/>
  </si>
  <si>
    <t>분류방법</t>
    <phoneticPr fontId="11" type="noConversion"/>
  </si>
  <si>
    <t>평가목적</t>
    <phoneticPr fontId="11" type="noConversion"/>
  </si>
  <si>
    <t>평가</t>
    <phoneticPr fontId="11" type="noConversion"/>
  </si>
  <si>
    <t>평가 기본정보 입력</t>
    <phoneticPr fontId="11" type="noConversion"/>
  </si>
  <si>
    <t>출원번호</t>
    <phoneticPr fontId="11" type="noConversion"/>
  </si>
  <si>
    <t>등록번호</t>
    <phoneticPr fontId="11" type="noConversion"/>
  </si>
  <si>
    <t>기술명</t>
    <phoneticPr fontId="11" type="noConversion"/>
  </si>
  <si>
    <t>상태</t>
    <phoneticPr fontId="11" type="noConversion"/>
  </si>
  <si>
    <t>평가기준일</t>
    <phoneticPr fontId="11" type="noConversion"/>
  </si>
  <si>
    <t>기술거래/이전용</t>
    <phoneticPr fontId="11" type="noConversion"/>
  </si>
  <si>
    <t>기술개발 단계</t>
    <phoneticPr fontId="21" type="noConversion"/>
  </si>
  <si>
    <t>기초연구</t>
    <phoneticPr fontId="21" type="noConversion"/>
  </si>
  <si>
    <t>실험</t>
    <phoneticPr fontId="21" type="noConversion"/>
  </si>
  <si>
    <t>시제품</t>
    <phoneticPr fontId="21" type="noConversion"/>
  </si>
  <si>
    <t>실용화</t>
    <phoneticPr fontId="21" type="noConversion"/>
  </si>
  <si>
    <t>양산</t>
    <phoneticPr fontId="21" type="noConversion"/>
  </si>
  <si>
    <t>목적</t>
    <phoneticPr fontId="11" type="noConversion"/>
  </si>
  <si>
    <t>방법</t>
    <phoneticPr fontId="11" type="noConversion"/>
  </si>
  <si>
    <t>평가자</t>
    <phoneticPr fontId="11" type="noConversion"/>
  </si>
  <si>
    <t>평가용도</t>
    <phoneticPr fontId="21" type="noConversion"/>
  </si>
  <si>
    <t>기술이전/거래용</t>
    <phoneticPr fontId="21" type="noConversion"/>
  </si>
  <si>
    <t>현물출자용</t>
    <phoneticPr fontId="21" type="noConversion"/>
  </si>
  <si>
    <t>전략수립용</t>
    <phoneticPr fontId="21" type="noConversion"/>
  </si>
  <si>
    <t>청산용</t>
    <phoneticPr fontId="21" type="noConversion"/>
  </si>
  <si>
    <t>소송용</t>
    <phoneticPr fontId="21" type="noConversion"/>
  </si>
  <si>
    <t>세무용</t>
    <phoneticPr fontId="21" type="noConversion"/>
  </si>
  <si>
    <t>기타</t>
    <phoneticPr fontId="21" type="noConversion"/>
  </si>
  <si>
    <t>권리유형</t>
    <phoneticPr fontId="21" type="noConversion"/>
  </si>
  <si>
    <t>출원</t>
    <phoneticPr fontId="21" type="noConversion"/>
  </si>
  <si>
    <t>등록</t>
    <phoneticPr fontId="21" type="noConversion"/>
  </si>
  <si>
    <t>실용신안</t>
    <phoneticPr fontId="21" type="noConversion"/>
  </si>
  <si>
    <t>기타</t>
    <phoneticPr fontId="11" type="noConversion"/>
  </si>
  <si>
    <t>사업화단계</t>
    <phoneticPr fontId="11" type="noConversion"/>
  </si>
  <si>
    <t>20미만　</t>
  </si>
  <si>
    <t>기초연구</t>
    <phoneticPr fontId="11" type="noConversion"/>
  </si>
  <si>
    <t>실험</t>
    <phoneticPr fontId="11" type="noConversion"/>
  </si>
  <si>
    <t>시제품</t>
    <phoneticPr fontId="11" type="noConversion"/>
  </si>
  <si>
    <t>실용화</t>
    <phoneticPr fontId="11" type="noConversion"/>
  </si>
  <si>
    <t>양산</t>
    <phoneticPr fontId="11" type="noConversion"/>
  </si>
  <si>
    <t>프리미엄</t>
    <phoneticPr fontId="11" type="noConversion"/>
  </si>
  <si>
    <t>유효수명 옵션</t>
    <phoneticPr fontId="11" type="noConversion"/>
  </si>
  <si>
    <t>반올림</t>
    <phoneticPr fontId="11" type="noConversion"/>
  </si>
  <si>
    <t>내림</t>
    <phoneticPr fontId="11" type="noConversion"/>
  </si>
  <si>
    <t>올림</t>
    <phoneticPr fontId="11" type="noConversion"/>
  </si>
  <si>
    <t>전문가 조정</t>
    <phoneticPr fontId="11" type="noConversion"/>
  </si>
  <si>
    <t>경제적 유효수명
잔여년수 처리</t>
    <phoneticPr fontId="11" type="noConversion"/>
  </si>
  <si>
    <t>전문가 조정</t>
    <phoneticPr fontId="11" type="noConversion"/>
  </si>
  <si>
    <t>경제적 수명</t>
    <phoneticPr fontId="11" type="noConversion"/>
  </si>
  <si>
    <t>유형</t>
    <phoneticPr fontId="11" type="noConversion"/>
  </si>
  <si>
    <t>유형</t>
    <phoneticPr fontId="11" type="noConversion"/>
  </si>
  <si>
    <t>특허</t>
    <phoneticPr fontId="11" type="noConversion"/>
  </si>
  <si>
    <t>실용신안</t>
    <phoneticPr fontId="11" type="noConversion"/>
  </si>
  <si>
    <t>상태</t>
    <phoneticPr fontId="11" type="noConversion"/>
  </si>
  <si>
    <t>등록</t>
    <phoneticPr fontId="11" type="noConversion"/>
  </si>
  <si>
    <t>출원</t>
    <phoneticPr fontId="11" type="noConversion"/>
  </si>
  <si>
    <t>거절</t>
    <phoneticPr fontId="11" type="noConversion"/>
  </si>
  <si>
    <t>법적 잔존
권리기간(년)</t>
    <phoneticPr fontId="11" type="noConversion"/>
  </si>
  <si>
    <t>현금흐름추정
기간(년)</t>
    <phoneticPr fontId="11" type="noConversion"/>
  </si>
  <si>
    <t>수익접근법 현금흐름표</t>
    <phoneticPr fontId="11" type="noConversion"/>
  </si>
  <si>
    <t>재무제표 옵션</t>
    <phoneticPr fontId="11" type="noConversion"/>
  </si>
  <si>
    <t>자본적지출 추정</t>
    <phoneticPr fontId="11" type="noConversion"/>
  </si>
  <si>
    <t>로열티수입</t>
    <phoneticPr fontId="21" type="noConversion"/>
  </si>
  <si>
    <t>사업가치</t>
    <phoneticPr fontId="21" type="noConversion"/>
  </si>
  <si>
    <t>기술가치합계</t>
    <phoneticPr fontId="21" type="noConversion"/>
  </si>
  <si>
    <t>기술가치합계</t>
    <phoneticPr fontId="21" type="noConversion"/>
  </si>
  <si>
    <t>유효경제적
수명(년)</t>
    <phoneticPr fontId="11" type="noConversion"/>
  </si>
  <si>
    <t>유효경제적수명(개월)</t>
    <phoneticPr fontId="11" type="noConversion"/>
  </si>
  <si>
    <t>산업기술요소( %)</t>
    <phoneticPr fontId="11" type="noConversion"/>
  </si>
  <si>
    <t>기술기여도(J)</t>
  </si>
  <si>
    <t>기술기여도(J)</t>
    <phoneticPr fontId="21" type="noConversion"/>
  </si>
  <si>
    <t>기술가치(K)
(K=∑H×J)</t>
    <phoneticPr fontId="21" type="noConversion"/>
  </si>
  <si>
    <t>구 분</t>
    <phoneticPr fontId="11" type="noConversion"/>
  </si>
  <si>
    <t>기술가치 산정</t>
    <phoneticPr fontId="11" type="noConversion"/>
  </si>
  <si>
    <t>기술수명 영향요인 체크리스트</t>
    <phoneticPr fontId="11" type="noConversion"/>
  </si>
  <si>
    <t>조정계수</t>
    <phoneticPr fontId="11" type="noConversion"/>
  </si>
  <si>
    <t>◈</t>
  </si>
  <si>
    <t>개발 정보</t>
    <phoneticPr fontId="21" type="noConversion"/>
  </si>
  <si>
    <t>버전</t>
    <phoneticPr fontId="21" type="noConversion"/>
  </si>
  <si>
    <t>개발자</t>
    <phoneticPr fontId="21" type="noConversion"/>
  </si>
  <si>
    <t>목적</t>
    <phoneticPr fontId="21" type="noConversion"/>
  </si>
  <si>
    <t>시트설명</t>
    <phoneticPr fontId="21" type="noConversion"/>
  </si>
  <si>
    <t>업무절차</t>
    <phoneticPr fontId="21" type="noConversion"/>
  </si>
  <si>
    <t>1. 엑셀 매크로 환경 설정</t>
    <phoneticPr fontId="21" type="noConversion"/>
  </si>
  <si>
    <t>"파일"-"옵션"-"보안센터"-"보안센터설정"-"매크로 설정"</t>
    <phoneticPr fontId="21" type="noConversion"/>
  </si>
  <si>
    <r>
      <t>"</t>
    </r>
    <r>
      <rPr>
        <b/>
        <sz val="11"/>
        <color rgb="FFFF0000"/>
        <rFont val="맑은 고딕"/>
        <family val="3"/>
        <charset val="129"/>
        <scheme val="minor"/>
      </rPr>
      <t>모든 매크로 포함</t>
    </r>
    <r>
      <rPr>
        <sz val="11"/>
        <rFont val="돋움"/>
        <family val="3"/>
        <charset val="129"/>
      </rPr>
      <t>"혹은 "모든 매크로 제외(</t>
    </r>
    <r>
      <rPr>
        <sz val="11"/>
        <color rgb="FFFF0000"/>
        <rFont val="맑은 고딕"/>
        <family val="3"/>
        <charset val="129"/>
        <scheme val="minor"/>
      </rPr>
      <t>알림 표시</t>
    </r>
    <r>
      <rPr>
        <sz val="11"/>
        <rFont val="돋움"/>
        <family val="3"/>
        <charset val="129"/>
      </rPr>
      <t>)"(알림 시 이 매크로 사용 선택) 선택</t>
    </r>
    <phoneticPr fontId="21" type="noConversion"/>
  </si>
  <si>
    <r>
      <rPr>
        <b/>
        <sz val="11"/>
        <color rgb="FFFF0000"/>
        <rFont val="맑은 고딕"/>
        <family val="3"/>
        <charset val="129"/>
        <scheme val="minor"/>
      </rPr>
      <t>개발자 매크로 설정</t>
    </r>
    <r>
      <rPr>
        <b/>
        <sz val="11"/>
        <color theme="1"/>
        <rFont val="맑은 고딕"/>
        <family val="3"/>
        <charset val="129"/>
        <scheme val="minor"/>
      </rPr>
      <t>에 "체크"</t>
    </r>
    <phoneticPr fontId="21" type="noConversion"/>
  </si>
  <si>
    <t>소분류</t>
  </si>
  <si>
    <t>세분류항목명</t>
  </si>
  <si>
    <t>분류</t>
  </si>
  <si>
    <t>분류항목명</t>
  </si>
  <si>
    <t>Min</t>
  </si>
  <si>
    <t>Max</t>
  </si>
  <si>
    <t>Avg</t>
  </si>
  <si>
    <t>Med</t>
  </si>
  <si>
    <t>Std</t>
  </si>
  <si>
    <t>임업용 정보서비스업</t>
  </si>
  <si>
    <t xml:space="preserve">수산동물 가공 및 저장 처리업 </t>
  </si>
  <si>
    <t xml:space="preserve">수산식물 가공 및 저장 처리업 </t>
  </si>
  <si>
    <t>표준편차</t>
  </si>
  <si>
    <t>건설업</t>
  </si>
  <si>
    <t>-</t>
  </si>
  <si>
    <t>기계</t>
  </si>
  <si>
    <t>소재</t>
  </si>
  <si>
    <t>전기전자</t>
  </si>
  <si>
    <t>정보통신</t>
  </si>
  <si>
    <t>섬유화학</t>
  </si>
  <si>
    <t>생명환경</t>
  </si>
  <si>
    <t>농식품산업 업종분류</t>
    <phoneticPr fontId="11" type="noConversion"/>
  </si>
  <si>
    <t>경상로열티율 레퍼런스</t>
    <phoneticPr fontId="11" type="noConversion"/>
  </si>
  <si>
    <t>1순위</t>
    <phoneticPr fontId="11" type="noConversion"/>
  </si>
  <si>
    <t>2순위
(KSIC)</t>
    <phoneticPr fontId="11" type="noConversion"/>
  </si>
  <si>
    <t>경상로열티율</t>
    <phoneticPr fontId="11" type="noConversion"/>
  </si>
  <si>
    <t>사업화 위험 프리미엄 분석 체크리스트</t>
    <phoneticPr fontId="11" type="noConversion"/>
  </si>
  <si>
    <t>* 기술분류</t>
    <phoneticPr fontId="11" type="noConversion"/>
  </si>
  <si>
    <t>* 평가정보</t>
    <phoneticPr fontId="11" type="noConversion"/>
  </si>
  <si>
    <t>* 기술수명정보</t>
    <phoneticPr fontId="11" type="noConversion"/>
  </si>
  <si>
    <t>Main</t>
    <phoneticPr fontId="21" type="noConversion"/>
  </si>
  <si>
    <t>Reference</t>
    <phoneticPr fontId="21" type="noConversion"/>
  </si>
  <si>
    <t>정보입력, 출력</t>
    <phoneticPr fontId="11" type="noConversion"/>
  </si>
  <si>
    <t>참고 정보</t>
    <phoneticPr fontId="11" type="noConversion"/>
  </si>
  <si>
    <t>시트색상</t>
    <phoneticPr fontId="11" type="noConversion"/>
  </si>
  <si>
    <t>분류</t>
    <phoneticPr fontId="11" type="noConversion"/>
  </si>
  <si>
    <t>기능</t>
    <phoneticPr fontId="11" type="noConversion"/>
  </si>
  <si>
    <t>기술가치평가 효율성 제고</t>
    <phoneticPr fontId="11" type="noConversion"/>
  </si>
  <si>
    <t>기술평가정보 수집 활성화</t>
    <phoneticPr fontId="21" type="noConversion"/>
  </si>
  <si>
    <t>2. "INPUT"시트의 빈 셀에 평가정보 입력(아이보리 셀은 자동입력)</t>
    <phoneticPr fontId="21" type="noConversion"/>
  </si>
  <si>
    <t>3. "OUTPUT"시트 상단의 "CALCULATE"도구상자를 클릭하면 가치평가금액 산출</t>
    <phoneticPr fontId="21" type="noConversion"/>
  </si>
  <si>
    <t>* 기술분류</t>
    <phoneticPr fontId="11" type="noConversion"/>
  </si>
  <si>
    <t xml:space="preserve">     * 본 평가도구를 각 개별 기술별로 전체 저장하지 않고 입력,출력 정보만 저장</t>
    <phoneticPr fontId="11" type="noConversion"/>
  </si>
  <si>
    <t>1. 기술정보</t>
    <phoneticPr fontId="11" type="noConversion"/>
  </si>
  <si>
    <t>2. 현금흐름 추정</t>
    <phoneticPr fontId="11" type="noConversion"/>
  </si>
  <si>
    <t>* 할인율</t>
    <phoneticPr fontId="11" type="noConversion"/>
  </si>
  <si>
    <t>* 기술기여도</t>
    <phoneticPr fontId="11" type="noConversion"/>
  </si>
  <si>
    <t>* 사업가치 조정계수</t>
    <phoneticPr fontId="11" type="noConversion"/>
  </si>
  <si>
    <t>* 현금흐름표</t>
    <phoneticPr fontId="11" type="noConversion"/>
  </si>
  <si>
    <t>기술가치
평가금액</t>
    <phoneticPr fontId="11" type="noConversion"/>
  </si>
  <si>
    <t>설     명</t>
    <phoneticPr fontId="11" type="noConversion"/>
  </si>
  <si>
    <t>* 인용특허수명</t>
    <phoneticPr fontId="11" type="noConversion"/>
  </si>
  <si>
    <t>기술수명 결정</t>
    <phoneticPr fontId="11" type="noConversion"/>
  </si>
  <si>
    <t>CAGR</t>
    <phoneticPr fontId="11" type="noConversion"/>
  </si>
  <si>
    <t>할인율(%)</t>
    <phoneticPr fontId="11" type="noConversion"/>
  </si>
  <si>
    <t>세부 기술가치산정 방식 통일</t>
    <phoneticPr fontId="21" type="noConversion"/>
  </si>
  <si>
    <t>기술가치평가 결과</t>
    <phoneticPr fontId="11" type="noConversion"/>
  </si>
  <si>
    <t>(=) 세후로열티수입(A)</t>
    <phoneticPr fontId="21" type="noConversion"/>
  </si>
  <si>
    <t>(=) 세후영업이익(A)</t>
    <phoneticPr fontId="21" type="noConversion"/>
  </si>
  <si>
    <t>(=) 세후영업이익(A)</t>
    <phoneticPr fontId="21" type="noConversion"/>
  </si>
  <si>
    <r>
      <t xml:space="preserve">법적잔존
</t>
    </r>
    <r>
      <rPr>
        <b/>
        <sz val="12"/>
        <color theme="3" tint="-0.499984740745262"/>
        <rFont val="맑은 고딕"/>
        <family val="3"/>
        <charset val="129"/>
        <scheme val="minor"/>
      </rPr>
      <t>권리기간(년)</t>
    </r>
    <phoneticPr fontId="11" type="noConversion"/>
  </si>
  <si>
    <t>사업화소요
기간(년)</t>
    <phoneticPr fontId="11" type="noConversion"/>
  </si>
  <si>
    <t>현금흐름
추정기간(년)</t>
    <phoneticPr fontId="11" type="noConversion"/>
  </si>
  <si>
    <t>사업화
단계</t>
    <phoneticPr fontId="11" type="noConversion"/>
  </si>
  <si>
    <t>현재가치(H)
(H=F×G)</t>
    <phoneticPr fontId="11" type="noConversion"/>
  </si>
  <si>
    <t>설명</t>
    <phoneticPr fontId="11" type="noConversion"/>
  </si>
  <si>
    <t>사업체수</t>
    <phoneticPr fontId="11" type="noConversion"/>
  </si>
  <si>
    <t>산업기술요소</t>
    <phoneticPr fontId="11" type="noConversion"/>
  </si>
  <si>
    <t xml:space="preserve">조정요인 합계점수에 따른 사업화위험프리미엄 </t>
    <phoneticPr fontId="11" type="noConversion"/>
  </si>
  <si>
    <t>농림축수산식품 업종분류별 참고정보</t>
    <phoneticPr fontId="11" type="noConversion"/>
  </si>
  <si>
    <t>위험프리미엄</t>
    <phoneticPr fontId="11" type="noConversion"/>
  </si>
  <si>
    <t>3순위
(산업별)</t>
    <phoneticPr fontId="11" type="noConversion"/>
  </si>
  <si>
    <t>경제적
유효 수명</t>
    <phoneticPr fontId="11" type="noConversion"/>
  </si>
  <si>
    <t>특허</t>
  </si>
  <si>
    <t>* 기술수명 및 현금흐름 추정년수 결정 요인</t>
    <phoneticPr fontId="11" type="noConversion"/>
  </si>
  <si>
    <t>* CAGR=(last value/first value)^(1/period)-1</t>
    <phoneticPr fontId="21" type="noConversion"/>
  </si>
  <si>
    <t>IPC조회프로그램</t>
    <phoneticPr fontId="11" type="noConversion"/>
  </si>
  <si>
    <t>매출추정</t>
    <phoneticPr fontId="11" type="noConversion"/>
  </si>
  <si>
    <t>매출추정 옵션</t>
    <phoneticPr fontId="11" type="noConversion"/>
  </si>
  <si>
    <t>매출추정 옵션</t>
    <phoneticPr fontId="11" type="noConversion"/>
  </si>
  <si>
    <t>추정매출액</t>
    <phoneticPr fontId="11" type="noConversion"/>
  </si>
  <si>
    <t>Mean</t>
  </si>
  <si>
    <t>Q2</t>
  </si>
  <si>
    <t>TCT 옵션</t>
    <phoneticPr fontId="11" type="noConversion"/>
  </si>
  <si>
    <t>Y+15</t>
  </si>
  <si>
    <t>Y+16</t>
  </si>
  <si>
    <t>Y+17</t>
  </si>
  <si>
    <t>Y+18</t>
  </si>
  <si>
    <t>Y+19</t>
  </si>
  <si>
    <t>Y+20</t>
  </si>
  <si>
    <t>4. "SAVE AS"도구상자를 클릭하여 입력정보와 결과정보를 저장하고 평가정보수집 담당자와 공유</t>
    <phoneticPr fontId="21" type="noConversion"/>
  </si>
  <si>
    <r>
      <t xml:space="preserve">* </t>
    </r>
    <r>
      <rPr>
        <b/>
        <i/>
        <sz val="11"/>
        <color theme="1"/>
        <rFont val="HY강M"/>
        <family val="1"/>
        <charset val="129"/>
      </rPr>
      <t>V</t>
    </r>
    <r>
      <rPr>
        <i/>
        <sz val="11"/>
        <color theme="1"/>
        <rFont val="HY강M"/>
        <family val="1"/>
        <charset val="129"/>
      </rPr>
      <t>aluation -</t>
    </r>
    <r>
      <rPr>
        <b/>
        <i/>
        <sz val="11"/>
        <color theme="1"/>
        <rFont val="HY강M"/>
        <family val="1"/>
        <charset val="129"/>
      </rPr>
      <t xml:space="preserve"> R</t>
    </r>
    <r>
      <rPr>
        <i/>
        <sz val="11"/>
        <color theme="1"/>
        <rFont val="HY강M"/>
        <family val="1"/>
        <charset val="129"/>
      </rPr>
      <t xml:space="preserve">&amp;D's </t>
    </r>
    <r>
      <rPr>
        <b/>
        <i/>
        <sz val="11"/>
        <color theme="1"/>
        <rFont val="HY강M"/>
        <family val="1"/>
        <charset val="129"/>
      </rPr>
      <t>A</t>
    </r>
    <r>
      <rPr>
        <i/>
        <sz val="11"/>
        <color theme="1"/>
        <rFont val="HY강M"/>
        <family val="1"/>
        <charset val="129"/>
      </rPr>
      <t xml:space="preserve">ssessment by </t>
    </r>
    <r>
      <rPr>
        <b/>
        <i/>
        <sz val="11"/>
        <color theme="1"/>
        <rFont val="HY강M"/>
        <family val="1"/>
        <charset val="129"/>
      </rPr>
      <t>Y</t>
    </r>
    <r>
      <rPr>
        <i/>
        <sz val="11"/>
        <color theme="1"/>
        <rFont val="HY강M"/>
        <family val="1"/>
        <charset val="129"/>
      </rPr>
      <t>ields</t>
    </r>
    <phoneticPr fontId="11" type="noConversion"/>
  </si>
  <si>
    <r>
      <t>기술가치평가도구(V-RAY</t>
    </r>
    <r>
      <rPr>
        <b/>
        <vertAlign val="superscript"/>
        <sz val="24"/>
        <color rgb="FF002060"/>
        <rFont val="HY동녘B"/>
        <family val="1"/>
        <charset val="129"/>
      </rPr>
      <t>*</t>
    </r>
    <r>
      <rPr>
        <b/>
        <sz val="24"/>
        <color rgb="FF002060"/>
        <rFont val="HY동녘B"/>
        <family val="1"/>
        <charset val="129"/>
      </rPr>
      <t>) 매뉴얼</t>
    </r>
    <phoneticPr fontId="21" type="noConversion"/>
  </si>
  <si>
    <t>사용권한</t>
    <phoneticPr fontId="21" type="noConversion"/>
  </si>
  <si>
    <t>TEST</t>
    <phoneticPr fontId="11" type="noConversion"/>
  </si>
  <si>
    <t>1.0</t>
    <phoneticPr fontId="11" type="noConversion"/>
  </si>
  <si>
    <t>TEST</t>
    <phoneticPr fontId="11" type="noConversion"/>
  </si>
  <si>
    <t>V-RAY</t>
    <phoneticPr fontId="11" type="noConversion"/>
  </si>
  <si>
    <t>배포일</t>
    <phoneticPr fontId="11" type="noConversion"/>
  </si>
  <si>
    <t>1.2</t>
  </si>
  <si>
    <t>1. 현금흐름 추정기간 한계치 확장</t>
    <phoneticPr fontId="11" type="noConversion"/>
  </si>
  <si>
    <t>2. 로지스틱 성장모형에 의한 매출추정 편의성 제공</t>
    <phoneticPr fontId="11" type="noConversion"/>
  </si>
  <si>
    <t>3. INPUT 체크리스트의 설명문(메모)추가</t>
    <phoneticPr fontId="11" type="noConversion"/>
  </si>
  <si>
    <t>4. TCT 옵션추가(Q3, 평균 사용가능)</t>
    <phoneticPr fontId="11" type="noConversion"/>
  </si>
  <si>
    <t>5. 매출추정 옵션 추가(생산량*단가)</t>
    <phoneticPr fontId="11" type="noConversion"/>
  </si>
  <si>
    <t>기능 오류 대폭 수정</t>
    <phoneticPr fontId="11" type="noConversion"/>
  </si>
  <si>
    <t>1.2.1</t>
    <phoneticPr fontId="11" type="noConversion"/>
  </si>
  <si>
    <t>1.2.2</t>
  </si>
  <si>
    <t>1.2.3</t>
  </si>
  <si>
    <t>박영수</t>
    <phoneticPr fontId="11" type="noConversion"/>
  </si>
  <si>
    <t>서기선</t>
    <phoneticPr fontId="11" type="noConversion"/>
  </si>
  <si>
    <t>초기버전 공개</t>
    <phoneticPr fontId="11" type="noConversion"/>
  </si>
  <si>
    <t>경쟁성 지표 명칭 일부 수정</t>
    <phoneticPr fontId="11" type="noConversion"/>
  </si>
  <si>
    <t>출원 특허정보, 권리사항 및 수행기관 명시</t>
    <phoneticPr fontId="11" type="noConversion"/>
  </si>
  <si>
    <t>version</t>
    <phoneticPr fontId="11" type="noConversion"/>
  </si>
  <si>
    <t>명칭</t>
    <phoneticPr fontId="11" type="noConversion"/>
  </si>
  <si>
    <t>제무재표 참조범위 수정</t>
    <phoneticPr fontId="11" type="noConversion"/>
  </si>
  <si>
    <t>(명칭변경)</t>
    <phoneticPr fontId="11" type="noConversion"/>
  </si>
  <si>
    <t>1.2.4</t>
  </si>
  <si>
    <t>History시트 추가, 평가자 정보 입력란에 수행기관 추가</t>
    <phoneticPr fontId="11" type="noConversion"/>
  </si>
  <si>
    <t>V-RAY는 함께 만들어가는 기술평가팀의 자산입니다.</t>
    <phoneticPr fontId="11" type="noConversion"/>
  </si>
  <si>
    <t>업데이트 내역</t>
    <phoneticPr fontId="11" type="noConversion"/>
  </si>
  <si>
    <t>1.2.5</t>
  </si>
  <si>
    <t>비고</t>
    <phoneticPr fontId="11" type="noConversion"/>
  </si>
  <si>
    <t>검수:송윤찬</t>
    <phoneticPr fontId="11" type="noConversion"/>
  </si>
  <si>
    <t>수정요청:송윤찬</t>
    <phoneticPr fontId="11" type="noConversion"/>
  </si>
  <si>
    <t>경쟁성 지표 오류 수정, 매출 산정에 기술점유율 반영</t>
    <phoneticPr fontId="11" type="noConversion"/>
  </si>
  <si>
    <t>반올림</t>
  </si>
  <si>
    <t>평가기준일</t>
    <phoneticPr fontId="11" type="noConversion"/>
  </si>
  <si>
    <t>회계연도</t>
    <phoneticPr fontId="11" type="noConversion"/>
  </si>
  <si>
    <t>기술평가 정보 입력</t>
    <phoneticPr fontId="11" type="noConversion"/>
  </si>
  <si>
    <t>연도</t>
    <phoneticPr fontId="11" type="noConversion"/>
  </si>
  <si>
    <t>1.2.7</t>
    <phoneticPr fontId="11" type="noConversion"/>
  </si>
  <si>
    <t xml:space="preserve"> 서기선</t>
    <phoneticPr fontId="11" type="noConversion"/>
  </si>
  <si>
    <t>월할로 가치산정 계산시 잔여 월수 조정</t>
    <phoneticPr fontId="11" type="noConversion"/>
  </si>
  <si>
    <t>&lt;매출원가 및 판관비&gt;</t>
    <phoneticPr fontId="21" type="noConversion"/>
  </si>
  <si>
    <t>&lt;감가상각비&gt;</t>
    <phoneticPr fontId="21" type="noConversion"/>
  </si>
  <si>
    <t>&lt;자본적 지출&gt;</t>
    <phoneticPr fontId="21" type="noConversion"/>
  </si>
  <si>
    <t>운전자본증감액</t>
    <phoneticPr fontId="21" type="noConversion"/>
  </si>
  <si>
    <t>업종코드</t>
  </si>
  <si>
    <t>업종명</t>
  </si>
  <si>
    <t>매출액</t>
    <phoneticPr fontId="21" type="noConversion"/>
  </si>
  <si>
    <t>매출원가</t>
    <phoneticPr fontId="21" type="noConversion"/>
  </si>
  <si>
    <t>판관비</t>
    <phoneticPr fontId="21" type="noConversion"/>
  </si>
  <si>
    <t>감가상각비</t>
    <phoneticPr fontId="21" type="noConversion"/>
  </si>
  <si>
    <t>총자산</t>
    <phoneticPr fontId="21" type="noConversion"/>
  </si>
  <si>
    <t>유형자산</t>
    <phoneticPr fontId="21" type="noConversion"/>
  </si>
  <si>
    <t>무형자산</t>
    <phoneticPr fontId="21" type="noConversion"/>
  </si>
  <si>
    <t>매출채권</t>
    <phoneticPr fontId="21" type="noConversion"/>
  </si>
  <si>
    <t>재고자산</t>
    <phoneticPr fontId="21" type="noConversion"/>
  </si>
  <si>
    <t>매입채무</t>
    <phoneticPr fontId="21" type="noConversion"/>
  </si>
  <si>
    <t>비율</t>
    <phoneticPr fontId="11" type="noConversion"/>
  </si>
  <si>
    <t>매출원가</t>
    <phoneticPr fontId="11" type="noConversion"/>
  </si>
  <si>
    <t>매출원가</t>
    <phoneticPr fontId="11" type="noConversion"/>
  </si>
  <si>
    <t>판관비</t>
    <phoneticPr fontId="11" type="noConversion"/>
  </si>
  <si>
    <t>판관비</t>
    <phoneticPr fontId="11" type="noConversion"/>
  </si>
  <si>
    <t>감가상각비</t>
    <phoneticPr fontId="11" type="noConversion"/>
  </si>
  <si>
    <t>감가상각비</t>
    <phoneticPr fontId="11" type="noConversion"/>
  </si>
  <si>
    <t>산업기술요소</t>
  </si>
  <si>
    <t>(최대)</t>
  </si>
  <si>
    <t>(평균)</t>
  </si>
  <si>
    <t>A</t>
    <phoneticPr fontId="11" type="noConversion"/>
  </si>
  <si>
    <t>B</t>
    <phoneticPr fontId="11" type="noConversion"/>
  </si>
  <si>
    <t>위험프리미엄</t>
    <phoneticPr fontId="11" type="noConversion"/>
  </si>
  <si>
    <t>판관비율</t>
  </si>
  <si>
    <t>감가상각비율</t>
  </si>
  <si>
    <t>총자산회전율</t>
  </si>
  <si>
    <t>운전자본소요율</t>
  </si>
  <si>
    <t>전체</t>
  </si>
  <si>
    <t>상위25%</t>
  </si>
  <si>
    <t>하위25%</t>
  </si>
  <si>
    <t>수동입력</t>
    <phoneticPr fontId="21" type="noConversion"/>
  </si>
  <si>
    <t>재고자산회전율</t>
    <phoneticPr fontId="11" type="noConversion"/>
  </si>
  <si>
    <t>매출채권회전율</t>
    <phoneticPr fontId="11" type="noConversion"/>
  </si>
  <si>
    <t>매입채무회전율</t>
    <phoneticPr fontId="11" type="noConversion"/>
  </si>
  <si>
    <t>하위25%</t>
    <phoneticPr fontId="11" type="noConversion"/>
  </si>
  <si>
    <t>하위25%</t>
    <phoneticPr fontId="11" type="noConversion"/>
  </si>
  <si>
    <t>전체</t>
    <phoneticPr fontId="11" type="noConversion"/>
  </si>
  <si>
    <t>상위25%</t>
    <phoneticPr fontId="11" type="noConversion"/>
  </si>
  <si>
    <t>Key</t>
    <phoneticPr fontId="11" type="noConversion"/>
  </si>
  <si>
    <t>Key</t>
    <phoneticPr fontId="11" type="noConversion"/>
  </si>
  <si>
    <t>유형자산비중</t>
    <phoneticPr fontId="11" type="noConversion"/>
  </si>
  <si>
    <t>무형자산비중</t>
    <phoneticPr fontId="11" type="noConversion"/>
  </si>
  <si>
    <t>판관비율</t>
    <phoneticPr fontId="11" type="noConversion"/>
  </si>
  <si>
    <t>감가상각비율</t>
    <phoneticPr fontId="11" type="noConversion"/>
  </si>
  <si>
    <t>Total</t>
    <phoneticPr fontId="11" type="noConversion"/>
  </si>
  <si>
    <t>총자산회전율</t>
    <phoneticPr fontId="11" type="noConversion"/>
  </si>
  <si>
    <t>감가상각비율</t>
    <phoneticPr fontId="21" type="noConversion"/>
  </si>
  <si>
    <t>총자산회전율</t>
    <phoneticPr fontId="21" type="noConversion"/>
  </si>
  <si>
    <t>유무형자산비중</t>
    <phoneticPr fontId="21" type="noConversion"/>
  </si>
  <si>
    <t>유무형자산비중</t>
    <phoneticPr fontId="11" type="noConversion"/>
  </si>
  <si>
    <t>매입채무회전율</t>
    <phoneticPr fontId="21" type="noConversion"/>
  </si>
  <si>
    <t>재고자산회전율</t>
    <phoneticPr fontId="21" type="noConversion"/>
  </si>
  <si>
    <t>시장규모*시장점유율*기술점유율</t>
    <phoneticPr fontId="11" type="noConversion"/>
  </si>
  <si>
    <t>생산량*단가</t>
    <phoneticPr fontId="11" type="noConversion"/>
  </si>
  <si>
    <t>직접 추정</t>
    <phoneticPr fontId="11" type="noConversion"/>
  </si>
  <si>
    <t>(3개년)상위 25%</t>
    <phoneticPr fontId="11" type="noConversion"/>
  </si>
  <si>
    <t>(3개년)하위 25%</t>
    <phoneticPr fontId="11" type="noConversion"/>
  </si>
  <si>
    <t>(3개년)전체</t>
    <phoneticPr fontId="11" type="noConversion"/>
  </si>
  <si>
    <t>(최신연도)상위 25%</t>
    <phoneticPr fontId="11" type="noConversion"/>
  </si>
  <si>
    <t>(최신연도)하위 25%</t>
    <phoneticPr fontId="11" type="noConversion"/>
  </si>
  <si>
    <t>(최신연도)전체</t>
    <phoneticPr fontId="11" type="noConversion"/>
  </si>
  <si>
    <t>현금흐름 산정옵션</t>
    <phoneticPr fontId="11" type="noConversion"/>
  </si>
  <si>
    <t>자동입력</t>
    <phoneticPr fontId="21" type="noConversion"/>
  </si>
  <si>
    <t>현금흐름
추정 요인
(업종평균)</t>
    <phoneticPr fontId="11" type="noConversion"/>
  </si>
  <si>
    <t>감가상각비</t>
    <phoneticPr fontId="11" type="noConversion"/>
  </si>
  <si>
    <t>IPC</t>
  </si>
  <si>
    <t>인용수</t>
  </si>
  <si>
    <t>최대</t>
  </si>
  <si>
    <t>최소</t>
  </si>
  <si>
    <t>매출원가율</t>
    <phoneticPr fontId="21" type="noConversion"/>
  </si>
  <si>
    <t>판관비율</t>
    <phoneticPr fontId="21" type="noConversion"/>
  </si>
  <si>
    <t>옵션</t>
    <phoneticPr fontId="21" type="noConversion"/>
  </si>
  <si>
    <t>자동</t>
    <phoneticPr fontId="21" type="noConversion"/>
  </si>
  <si>
    <t>수동</t>
    <phoneticPr fontId="21" type="noConversion"/>
  </si>
  <si>
    <t>미성숙 시장</t>
    <phoneticPr fontId="11" type="noConversion"/>
  </si>
  <si>
    <t>성숙 시장</t>
    <phoneticPr fontId="11" type="noConversion"/>
  </si>
  <si>
    <t>산업기술요소 옵션</t>
    <phoneticPr fontId="11" type="noConversion"/>
  </si>
  <si>
    <t>최대</t>
    <phoneticPr fontId="11" type="noConversion"/>
  </si>
  <si>
    <t>평균</t>
    <phoneticPr fontId="11" type="noConversion"/>
  </si>
  <si>
    <t>최종 기술기여도(%)</t>
    <phoneticPr fontId="11" type="noConversion"/>
  </si>
  <si>
    <t>박영수, 서기선</t>
    <phoneticPr fontId="11" type="noConversion"/>
  </si>
  <si>
    <t>&lt;자산비중&gt;</t>
    <phoneticPr fontId="11" type="noConversion"/>
  </si>
  <si>
    <t>&lt;매출액 비율&gt;</t>
    <phoneticPr fontId="11" type="noConversion"/>
  </si>
  <si>
    <t>&lt;회전율&gt;</t>
    <phoneticPr fontId="11" type="noConversion"/>
  </si>
  <si>
    <t>평가기준일</t>
  </si>
  <si>
    <t>품질관리 체크리스트</t>
    <phoneticPr fontId="11" type="noConversion"/>
  </si>
  <si>
    <t>산업통상자원부 고시 제2014-96호</t>
    <phoneticPr fontId="11" type="noConversion"/>
  </si>
  <si>
    <t>최종 품질관리 점검 결과</t>
    <phoneticPr fontId="11" type="noConversion"/>
  </si>
  <si>
    <t>* 품질관리 기준 : 최종 점검표의 심사결과가 모두 "적합"</t>
    <phoneticPr fontId="11" type="noConversion"/>
  </si>
  <si>
    <t>[요약 점검표]</t>
    <phoneticPr fontId="11" type="noConversion"/>
  </si>
  <si>
    <t>평가 기술명</t>
  </si>
  <si>
    <t>기술평가기관</t>
  </si>
  <si>
    <t>의뢰자</t>
    <phoneticPr fontId="11" type="noConversion"/>
  </si>
  <si>
    <t>평가용도</t>
  </si>
  <si>
    <t>보고서 작성일</t>
  </si>
  <si>
    <t>보고서 기준일</t>
  </si>
  <si>
    <t>보고서 점검일</t>
  </si>
  <si>
    <t>보고기준 심사 결과</t>
  </si>
  <si>
    <t>심사 기준</t>
    <phoneticPr fontId="11" type="noConversion"/>
  </si>
  <si>
    <t>심사 항목</t>
  </si>
  <si>
    <t>심사결과</t>
  </si>
  <si>
    <t>기준의 준수</t>
  </si>
  <si>
    <t xml:space="preserve">보고 원칙 </t>
  </si>
  <si>
    <t>가정 및 제한</t>
  </si>
  <si>
    <t xml:space="preserve">심사 의견 </t>
  </si>
  <si>
    <t>보완 사항에 대한 의견을 구체적으로 명시</t>
  </si>
  <si>
    <t>[평가요인 점검]</t>
    <phoneticPr fontId="11" type="noConversion"/>
  </si>
  <si>
    <t>평가요인 점검 결과</t>
    <phoneticPr fontId="11" type="noConversion"/>
  </si>
  <si>
    <t>평가요인 기준 심사 결과</t>
  </si>
  <si>
    <t>심사 기준</t>
  </si>
  <si>
    <t>심사 결과</t>
  </si>
  <si>
    <t>기술성</t>
  </si>
  <si>
    <t>권리성</t>
  </si>
  <si>
    <t>시장성</t>
  </si>
  <si>
    <t>사업성</t>
  </si>
  <si>
    <t>심사의견</t>
    <phoneticPr fontId="11" type="noConversion"/>
  </si>
  <si>
    <t>평가요소 점검 결과</t>
    <phoneticPr fontId="11" type="noConversion"/>
  </si>
  <si>
    <t>현금흐름</t>
  </si>
  <si>
    <t>할인율</t>
  </si>
  <si>
    <t>기술기여도</t>
    <phoneticPr fontId="11" type="noConversion"/>
  </si>
  <si>
    <t>제한조건</t>
  </si>
  <si>
    <t>보완 사항에 대한 의견을 구체적으로 명시</t>
    <phoneticPr fontId="11" type="noConversion"/>
  </si>
  <si>
    <t xml:space="preserve">소속                                              성명 </t>
    <phoneticPr fontId="11" type="noConversion"/>
  </si>
  <si>
    <t xml:space="preserve">현금흐름 </t>
  </si>
  <si>
    <t>로열티공제법에서 로열티율은 대상기술의 사용에 따라 기대되는 매출액 또는 매출총이익 등의 일정 비율로 적용되기 때문에 수익접근법에서 사용된 현금흐름은 고려하지 않음</t>
    <phoneticPr fontId="11" type="noConversion"/>
  </si>
  <si>
    <t>해당 없음</t>
  </si>
  <si>
    <t>로열티율</t>
  </si>
  <si>
    <t>로열티공제법에서 기술기여도는 로열티율에 반영되었기 때문에 수익접근법에서 사용된 기술기여도 개념은 고려하지 않음</t>
    <phoneticPr fontId="11" type="noConversion"/>
  </si>
  <si>
    <t>[평가요소 점검 - 수익접근법]</t>
    <phoneticPr fontId="11" type="noConversion"/>
  </si>
  <si>
    <t>[평가요소 점검 - 로열티공제법]</t>
    <phoneticPr fontId="11" type="noConversion"/>
  </si>
  <si>
    <t>제무재표</t>
    <phoneticPr fontId="11" type="noConversion"/>
  </si>
  <si>
    <t>현금흐름 산정</t>
    <phoneticPr fontId="11" type="noConversion"/>
  </si>
  <si>
    <t>전문가 조정</t>
    <phoneticPr fontId="11" type="noConversion"/>
  </si>
  <si>
    <t>기술점유율</t>
    <phoneticPr fontId="11" type="noConversion"/>
  </si>
  <si>
    <t>TCT</t>
    <phoneticPr fontId="11" type="noConversion"/>
  </si>
  <si>
    <t>매출원가율</t>
    <phoneticPr fontId="11" type="noConversion"/>
  </si>
  <si>
    <t>판관비율</t>
    <phoneticPr fontId="11" type="noConversion"/>
  </si>
  <si>
    <t>감가상각 및 자본적 지출</t>
    <phoneticPr fontId="11" type="noConversion"/>
  </si>
  <si>
    <t>기술수명 잔여연수 처리</t>
    <phoneticPr fontId="11" type="noConversion"/>
  </si>
  <si>
    <t>성숙도 프리미엄</t>
    <phoneticPr fontId="11" type="noConversion"/>
  </si>
  <si>
    <t>산업기술요소</t>
    <phoneticPr fontId="11" type="noConversion"/>
  </si>
  <si>
    <t>*옵션사항 정리</t>
    <phoneticPr fontId="11" type="noConversion"/>
  </si>
  <si>
    <t>재무제표 옵션</t>
    <phoneticPr fontId="11" type="noConversion"/>
  </si>
  <si>
    <t>1. 핵심변수 현행화 용역결과 반영 및 핵심변수 옵션 설정</t>
    <phoneticPr fontId="11" type="noConversion"/>
  </si>
  <si>
    <t>a. 매출추정옵션 "직접입력" 추가</t>
    <phoneticPr fontId="11" type="noConversion"/>
  </si>
  <si>
    <t>b. 재무제표 옵션 "최근연도 및 3개년 평균"</t>
    <phoneticPr fontId="11" type="noConversion"/>
  </si>
  <si>
    <t>c. 매출원가율, 판관비율, 감각상각비 및 자본적 지출을 수동 및 자동입력 옵션</t>
    <phoneticPr fontId="11" type="noConversion"/>
  </si>
  <si>
    <t>d. 성숙도 위험 프리미엄 옵션 설정</t>
    <phoneticPr fontId="11" type="noConversion"/>
  </si>
  <si>
    <t>e. 산업기술요소 옵션(최대, 평균)</t>
    <phoneticPr fontId="11" type="noConversion"/>
  </si>
  <si>
    <t>2. 품질관리 기능추가</t>
    <phoneticPr fontId="11" type="noConversion"/>
  </si>
  <si>
    <t>검수 : 서기선</t>
    <phoneticPr fontId="11" type="noConversion"/>
  </si>
  <si>
    <t>최철만, 송윤찬</t>
    <phoneticPr fontId="11" type="noConversion"/>
  </si>
  <si>
    <t>개발자</t>
    <phoneticPr fontId="11" type="noConversion"/>
  </si>
  <si>
    <t>기술가치평가 중간 과정</t>
    <phoneticPr fontId="11" type="noConversion"/>
  </si>
  <si>
    <t>Sub</t>
    <phoneticPr fontId="21" type="noConversion"/>
  </si>
  <si>
    <t>Process</t>
    <phoneticPr fontId="21" type="noConversion"/>
  </si>
  <si>
    <t>재무제표에 의한 업종평균 핵심변수</t>
    <phoneticPr fontId="11" type="noConversion"/>
  </si>
  <si>
    <t>로열티율</t>
    <phoneticPr fontId="21" type="noConversion"/>
  </si>
  <si>
    <t>조정로열티율</t>
    <phoneticPr fontId="21" type="noConversion"/>
  </si>
  <si>
    <t>1.3.1</t>
    <phoneticPr fontId="11" type="noConversion"/>
  </si>
  <si>
    <t xml:space="preserve"> 박영수</t>
    <phoneticPr fontId="11" type="noConversion"/>
  </si>
  <si>
    <t>2. 품질관리시트 에러 픽스</t>
    <phoneticPr fontId="11" type="noConversion"/>
  </si>
  <si>
    <t>1. 로열티 조정계수 반영 수식조정</t>
    <phoneticPr fontId="11" type="noConversion"/>
  </si>
  <si>
    <t>기술가치(K)
(K=∑H×J(B))</t>
    <phoneticPr fontId="11" type="noConversion"/>
  </si>
  <si>
    <t>1.1</t>
    <phoneticPr fontId="11" type="noConversion"/>
  </si>
  <si>
    <t>1.3.2</t>
    <phoneticPr fontId="11" type="noConversion"/>
  </si>
  <si>
    <t>수정요청:박재형</t>
    <phoneticPr fontId="11" type="noConversion"/>
  </si>
  <si>
    <t>로열티 공제법 산출식 수정</t>
    <phoneticPr fontId="11" type="noConversion"/>
  </si>
  <si>
    <t>최종 로열티율(B)</t>
    <phoneticPr fontId="11" type="noConversion"/>
  </si>
  <si>
    <t>2013년</t>
    <phoneticPr fontId="11" type="noConversion"/>
  </si>
  <si>
    <t>업종분류</t>
    <phoneticPr fontId="11" type="noConversion"/>
  </si>
  <si>
    <t>최대</t>
    <phoneticPr fontId="11" type="noConversion"/>
  </si>
  <si>
    <t>평균</t>
    <phoneticPr fontId="11" type="noConversion"/>
  </si>
  <si>
    <t>표준산업분류</t>
    <phoneticPr fontId="11" type="noConversion"/>
  </si>
  <si>
    <t>업종분류수</t>
    <phoneticPr fontId="11" type="noConversion"/>
  </si>
  <si>
    <t>업종_산업분류</t>
    <phoneticPr fontId="11" type="noConversion"/>
  </si>
  <si>
    <t>1.3.3</t>
  </si>
  <si>
    <t>1. 핵심변수 현행화 결과의 산업기술요소 명확한 반영</t>
    <phoneticPr fontId="11" type="noConversion"/>
  </si>
  <si>
    <t xml:space="preserve">    (업종분류와 산업분류를 동시 만족하는 산업기술요소 반영)</t>
    <phoneticPr fontId="11" type="noConversion"/>
  </si>
  <si>
    <t>2. 핵심변수 현행화 결과, WACC 수치오류 픽스</t>
    <phoneticPr fontId="11" type="noConversion"/>
  </si>
  <si>
    <t>수정요청:송윤찬</t>
    <phoneticPr fontId="11" type="noConversion"/>
  </si>
  <si>
    <t>초기년도 매출(연간매출)</t>
    <phoneticPr fontId="11" type="noConversion"/>
  </si>
  <si>
    <t>1.3.4</t>
    <phoneticPr fontId="11" type="noConversion"/>
  </si>
  <si>
    <t>CAGR 계산식 개선(연중 평가기준일 지정시 평가 평가제품매출의 일부만 반영되어 CAGR산출 오류 개선)</t>
    <phoneticPr fontId="11" type="noConversion"/>
  </si>
  <si>
    <t>1.3.5</t>
    <phoneticPr fontId="11" type="noConversion"/>
  </si>
  <si>
    <t>윤홍근</t>
    <phoneticPr fontId="11" type="noConversion"/>
  </si>
  <si>
    <t>검수: 송윤찬
         신효정</t>
    <phoneticPr fontId="11" type="noConversion"/>
  </si>
  <si>
    <t>현금흐름 추정기간 유효법인세율 T값 적용
(T=법인세합계/세전영업이익합계)</t>
    <phoneticPr fontId="11" type="noConversion"/>
  </si>
  <si>
    <t>할인율 WACC의 T값(법인세율), 기존 22% 고정에서 현금흐름기간 동안 발생한 실제 유효법인세율(법인세합계액/세전영업이익) 적용으로 개선</t>
    <phoneticPr fontId="11" type="noConversion"/>
  </si>
  <si>
    <t>1.3.6</t>
    <phoneticPr fontId="11" type="noConversion"/>
  </si>
  <si>
    <t>송영헌</t>
    <phoneticPr fontId="11" type="noConversion"/>
  </si>
  <si>
    <t>로열티 공제법 이용한 기술가치 산정 시, 로열티율이 중복해서 적용되는 오류 개선</t>
    <phoneticPr fontId="11" type="noConversion"/>
  </si>
  <si>
    <t>검수 : 윤홍근
         신효정</t>
    <phoneticPr fontId="11" type="noConversion"/>
  </si>
  <si>
    <t>1.3.7</t>
    <phoneticPr fontId="11" type="noConversion"/>
  </si>
  <si>
    <t>기업유형</t>
    <phoneticPr fontId="21" type="noConversion"/>
  </si>
  <si>
    <t>종합소득세율
(88~150백만)</t>
    <phoneticPr fontId="11" type="noConversion"/>
  </si>
  <si>
    <t>법인세율
(2~200억)</t>
    <phoneticPr fontId="11" type="noConversion"/>
  </si>
  <si>
    <t>종합소득세율
(150~300백만)</t>
    <phoneticPr fontId="11" type="noConversion"/>
  </si>
  <si>
    <t>종합소득세율
(300~500백만)</t>
    <phoneticPr fontId="11" type="noConversion"/>
  </si>
  <si>
    <t>종합소득세율
(500백만~)</t>
    <phoneticPr fontId="11" type="noConversion"/>
  </si>
  <si>
    <t>평가대상기업유형</t>
    <phoneticPr fontId="11" type="noConversion"/>
  </si>
  <si>
    <t>윤홍근</t>
    <phoneticPr fontId="11" type="noConversion"/>
  </si>
  <si>
    <t>㈜나이스평가정보</t>
    <phoneticPr fontId="11" type="noConversion"/>
  </si>
  <si>
    <t>나이스디앤비㈜</t>
    <phoneticPr fontId="11" type="noConversion"/>
  </si>
  <si>
    <t>1. 평가대상기업이 개인기업일 경우, 종합소득세 세율을 이용하여 소득세 비용을 추정할 수 있도록 개선
2. INPUT 시트 내 평가자 및 평가수행기관 정보 반영</t>
    <phoneticPr fontId="11" type="noConversion"/>
  </si>
  <si>
    <t>법인기업</t>
    <phoneticPr fontId="11" type="noConversion"/>
  </si>
  <si>
    <t>개인기업</t>
    <phoneticPr fontId="11" type="noConversion"/>
  </si>
  <si>
    <t>과세표준</t>
    <phoneticPr fontId="21" type="noConversion"/>
  </si>
  <si>
    <t>세율</t>
    <phoneticPr fontId="21" type="noConversion"/>
  </si>
  <si>
    <t>누진공제</t>
    <phoneticPr fontId="21" type="noConversion"/>
  </si>
  <si>
    <t>법인세</t>
    <phoneticPr fontId="21" type="noConversion"/>
  </si>
  <si>
    <t>소득세</t>
    <phoneticPr fontId="21" type="noConversion"/>
  </si>
  <si>
    <t>면류, 마카로니 및 유사식품 제조업</t>
    <phoneticPr fontId="11" type="noConversion"/>
  </si>
  <si>
    <t>코드</t>
    <phoneticPr fontId="11" type="noConversion"/>
  </si>
  <si>
    <t>업종</t>
    <phoneticPr fontId="11" type="noConversion"/>
  </si>
  <si>
    <t>채소작물재배업</t>
  </si>
  <si>
    <t>화훼작물재배업</t>
  </si>
  <si>
    <t>종자및묘목생산업</t>
  </si>
  <si>
    <t>그외기타축산업</t>
  </si>
  <si>
    <t>방적및가공사제조업</t>
  </si>
  <si>
    <t>모피제품제조업</t>
  </si>
  <si>
    <t>의료용물질및의약품제조업</t>
  </si>
  <si>
    <t>세제,화장품및광택제제조업</t>
  </si>
  <si>
    <t>접착제및젤라틴제조업</t>
  </si>
  <si>
    <t>그외기타분류안된화학제품제조업</t>
  </si>
  <si>
    <t>플라스틱제품제조업</t>
  </si>
  <si>
    <t>금속가공제품제조업;기계및가구제외</t>
  </si>
  <si>
    <t>농업및임업용기계제조업</t>
  </si>
  <si>
    <t>측정,시험,항해,제어및기타정밀기기제조업</t>
  </si>
  <si>
    <t>산업용냉장및냉동장비제조업</t>
  </si>
  <si>
    <t>직물포대제조업</t>
  </si>
  <si>
    <t>시스템 응용소프트웨어개발및공급업</t>
  </si>
  <si>
    <t>컴퓨터프로그래밍,시스템통합및관리업</t>
  </si>
  <si>
    <t>폐기물수집운반,처리및원료재생업</t>
  </si>
  <si>
    <t>환경정화및복원업</t>
  </si>
  <si>
    <t>하수,폐수및분뇨처리업</t>
  </si>
  <si>
    <t>기술시험,검사및분석업</t>
  </si>
  <si>
    <t>엔지니어링서비스업</t>
  </si>
  <si>
    <t>그외기타분류안된전문,과학및기술서비스업</t>
  </si>
  <si>
    <t>소독,구충및방제서비스업</t>
  </si>
  <si>
    <t>유원지및테마파크운영업</t>
  </si>
  <si>
    <t>임산물채취업</t>
  </si>
  <si>
    <t>장식용목제품제조업</t>
  </si>
  <si>
    <t>그외기타나무제품제조업</t>
  </si>
  <si>
    <t>목재도구및기구제조업</t>
  </si>
  <si>
    <t>화장품제조업</t>
  </si>
  <si>
    <t>날붙이,수공구및일반철물제조업</t>
  </si>
  <si>
    <t>구조용금속제품제조업</t>
  </si>
  <si>
    <t>동력식수지공구제조업</t>
  </si>
  <si>
    <t>기타무선통신장비제조업</t>
  </si>
  <si>
    <t>기타기초무기화학물질제조업</t>
  </si>
  <si>
    <t>조경관리및유지서비스업</t>
  </si>
  <si>
    <t>도시계획및조경설계서비스업</t>
  </si>
  <si>
    <t>자연과학연구개발업</t>
  </si>
  <si>
    <t>귀금속및관련제품제조업</t>
  </si>
  <si>
    <t>기타목재가구제조업</t>
  </si>
  <si>
    <t>기초유기화학물질제조업</t>
  </si>
  <si>
    <t>선박구성부분품제조업</t>
  </si>
  <si>
    <t>어망및기타끈가공품제조업</t>
  </si>
  <si>
    <t>콘크리트,시멘트및플라스터제품제조업</t>
  </si>
  <si>
    <t>금속선가공제품제조업</t>
  </si>
  <si>
    <t>기타기계및장비제조업</t>
  </si>
  <si>
    <t>전기장비제조업</t>
  </si>
  <si>
    <t>가공및정제염제조업</t>
  </si>
  <si>
    <t>그외기타달리분류되지않은제품제조업</t>
  </si>
  <si>
    <t>날붙이제조업</t>
  </si>
  <si>
    <t>특수직물및기타직물직조업</t>
  </si>
  <si>
    <t>자연과학및공학연구개발업</t>
  </si>
  <si>
    <t>기타수상오락서비스업</t>
  </si>
  <si>
    <t>지질조사및탐사업</t>
  </si>
  <si>
    <t>환경설비건설업</t>
  </si>
  <si>
    <t>도배,실내장식및내장목공사업</t>
  </si>
  <si>
    <t>낚시장운영업</t>
  </si>
  <si>
    <t>내부통신배선공사업</t>
  </si>
  <si>
    <t>생수생산업</t>
  </si>
  <si>
    <t>기타비알콜음료제조업</t>
  </si>
  <si>
    <t>얼음제조업</t>
  </si>
  <si>
    <t>플라스틱포대,봉투및유사제품제조업</t>
  </si>
  <si>
    <t>금속위생용품제조업</t>
  </si>
  <si>
    <t>위생용종이제품제조업</t>
  </si>
  <si>
    <t>치약,비누및기타세제제조업</t>
  </si>
  <si>
    <t>플라스틱시트및판제조업</t>
  </si>
  <si>
    <t>포장용유리용기제조업</t>
  </si>
  <si>
    <t>식품위생용종이상자및용기제조업</t>
  </si>
  <si>
    <t>포장용플라스틱성형용기제조업</t>
  </si>
  <si>
    <t>금속캔및기타포장용기제조업</t>
  </si>
  <si>
    <t>용기세척,포장및충전기제조업</t>
  </si>
  <si>
    <t>생물학적제제제조업</t>
  </si>
  <si>
    <t>1.1012</t>
  </si>
  <si>
    <t>0.4467</t>
  </si>
  <si>
    <t>농업 또는 임업에 있어서의 토작업; 농기구 또는 기구의 부품, 세부 또는 부속구 일반(파종, 식부 또는 시비를 위한 고랑 또는 구멍형성이나 복토 A01C 5/00; 토(土)작업 기구로 전환이 가능하거나 토(土)작업을 겸할 수 있는 제초기 A01D 42/04; 토(土)작업구를 갖춘 제초기 A01D 43/02; 토목공사를 위한 토(土)작업 E01, E02, E21)</t>
  </si>
  <si>
    <t xml:space="preserve">식부; 파종; 시비(토양의 일반적 토(土)작업과 결합한 것 A01B 49/04; 농작업기 또는 기구의 부품, 세부 또는 부속구일반 A01B 51/00 ~ 75/00) </t>
  </si>
  <si>
    <t>탈곡(콤바인 A01D 41/00)；짚, 건초 또는 그와 유사한 것의 곤포；짚, 건초 또는 그와 유사한 것을 다발로 만들거나 묶기 위한 정치장치 또는 수동구；건초, 짚 또는 그와 유사하는 것의 절단；농업 수확물 또는 원예 수확물의 저장 (수확과 관련하여 목초의 집적 또는 배치하기 위한 장치 A01D 85/00)</t>
  </si>
  <si>
    <t xml:space="preserve">원예; 채소, 화훼, 벼, 과수, 포도, 호프 또는 해초의 재배; 임업; 관수(과실, 채소, 호프 또는 이에 유사한 것의 따기 A01D 46/00; 조직배양기술에 의한 식물의 번식 A01H 4/00; 양파 또는 구근의 단부 절제 또는 껍질 벗기기를 위한 장치 A23N 15/08; 단세포 조류의 배양 C12N 1/12; 식물세포배양 C12N 5/00)  </t>
  </si>
  <si>
    <t xml:space="preserve">새로운 식물 또는 그것들을 얻기 위한 육종처리; 조직배양기술에 의한 식물의 증식 </t>
  </si>
  <si>
    <t>낙농제품의 제조(유제품의 보존, 저온살균, 살균 A23; 화학적사항에 관해서는 A23C 참조)</t>
  </si>
  <si>
    <t>동물의 장제</t>
  </si>
  <si>
    <t>동물의 포획, 덫을 놓아 잡기 또는 몰기(곤충 떼를 잡거나 수벌을 잡기위한 장치 A01K 57/00; 어업 A01K 69/00-A01K 97/00; 살충제, 해충 기피제 또는 유인 물질 A01N); 유해한 동물 또는 유해한 식물의 구제장치 ？？[2014.01]</t>
  </si>
  <si>
    <t xml:space="preserve">인간, 동물 또는 식물의 본체, 또는 그것들의 부분 보존; 살생물제(Biocides), 예, 살균제, 살충제 및 제초제로서(의료용, 치과용 또는 화장용 제제 A61K, 살균 또는 소독일반, 그 장치 A61L); 유해생물 기피제 또는 유인제(유인물 A01M 31/06; 의약품 제제 A61K); 식물생장조절제(화합물 일반 C01, C07, C08; 비료, C05,토양조절제 또는 안정제 C09K 17/00) </t>
  </si>
  <si>
    <t>화합물 또는 조성물의 살생물, 유해 생물 기피, 유해 생물 유인 또는 식물 생장 조절 활성 ？？[8]</t>
  </si>
  <si>
    <t xml:space="preserve">제빵용 오븐(Oven); 제빵용 기계 또는 장치(가정용 제빵장치 A47J 37/00; 연소장치 F23; 가정용 스토브(stove)또는 레인지(range)로서 전체적 또는 부분적으로 오븐인 것 F24B, F24C) </t>
  </si>
  <si>
    <t>가루반죽 제조와 가공용 기계 및 설비; 가루반죽으로 제조된 빵류의 취급</t>
  </si>
  <si>
    <t>제빵용 곡분 또는 반죽의 처리; 제빵; 빵류; 그것들의 저장   [1,8]</t>
  </si>
  <si>
    <t>식육, 가금 또는 어류의 가공(보존 A23B; 식품용 단백질 조성물의 채취 A23J 1/00; 어류, 식육 또는 가금의 조제품 A23L; 세단, 예. 식육의 절단 B02C 18/00; 단백질의 처리 C07K 1/00)</t>
  </si>
  <si>
    <t xml:space="preserve">유제품, 예· 우유, 버터, 치즈; 우유 또는 치즈 대용품; 그것들의 제조(식품용 단백질 조성물의 제조 A23J 1/00, 펩티드의 처리, 예. 단백질, 일반적으로 C07K 1/00) </t>
  </si>
  <si>
    <t>식용유지 예· 마가린, 쇼트닝(shortenings), 식용유(채취, 정제, 보존. C11B, C11C; 수소첨가 C11C 3/12)</t>
  </si>
  <si>
    <t>코코아；코코아 제품, 예.초콜릿；코코아 또는 코코아 제품의 대용품；과자；츄잉 껌；아이스크림；그러한 제조 ？？[1,8]</t>
  </si>
  <si>
    <t>식품용 단백질 조성물; 식품용 혼합(working-up) 단백질; 식품용 인지질 조성물</t>
  </si>
  <si>
    <t>A21D 또는 A23B로부터 A23J까지; 포함 되지 않는 식품, 식료품, 또는 비알콜성음료; 그 조제 또는 처리, 예. 가열 조리, 영양 개선, 물리적 처리(이 서브클래스에 완전하게 포함 되지 않는, 식품의 성형 또는 가공 A23P)；식품 또는 식료품의 보존 일반(제빵용 곡분 또는 반죽의 보존 A21D)   [4,8]</t>
  </si>
  <si>
    <t xml:space="preserve">달리 분류되지 않는 수확된 과일, 채소 또는 꽃의 구근을 대량으로 처리하기 위한 기계 또는 장치; 채소 또는 과일의 껍질을 벗기기 위한 것; 사료를 제조하기 위한 장치(짚 또는 목초를 절단하기 위한 기계 A01F 29/00; 쇄해, 예. 촌단 B02C; 절단, 예. 단재, 얇은 조각 B26B, B26D) </t>
  </si>
  <si>
    <t>다른 단일의 서브클래스에는 완전히 포함되지 않는 식료품의 성형 또는 가공(가소 상태의 성형물질 일반 B29C)</t>
  </si>
  <si>
    <t>흡연용구; 성냥갑(라이터 F23Q)</t>
  </si>
  <si>
    <t>겉옷; 보호복; 부속품(눈 또는 귀를 보호하는 것 A61F 9/00, A61F 11/00; 땀을 흘리게 하는 땀복 A61H 36/00)</t>
  </si>
  <si>
    <t>의복의 고정구;  거는 기구</t>
  </si>
  <si>
    <t>달리 분류되지 않는 의류를 만들기 위한 기구 또는 방법, 예. 의복을 만들기 위한 것, 바느질을 위한 것(의복의 특수물품을 만들기 위한 기계, 기구 또는 방법 A41B ~ A41F중 이들의 물품에 관련이 있는 그룹 참조; 절단공구 또는 기계 일반 B26; 직물제조, 조물제조, 레이스제조, 편물 제조술(tuft) 제조, 직물의 처리 D03 ~ D06; 미싱, 재봉기구, 봉목을 푸는 기구 D05B; 직물재료의 절단 또는 기타 방법에 의한 분단 D06H 7/00)</t>
  </si>
  <si>
    <t>모자; 머리를 덮는 것(머리띠, 머리 스카프 A41D 20/00, A41D 23/00)</t>
  </si>
  <si>
    <t>단추, 핀, 버클, 슬라이드 조임구(Slide fastener) 또는 그와 유사한 것(신발에 특히 적합한 조임구 A43C)</t>
  </si>
  <si>
    <t>보석류 ; 팔찌 ; 그 외의 개인 장신구 ; 동전</t>
  </si>
  <si>
    <t>보행용 지팡이(장님들을 위한 지팡이와 같은 보행 보조기구 A61H 3/06; 우산; 부인용 또는 그 밖의 유사한 부채(지팡이 또는 우산 지지대 또는 홀더 A47G 25/12) ？？[2014.01])</t>
  </si>
  <si>
    <t>지갑；수화물；휴대용가방 ？？[2014.01]</t>
  </si>
  <si>
    <t>이미용 또는 면도기구; 매니큐어 또는 그 외의 화장(가발, 입모 또는 그 유사물 A41G 3/00, 5/00; 이발용 의자 A47C 1/04; 산발용구,면도기 B26B)</t>
  </si>
  <si>
    <t>여행 또는 야영 설비；몸으로 메고 옮기는 등산용 륙색(rucksack) 또는 팩(손에 휴대하는 가방 또는 수화물 A45C) ？？[1,8]</t>
  </si>
  <si>
    <t xml:space="preserve">브러시(brush)(브러시(brush) 제품과 일체가 아닌 자루 B25G) </t>
  </si>
  <si>
    <t>테이블; 책상; 사무용 가구; 캐비넷; 장농; 가구의 일반적 세부(가구의 접속 F16B)</t>
  </si>
  <si>
    <t>의자(차량에 특히 적합한 좌석 B60N 2/00); 소파; 침대(충전물 일반 B68G)</t>
  </si>
  <si>
    <t>아동용에 특히 적합한 가구(학교용 벤치 또는 책상 A47B 39/00, 41/00)</t>
  </si>
  <si>
    <t>상점, 창고, 술집, 요리집 또는 유사한 장소에서 쓰이는 특수한 가구, 비품 또는 부속품; 지불 카운터</t>
  </si>
  <si>
    <t>가정용구 또는 식탁용구(책꽂이(Bookend) A47B 65/00; 나이프 B26B)</t>
  </si>
  <si>
    <t>창문 또는 문의 부대설비(문 또는 창문의 기능에 관한 것 E05; 롤러식 차일 E06B)</t>
  </si>
  <si>
    <t>주방 장비, 커피 분쇄기, 향신료 분쇄기, 음료를 만드는 장치  [6]</t>
  </si>
  <si>
    <t>달리 분류되지 않는 위생설비(결수 또는 배수관과 연결되어 있는 것, 싱크 B03C; 변기 E03D); 화장실 용구(화장용구 A45D)</t>
  </si>
  <si>
    <t>가정의 세정 또는 청정(브러시 A46B; 한 종류의 다량의 병 또는 그 밖의 속이 빈 용기의 청정 B08B 9/00; 세탁; D06F); 흡입청소기 일반(청소 일반 B08)</t>
  </si>
  <si>
    <t>진단; 수술; 개인 식별(생물학적 재료의 분석 G01N 예 G01N 33/48; 광파 이외의 파를 이용한 기록의 작성 일반 G03B 42/00)</t>
  </si>
  <si>
    <t>치과; 구강 또는 치과용 위생(치솔 A46B; 치과용 제제 A46K 6/00)</t>
  </si>
  <si>
    <t>혈관에 이식할 수 있는 필터；보철；인체의 관상 구조를 개존 시키는 또는 붕괴를 방지하는 장치, 예.스텐트；정형외과 용구, 간호 용구 또는 피임 용구；찜질；눈 또는 귀의 치료 또는 보호；붕대；피복 용품 또는 흡수성 패드；구급 상자(치과용보철A61C) ？？[6,8]</t>
  </si>
  <si>
    <t>환자 또는 신체장애자에 특히 적합한 수송, 탈 것, 또는 설비；수술대 또는 의자；치과용 의자；장의 용구(의자 또는 침대 일반 A47C；보행 보조 기구 A61H3/00, 환자, 신체장애자 또는 휠체어 이용자용의, 계단에 부설된 경사용 리프트 B66B9/08)</t>
  </si>
  <si>
    <t>물리적인 치료 장치, 예. 인체의 급소의 위치를 검출 또는 자극하는 장치；인공 호흡；맛사지；특별한 치료 또는 인체의 특정의 부분을 위한 입욕 장치(전기 치료, 자기 치료, 방사선 치료, 초음파 치료 A61N)</t>
  </si>
  <si>
    <t>의약용, 치과용 또는 화장용 제제(특별한 물리적 형태로 하는 것 A61J; 공기탈취, 살균, 소독, 붕대, 드레싱, 흡수성 패드 또는 외과용품을 위한 재료의 화학적인 사항 또는 재료의 사용 A61L; 화합물 그 자체가 C01, C07, C08, C12N; 비누의 조성 C11D; 미생물 그자체 C12N)</t>
  </si>
  <si>
    <t>재료 또는 물건을 살균하기 위한 방법 또는 장치 일반; 공기의 소독, 살균 또는 탈취; 붕대, 피복용품, 흡수성 패드 또는 수술용품의 화학적 사항; 붕대, 피복용품, 흡수성 패드, 또는 수술용 물품을 위한 재료(사체의 보존, 사용하는 약제에 의해서 특징지어진 소독 A01N; 식품 또는 식료품의 보존, 예. 살균, A23; 의료용, 치과용 또는 화장용 제제 A61K) [4]</t>
  </si>
  <si>
    <t>흡인 또는 펌프장치 1/00 주사기; 관주기; 장관을 위한 목욕 3/00, 5/00; 9/00 스프레이, 분무기; 취입기 11/00; 13/00 흡입장치 15/00; 16/00 수면 또는 마취를 도입시키기 위한 장치 또는 각성시키기 위한 장치 16/00; 19/00; 21/00 탐침, 도뇨관(catheter); 배수; 확장기 25/00; 27/00; 29/00 의료용에 특히 적합한 관, 관 접속구, 관 연결, 밸브 또는 접속기구(access sites)</t>
  </si>
  <si>
    <t>전기치료; 자기치료; 방사선치료; 초음파치료(생체전류의 측정 A61B; 신체로부터 또는 신체로 비기계적(비기계적) 형태의 에너지를 이송하기 위한 수술용 기기, 용구 또는 방법 A61B 18/00; 마취장치 일반 A61M; 백열램프 H01K; 가열용의 적외선방열기 H05B)</t>
  </si>
  <si>
    <t>A62B 인명구조용의 기구, 장치 또는 방법(특히 의료용에 적합한 밸브 A61M 39/00; 인공호흡기, 방독면, 호흡장치 또는 유사한 것에 사용되는 화학물질의 조성물 A62D; 산악 또는 나무로부터의 구조 A63B 27/00, A63B 29/00; 특히 물에서 쓰이는데 적합한 인명구조 장치 또는 방법 B63C 9/00; 잠수장비 B63C 11/00; 특히 항공기에 적합한 것, 예. 낙하산 또는 투출좌석 B64D; 특히 광산에서 쓰이는 구조장치 E21F)</t>
  </si>
  <si>
    <t>소방(소방제, 화학물질의 사용 A62D 1/00; 분무, 표면에 액체 또 는 다른 유동성 물질을 도포시키는 일반 B05; 경보장치 G08B, 예. 연기 또는 가스에 의해 작동되는 경보기 G08B 17/10)</t>
  </si>
  <si>
    <t>소화를 위한 화학적 수단; 화학변화의 영향에 의해 유해 화학물질을 무해로 하거나 보다 유해하지 않게 하는 방법；유해한 화학물질에 대한 보호 피복 또는 보호 물질의 조성; 방독 마스크, 호흡 보호기, 호흡봉투, 또는 헬멧의 투명 부분의 재료의 조성；호흡 장치로 사용되는 화학물질의 조성</t>
  </si>
  <si>
    <t>스케이트; 스키; 롤러스케이트; 코트, 링크(수중 스포츠용장치 A63B 31/00, A63B 33/00, B63C 11/00; 수중활주용장치 B63B 35/79, B63B 35/81, B63B 35/83)</t>
  </si>
  <si>
    <t>볼링장; 볼링게임; 보치아; 론볼스; 바가텔(bagatelie); 당구(작은 가동체를 이용하는 실내게임, 예, 공, A63F 7/00)</t>
  </si>
  <si>
    <t>카드게임, 보드게임 또는 룰렛게임; 작은 움직이는 물체를 사용하는 실내용게임; 비디오 게임; 그 밖에 분류되지 않는 게임 [5, 2014.01]</t>
  </si>
  <si>
    <t>회전기구; 그네; 흔들목마(유아용 가구로서 사용하는 그네 또는 흔들목마 A47D 13/10); 활송장치; 스위치백; 공공오락용 유사장치</t>
  </si>
  <si>
    <t>완구, 예. 팽이, 인형, 후프, 블록</t>
  </si>
  <si>
    <t>경주; 승마; 그 설비 또는 부속품(스톱워치 G04F; 7/06; 시간측정 G07C 1/22; 개개요소의 선택 또는 조합에 의해 가변정보를 표시하는 장치 G09F 9/00)</t>
  </si>
  <si>
    <t>분리(습식법에 의한 고체와 고체의 분리 B03B, B03D; 풍력테이블 또는 풍력선광기에 의한 것 B03B; 다른 건식법에 의한 것 B07; 자기 또는 정전기에 의한 고체 또는 유체로부터의 고체의 분리, 고압전기장에 의한 분리 B03C; 원심분리기 과류장치 B04; 액체 함유물로부터 유체를 짜내는데 쓰이는 프레스 그 자체 B30B9/02; 수(水)처리 C02F, 예. 이온교환에 의한 연화 1/42; 냉방장치, 가습기 또는 통풍장치에서 여과기의 설치 또는)</t>
  </si>
  <si>
    <t>혼합, 예. 용해, 유화, 분산(도료의 혼합 B44D 3/06)</t>
  </si>
  <si>
    <t>화학적 또는 물리적 방법, 예. 촉매, 콜로이드 화학; 그들의 관련 장치(특정의 응용에 관한 방법 또는 장치는 그 방법 또는 장치에 관련되는 클라스를 참조, 예. F26B 3/08)</t>
  </si>
  <si>
    <t>일반적으로 사용되는 화학 또는 물리 실험장치(의학 및 약학용 장치 A61; 공업용 목적을 갖는 장치는 유사한 공업용장치의 구조 및 성능에 필적하는 실험용 장치의 구조 및 성능은 관련하는 공업용 장치에 대한 클래스, 특히 B01과 C12의 서브클래스를 참조; 분리 또는 증류장치 B01D; 혼합 또는 교반장치 B01F; 아토마이저(atomisers) B05B; 여과기 B07B; 마개(corks, bungs) B65D; 액체조작일반 B67; 진공펌프 F04; 사이펀 F04F？10/00; 수도꼭지 등 꼭지 F16K; 관, 관 이음새 F16L; 물질 규명 및 분석에 쓰이는 특정 기구 G01, 특히 G01N; 전기 또는 광학 기기, G와 H 섹션 관련 클래스 참조)</t>
  </si>
  <si>
    <t>제분을 위한 곡립의 전처리; 표면가공에 의한 입상과실을 상품으로 정제하는 것(곡류로부터 직접 반죽가루를 만드는 것 A21C; 곡류의 보존 또는 살균 A23B; 과실의 세정 A23B; 맥아의 조제 C12C)</t>
  </si>
  <si>
    <t>파쇄, 분쇄 또는 미분쇄일반; 곡립(알곡)의 분쇄(파쇄, 연삭 또는 분쇄에 의하여 얻어지는 분말 B22F 9/04)</t>
  </si>
  <si>
    <t>액체에 의한 또는 풍력테이블 또는 지그에 의한 고체물질의 분리(자기 또는 정전기에 의한 유체 또는 고체물질로부터 고체물질의 분리, 고전압 전기장에 의한 분리 B03C; 부유선별 또는 차별 침강 B03D; 고체에서 액체의 제거 B01D; 건식에 의한 분리 B07; 체를 사용하는 분리, B07B; 골라내는 것 B07C; 특별한 물질의 특별한 분리에 있어서 타의 단일클라스에 적용되는 것은 관련클라스를 참조)</t>
  </si>
  <si>
    <t>고체물질 또는 유체로부터 고체물질의 자기 또는 정전기에 의한 분리; 고압 전계에 의한 분리(전기 또는 자기를 이용한 여과기 B01D 35/06; 동위원소의 분리 B01D 59/00; 자기분리 또는 정전분리와 타의 방법에 의한 고체의 분리와의 조합 B03B, B07B; 파일(Piles)로부터 시이트의 분리 B65H 3/00; 자석 또는 자석코일 그 자체 H01F)</t>
  </si>
  <si>
    <t>부유선별; 차별침강(고체상호의 타분리와의 조합 B03B; 부유 및 침전분리 B03B 5/28)</t>
  </si>
  <si>
    <t>원심분리기(고속드럼분쇄기 B02C 19/11)</t>
  </si>
  <si>
    <t>자유와류를 이용한 장치, 예. 사이클론(내부 또는 원심분리장치를 사용하여 배출물 중 고체요소를 제거하는 수단을 가진 기계 및 기관에 대한 배출 소음 장치 F01N 3/037; 사이클로형 연소장치 F23)</t>
  </si>
  <si>
    <t>무화장치; 분무장치; 노즐(노즐이 있는 스프레이믹서 B01F 5/20; 분무에 의해서 액체 또는 타유동성 물질을 표면에 작용시키기 위한 공정 B05D)？？[2013.01]</t>
  </si>
  <si>
    <t>액체 또는 타유동성 물질을 표면에 작용시키기 위한 장치일반(무화장치, 분무장치, 노즐 B05B; 정전분무에 의한 액체 또는 타유동성 물질을 대상물로 작용시키기 위한 설비 B05B 5/08)？？[2,2013.01]</t>
  </si>
  <si>
    <t>액체 또는 타유동성 물질을 표면에 작용시키기 위한 공정일반(액체 용기를 통하여 물품 또는 제품 운반하는 것 B65G, 예. B65G 49/02)？？[2,2013.01]]</t>
  </si>
  <si>
    <t xml:space="preserve">기계적 진동의 발생 또는 전달 일반(특히 물리적 화학적 과정, 관련 서브클래스 참조 예. B07B 1/40, B22C 19/06, B23Q 17/12, B24B 31/06, E01C 19/22; 발생과 측정을 결합한 것을 포함한 기계적 진동의 측정, G01H; 음파의 반사나 재방사를 이용한 시스템 G01S 15/00; 탐사용 지진에너지의 발생 G01V 1/02; 기계적 진동의 조절 G05D 19/00; 음을 전달하고 유도 또는 지향시키기 위한 방법 또는 장치 일반 G10K？11/00; 음파의 합성 G10K？15/02; 압전, 전자변형나 자기변형 요소 H01L？41/00; 자기, 아마추어, 또는 코일 진동 차량 H02K？33/00; 압전, 전자변형이나 자기변형 차량 H02N？2/00; 전기진동의 발생 H03B; 공진회로 요소로서의 전기기계 공명기 H03H; 확성기, 마이크, 축음기 혹은 음파 전기기계 변환기 H04R) </t>
  </si>
  <si>
    <t>망, 체 또는 스크린에 의하거나 기체류를 사용하는 고체상호의 분리; 입상물(bulk material)에 적용하는 건식에 의한 기타의 분리, 예. 입상물과 동일하게 취급할 수 있는 유리물(loose articles) (습식분리장치, 액체와 같은 방법으로 유동성의 물질을 사용하는 과정에 의해 분리하는 것 B03; 건식장치와 습식분리장치와의 조합 B03B; 액체를 사용하는 것 B03B, B03D; 고체 또는 유동체로부터 고체의 자력분리 또는 정전분리에 의한 )</t>
  </si>
  <si>
    <t>우편에 관한 선별(postal sorting); 개개의 물품(articles) 분류, 피스밀(piecemeal)로 분리되기에 적합한 대량물(bulk material) (다른 클래스에 속하는 특수목적에 특히 적합한 것은, 관련된 클래스를 참조, 예. A43D 33/06, B23Q 7/12)</t>
  </si>
  <si>
    <t>청소일반; 오염방지일반(브러시류 A46; 가정용 또는 유사한 청소수단 A47L; 액체, 기체로부터의 입자분리 B01D; 고체의 분리 B03, B07; 분무 또는 다른 표면에 액체 또는 다른 유동체를 작용시키는 것 일반 B05; 컨베이어용 청소장치 B65G 45/10; 세정, 충전, 폐쇄를 병에 대해 동시에 행하는 것 B67C 7/00; 녹, 물때 방지 일반 C23; 도로, 궤도, 해안 또는 지면의 청소 E01H; 특히 청소를 위한 수영장, 욕조, 풀장의)</t>
  </si>
  <si>
    <t>고체 폐기물의 처리</t>
  </si>
  <si>
    <t>오염된 토양의 재생(토양에서 돌 또는 유사 물질을 제거하는 기계 A01B 43/00; 증기에 의한 토양살균 A01G 11/00; 분리일반 B01D; 해안의 청소 E01H 12/00; 지면으로부터 바람직하지 않은 물질, 예를 들면 쓰레기 등의 제거 E01H 15/00) ？？[6]</t>
  </si>
  <si>
    <t>금속의 압연(B21에 포함되는 금속가공작업과 관련하여 사용되는 예비작업(보조작업)은 B21C, 롤링에 의한 벤딩은 B21D, 특별한 물건의 제조, 예를들면 롤링에 의한 스크류, 휠, 링, 배럴, 볼 제조는 B21H, 압연기에 의한 가압용접 B23K20/04 )</t>
  </si>
  <si>
    <t>기본적으로 재료의 제거없이 금속판, 금속관, 금속봉 또는 금속외형(Profiles)의 가공 또는 공정; 펀칭(Punching)(선재의 가공 또는 공정 B21F)</t>
  </si>
  <si>
    <t>금속와이어(선재)의 가공 또는 공정 (금속의 압연 B21B; 인발에 의한 것, 재료를 실질적으로 제거하지 않은 금속가공에 관련해서 이용되는 보조작업 B21C; 물품의 묶음 B65B 13/00)</t>
  </si>
  <si>
    <t>바늘, 핀 또는 금속 못의 제조</t>
  </si>
  <si>
    <t>전조, 롤러가공 또는 압연에 의한 특정의 금속대상물의 제조 예. 나사, 차륜, 링, 배럴, 볼(실질적으로 판재에서 만들어진 것 B21D)</t>
  </si>
  <si>
    <t>단조; 해머링(망치질); 금속 프레스; 리베팅; 단조로(금속의 압연 B21B; 단조 또는 프레스에 의한 특정한 제품의 제조 B21K; 클래딩 또는 도금법 B23K; 해머링에 의한 표면 정제 B23P 9/04; 특정물질의 폭발에 의한 표면 압축 B24C 1/10; 프레스의 일반적 특징, 고철(scrap)을 다지기 위한 프레스 B30B; 노 일반 F27)</t>
  </si>
  <si>
    <t>단조 또는 금속 프레스제품의 제조, 예. 말굽, 리벳, 볼트, 차륜(본질적으로는 실질적으로 재료를 제거하지 않은 금속판의 가공에 의한 특수물품의 제조 B21D; 면재의 제조 B21F; 핀, 침, 정의 제조 B21G; 압연에 의한 특수물품의 제조 B21H; 단조기계, 프레스기계, 망치질기계, 일반 B21J; 체인의 제조 B21L, 피복(plating) B23K)</t>
  </si>
  <si>
    <t>금속 체인의 제조 (체인 제조 또는 주물에 의한 체인링크 B22D 25/02 ; 체인일반 F16G)</t>
  </si>
  <si>
    <t>주조용 주형 조형 (내화물의 조형일반 B28B)</t>
  </si>
  <si>
    <t>금속의 주조; 동일방법과 장치에 의한 타물질의 주조; 플라스틱 또는 가소성 상태의 물질의 성형 B29C; 야금방법, 금속에의 첨가제의 선정 C21, C22</t>
  </si>
  <si>
    <t>금속 분말의 가공; 금속분말로부터 물품의 제조; 금속분말의 제조(분말야금에 의한 합금의 제조 C22C: ); 금속 분말에 적용되는 특수 장치 또는 장비 ？？[2013.01]</t>
  </si>
  <si>
    <t xml:space="preserve">선삭; 보오링(모방 또는 제어 장치 B23Q) </t>
  </si>
  <si>
    <t>밀링(브로우칭 B23D; 치차 제조에 있어서 브로우치 밀링 B23F; 모방 또는 제어 장치 B23Q)</t>
  </si>
  <si>
    <t>평삭; 슬로팅; 전단; 브로우칭; 톱질; 줄질; 스크레이핑; 달리 분류되지 않는 재료를 제거하는 금속 가공을 위한 유사한 작업(치차 가공 B23F; 금속의 일부 가열용단은 B23K; 모방 제어에 관한 것 B23Q)</t>
  </si>
  <si>
    <t>치차 또는 랙의 제조(형단조에 의한 것 B21D;전조에 의한 것 B21H;단조, 압연에 관한 것 B21K;주조에 의한 것 B22;모방 장치 또는 제어 장치 B23Q;연삭 또는 연마를 위한 기계 또는 연마를 위한 기계 또는 장치 일반 B24)</t>
  </si>
  <si>
    <t>나사산 절삭; 나사산 절삭과 관련된 나사, 볼트 또는 너트의 가공 (파형관에 의한 나사산의 형성 B21D 15/04; 롤링에 의한 나사산 형성 B21H 3/02; 단조, 프레스가공 또는 망치질에 의한 나사산 형성 B21K 1/56; 선삭에 의한 나선홈(helical grooves)의 형성 B23B 5/48, 밀링 가공에 의한 것 B23C 3/32; 연삭에 의한 것 B24B 19/02; 모방 절삭 또는 제어를 위한 장치 B23Q)</t>
  </si>
  <si>
    <t>공구의 전극을 사용, 공작물에 고밀도의 전류를 사용하는 것에 의해서 행해지는 금속 가공; 이와같은 가공과 다른 형식의 금속 가공을 복합한 것(전해 또는 전기영동에 의한 피복의 형성 방법, 전기 형성, 또는 그를 위한 장치 C25D; 대상물에서 재료의 전해제법방법 C25F; 소망도전성 재료 침전기술을 사용한 인쇄 회로의 제조 H05K 3/18)</t>
  </si>
  <si>
    <t>납땜(Soldering) 또는 비납땜(Unsoldering); 용접; 납땜 또는 용접에 의하여 클래딩(clading) 또는 피복; 국부 가열에 의한 절단, 예. 화염 절단; 레이저 빔에 의한 가공(금속의 압출에 의한 금속 피복 제품의 제조 B21C 23/22; 주조에 의한 라이닝(lining) 또는 피복의 제조 B22D 19/08; 침적에 의한 주조 B22D 23/04; 금속분말의 소결에 의한 피복층의 제조 B22F 7/00; 피사 또는 제어를 위한 기)</t>
  </si>
  <si>
    <t>금속의 다른 가공; 복합 작업; 만능 공작 기계(모방 장치 또는 제어 장치 B23Q)</t>
  </si>
  <si>
    <t>공작 기계의 세부, 구성부분, 또는 부속 장치, 예. 모방 또는 제어 장치(선반 또는 보오링머신의 공구 B23B 27/00); 특정의 세부 또는 구성부분의 구조에 특징이 있는 공작 기계; 특정의 결과를 목적으로 하지 않는 금속 가공 기계의 조합</t>
  </si>
  <si>
    <t>연삭 또는 연마하기 위한 기계, 장치 또는 공정(전기부식(electro-erosion)에 의한 것 B23H; 연삭 입자 또는 관련된 것의 분사 B24C; 전해에칭(electrolyticetching)또는 전해연마 C25F 3/00); 마모면의 드레싱 또는 정상화; 연삭제, 연마제 또는 랩핑제(LAPPING-AGENTS)의 공급 ？？[2, 2013.01]</t>
  </si>
  <si>
    <t xml:space="preserve">연마제(ABRASIVE) 또는 입상 물질(PARTICULATE MATERIAL)의 분사(BLASTING) </t>
  </si>
  <si>
    <t>그라인딩(grinding), 버핑(buffing) 또는 날연삭 (sharpening)용 공구(회전통 장치를 위해 특별히 제작된 마모체(abrading­bodies), 예. 마모볼(abrading­balls) B24B 31/14; 연마 도구 B24B 33/08; 래핑(lapping) 장치 B24B 37/11) ？？[2013.01]</t>
  </si>
  <si>
    <t>휴대 가능한 못박기 공구 또는 스테이플러; 휴대 가능한 수동식 스테이플러(신는 것의 제조 A43D)</t>
  </si>
  <si>
    <t>충격 공구？？[2]</t>
  </si>
  <si>
    <t>달리 분류되지 않는 조합 공구 또는 다목적 공구; 작업에 특별히 관련되어 달리 분류되지 않는 휴대용 동력 구동 공구의 세부 또는 요소</t>
  </si>
  <si>
    <t>수공구용 자루(흙작업을 위한 수공구의 자루에 칼날 또는 그와 유사물을 부착한 것 A01B 1/22; 수확용 수공구의 자루 A01D 1/14; 브러시 제품을 가지는 자루 전체 A46B)</t>
  </si>
  <si>
    <t>공장 설비, 예. 금긋기 작업용; 공장용의 저장 수단 ？？[2013.01</t>
  </si>
  <si>
    <t>메니플레이터(manipulater); 메니플레이터 장치를 갖는 실(室)(과일, 야채, 열매등을 개별적으로 수확하는 로봇 장치 A01D 46/30; 수술용 침 매니플레이터 A61B 17/062; 회전 압연과 연관된 매니플레이터 B21B 39/20; 단조 기계와 연관된 매니플레이터 B21J 13/10; 차륜 또는 그의 부분을 지지하기 위한 매니플레이터 B60B 30/00; 크레인 B66C; 원자로내 사용되는 연료 또는 기타 물질의 처리 수단 G21C 19/00; 방사능으로부터 보호된 공간, 방과 매니플레이터의 구조적 결합 G21F？7/06) [5])</t>
  </si>
  <si>
    <t>그 밖에 분류되지 않는 휴대용 절단 공구(수확용 A01D； 원예용, 임업용 A01G； 도살 또는 고기의 처리용 A22； 신발류의 제조 또는 수리용 A43D； 손톱깎이 기구 또는 손톱깎이 A45D29/02； 부엌용구 A47J； 수술 목적을 위한 것 A61B17/00；금속용 B23D； 연마제 제트분사에 의한 절단 B24C5/02； 절단칼날을 갖춘 플라이어 유사 공구 B25B7/22； 집게 B25C11/02； 수공구용의 손잡이 일반 B25G； 단두대형(gui) B26D; 소거 B43L？19/00; 섬유 원료 D06H)</t>
  </si>
  <si>
    <t>절단; 구멍뚫기, 펀칭, 잘라내기, 형빼기 또는 절삭을 위한 기계에 공통된 세부(천을 잘라서 조각을 내는 칼 또는 다른 절개수단 또는 찢음부에 의한 해체 B02C 18/00; 유체 분사에 의한 절단 B24C 5/02; 휴대절단 공구 B26B)？？[2,5,2013.01]</t>
  </si>
  <si>
    <t>구멍 뚫기; 펀칭; 잘라 빼기; 형 뽑기; 절단 칼날 이외의 수단에 의한 절단(마크 부착, 미싱으로 구멍 뚫기 또는 버튼 구멍 뚫기 A41H 25/00; 신발 제조 A43D; 수술 A61B; 금속의 펀칭 B21D; 금속의 구멍 뚫기 B23B; 국부 가열에 의한 금속의 절단, 예. 화염에 의한 절단 B23K; 유체 분사에 의한 절단 B24C 5/02; 절단기 공통의 세부 B26D; 목재의 구멍 뚫기 B27C; 석재의 구멍 뚫기 B28D; 플라스틱 또는 플라스틱 상태의 소재 B29; 종이나 유사 소재로 만든 박스, 곽, 봉투 혹은 가방, 예. 금속박, B31B; 잔 C03B, 가죽 C14B; 직물 D06H; 도광판 G02B; of tickets G07B) [5]</t>
  </si>
  <si>
    <t>목재 또는 유사 재료를 위한 톱 ; 그것을 위한 구성품 또는 부속품 (나무 가지치기 또는 가지치기용에 특히 적합한 톱 A01G 3/08; 나무를 자르기에 특히 적합한 톱 장치 A01G 23/091; 목재용 톱에 한정되지 않는 것 B23D, 예. 톱날을 부착하는 것 B23D 51/00; 공작 기계의 프레임, 베드, 기둥(pillar) 또는 그와 유사한 요소 일반 B23Q 1/01) ？？[5]</t>
  </si>
  <si>
    <t>대패질, 송곳질(Drilling), 제분, 선삭, 또는 목재 또는 그와 유사한 재료용 만능 가공기계(공작 기계 일반 B23; 숫돌 입자를 사용하는 목재 가공 B24; 그것을 위한 공구 B27G)</t>
  </si>
  <si>
    <t>단판 또는 합판의 가공(표면에 유체 또는 다른 유동체를 작용시키는 것 일반 B05; 목재의 연삭(grinding, sanding), 연마(polishing) B24; 목재의 표면에 접착제 또는 아교를 도포하는 것 B27C 11/00; 단판의 제조 B27L 5/00)</t>
  </si>
  <si>
    <t>도브테일(Dovetail)가공; 장부(tenons)절단기; 목재 또는 그와 유사한 재료용 홈(Slot) 가공기; 못박기 또는 스테플링 기계(소형 못박기 또는 스테플러 공구 B25C; 목재로 부터 나오는 케이스, 트렁크 또는 상자의 제조 B27M 3/34; 건축 구조의 접합 일반, 예. 건축 구조물에 사용하는 조립못 E04B 1/38; 일반적으로 요소를 접합시키는 것, 예. 조립못 일반 F16B)</t>
  </si>
  <si>
    <t>목공 또는 유사한 재료를 위한 부속 기계 또는 장치; 목공 또는 유사 재료를 위한 것; (연마를 위한 공구 B24D; 톱질용 공구 B27B 33/00; 슬롯팅(slotting) 또는 봉박음 기계 B27F 5/02 ; 톱밥, 조각, 분말 또는 그와 같은것을 제작하기 위한 공구 B27L 11/00); 목공 기계 또는 공구를 위한 안전 장치</t>
  </si>
  <si>
    <t>목재 또는 유사 재료를 구부림; 통장이일(Cooperage); 목재 또는 유사물을 이용한 바퀴 제작</t>
  </si>
  <si>
    <t>목재를 주입, 착색, 염색, 표백하거나, 목재 및 그와 유사 재료를 침투액으로 처리하는 방법, 장치 또는 물질의 선택; 코르크, 등나무, 갈대, 볏짚 또는 유사 재료의 화학적 또는 물리적 처리？？[2]</t>
  </si>
  <si>
    <t>목재 또는 타의 리그노셀룰로이즈 또는 유사 유기재료로 이루어지는 입자 또는 섬유에서 형성되는 물품의, 유기 결합재를 갖거나 갖지 않는, 드라이 프로세스에 의한 제조(시멘트질 재료를 포함하는 것 B28B; 가소 형태의 물질의 성형 B29C; 섬유현탁액에서 제조된 섬유판 D21J; 건조 F26B 17/00)</t>
  </si>
  <si>
    <t>점토 또는 다른 세라믹 조성물, 슬래그 또는 시멘트 함유 혼합물, 예. 플래스터의 성형(주조용 주형 B22C; 석재 또는 석재 유사 재료의 가공 B28D; 가소 상태물질의 성형 일반 B29C; 이들의 재료만으로 구성되어 있지 않은 적층체의 제조 B32B; 현장에서의 성형은 섹션E에 관련되는 클라스를 참조)</t>
  </si>
  <si>
    <t>점토의 제법; 점토 또는 시멘트 유사물, 예. 플래스터(Plaster)를 포함한 혼합물의 제법(주형용 재료의 제법 B22C 5/00)</t>
  </si>
  <si>
    <t>석재 또는 석재 유사 재료의 가공(채광과 채석을 위한 기계 및 방법 E21C)</t>
  </si>
  <si>
    <t>플라스틱의 성형 또는 접합; 소성 상태에 있는 물질의 성형으로서 달리 분류되지 않는 것; 성형품의 후처리, 예. 수선 (금속의 가공 B23; 연마, 광택내기 B24; 절단 B26D, B26F; 예비 성형품의 제조 B29B 11/00; 미리 연결되지 않은 층을 결합하여 적층 제품을 제조하는 것 B32B 37/00-B32B 41/00) ？？[4]</t>
  </si>
  <si>
    <t>플라스틱 또는 가소성 상태에 있는 물질로부터 특정 성형품의 제조(미립의 제조 B29B 9/00; 예비 성형품의 제조 B29B 11/00)</t>
  </si>
  <si>
    <t>서브클라스 B29B, C 또는 B29D에 관련되는 성형재, 보강재, 충진재 또는 미리 성형된 부품, 예. 삽입물에 관한 인덱싱 계열</t>
  </si>
  <si>
    <t>서브클래스 B29C에 관련되는 특정물품에 관한 인덱싱 계열 ？？[4]？</t>
  </si>
  <si>
    <t>프레스 일반；그 밖에 분류되지 않는 프레스(물질의 변태를 생기게 하는 초고압 또는 초고압과 고온의 발생, 예.인조 다이아몬드를 제조하기 위한 것 B01J3/00) [2]</t>
  </si>
  <si>
    <t>종이, 판지 또는 종이와 유사한 방식으로 처리되는 물질을 이용한 용기의 제조 (권선제품의 제조, 예. 권선튜브 B31C; 제조와 충진이 결합된 것 B65B)</t>
  </si>
  <si>
    <t>권취 제품의 제조, 예. 종이, 판지 또는 종이와 유사한 방식으로 가공되는 재료의 권취 튜브</t>
  </si>
  <si>
    <t>서브클래스 B31B 또는 B31C에서 제공하지 않는 종이, 판지 또는 종이와 같은 방식으로 가공되는 재료의 제품을 제조 (나무 또는 다른 목질 섬유소 물질 또는 그와 같은 유기물질로 구성된 섬유 또는 입자로부터 만들어진 제품의 건조 공정에 의한 제조 B27N; 종이 또는 판지의 전체로 구성되지 않은 층이 있는 제품을 만드는 것 B32B; 셀룰로오스 섬유 현탁액으로부터 제품을 만드는 것, 예. 나무 펄프 D21J)</t>
  </si>
  <si>
    <t>종이, 판지 또는 종이와 같은 방식으로 가공되는 재료의 기계적 가공 또는 변형 (전체가 종이 또는 판지로 구성되지 않은 적층체의 제조 B32B)</t>
  </si>
  <si>
    <t>인쇄 판면의 제작 또는 복제 방법(인쇄 판면 작성용 사진 제판 방법 G03F; 인쇄판면 작성용의 광전적 방법 G03G</t>
  </si>
  <si>
    <t>연판 인쇄를 하기 위한 인쇄 판면의 기계적 복제 장치; 인쇄 판면을 작성하기 위한 탄성 재료 또는 가소성 재료의 성형(고밀도 전류의 작용에 의한 금속의 마크부 또는 각인 B23H 9/06; 활자의 제조, 식자 또는 해판용의 기계 또는 부속 장치 B41B; 인쇄 판면의 제작 또는 복제를 하기 위한 방법 B41C; 일반적 조각 또는 양각용의 기계 또는 장치 B44B 3/00, B44B 5/00; 금속의 화학적 부식 C23F 1/00; 전해 부식 C25F 3/00; 사진 복사 G03F)</t>
  </si>
  <si>
    <t>인쇄기 또는 프레스(Presses) (복사기 또는 오피스 인쇄기 B41L) ？？[4]</t>
  </si>
  <si>
    <t xml:space="preserve">금분 인쇄, 괘선 인쇄 또는 가장자리 부분에 테를 두르기 위한 장치; 인쇄와 관련하여 구멍 뚫기 위한 부속 장치(장식의 제조 B44C; 얇은 재료의 예. 매엽지, 권취지 접기 또는 펴기 B65H 45/00, B65H 47/00; 천공 일반 B26D; 매엽지 또는 권취지의 배지와 관련된 천공 B65H 35/00; 굽혀지고 펴지는 얇은 소재, 예. 시트, 웹, B65H？45/00, B65H？47/00) </t>
  </si>
  <si>
    <t>타이프 라이터; 선택적 프린팅 기구, 즉 조판 이외의 수단으로 프린팅하는 기구; 오타의 수정(세판 B41B; 특수 표면에 인쇄하는 것 B41F; 세탁 마크 B41K; 지우개 용구, 고무 지우개, 또는 지우개 장치 B43L 19/00; 프린팅 오타의 코팅에 의한 액상 수정 매체 C09D 10/00; 측정 결과의 기록 G01; 데이터의 인식 또는 표시, 디지털 방식에 의한 기록 운반체에의 기록, 예, 천공에 의한 것 G06K; 우편물 무료 송달기, 또는 티켓 프린트 기계 G07B; 전자 키보드 전환기, H01H 13/70, H03K 17/94; 키보드나 유사 도구를 이용한 연결 코딩 H03M 11/00; 디지털 정보 전달을 위한 H04L; 문서의 전달 혹은 재생산, 예. 팩시밀리, H04N？1/00; 인쇄 기계, 예. 금전등록기, 저울, 그리고 그들의 수치를 기록하는 것)</t>
  </si>
  <si>
    <t xml:space="preserve">압인; 압인 장치 또는 번호 인자 장치(식육의 마킹 A22C 17/10; 인쇄와 결합된 엠보싱 B41F 19/00, 선택적 프린팅 기구 B41J; 장식 또는 마크의 엠보싱 B44B 5/00; 완전한 포장체의 마킹 또는 약호 붙이기 B65B 61/26; 티켓 인쇄 및 발행 장치, 요금 등록 장치, 인쇄 기구가 없는 무료 송달 장치 G07B) </t>
  </si>
  <si>
    <t xml:space="preserve">인쇄, 복제, 마킹 또는 복사 방법; 컬러 인쇄(인쇄 에러의 수정 B41J; 그림 또는 그와 유사한 것을 전사하는 방법 B44C 1/16; 피복하는 것에 의하여 인쇄 에러를 수정하는 액체 매체 C09D 10/00; 날염 D06P) </t>
  </si>
  <si>
    <t>책; 책 커버; 낱장식(Loose leaves); 신원확인 또는 보안 기능에 특징이 있는 인쇄물; 달리 분류되지 않는 특정 포맷 또는 스타일의 인쇄물; 달리 분류되지 않고 그것과 함께 사용되는 장치; 이동되는 대상체의 기입 또는 독취 장치 [2013.01, 2014.01]</t>
  </si>
  <si>
    <t>필기용 또는 제도용 기구(화장 물질용 용기, 포장 또는 부속품. 예, 면도용 비누, 립스틱, 메이크업)</t>
  </si>
  <si>
    <t>미술 작업을 위한 공구, 장치, 기계, 예. 조형, 무늬 장식, 조각, 소인 또는 인레이(Inlaying)(장식이 있는 가죽 C14B)？？[2013.01]</t>
  </si>
  <si>
    <t xml:space="preserve">장식 효과의 창작(표면에 액체 또는 다른 유동물질을 적용하는 과정 일반 B05D; 플라스틱 또는 플라스틱 상태에서의 물질을 성형 B29C; 전사화(transfer picture)을 만들기 위한 인쇄 과정 B41M 3/12, 감열복제 또는 마킹 방법 B41M 5/00); 모자이크; 목판 세공(모자이크 또는 목판 세공 패턴의 모방 B44F 11/04); 도배？？ ？？[2] </t>
  </si>
  <si>
    <t>달리 분류되지 않은 도장 또는 그림; 그림의 보존; 특수한 미술적 표면 효과 또는 표면 끝마무리를 위한 표면 처리(표면 처리 일반, 관련 분류, 예. 액체 또는 다른 유동 물질의 적용 B05 참조) ？？[2]</t>
  </si>
  <si>
    <t>차륜; 캐스터(castor); 굴려서 바퀴 또는 바퀴 부품 제작 B21H 1/00, 단조, 망치질 또는 프레싱 B21K 1/28) ; (이동의 편리를 위해 가구 밑에 단; 바퀴 또는 카스트로(castors)를 위한 축; 차륜 부착력을 증진시키는 것)</t>
  </si>
  <si>
    <t xml:space="preserve">차량용 타이어(제조, 수리 B29); 타이어의 팽창; 타이어의 교환; 일반; 팽창가능한 탄성체에 밸브의 부착; 타이어에 관한 장치 또는 부품(타이어의 시험 G01M 17/02) </t>
  </si>
  <si>
    <t>레일 차량 서스펜션, 예. 차대, 보기, 또는 바퀴 축의 배치 ; 다른 넓이의 트렉에 사용을 위한 전차(Rail vehicles) ; 전차의 탈선 예방 ; 바퀴 덮개, 전차용 장애물 제거기 또는 그와 같은 것 ( 차량용 일반 B60 ; 축 또는 바퀴 B60B ; 차량 타입 B60C )</t>
  </si>
  <si>
    <t>차량의 추진 기관 또는 변속기(트랜스미션, transmission)의 배치 또는 설치； 복수의 다양한 원동기의 배치 또는 설치； 차량용 보조 구동장치； 차량용 계기 또는 계기판； 차량의 추진 장치의 냉각, 흡기, 배기 또는 연료 공급에 관한 배치 ？？[1,8]</t>
  </si>
  <si>
    <t>전기 추진차량의 추진(차량의 공통 추진 또는 상호 추진을 위한 여러 다양한 견인차의 또는 전기 추진 장치의 설치 또는 배치 B60K 1/00, B60K 6/20; 차량에서 전기 기어링의 설치 또는 배치 B60K 17/12, B60K 17/14; 철도 차량에서 파워를 감소시킴으로 휠 슬립(wheel slip)을 예방하는 것 B61C 15/08; 전기 발전 기계 H02K; 전기자동차의 제어 또는 조정 H02P); 전기추진자동차의 보조 장치를 위해 전력을 공급; 차량 전기 제동 시스템; 자기 부유 혹은 부양 시스템, 전기추진자동차의 조절 작동 관찰 및 전기 안전 장치[4]</t>
  </si>
  <si>
    <t>차량의 일반적인 신호 또는 조명장치의 배치, 그것의 또는 그것을 위한 회로의 장착 또는 지지 [4]</t>
  </si>
  <si>
    <t>차량용 제동제어방식 또는 그 부품； 제동 제어 방식 또는 그 부품 일반(전기적 제동 방식의 제어 B60L 7/00； 차량의 브레이크와 다른 구동 유닛의 관련 제어 B60W； 차량의 제동 요소의 구성 일반； 차량의 의도하지 않은 움직이는 것을 저지하기 위한 포터블 장치； 제동 장치의 냉각을 위한 차량의 개조？？[1,8])</t>
  </si>
  <si>
    <t xml:space="preserve">다른 종류 또는 다른 기능의 차량용 부품의 관련 제어； 하이브리드 차량에 특별히 적합한 제어 시스템； 특정의 단일의 부품의 제어에 관한 것은 아닌, 특정의 목적을 위한 도로상의 차량의 운전 제어 시스템？？[8] </t>
  </si>
  <si>
    <t>철도 차량에 특유한 제동 장치 또는 기타 감속 장치; 철도 차량에서의 제동 장치 또는 기타 감속 장치의 설비 또는 배치 (차량의 전기적 제동 B60L, 일반 H02K; 철도 차량에서의 차량 또는 궤도의 상태변화에 따라 차량제동력을 조정하기 위한 장치 B60T 8/00; 보조력 또는 구동동력을 사용하여 초동 장치에서 최종 제동작동기까지의 제동동작의 전달, 그와 같은 전달 장치가 조합된 제동 방식, 예. 공기압제동 방식 B60T 13/00; 동력제동 방식 밸브의 구성, 배치, 운영 B60T 15/00; 제동 시스템의 부품, 세밀하고 부수적인 부분 B60T？17/00; 일반 제동장치 F16D)</t>
  </si>
  <si>
    <t>자동차; 트레일러(Trailers) (농업 기계 또는 그 설비의 조향 및 안내 A01B 69/00; 차륜, 캐스터, 차축, 차륜의 점착력을 증가시키는 것 B60B; 차량 타이어, 타이어의 팽창, 타이어의 교환 또는 수리 B60C; 열차 또는 유사 차량간의 연결기 B60D; 철도 및 노면용 차량, 수육양용 또는 용도 전환 가능한 차량 B60F; 현가 장치 B60G; 난방, 냉방, 환기 또는 다른 공기 처리 장치 B60H; 창, 방풍 유리, 비고정식 루프)</t>
  </si>
  <si>
    <t>선박 또는 그 밖의 물에 뜨는 구조물; 선적을 위한 장치(선박의 환기장치, 난방장치, 냉방장치 또는 공기조화 장치 B63J 2/00; 준설선 또는 토양 이동 기계의 지지로서 부유성 하부구조 E02F 9/06) ？？[2,2013.01]</t>
  </si>
  <si>
    <t>항공기의 장비; 비행복; 패러슈트(parachute 낙하산); 항공기내의 동력 장치 또는 추진 전달 기구의 설비 또는 장치</t>
  </si>
  <si>
    <t>항공기와 연관된 사용에 특히 적합한 지상 또는 항공 모함 갑판 설비; 다른곳에 분류되지 않는 설계, 제조, 조립, 청소, 유지 또는 항공기 수리; 다른 곳에 분류되지 않는 항공기 부품의 취급, 이송, 테스팅 또는 검사</t>
  </si>
  <si>
    <t>물품 또는 재료를 포장하기 위한 기계, 기구, 장치 또는 방법; 포장 해체 (잎담배의 묶음 및 압착 장치 A24C1/44; 결합된 물품 또는 물품에 지지되도록 적용된 결속구를 긴장 혹은 고착시키기 위한 장치 B25B 25/00; 병, 단지 또는 유사한 용기에대한 밀폐구의 적용 B67B？1/00-B67B？6/00; 병의 동시 세척, 충전과 밀폐 B67C？7/00; 병, 단지, 캔, 통, 배럴 또는 이와 유사한 용기를 비우기 위한 것 B67C？9/00)</t>
  </si>
  <si>
    <t>운반 또는 저장 장치, 예. 하적 또는 티핑(tipping) 컨베이어; 공장 컨베이어 시스템 또는 공기 튜브 컨베이어(포장 B65B; 얇고 단섬유의 재료를 다루는 것, 예. 종이 시트 또는 실 B65H; 크레인 B66C; 휴대용 또는 이동식 승강 또는 운반 장치, 예. 승강 장치, B66D; 적하 또는 부하 목적으로 상품을 승강 또는 하강하는 장치, 예. 포크 리프트 트럭, B66F 9/00; 달리 분류되지 않는, 유리병, 단지, 캔, 캐스트, 배럴 B67C？9/00; 액체의 전달 및 이송 B67D; 액화, 응고, 혹은 압축된 가스관을 채우거나 뺌 F17C; 액체 파이프라인 시스템 F17D)</t>
  </si>
  <si>
    <t>엘리베이터; 에스컬레이터 또는 이동 보도(일반적인 출구 수단의 대체품으로 사용되는 인명 구조 장치, 예. 계단, 케이지에서 아래에 있는 사람을 구조, 가방 또는 건물 또는 다른 구조로부터 유사한 지원 A62B 1/02; 항공기와 같은 또는 승객 탑승을 가능하게 하기 위한 또는 비행을 조작하기 위한 장치 B64D 9/00; 리프팅 또는 호이스팅 장치에의 응용을 특징으로 하는 브레이크 또는 래칫장치 B66D 5/00)？？[4,2013.01]</t>
  </si>
  <si>
    <t xml:space="preserve">캡스탄(capstans); 윈치(winches); 태클(tackles), 예.풀리.블록(pully blocks); 호이스트(hoists) (공급 또는 저장의 목적을 위한 권상 또는 권하 로프 또는 케이블 B65H； 공급 또는 저장을 위한 로프 또는 케이블의 권상 또는 권하 장치 B66B； 매달아진 비계에 특히 적합한 권상 장치 E04G3/32) </t>
  </si>
  <si>
    <t>달리 분류되지 않는 감아올리기, 들어올리기 또는 견인 또는 압진, 예. 하물의 표면에 직접 접하여 들어올리기 또는 압진에 적용되는 장치 (파일 또는 유사한 지지물상의 인공섬의 부착 E02B 17/00 ; 들어올리기 장치에 조합된 비계(scaffolding) E04G 1/22,3/28 ; 가동형틀을 위한 리프트장치 E04G 11/24 ; 건축물용 리프트 E04G 23/06 ; 지주 또는 기둥 E04G 25/00 ; 사다리에 부착된 승강장치 또는 기타의 게양장치 E06C？7/12; 채굴 받침대 E21D？15/00)</t>
  </si>
  <si>
    <t xml:space="preserve">피혁(Leather), 범포(canvas) 또는 그 유사품으로부터의 물품의 제조(피혁 자체의 가공 C14) </t>
  </si>
  <si>
    <t>마이크로 구조 장치 또는 시스템, 예. 마이크로 기계 장치 (압전소자, 전왜소자 또는 자왜소자 그 자체 H01L41/00) ？？[7]</t>
  </si>
  <si>
    <t>마이크로 구조적 장치 또는 시스템의 제조 또는 처리에 특히 적합한 방법 또는 장치 (마이크로캡슐 또는 마이크로풍선을 만드는 것 B01J13/02; 압전소자, 전왜소자, 자왜소자 자체의 제조나 처리에 적합한 방법 또는 장치 H01L41/22) ？？[7]</t>
  </si>
  <si>
    <t>개별단위로서의 분자, 원자들의 제한된 집합 또는 개별 원자, 분자의 조작에 의해 형성된 나노구조; 그의 취급 또는 제조 ？？[7]</t>
  </si>
  <si>
    <t>나노 구조의 응용 또는 특정한 사용; 나노 구조의 분석 또는 측정; 나노 구조의 처리 또는 제조 ？？[2011.01]</t>
  </si>
  <si>
    <t>암모니아; 시안; 이들의 화합물(할로겐의 옥시산염 C01B 11/00; 과산화물, 퍼옥시산염 C01B 15/00; 티오황산염, 아이티온산염, 폴리티온산염 C01B 17/64; 셀레늄 또는 텔루르를 함유한 화합물 C01B 19/00; 아지드 C01B 21/08; 금속 아미드 C01B 21/092; 아질산염 C01B 21/50; 인화물 C01B 25/08; 인의 옥시산염 C01B 25/16; 규소를 함유한 화합물 C01B 33/00; 붕소를 함유한 화합물 C01B？35/00; 이산화탄소를 제외한 개별 요소 및 무기 화합물을 위한 효소 활용 과정 C12P？3/00; 전지 분해 요법이나 전기 이동에 의한 비금속 요소나 무기화합물의 생산 C25B)</t>
  </si>
  <si>
    <t>알칼리 금속의 화합물, 즉. 리튬, 나트륨, 칼륨, 루비듐, 세슘, 또는 프란슘 (금속 수소화물 C01B6/00; 할로겐의 옥시산염 C01B11/00; 과산화물, 페르옥소산염 C01B15/00; 황화물 또는 다황화물 C01B17/22; 티오황산염, 아디티온산염, 폴리티온산염 C01B17/64; 셀레륨 또는 텔루륨을 포함하는 화합물 C01B19/00; 금속을 가지는 질소의 2원 화합물 C01B21/06; 아지드화물 C01B21/08; 금속 아미드 C01B; 아질산염 C01B？21/50; 인화물 C01B？25/08; 산소염 형광체 C01B？25/16; 탄소화물 C01B？32/90; 실리콘 합성물 C01B？33/00; 붕소 화합물 C01B？35/00; 시안화물 C01C？3/08; 시안산 C01C？3/14; 시안아미드 C01C？3/16; 티오시안산 C01C？3/20;  이산화탄소를 제외한 발효 혹은 효소를 활용한 과정의 요소, 무기합성물 예. 광석, 유리 금속을 얻기위한 야금술 과정의 중간 합성물 C22B; 전기분해 혹은 전기 이동에 의한 비금속 요소나 무기 합성물의 생산 C25B)</t>
  </si>
  <si>
    <t>금속 베릴륨, 마그네슘, 알루미늄, 칼슘, 스트론튬, 바륨, 라듐, 토륨, 또는 희토류 금속의 화합물 (금속 수소화물 C01B6/00; 할로겐의 옥시산염 C01B11/00; 과산화물, 페르옥소산염 C01B15/00; 마그네슘, 칼슘, 스트론튬 또는 바륨의 다황화물 또는 황화물 C01B17/42; 티오황산염, 아디티온산염, 폴리티온산염 C01B17/64; 셀레륨 또는 텔루륨을 포함하는 화합물 C01B19/00; 금속을 가지는 질소의 2원 화합물 C01B21/06; 아지드화물 C01B？21/08; 금속 아미드 C01B？21/092; 아질산염 C01B？21/50; 인화물 C01B？25/08; 산소염 형광체 C01B？25/16; 탄소화물 C01B？32/90; 실리콘 합성물 C01B？33/00; 붕소 화합물 C01B？35/00; 염기 교환이 아닌 분자체 합성물 C01B？37/00 예. 크리스탈 비석, C01B？39/00; 시안화물 C01C？3/08; 시안산 C01C？3/14; 시안아미드 C01C？3/16; 티오시안산 C01C？3/20; 이산화탄소를 제외한 발효 혹은 효소를 활용한 과정의 요소, 무기합성물 C12P？3/00; 혼합물로부터 얻어진 금속 화합물, 예. 광석, 유리 금속을 얻기위한 야금술 과정의 중간 합성물 C22B; 전기분해 혹은 전기 이동에 의한 비금속 요소나 무기 합성물의 생산 C25B)</t>
  </si>
  <si>
    <t>서브클래스 C01D 또는 C01F에 의해 포함되지 않는 금속을 포함하는 화합물 (금속 수소화물 C01B6/00; 할로겐의 옥시산염 C01B11/00; 과산화물, 페르옥소산염 C01B15/00; 마그네슘, 칼슘, 스트론튬 또는 바륨의 다황화물 또는 황화물 C01B17/42; 티오황산염, 아디티온산염, 폴리티온산염 C01B17/64; 셀레륨 또는 텔루륨을 포함하는 화합물 C01B19/00; 금속을 가지는 질소의 2원 화합물 C01B21/06; 아지드화물 C01B？21/08; 금속 아미드 C01B？21/092; 아질산염 C01B？21/50; 인화물 C01B？25/08; 산소염 형광체 C01B？25/16; 탄소화물 C01B？32/90; 실리콘 합성물 C01B？33/00; 붕소 화합물 C01B？35/00; 염기 교환이 아닌 분자체 합성물 C01B？37/00 예. 크리스탈 비석, C01B？39/00; 시안화물 C01C？3/08; 시안산 C01C？3/14; 시안아미드 C01C？3/16; 티오시안산 C01C？3/20; 이산화탄소를 제외한 발효 혹은 효소를 활용한 과정의 요소, 무기합성물 C12P？3/00; 혼합물로부터 얻어진 금속 화합물, 예. 광석, 유리 금속을 얻기위한 야금술 과정의 중간 합성물 C22B; 전기분해 혹은 전기 이동에 의한 비금속 요소나 무기 합성물의 생산 C25B)</t>
  </si>
  <si>
    <t>물, 폐수, 하수 또는 오니(슬러지)의 처리(물질에서 화학적인 변화에 영향을 줌으로써 무해하거나 덜 유해한 해로운 화학물질을 만들기 위한 처리 A62D 3/00; 분리, 정화 탱크 또는 필터 장치 B01D; 물, 폐수 또는 하수를 처리하는 수송선박의 세부장치 예 담수생산 B63J; 부식방지 물질의 첨가 C23F; 방사성 오염액의 처리 G21F 9/04) ？？[3,,2013.01]</t>
  </si>
  <si>
    <t xml:space="preserve">석회; 마그네시아; 슬래그; 시멘트; 그 조성물, 예. 모르타르, 콘크리트 또는 유사한 건축재료; 인조석; 세라믹(실투유리세라믹 C03C 10/00); 내화물(내화 금속에 따른 합금 C22C); 천연석의 처리 ？？[4] </t>
  </si>
  <si>
    <t>화약 또는 발열성 조성물(폭파 F42D); 그의 제조; 단일 물질의 화약으로서의 사용 ？？[2]</t>
  </si>
  <si>
    <t>기폭 장치 또는 점화 장치; 자연 발화제; 화학적 점화구; 도화선？ ？？[2]</t>
  </si>
  <si>
    <t>연기 또는 안개의 발생 용구; 가스탄 조성물; 폭파 또는 추진용 가스의 발생 (화학적인 부분) ？？[2]</t>
  </si>
  <si>
    <t>이종원자 고리 화합물(고분자 화합물 C08)？？[2]</t>
  </si>
  <si>
    <t>펩티드 (Peptides) (β-락탐고리 함유 펩티드 C07D; 환식 디펩티드에 있어서 그 분자중에 환을 형성하는 펩티드 결합이외의 펩티드결합을 갖지 않는 것, 예. 피페라진-2.5-디온 C07D; 환식 펩티드형의 맥각알칼로이드 C07D 519/02519/02; 단세포 단백질, 효소 C12N; 펩티드를 얻기 위한 유전 공학 공정 C12N 15/00) ？？[4]</t>
  </si>
  <si>
    <t>탄소-탄소 불포화 결합만이 관여하는 반응으로 얻어지는 고분자 화합물(저급 탄화수소로부터 액체 탄화수소 혼합물의 제조, 예. 올리고머화에 의한 것, C10G 50/00; 발효 또는 효소를 사용하여 원하는 화학 화합물 또는 조성물을 합성하는 방법 또는 혼합물로부터 광학이성체를 분리하는 방법 C12P; 섬유 또는 실, 사, 직물 또는 그러한 물질로 만들어진 섬유제품 상에 탄소-탄소 불포화결합을 포함하는 단량체 중합을 융합하는 것 D06M 14/00)？？[2]</t>
  </si>
  <si>
    <t>탄소-탄소 불포화 결합만이 관여하는 반응 이외의 반응으로 얻는 고분자 화합물(발효 또는 효소를 사용하여 원하는 화학 화합물 또는 조성물을 합성하는 방법 또는 혼합물로부터 광학이성체를 분리하는 방법 C12P)？？[2]</t>
  </si>
  <si>
    <t>마무리; 일반적 혼합 방법; 서브클래스 C08B, C08C, C08F, C08G 또는 C08H에 포함 되지 않는 후 처리(가공, 예.플라스틱의 성형 B29) ？？[2]</t>
  </si>
  <si>
    <t>무기 또는 비고분자 유기 물질의 배합 성분으로서의 사용 ？？[2]</t>
  </si>
  <si>
    <t>고분자 화합물의 조성물(중합 단량체로 이루어진 조성물 C08F, C08G; 인조 필라멘트 또는 인조 섬유 D01F; 직물처리용 조성물 D06)？？[2]</t>
  </si>
  <si>
    <t>피복 조성물, 예. 페인트, 바니시 또는 락카; 충전용 반죽; 페인트 또는 잉크 제거제; 잉크; 수정액; 목재 물감(WOODSTAINS); 그 물질의 사용(화장품 A61K; 액체 또는 기타 유동성 물질을 표면에 적용하는 방법 일반 B05D; 목재의 착색 B27K 5/02; 유리, 유약(glazes) 또는 유리질법랑(Vitreous enamels) C03C; 천연수지, 프랑스 니스(FRENCH POLISH); 건성유(DRYING-OILS); 드라이어(건조))</t>
  </si>
  <si>
    <t>접착제; 일반적인 접착 방법(비기계적 요소); 달리 분류되지 않는 접착 방법; 물질의 접착제로서의 사용(외과용 접착제 A61L 24/00; 층상 생성물의 결합제로서 사용하는 불특정 유기 고분자 화합물을 기재로 한 접착제 B32B; 각각의 접착제와 열활성 접착제를 사용하는 변형하는 표면을 가지고 직물 또는 유사 물질 또는 물품에 라벨링하는 것 B65C 5/02, B65C 5/04; 아교 또는 젤라틴의 제조 C09H; 접착제 라벨, 태그 티켓 또는 표기 수단 유사 식별자 G09F？3/10) [5)</t>
  </si>
  <si>
    <t>가스, 코크스, 타르 및 이들의 유사물을 제조하기 위한 탄소 물질의 분해 건류(광유의 분해 C10G; 광물의 지하 가스화 E21B 43/295) ？？[5]</t>
  </si>
  <si>
    <t>탄화수소유의 분해 증류; 액체 탄화수소 혼합물의 제조, 예. 분해 수소화, 올리고머화(Oligomerisation), 중합 반응(분해에 의한 수소 또는 합성 가스의 제조 C01B; 탄화수소 가스의 분해 또는 열분해에 의한 개개의 탄화수소 혹은 명확하던지 일련의 특징적인 구성을 갖는 탄화수소 혼합물의 제조 C07C; 분해에 의한 코크스의 제조 C10B; 유혈암, 유사 또는 가스로부터의 탄화수소유의 회수; 주로 탄화수소로 된 혼합물의 정제; 나프타의 개질; 미네랄 왁스 [6])</t>
  </si>
  <si>
    <t>습식법에 의한 아세틸렌의 제조？？[5]</t>
  </si>
  <si>
    <t>산소 또는 증기를 수반하는 부분 산화법에 의해, 고체 탄소질 물질로부터 일산화탄소와 수소를 포함하는 가스의 제조 (지하 광물의 가스화 E21B 43/295) ; 공기 또는 기타 가스를 탄소와 화합(carburetting)？？[5]</t>
  </si>
  <si>
    <t>윤활 조성물(착정용 조성물 C09K 8/02)；단독의 윤활제로서의, 또는 윤활 조성물의 윤활 성분으로서의 화학물질의 사용(금속용의 이형, 즉 분리제 B22C 3/00, 플라스틱용 또는 플라스틱 상태의 물질용 일반 B29C 33/56, 유리용 C03B 40/02；방직용 윤활 조성물 D06M 11/00, D06M 13/00, D06M 15/00；현미경용 오일 G02B 21/33)？？[4]</t>
  </si>
  <si>
    <t>지방, 지방유 또는 왁스로부터의 지방산; 양초; 지방, 지방유 또는 지방산의 화학적 변성에 의한 지방, 지방유 또는 지방산 ？？[2014.01]</t>
  </si>
  <si>
    <t>효소학 또는 미생물학을 위한 장치(퇴비의 발효를 위한 시설 A01C 3/02; 사람 또는 동물의 일부분의 보존 A01N 1/02; 맥주 양조 장치 C12C; 포도주의 발효장치 C12G; 식초의 제조장치 C12J 1/10)？？[3]</t>
  </si>
  <si>
    <t>미생물 또는 효소; 그 조성물 (살균살충제, 방충제 또는 유인제, 또는 식물생장 조절제로서 미생물, 바이러스, 진균, 효소, 발효생산물 또는 미생물 또는 동물로부터 생산 또는 추출된 물질을 포함하는 것 A01N 63/00; 의약품 제제 A61K; 비료 C05F); 미생물의 증식, 보존 또는 유지; 돌연변이 또는 유전자공학; 배지(CULTURE MEDIA) (미생물학적 시험용 배지 C12Q 1/00) ？？[3]</t>
  </si>
  <si>
    <t>발효 또는 효소를 사용하여 원하는 화학물질 또는 조성물을 합성하는 방법 또는 혼합물로부터 광학이성체를 분리하는 방법？？[3]</t>
  </si>
  <si>
    <t>효소 또는 미생물을 포함하는 측정 또는 시험방법 (면역시험 G01N 33/53); 그것을 위한 조성물 또는 시험지; 그 조성물을 조제하는 공정; 미생물학적 또는 효소학적 방법에 있어서의 상태응답 제어 ？？[3]</t>
  </si>
  <si>
    <t>미생물과 관련된 서브클래스 C12C-C12Q의 인덱싱 분류표 ？？[3]</t>
  </si>
  <si>
    <t>(삭제)</t>
  </si>
  <si>
    <t>자당의 생산; 그에 특히 적합한 장치(화학적으로 합성된 설탕이나 설탕 파생물 C07H; 단당류 라디컬을 포함한 화합물을 제조하기 위한 발효나 효소 사용 처리C12P 19/00) ？？[2011.01]</t>
  </si>
  <si>
    <t>화학 물질, 효소 또는 미생물로써 피부, 가죽(HIDES OR LEATHER)을 처리하는 것, 예. 무두질(TANNING), 함침(IMPREGNATING) 또는 마무리(FINISHING); 그것을 위한 장치; 무두질용 합성품 (피혁과 모피의 표백 D06L; 피혁과 모피의 염색 D06P)</t>
  </si>
  <si>
    <t>철 또는 강의 제조 (철광석 또는 스크랩의 예비처리 C22B 1/00) ？？[2014.01]</t>
  </si>
  <si>
    <t>선철의 처리, 예. 정제, 연철 또는 강의 제조; 철계합금의 용융상태에서의 처리 ？？[2014.01]</t>
  </si>
  <si>
    <t>금속재료의 피복; 금속 피복재료; 표면 확산, 화학적 전환 또는 치환에 의한 금속재료의 표면처리; 진공증착, 스퍼터링, 이온주입 또는 화학증착에 의한 피복, 일반 (액체 또는 기타 유동성재료에 의한 표면에의 적용일반 B05; 압출 제품의 금속피복 B21C23/22; 기존의 피복층에 금속피복은 관련개소 참조 예 B21D39/00, B23K; 전극의 고밀도 전류를 이용하여 금속가공 B23H; 유리의 금속피복 C03C; 몰탈, 콘크리트, 인공석, 세라믹 또는 자연석의 금속피복 C04B41/00; 페인트, 바니쉬, 락카 C09D; 금속재료의 범랑처리 또는 유리층 형성 C23D; 금속재료의 방식 또는 이물질 형성방지 C23F; 단결정막의 성장 C30B; 반도체장치의 제조 H01L; 인쇄회로기판의 제조 H05K)</t>
  </si>
  <si>
    <t>기계적 방법에 의하지 않는 표면에서 금속재료의 제거(전기 침식에 의한 금속가공. B23H; 화염에 표면처리. B23K 7/00; 레이저 빔에 의한 가공. B23K 26/00); 금속 물질의 부식 억제; 외피층 억제 일반(금속 표면 처리 또는 전기영동 또는 전기이동에 의한 금속의 코팅 C25D, C25F); 클래스 C23 및 서브클래스 C21D, C22F 또는 클래스 C25에 포함되는 적어도 하나의 공정과 관련되는 금속재료의 표면처리를 위한 다단계 공정</t>
  </si>
  <si>
    <t>화합물 또는 비금속의 제조를 위한 전기분해 또는 전기영동 방법; 그것을 위한 장치 (양극 또는 음극 보호 C23F 13/00; 단결정 성장 C30B) ？？[2,2013.01]</t>
  </si>
  <si>
    <t>금속의 전해제조, 회수 또는 정련방법; 그것을 위한 장치 (양극 또는 음극 보호 C23F 13/00; 단결정 성장 C30B)？？[2,2013.01]</t>
  </si>
  <si>
    <t>전기분해 또는 전기영동에 의한 피복방법; 전기주조(금속의 석출에 의한 인쇄회로의 제조 H05K 3/18); 전해에 의한 관련 제품; 그것을 위한 장치 (양극 또는 음극 보호 C23F 13/00; 단결정 성장 C30B)？？[2,6,2013.01]</t>
  </si>
  <si>
    <t>전기분해에 의한 재료의 제거방법; 그것을 위한 장치？(전기적 방법에 의한 하수, 폐수, 또는 물 처리 C02F 1/46; 양극 또는 음극 보호 C23F 13/00) ？？[2,2013.01]</t>
  </si>
  <si>
    <t>단결정성장(초고압을 쓰는것, 예. 다이야몬드생성용 B01J 3/06); 공정물질의 일방향고체화 또는 공석정물질의 일방향석출; 물질의 존멜팅(Zone meting)에 의한 정제(금속 또는 합금의 존(Zone) 정제 C22B); 특정구조의 균질상의 다결정물질의 제조(금속의 주조, 동일공정 또는 장치에 의한 다른 물질의 주조 B22D; 프라스틱 가공 B29; 금속 또는 합금의 물리적 구조의 변경 C21D, C22F); 반도체장치 또는 그 부품을 제조하기 위한 H01L)</t>
  </si>
  <si>
    <t>조합된 화학；라이브러리, 예.화학 라이브러리, 컴퓨터에 의한(in silico) 라이브러리 ？？[8]</t>
  </si>
  <si>
    <t>방적용 섬유나 필라멘트를 채취하기 위한 천연의 섬유상 또는 필라멘트상 물질의 화학적 처리; 동물섬유 재생을 위한 넝마털 부스러기의 탄화？？[2013.01]</t>
  </si>
  <si>
    <t>방적용 섬유나 필라멘트를 채취하기 위한 천연의 섬유상 또는 필라멘트상 물질의 화학적 또는 생물학적 처리; 동물섬유 재생을 위한 넝마털 부스러기의 탄화 (금속 와이어의 작업 및 처리 B21F; 부드러운 유리, 미네랄이나 광재의 섬유나 필라멘트 C03B？37/00)</t>
  </si>
  <si>
    <t>주름가공, 주름잡기(킬팅)나 직물 또는 의류의 주름잡기(직성에 의한 것 D03D; 봉제에 의한 것, D05B; 주름형성용 프레스기 또는 셋트용 장치 D06C)？？[2013.01]</t>
  </si>
  <si>
    <t>섬유, 가연사, 사, 직물, 우모 또는 인조 섬유 제품의 표백, 예. 형광 표백, 드라이클리닝, 또는 세정; 피혁 또는 모피의 표백 ({섬유용 유연화 조성물, 카펫, 덮개, 모피 또는 피혁용 세정 조성물 C11D;} 방적용 섬유를 얻기 위한 섬유 재료의 화학적 처리 D01; 기계적 사항 D06B, D06C, D06F; 제지용 펄프 또는 무명 린터의 표백 D21)</t>
  </si>
  <si>
    <t>섬유, 가연사, 사, 직물, 우모 또는 이와같은 재료로서부터 제조된 섬유제품의 클라스 D06 달리 분류되지 않는 처리(유리, 광물 또는 슬래그로부터 섬유 또는 필라멘트의 표면처리 C03C 25/00; 섬유제품의 기계적 처리에 관한 것은 D06B부터 D06J를 참조)？？[2013.01]</t>
  </si>
  <si>
    <t>벽, 마루 또는 피복재료, 예. 리놀륨 유포(Oilcloth), 인조피혁, 루핑펠트(Roofing felt), 고분자재료의 층으로 덮인 섬유망으로 이루어진 것 (표면피복을 위한 종이 기재의 또는 판지 기재의 구조) ; 달리 분류되지 않는 신축성있는 시트재료</t>
  </si>
  <si>
    <t>초지기에 보내기 전에 행하는 증해된 지료의 처리？？[5]</t>
  </si>
  <si>
    <t>펄프 조성물; 서브클라스 D21C, D21D에 포함되지 않는 펄프 조성물의 제조; 종이에 화학물질의 함침 또는 코팅; 클라스 B31 또는 서브클라스 D21G에 포함되지 않는 완성된 종이의 처리; 기타 달리 분류되지 않는 종이？？[2013.01]</t>
  </si>
  <si>
    <t>궤도; 궤도용 공구; 모든 종류의 철도건설용 기계(궤도상의 탈선 또는 복귀용 블록(block), 궤도제어 또는 감속장치 B61K; 궤도로부터의 이물제거, 제초, 액체의 살포 E01H)</t>
  </si>
  <si>
    <t>교량(손님의 승강을 위한 터미널 빌딩과 항공기 사이에 가설하는 다리 B64F 1/305) 다리의 해체</t>
  </si>
  <si>
    <t>도로의 부대설비의 설치 또는 플랫폼, 헬리콥터의 착륙대, 표시, 방설책 또는 이와 유사한 것의 건설과 같은 부대작업</t>
  </si>
  <si>
    <t>가로의 청소; 궤도의 청소; 해안의 청소; 지면의 청소; 안개의 소산 일반(잔디 또는 다른 물질의 표면을 쓸거나 청소하기 위한 장치로 전환할 수 있는 잔디 깎는 기계, 예. 눈을 제거하기 위한것, 잔디나 다른 표면을 쓸거나 청소할수 있는 것 A01D 42/06; 청소 일반 B08B)</t>
  </si>
  <si>
    <t>수공(선박의 리프트(Lift) E02C; 준설 E02F)</t>
  </si>
  <si>
    <t>기초; 굴착; 축제(특히 수공에 적합한 것 E02B); 지하 또는 수중 구조물 ？？[6]</t>
  </si>
  <si>
    <t>굴착; 토사의 이송(이탄의 채굴 E21C 49/00)</t>
  </si>
  <si>
    <t>취수, 집수, 또는 배수 설비 또는 그 방법(우물 파기, 우물로부터의 유체의 채취 일반 E21B; 관로계 일반 F17D)</t>
  </si>
  <si>
    <t>상수 또는 폐수용의 가정용 배관 설비(급수 본관 또는 폐수관의 어느 쪽에도 급수되지 않는 것 A47K; 지하에서 사용되고 있는 종류의 장치 E03B, E03F); 개수대</t>
  </si>
  <si>
    <t>수세변소 또는 세정 장치를 갖는 소변소; 그를 위한 세정 밸브</t>
  </si>
  <si>
    <t>하수; 오수 구덩이</t>
  </si>
  <si>
    <t>건축구조일반; 벽, 예. 칸막이벽; 지붕; 바닥; 천정; 건축물의 절연 또는 기타 보호(벽, 바닥 또는 천정내 개구의 가장자리 구조 E06B 1/00)</t>
  </si>
  <si>
    <t>구조요소; 건축 재료(교량) E01D; 절연 또는 다른 보호를 위하여 특별히 설계된 것 E04B; 건축 보조구로서 사용되는 요소 E04G; 터널용 E21D; 광업용 E21; 건축 공학보다도 넓은 적용 범위를 갖는 구조 요소 F16, 특히 F16S)</t>
  </si>
  <si>
    <t>지붕 잇기; 천창; 물받이 홈통; 지붕 공사용 공구(플라스터 또는 다공성 재료에 의한 외벽의 피복 E04F 13/00)</t>
  </si>
  <si>
    <t>건축물의 마무리, 예. 계단, 마루(창, 문 E06B)</t>
  </si>
  <si>
    <t>비계; 거푸집; 거푸집 널; 건축용 기구 또는 기타 건축용 보조구 또는 그것들의 사용; 현장에 있어서의 건축 재료의 취급; 현존하는 건축물의 보수, 해체 또는 기타 작업</t>
  </si>
  <si>
    <t>특정 목적의 건축물 또는 유사한 구축물; 수영 또는 물놀이용 수조 또는 풀(pool); 마스트(mast); 울타리; 텐트 또는 차양 일반(기초 E02D)</t>
  </si>
  <si>
    <t>윙 특히 도어 또는 창문용의 볼트 고정 장치(차량의 측판 또는 뒷문 구조의 걸쇠 수단 B62D 33/037; 구조적 또는 기계적 요소의 고정 장치 E04, F16B; 자물쇠, 자물쇠와 구조적 또는 조작적으로 조합된 또는 자물쇠와 중요한 협동을 하는 고정 장치 E05B; 윙을 움직이는 기구에 관련하여 윙 고정구를 조작 또는 제어하는 수단 E05F)</t>
  </si>
  <si>
    <t>윙을 개폐하는 수단; 윙용 체크(Check); 타류에 속하지 않고 윙의 기능에 관계되는 윙의 부품</t>
  </si>
  <si>
    <t>금고 또는 귀중품 보관실; 은행 방호 장치; 보안 격벽 (경보장치 그 자체 G08B)</t>
  </si>
  <si>
    <t>건축물, 승용물, 펜스 또는 유사한 울타리에 있어서 개구부를 위한 고정 또는 가동 폐쇄 부재 일반, 예. 도어, 창, 블라인드, 문(온실)의 덮개나 블라인드 A01G 9/22; 커튼 A47H; 자동차 화물넣기 또는 본넷(bonnet)을 위한 리드(Lid) B62D 25/10; 천창 E04B 7/18; 차양, 밖으로 내민 차양 E04F 10/00)</t>
  </si>
  <si>
    <t>채광 또는 채석</t>
  </si>
  <si>
    <t>수직갱; 터널; 갱도; 대형 지하실(토양 조절 또는 토양 안정화 재료 C29K 17/00; 채광 또는 채석용의 절단기 E21C; 안전 장치, 운반, 구호, 통풍 또는 배수 E21F)</t>
  </si>
  <si>
    <t>갱도 또는 터널내의 또는 그것들의, 안전장치, 운반, 충전, 구호, 통풍 또는 배수</t>
  </si>
  <si>
    <t xml:space="preserve">기계 또는 기관, 일반 또는 용적형의 것, 예. 증기기관(회전형 피스톤 또는 요동형피스톤의 것 F01C; 비용적형의 것 F01D; 연소 기관 F02; 왕복운동 피스톤식 기관의 내부연소에 관한 것 F02B 57/00, F02B 59/00; 유체용 기계 F03, F04; 크랭크축, 크로스헤드, 커넥팅로드 F16C; 플라이휠 F16F; 회전운동과 왕복운동 변환을 위한 기어일반 F16H; 기관 일반을 위한 피스톤, 피스톤 로드, 실린더 F16J) </t>
  </si>
  <si>
    <t xml:space="preserve">비용적형의 기계 또는 기관, 예. 증기터빈(연소기관 F02; 액체용 기계 또는 기관 F03, F04; 비용적형 펌프 F04D) </t>
  </si>
  <si>
    <t>연소 기관의 제어(차량 속도를 자동적으로 제어하는 차량 부속품이고, 단일의 서브 유닛만으로 작용하는 것 B60K31/00；다른 종류 또는 다른 기능의 차량용 서브 유닛의 관련 제어, 특정의 단일의 서브 유닛의 제어에 관한 것은 아닌, 특정의 목적을 위한 도로상의 차량의 운전 제어 시스템 B60W；주기적으로 작동하는 연소 기관용 밸브 F01L；연소 기관의 윤활의 제어 F01M；내연기관의 냉각 F01P；연소 기관으로의 가연 혼합물 또는 그 성분의 공급, 예. 기화기, 주입펌프, F02M; 연소기관 가동 F02N; 점화장지 조절 F02P; 가스터빈기관, 제트추진기관, 연소생성물 엔진 기관 제어)</t>
  </si>
  <si>
    <t>제트추진장비(육상차량 또는 차량일반에 있어서 제트추진설비의 배치 또는 부착 B60K; 수상부양구조물에 있어서의 제트추진설비의 배치 또는 부착 B63H; 제트반동에 의하여 항공기의 자세, 비행방향 또는 고도의 제어 B64C; 항공기에 있어서의 제트추진설비의 배치 또는 부착 B64D; 작동유체의 출력이 제트추진력과 타의 형의 추진력, 예. 프로펠러와 나누어지는 것에 특징이 있는 설비 F02B, F02C; 가스터빈설비와 공통하는 제트추진설비의 특징. 공기흡입제 F02C)</t>
  </si>
  <si>
    <t>액체용 용적형 기계; 펌프(엔진 연료 분사 펌프 F02M; 회전피스톤형 또는 요동피스톤형의 액체용 기계 또는 펌프 F04C; 비용적형 펌프 F04D; 타의 액체와의 직접접촉에 의하거나 또는 이송되는 액체의 관성을 이용한 유체 펌프 F04F; 크랭크축, 크로스헤드, 커넥팅로드 F16C; 플라이휠 F16F; 회전운동과 왕복운동을 서로 전환하기 위한 전동장치 일반 F16H; 피스톤, 피스톤로드, 실린더일반 F16J; 이온펌프 H01J 41/12; 전기역학 펌프 H02K？44/02)</t>
  </si>
  <si>
    <t>유체수단에 의하여 작동하는 계 일반; 유체압 액튜에이터, 예. 서보모터; 달리 분류되지 않는 유체압계의 세부(모터, 터빈, 압축기, 송풍기, 펌프 F01 ～ F04; 유체동력학 F15D , 작유체클러치 또는 유체브레이크 F16D; 유체스프링; F16F; 유체전동장치 F16H; 피스톤, 실린더, 패킹 F16J; 밸브, 마개, 콕, 조작용의 플로트 F16K; 주밸브 보조유동에 의하여 작동되는 안전밸브 F16K 17/10; 밸브의 유체작동장치 F16K 31/12 파이프, 파이프 연결부 F16L; 윤활 F16N)</t>
  </si>
  <si>
    <t>축; 휨축; 신축성 있는 덮개에서 움직임을 전동하기 위한 기계적 수단; 크랭크축 기구의 요소; 중심축; 추축 연결; 전동장치, 연결장치, 클러치 또는 제동장치 요소 이외의 회전체 요소; 베어링 ？？[5]</t>
  </si>
  <si>
    <t>회전운동의 전달을 위한 커플링(coupling)(회전을 운반하기 위한 전동 장치 F16H, 예. 액체 전동 장치 F16H 39/00-F16H 47/00); 클러치(clutch)(다이나모 일렉트릭(dynamo-electric) 클러치 H02K 49/00; 정전기 인력을 사용하는 클러치 H02N 13/00); 브레이크(brake)(차량용 전동식 제동 시스템 일반 B60L 7/00; 다이나모 일렉트릭(dynamo-electric) 브레이크 H02K 49/00)</t>
  </si>
  <si>
    <t xml:space="preserve">윤활 </t>
  </si>
  <si>
    <t xml:space="preserve">구조용 요소 일반; 이 요소로 조립된 구조물 일반 </t>
  </si>
  <si>
    <t>용량의 변화가 가능한 가스 탱크(gas tank)(자동 가스차단장치 A47J 27/62, G05D; 화염트랩 A62C 4/00; 가스혼합기 B01F, F16K 11/00, G05D 11/00; 가스 압력파 발생기 B06B; 토목공학을 이용한 대용량저장용기의 건조 또는 조립 E04H 7/00; 가스 압축기 F04; 밸브 F16K; 밸브 또는 관의 진동방지 F16K, F16L; 관 F16L; 가스주관의 차단장치 F16L 55/10; 압축, 액화 또는 고화된 가스를 싣기에 적합한 선박 F17C; 가스 배분 장치 F17D 1/04; 누수 감지 F17D 5/02, G01M; 감독, 알림 장치 F17D 5/02, G08B; 버너 연소조절 장치 F23N; 가스 흐름, 압력 조절기 G05D )</t>
  </si>
  <si>
    <t>백열 맨틀(mantle); 연소로 가열되는 다른 백열 자연체</t>
  </si>
  <si>
    <t>휴대용 또는 특별히 운반에 적합하도록 구성된 조명장치 또는 시스템 ？？[1,7]</t>
  </si>
  <si>
    <t>비휴대용 조명장치 또는 그 시스템 ？？[1,7]</t>
  </si>
  <si>
    <t>서브클래스 F21K, F21L, F21S, F21V와 관련하여, 조명장치 또는 시스템의 용도 또는 사용에 관계되는 인덱싱 체계</t>
  </si>
  <si>
    <t>서브클래스 F21K, F21L, F21S, F21V와 관련하여, 광원의 형태 또는 종류 또는 출사되는 광의 색깔의 형태 또는 종류에 관계되는 인덱싱 체계 ？？[7]</t>
  </si>
  <si>
    <t>고체연료만을 사용하는 연소 방법 또는 장치(실온에서는 고체이지만 용해된 상태로 연소하는 연료의 연소를 위한 것, 예.양초 왁스, C11C, F23C, F23D；공중에 지지된 고체연료를 이용하는 것 F23C, F23D1/00；액체에 부유하고 있는 고체연료를 이용하는 것 F23C, F23D11/00；공기중에 현탁된 고체 연료와 또는 유체 연료와 함께, 동시에 또는 교대로 고체 연료를 사용하는 것 F23C, F23D17/00]？？[2013.01])</t>
  </si>
  <si>
    <t>유체 연료(FLUID FUEL) 또는 공기중에 현탁된 고체 연료를 이용한 연소 방법 또는 장치(버너 F23D]？？[2013.01])</t>
  </si>
  <si>
    <t>버너？？[2013.01]</t>
  </si>
  <si>
    <t>일반적인 연소 장치에 공기나 불연성 액체 또는 가스를 공급하는 것; 연소 장치내 기류 또는 공기 공급의 조절에 특히 적합한 밸브 또는 댐퍼; 연소 장치에 기류를 유도하는 것; 환기축 또는 굴뚝을 위한 윗부분; 연통을 위한 선단(terminals)？？[2013.01]</t>
  </si>
  <si>
    <t xml:space="preserve">연소의 조정 또는 제어(연소가 연료나 다른 입자의 유동상에서 발생하는 연소 장치에 특히 적합한 제어장치 F23C 10/28; 고형 연료용의 개방식노를 갖춘 가정용 스토브의, 연소를 조절하기 위한 상태 반응 제어 F24B 1/187)？？[8] </t>
  </si>
  <si>
    <t>가정용 또는 구역 난방방식, 예. 중앙난방방식; 가정용온수공급방식; 그를 위한 요소 또는 구성부재(부식방지 C23F; 물공급일반 E03; 가열목적을 위하여 증기기관설비에서 압출 또는 배출된 증기 또는 복수의 이용 F01K 17/02; 증기트랩 F16T; 가정용 스토브 또는 레인지 F24B, F24C; 열발생수단을 갖는 물가열기 또는 공기가열기 F24H; 가열과 냉각을 조합한 것 F25B; 열교환장치 또는 요소 F28; 물때(furring)의 제거 F28; 전열 소재나 배치 H05B)</t>
  </si>
  <si>
    <t>공기조화; 공기가습; 환기; 차폐를 위한 기류의 이용(발생 장소에서의 진애 또는 취기의 제거 B08B 15/00; 건물로부터 폐가스를 운반하기 위한 수직 배관 E04F 17/02; 연통을 위한 선단(terminals), 굴뚝 또는 환기축의 선단 F23L 17/02)？？[2013.01]</t>
  </si>
  <si>
    <t>열발생수단이 있는 유체가열기, 예, 물가열기 또는 공기가열기 일반(열전달, 열교환기 또는 열저장 매체 C09K 5/00; 비접촉적 열분해를 위한 튜우브노 C10G 9/20; 밀폐체의 배기 또는 흡기를 위한 장치, 예. 밸브 F16K 24/00; 스팀트랩 또는 유사한 장치 F16T; 증기발생 F22; 연소장치 F23; 가정용 스토브 또는 레인지 F24B, F24C; 가정용 또는 구역난방방식 F24D; 노, 킬른, 가마 또는 레토르트(retort) F27; 열교환기 F28; 전열선 또는 난방 장치 H05B)</t>
  </si>
  <si>
    <t>냉장고; 냉각실; 아이스박스; 다른 서브클라스에 속하지 않는 냉각 또는 동결장치(냉동 쇼케이스 A47F 3/04; 가정용 단열용기 A47J 41/00; 냉동차는 클라스 B60부터 B64의 적당한 서브클라스 참조; 단열콘테이너 일반 B65D 81/38; 액화 또는 고화가스용 단열용기 F17C; 공기조화 또는 공 기력습 F24F; 냉동기계. 플랜트 및 시스템 F25B; 냉동장 치의 사용없이 기기 또는 동양의 장치를 냉각하는 것 G21B; 기관 또는 펌프의 냉각)</t>
  </si>
  <si>
    <t>고체원료 또는 고형물에서 액체를 제거하는 것에 의한 건조(컴바인용 건조장치 A01D 41/133; 과일 또는 야채의 건조선반 A01F 25/12; 식품의 건조 A23; 두발의 건조 A45D 20/00; 신체의 건조용구 A47K 10/00; 가정용구의 건조 A47L; 가스 또는 증기의 건조 B01D; 고체로부터 탈수 또는 액체를 유사하게 분리하기 위한 화학적 혹은 물리적 프로세스 B01D 43/00; 원심분리장치 B04; 세라믹스의 건조 C04B 33/30; 별도의 처리를 거친 실이나 천 D06C; 가열이나 공기순환 없는 세탁 건조 프레임, 가정용 세탁기 혹은 회전식 탈수기, 비틀기나 고열 다림질 세탁 D06F; 용광로, 가마, 오븐 F27)</t>
  </si>
  <si>
    <t>노, 킬른, 가마, 레토르트일반; 개방식 소결용 또는 유사한 장치(연소장치 F23; 전기 난방 H05B)</t>
  </si>
  <si>
    <t>노의 1종류 이상에서 볼 수 있는 것에 있어서의 노, 킬른, 오븐 또는 레토르트의 세부 또는 부속품(연소장치 F23; 전기 난방 H05B)</t>
  </si>
  <si>
    <t>열교환매체가 직접접촉하지 않는 열교환 장치로 다른 서브클래스로 분류 되지 않는 것(열전달, 열교환 또는 열저장 물질 C09K 5/00; 열발생 수단 또는 열전달 수단을 갖는 유체가열기 F24H; 노 F27; 일반용의 열교환장치의 F28F); 축열 플랜트 또는 장치 일반？？[4]</t>
  </si>
  <si>
    <t>열교환관 또는 열전달관, 예. 보일러수관의 내면 또는 외면의 청소(파이프 또는 튜우브의 청소일반 B08B 9/02; 보일러의 작동 중에 보일러로부터 물, 무기물, 또는 스럿지를 제거하는 기기 또는 장치, 또는 보일러가 운전되고 있는 소정위치에 머무르는 동상의 기기 또는 장치, 또는 다른 효용을 수반하지 않는 보일러에 특히 적용되는 동상의 기기 또는 장치 F22B 37/48; 연소생성물 또는 연소잔재의 제거 또는 처리 F23J; 열교환 장치로부터 얼음의 제거 F28F 17/00 )</t>
  </si>
  <si>
    <t>폭발성 또는 연소성 추진 장약을 사용하지 않는 미사일 발사용 무기; 달리 분류되지 않는 무기(어로용 발사체, 예. 어로용작살 A01K 81/00; 던지는 스포츠용구 A63B 65/00, 예. 부메랑 A63B 65/08; 스포츠공 투사용 정지장치, 예. 테니스볼 A63B 69/40; 던지거나 미끄러지는 완구 A63H 33/18; 칼, 도끼 B26B; 추진수단으로 스프링과 협동하는 투사체 또는 미사일 이외의 투사체 또는 미사일 F42B 6/00)</t>
  </si>
  <si>
    <t>소형화기, 예. 피스톨 또는 라이플(연소성 또는 폭발성 추진 장약을 사용하지 않는 미사일 추진 F41B); 그 부속품 ？？[5,2013.01]</t>
  </si>
  <si>
    <t>포신으로부터 투사체 또는 미사일을 발사하기 위한 장치, 예. 대포(CANNON)(소화기 F41C; 로켓 또는 어뢰발사기; 작살(harpoon)포(소화기와 대포 모두에 공통인 기능적 특징 또는 세부, 그를 위한 장착 F41A; 연소성 또는 폭발성 추진장악을 사용하지 않는 미사일 추진 F41B))</t>
  </si>
  <si>
    <t>기계적 진동 또는 초음파, 음파 또는 아음파의 측정 [4]</t>
  </si>
  <si>
    <t>적외선, 가시광선 또는 자외선의 강도, 속도, 스펙트럼, 편광 또는 위상 또는 펄스의 측정; 색의 측정; 방사온도측정 [2]</t>
  </si>
  <si>
    <t>힘, 토오크, 일, 기계적 동력, 기계적 효율 또는 유체압력의 측정(무게측정 G01G) [4]</t>
  </si>
  <si>
    <t>재료의 화학적 또는 물리적 성질의 검출에 의한 재료의 조사 또는 분석(면역분석 이외의 효소 또는 미생물을 포함하는 측정 또는 시험 방법 C12M, C12Q)</t>
  </si>
  <si>
    <t>직선속도, 각속도, 가속도, 감속도 또는 충격의 측정; 운동의 유무; 운동의 방향 지시(회전 운동 효과(gyroscopic)를 이용한 각속도 측정 G01C 19/00; 둘 이상의 운동변량을 측정하기 위한 복수 측정 장치를 결합시킨 것 G01C 23/00; 음속의 측정 G01H 5/00; 광속의 측정 G01J 7/00; 전파 또는 다른 파동의 반사 또는 재방사에 의하고 전파효과, 예. 도플러효과(Doppler), 전파시간 또는 전파의 방향에 기초한 고체물)</t>
  </si>
  <si>
    <t>스캐닝 프로브 기술 혹은 장치; 스캐닝 프로브 기술의 적용 예. 스캔 프로브 현미경？？[SPM] [2010.01]</t>
  </si>
  <si>
    <t>전기변량의 측정; 자기변량의 측정(공진회로의 바른 동조의 지시 H03J 3/12) [2013.01]</t>
  </si>
  <si>
    <t xml:space="preserve">무선에 의한 방위결정; 무선항행; 무선전파의 사용에 의한 거리 또는 속도의 결정; 무선전파의 반사 또는 재방사의 사용에 의한 위치 또는 유무의 탐지; 기타의 파류를 사용하는 유사한 방식(무선전파, 음파 또는 기타의 파의 반사 또는 재방사와 무관한 다른 방법에 의한 물체 또는 목표물의 탐지 G01V) </t>
  </si>
  <si>
    <t>광학요소, 광학계 또는 광학장치(G02F가 우선; 조명 장치 또는 조명 시스템에 사용하는데 특히 적합한 광학 요소 F21V 1/00 ~ F21V 13/00; 측정기구는 G01의 관련 서브클래스를 참조, 예. 광학적 거리계 G01C; 광학요소, 광학계 또는 광학장치의 시험 G01M 11/00; 안경 G02C; 사진촬영 또는 투사 또는 관찰용 장치 또는 배치 G03B; 음향렌즈 G10K 11/30; 전자 및 이온); H01J; X선 광학 H01J(H05G)</t>
  </si>
  <si>
    <t>사진용 감광재료; 사진법, 예. 영화, X선, 칼라 또는 입체사진법; 사진의 보조 처리법(서브클래스의 G03B에 분류되는 장치의 사용 또는 조작을 특징으로 하는 사진법 그 자체는 G03B를 참조) ？？[2013.01]</t>
  </si>
  <si>
    <t>노광필 사진재료의 처리장치, 그 용구？？[2013.01]</t>
  </si>
  <si>
    <t>홀로그래픽 처리 또는 장치(통상의 광학적 소자로서 사용되는 홀로그램, 예. 점홀로그램 G02B 5/32; 광학소자를 이용하여 계산 동작을 하는 아날로그컴퓨터 G06E 3/00; 홀로그래피적 디지털 기록 G11B 7/0065, G11C 13/04)？？[2]</t>
  </si>
  <si>
    <t>기계적 구동의 시계 또는 휴대시계; 시계 또는 휴대시계의 기계적 부분일반; 태양, 달 또는 별의 위치를 이용한 시계(용수철이나 중력에 의해 움직여지는 기구일반 F03G; 전기기계시계 또는 휴대전기기계시계 G04C; 미리 선정된 시각 또는 미리 정해진 시간간격 후에 임의의 장치를 조작하는 부속수단 또는 조립수단을 가진 전기기계시계 G04C 23/00; 정지장치가 있는 시계 또는 휴대시계 G04F 7/08; 움직이는 부분이 없는 전자시계에 특히 적합한 구조)</t>
  </si>
  <si>
    <t>시계나 휴대시계의 제작 또는 유지하기 위하여 특별히 설계된 장비 또는 공구 ？？[2014.01]</t>
  </si>
  <si>
    <t>시간간격의 측정(펄스특성의 측정 G01R 예. 29/02; 레이다 또는 비슷한 방식의 것 G01S; 분자증폭기(masers HO1S 1/00; 진동의 발생 H03B; 펄스발생 또는 계수, 주파수분할 H03K; 아날로그/디지털 변환일반 H03M 1/00))</t>
  </si>
  <si>
    <t>무선 제어 시계？？[2013.01]</t>
  </si>
  <si>
    <t xml:space="preserve">제어계 또는 조정계 일반; 이와 같은 계의 기능요소; 이와 같은 계 또는 요소의 감시 또는 시험장치(액체압 액츄에이터 또는 유체적 수단으로 동작하는 계 일반 F15B; 밸브자체 F16K; 기계적 구성만을 특징으로 하는 것 G05G; 검출요소는 G01, H01의 서브클래스, 적당한 서브클래스, 예. G12B를 참조; 수정요소는 적당한 서브클래스, 예. H02K를 참조) </t>
  </si>
  <si>
    <t>전기적 또는 자기적 변량의 조정계(레이다 또는 무선항행 시스템의 타임 펄스(Time pulse) 또는 반복 펄스 주파수를 조정하는 것 G01S; 특별히 전자시계의 사용을 위해 적용되는 전류 또는 전압의 조정 G04G 19/02; 특별히 전기적 수단에 의한 비전기적 변량을 조정하는 폐루프계 G05D; 디지털 컴퓨터의 전력공급을 조정하는 것 G06F 1/26; 정류자를 가진 전자석의 소망하는 동작 특성을 얻기 위한 것 H01F 7/18; 전력 배전망을 조정 H02J; 배터리 충전 조정 H02J 7/00; 정지형 변환 장치 결과 조정, 예. 조절장치 전환, H02M; 발전기 결과 조정 H02N, H02P 9/00; 변환기, 리엑터, 초크코일 조절 H02P 13/00; 주파수 반응,  조정, 최대 출력, 앰프의 진폭과 대역폭 조절 H03G; 공진 회로 조율 H03J; 전기 진동이나 파동 조절 H03L; 송전선 특성 조정 H04B; 전등 소재 조절 H05B 37/02, H05B？39/04, H05B？41/36; X선 장치의 전기 조절 H05G？1/30) [5]</t>
  </si>
  <si>
    <t>광학 계산 장치(광학 논리소자 그 자체 G02F 3/00; 광학 소자를 사용한 디지털기억 G11C 13/04) [5,2013.01]</t>
  </si>
  <si>
    <t>전기에 의한 디지털 데이터처리(특정계산모델방식의 컴퓨터시스템 G06N)</t>
  </si>
  <si>
    <t>데이터의 인식; 데이터의 표시; 기록매체; 기록매체의 취급</t>
  </si>
  <si>
    <t>관리용, 상업용, 금융용, 경영용, 감독용 또는 예측용으로 특히 적합한 데이터 처리 시스템 또는 방법; 그 밖에 분류되지 않는 관리용, 상업용, 금융용, 경영용, 감독용 또는 예측용으로 특히 적합한 시스템 또는 방법 ？？[8]</t>
  </si>
  <si>
    <t>이미지 데이터 처리 또는 발생, 일반 [6,2006.01]</t>
  </si>
  <si>
    <t>시간 또는 출석 등록; 기계 작업 등록 또는 표시; 난수의 발생; 투표 또는 추첨장치; 다른 개소에 속하지 않는 검사를 위한 배열, 시스템(system) 또는 장치(개인 식별 A61B 5/117; 측정을 위한 표시 또는 기록 장치 일반, 유사하나 입력값이 가변적이지 않은 장치 , 예. 수동 조작, G01D; 시계, 시계 장치 G04B, G04C; 시간간격 측정 G04F; 자체 측정 기구인 것 G06M)</t>
  </si>
  <si>
    <t>유사한 유가증권이나 지폐 또는 동전의 취급, 예. 액면금액, 계수, 분배, 환전 또는 예금에 의한 검사, 선별 ？？[2]</t>
  </si>
  <si>
    <t>신호 또는 호출시스템; 지령발신장치; 경보 시스템 ？？[2014.01]</t>
  </si>
  <si>
    <t>측정치, 제어신호 또는 유사신호를 위한 전송방식(유체압력전송방식 F15B; 감지요소의 출력을 다른 변량으로 변환하는 기계적수단 G01D 5/00; 기계적 제어시스템 G05G) ？？[4]</t>
  </si>
  <si>
    <t>교통제어시스템(철도교통의 안내, 철도교통의 안전확보 B61L; 교통제어용 레이더(radar) 및 유사 시스템, 소나시스템 또는 라이더(lidar)시스템 G01S 13/91, G01S 15/88, G01S 17/88; 충돌방지용 레이더 및 유사 시스템, 소나시스템 또는 라이더시스템 G01S 13/93, G01S 15/93, G01S 17/93; 교통 환경에 특정되지 않는 육상, 수상, 항공, 우주 선체의 위치, 경로, 고도 또는 자세의 제어 G05D 1/00) [2]</t>
  </si>
  <si>
    <t>교육용 또는 교시용의 기구; 맹인 또는 농아자와의 의사를 소통하기 위한 교습용기구; 모형; 유성의; 지구의; 지도; 도표？？[2013.01]</t>
  </si>
  <si>
    <t>정적수단을 사용하여 가변정보를 표시하는 표시장치의 제어를 위한 장치 또는 회로(디지털 컴퓨터와 표시장치 사이의 데이터 전송을 위한 장치 G06F 3/14; 다수의 분리된 표시요소 또는 광 제어 셀로서 되는 정적표시장치 G09F 9/00; 집적된 다수의 광원으로된 정적표시장치 H01J, H01K, H01L, H05B 33/12; 스캐닝, 전송 또는 재생 또는 그와 같은 것, 예. 팩시밀리 전송, 그의 세부 H04N 1/00) ？？[3,4,5,2013.01]</t>
  </si>
  <si>
    <t xml:space="preserve">오르간(Organ), 풍금(Harmonium) 또는 기명악기 (음악 완구의 비음악적 특색이 있는 것 A63H 5/00; 아코디언, 콘서티나 또는 그와 유사한 것 또는 그의 키보드 G10D 11/00; 자동 기명(wind-actuated) 악기 G10F 1/12) ？？[2013.01, 2014.01] </t>
  </si>
  <si>
    <t>피아노, 하프시코드(harpsichord), 소형 피아노(spinets) 또는 하나 이상의 건반을 가지는 유사한 현악기(음악적 특색이 없는 장난감 피아노 A63H 5/00; 키보드를 갖거나 갖지않는 자동 피아노 G10F 1/02, G10F 1/04; 자동 피아노를 결합하는 결합 기구 G10F 1/22; 자동 피아노의 부속품 또는 세부 G10F 5/00)？？[2013.01]</t>
  </si>
  <si>
    <t>현악기; 기명악기; 아코디언 또는 콘서티나(concertina); 타악기; 달리 분류되지 않는 악기(음악 완구의 비음악적 특색이 있는 것 A63H 5/00; 오르간, 하모늄 또는 기명(blowing) 기구와 같은 것 G10B; 피아노, 하프시코드, 스피넷 또는 하나 이상의 키보드를 갖는 유사 현(string)이 있는 악기 G10C; 자동악기 G10F; 전기 발성 악기 G10H; 전기 기계적 수단 또는 전자 발생기에 의해 톤을 발생하는 악기)</t>
  </si>
  <si>
    <t>자동악기(음악 완구의 비음악적 특색이 있는 것 A63H 5/00; 자동 악기를 갖는 녹음 또는 재생 장치의 관련된 동작을 위한 방식 G11B 31/02)？？[2013.01]</t>
  </si>
  <si>
    <t>음악을 위한 보조구; 악기를 위한 지지구; 음악 또는 악기를 위한 다른 보조 장치 또는 부속품(음악 스탠드 A47B; 음악 완구의 비음악적 특색이 있는 것 A63H 5/00; 메트로놈 G04F 5/02; 교습 음악 G09B 15/00)？？[2013.01]</t>
  </si>
  <si>
    <t>음성분석 또는 합성; 음성 인식; 음성(speech) 또는 음성(voice) 처리; 음성(speech) 또는 오디오(audio) 부호화 또는 복호화？？[4,2013.01]</t>
  </si>
  <si>
    <t>기록매체와 변환기 사이의 상대적인 운동을 기본으로 하는 정보저장(측정치를 기록함에 있어서 변환기를 통한 재생을 필요로 하지 않는 것 G01D; 사진용을 위한 감광물 또는 감광처리 G03C; 일렉트로그래피(electrography), 일렉트로포토그래피(electrophotography), 마그네토그래피(magnetography) G03G; 기록 또는 재생장치로서 천공된 종이테이프와 같이 기계적으로 표시된 테이프를 사용하거나 또는 천공 내지 자기적으로 표시)</t>
  </si>
  <si>
    <t>정적기억(기록매체와 변환기의 상대운동에 의한 정보의 기억 G11B; 기억을 위한 반도체 장치 H01L; 일반적인 펄스기술 H03K, 예. 전자스위치 H03K 17/00)</t>
  </si>
  <si>
    <t>달리 분류되지 않는 기계의 구성적 세부 또는 기타의 장치에 유사한 세부？？[2013.01]</t>
  </si>
  <si>
    <t>화학원소의 변환; 방사선원 [2]</t>
  </si>
  <si>
    <t>방사선원으로부터의 에너지 취득; 방사성원으로부터의 방사선의 응용; 해당되는 게 없는 경우 ; 우주방사선의 이용 (핵방사선 또는 X-방사선의 측정 G01T ; 핵융합로 G21B; 원자로 G21C ; 기체가 충전된 램프는 외부입자방사선에 의해서 또는 램프에 구조적으로 연관된 방사물질에 의해 발광에 자극을 받는 경우 H01J？65/04, H01J？65/06)</t>
  </si>
  <si>
    <t>달리 분류되지 않는 입자 또는 전리 방사 취급 기술; 조사장치; 감마선 또는 X선 현미경？？[2]</t>
  </si>
  <si>
    <t>케이블; 도체; 절연체; 도전성, 절연성 또는 유전성 특성에 대한 재료의 선택(자기특성에 대한 선택 H01F 1/00; 도파관 H01P)？？[2013.01]</t>
  </si>
  <si>
    <t>자석; 인덕턴스(Inductance); 변성기; 자기특성을 위한 재료의 선택？？[2,2013.01]</t>
  </si>
  <si>
    <t>콘덴서; 전해용 콘덴서, 정류기, 검파기, 개폐장치 감광장치 또는 감온장치(유전체로서의 특정재료의 선택 H01B 3/00; 전위장벽 또는 표면장벽이 있는 콘덴서 H01L 29/00)？？[2013.01]</t>
  </si>
  <si>
    <t>전기적스위치; 계전기; 셀렉터(selector); 비상보호장치(접촉케이블 H01B 7/10; H01G 9/18; H02H; 무접점 전자장치에 의한 개폐 H03K 17/00)</t>
  </si>
  <si>
    <t>백열램프(방전장치와 백열램프의 양쪽에 사용되는 세부 또는 제작장치 또는 제조방법 H01J; 백열발광체와 기타 발광체를 조합한 광원 H01J 61/96, H05B 35/00)？？[2013.01]</t>
  </si>
  <si>
    <t>반도체 장치; 다른 곳에 속하지 않는 전기적 고체 장치(측정에 반도체 장치를 사용 G01; 저항 일반 H01C; 자석, 인덕터, 변성기 H01F; 컨덴서 일반 H01G; 전해장치 H01G 9/00; 전지, 축전지 H01M; 도파관, 도파관형의 공진기 또는 선로 H01P; 전선접속기, 집전장치 H01R; 유도방출 소자 H01S; 전기기계적 공진기 H03H; 확성기, 마이크로폰, 축음기의 픽엎 또는 음향의 전기기계적 변환기 H04R; 전기적 광원 일반)</t>
  </si>
  <si>
    <t>화학에너지를 전기에너지로 직접 변환하기 위한 방법 또는 수단, 예. 배터리[2]</t>
  </si>
  <si>
    <t>안테나 (마이크로파(microwave) 가열용의 방사기 또는 안테나 H05B 6/72)</t>
  </si>
  <si>
    <t>스파크 갭; 스파크 갭을 사용하는 과전압 피뢰기; 스파크 플러그; 코로나 장치; 비밀폐 가스로 유입되기 위한 이온 발생(과전합 보호회로 H02H )</t>
  </si>
  <si>
    <t>전력급전 또는 전력배전을 위한 방식; 전기에너지 축적하기 위한 방식(X선, 감마선, 미립자선, 우주선을 측정하는 장치를 위한 전력급전회로 G01T 1/175; 가동부분을 갖지 않는 전자시계에 사용코자 특별히 적용된 전력급전회로 G04G 19/00; 디지털컴퓨터를 위한 전력급전회로 G06F 1/18; 방전관을 위한 전력급전회로 H01J 37/248; 전력변환을 위한 회로 또는 장치, 그와 같은 회로 또는 장치의 제어 또는 조정하기 위한 장치 H02M; 복수 차량 연계 조정, 견인차, 발전기 결합 조정 H02P; 고주파 조정 H03L; 정보 송달을 위한 추가적인 전력선이나 네트워크 H04B)</t>
  </si>
  <si>
    <t>회전-전기 기계 (회전-전기 계전기 H01H 53/00; 직류 또는 교류입력을 서지 출력으로 변환하는 것 H02M 9/00) [2013.01, 2014.01]</t>
  </si>
  <si>
    <t>교류-교류, 교류-직류 또는 직류-직류변환장치 및 주요한 또는 유사한 전력공급장치와 함께 사용하기 위한 장치; 직류 또는 교류입력의 서지 출력변환; 그것을 제어 또는 조정(전기 또는 자기변량을 조정하기 위한 시스템일반, 예. 변압기, 리액터 또는 초크 코일을 사용하기 위한 것, 정지 변환기를 가진 이와 같은 시스템을 결합 G05F; 변성기 H01F; 유사 또는 기타 공급전원과의 공동동작하는 변환기의 접속 또는 제어, H02J; 회전 변환기 H02K 47/00; 변환기, 리엑터, 초크코일 조절, 전기 자동차의 통제, 역학-전기 에너지 변환 발전기 H02P; 파동 발전기 H03K) [5]</t>
  </si>
  <si>
    <t>전동기, 전기 발전기 또는 다이나모일렉트릭(역학적 에너지와 전기적 에너지를 서로 변환하는, Dynamo-electric) 변환기 ; 변압기를 제어하는 것, 원자로 또는 초크 코일(choke coil)의 제어 또는 규제 ？？[4]</t>
  </si>
  <si>
    <t xml:space="preserve">진동의 발생, 직접 또는 주파수 변조에 의한 진동의 발생, 스위칭 동작을 하지 않는 능동소자를 사용한 회로에 의한 진동의 발생; 이와 같은 회로에 의한 잡음의 발생 (전기 발성 악기에 특히 적합한 발생기 G10H; 메이저(maser), 레이저(Laser) H01S; 플라즈마에서 진동의 발생 H05H) ？？[2014.01] </t>
  </si>
  <si>
    <t>변조 (메이저(masers), 레이저(lasers) H01S; 부호화, 복호화 혹은 부호변환 H03M) ？？[2014.01</t>
  </si>
  <si>
    <t>하나의 반송파로부터 타반송파에의 복조 또는 변조의 변환(메이저(masers), 레이저(laser) H01S : 변조기 및 복조기로 동작하는 회로 H03C, 예. 평형 변조기 H03C 1/54; 변조기 및 주파수변환기에의 적용 세부 H03C; 지속-변수 신호로 변조된 펄스를 복조하는 것 H03K 9/00; 펄스변조 형식의 변환 H03K 11/00; 중계 시스템, 예. 중계기 H04B 7/14; 디지털 변조전송시스템에 적합한 복조기 H04L 27/00; 컬러 텔레비전에 적용된 동시발생 복조기 H04N 9/66)</t>
  </si>
  <si>
    <t>임피던스 회로망, 예. 공진 회로; 공진기 (측정, 시험 G01R; 소리의 잔향 또는 반향을 생성하기 위한 장치 G10K15/08; 분배된 임피던스로 구성된 임피던스 회로망 또는 공진기, 예. 도파로형의 것, H01P; 증폭의 제어, 예. 증폭의 대역폭 제어, H03G; 공진 회로의 조정, 예. 결합 공진 회로의 조정, H03J; 통신 시스템의 주파수 특성을 변경하기 위한 회로망 H04B)</t>
  </si>
  <si>
    <t>펄스(PULSE)기술(펄스특성의 측정 G01R; 펄스를 갖는 정현파진동의 변조 H03C; 디지털 정보의 전송 H04L; 진동 주기의 계수 또는 적산에 의해 두 신호간 위상차를 검출하는 회로 H03D 3/04; 발생기의 형에 관계없는 또는 특정되어 있지 않은 전자진동 또는 펄스 발생기의 발생기의 자동제어, 시동, 동기화 또는 안정화 H03L; 부호화, 복호화 또는 부호변환 일반 H03M)？？[4,2013.01]</t>
  </si>
  <si>
    <t>전송？？[4,2013.01]</t>
  </si>
  <si>
    <t>비밀 통신; 통신 지체</t>
  </si>
  <si>
    <t>디지털 정보의 전송, 예. 전신통신(전신(telegraphic) 및 전화통신의 공통장치 H04M)？？[4,2013.01]</t>
  </si>
  <si>
    <t>화상통신, 예. 텔레비젼 ？？[4]</t>
  </si>
  <si>
    <t>선택(스위치, 계전기, 셀렉터 H01H; 무선통신망 H04W) ？？[1,2009.01]</t>
  </si>
  <si>
    <t>확성기, 마이크로폰, 축음기 픽업(pick up) 또는 유사한 음향전기기계변환기; 보청기; 방성장치(public Address system) (일반적인 기계적 진동을 발생하는 것 B06B : 특별한 변화 측정용 변환기 G010K)[6]</t>
  </si>
  <si>
    <t>입체음향 시스템 [3]</t>
  </si>
  <si>
    <t>무선통신네트워크 [2009.01]</t>
  </si>
  <si>
    <t xml:space="preserve">플라스마(Plasma) 기술(핵융합로 G21B; 이온 빔관 H01J 27/00; 전자유체발전기 H02K 44/08); 가속된 하전입자 또는 중성자의 발생(방사선원에서 중성자를 얻는 것 G21, 에. G21B, G21C, G21G); 중성분자 또는 전자빔의 발생 또는 가속(원자시계 G04F 5/14; 유도방출을 사용하는 장치 H01S; 분자원자 또는 원자보다 작은 입자의 에너지 레벨에 의해 결정되는 기준 주파수와 비교하여 주파수를 조정 H03L 7/2) </t>
  </si>
  <si>
    <t>9,17</t>
  </si>
  <si>
    <t>7,13</t>
  </si>
  <si>
    <t>유효법인세율</t>
    <phoneticPr fontId="11" type="noConversion"/>
  </si>
  <si>
    <t>WACC(유효)</t>
    <phoneticPr fontId="11" type="noConversion"/>
  </si>
  <si>
    <t>WACC(유효)</t>
    <phoneticPr fontId="11" type="noConversion"/>
  </si>
  <si>
    <t>WACC(고정)</t>
    <phoneticPr fontId="11" type="noConversion"/>
  </si>
  <si>
    <t>1. INPUT 시트 내 평가기준일 TODAY 함수 적용
2. PM 혹은 수행기관별 평가기준일이 정해질 경우, 수동으로 입력해 사용해주세요</t>
    <phoneticPr fontId="11" type="noConversion"/>
  </si>
  <si>
    <t>1.3.8</t>
    <phoneticPr fontId="11" type="noConversion"/>
  </si>
  <si>
    <t>산업기술요소에서 100% 넘어가는 오류에 대하여 수정조치함</t>
    <phoneticPr fontId="11" type="noConversion"/>
  </si>
  <si>
    <t>성숙시장
위험프리미엄</t>
    <phoneticPr fontId="11" type="noConversion"/>
  </si>
  <si>
    <t>미성숙시장
위험프리미엄</t>
    <phoneticPr fontId="11" type="noConversion"/>
  </si>
  <si>
    <t>임업 업종 WACC 범위는 4.11%~32.38% (업종분류 416 목재가구 제조업)</t>
    <phoneticPr fontId="11" type="noConversion"/>
  </si>
  <si>
    <t>농업, 어업엔지니어링 낙농제품, 목재가구 쪽이 WACCC값이 가장 높은 편에 속하고 건기식이나 임업/어업/식품 연구개발업도 높은편</t>
    <phoneticPr fontId="11" type="noConversion"/>
  </si>
  <si>
    <t>농업 업종 WACC 범위는 4.06%~29.73% (업종분류 237 농업엔지니어링)</t>
    <phoneticPr fontId="11" type="noConversion"/>
  </si>
  <si>
    <t>어업 업종 WACC 범위는 3.69%~29.73% (업종분류 635 어업엔지니어링)</t>
    <phoneticPr fontId="11" type="noConversion"/>
  </si>
  <si>
    <t>식품 업종 WACC 범위는 3.28%~25.31% (업종분류 750 낙농제품 및 식용빙과)</t>
    <phoneticPr fontId="11" type="noConversion"/>
  </si>
  <si>
    <t>1.3.9</t>
    <phoneticPr fontId="11" type="noConversion"/>
  </si>
  <si>
    <t>검수 : 윤홍근
         신효정
         송윤찬</t>
    <phoneticPr fontId="11" type="noConversion"/>
  </si>
  <si>
    <t>2017-2019</t>
    <phoneticPr fontId="11" type="noConversion"/>
  </si>
  <si>
    <t>2017-2019</t>
    <phoneticPr fontId="11" type="noConversion"/>
  </si>
  <si>
    <t>2017년</t>
    <phoneticPr fontId="11" type="noConversion"/>
  </si>
  <si>
    <t>2018년</t>
    <phoneticPr fontId="11" type="noConversion"/>
  </si>
  <si>
    <t>2019년</t>
    <phoneticPr fontId="11" type="noConversion"/>
  </si>
  <si>
    <t>2017_2019년</t>
    <phoneticPr fontId="11" type="noConversion"/>
  </si>
  <si>
    <t>Y_2017</t>
    <phoneticPr fontId="11" type="noConversion"/>
  </si>
  <si>
    <t>Y_2018</t>
    <phoneticPr fontId="11" type="noConversion"/>
  </si>
  <si>
    <t>Y_2018</t>
    <phoneticPr fontId="11" type="noConversion"/>
  </si>
  <si>
    <t>Y_2019</t>
    <phoneticPr fontId="11" type="noConversion"/>
  </si>
  <si>
    <t>Y_2019</t>
    <phoneticPr fontId="11" type="noConversion"/>
  </si>
  <si>
    <t>10차 표준산업분류</t>
    <phoneticPr fontId="11" type="noConversion"/>
  </si>
  <si>
    <t>　구분</t>
  </si>
  <si>
    <t>중앙값</t>
  </si>
  <si>
    <t>제조업</t>
  </si>
  <si>
    <t>식료품제조업</t>
  </si>
  <si>
    <r>
      <t>음료제조업</t>
    </r>
    <r>
      <rPr>
        <sz val="8"/>
        <color rgb="FFFF0000"/>
        <rFont val="맑은 고딕"/>
        <family val="3"/>
        <charset val="129"/>
        <scheme val="minor"/>
      </rPr>
      <t>*</t>
    </r>
  </si>
  <si>
    <r>
      <t>섬유제품제조업;의복제외</t>
    </r>
    <r>
      <rPr>
        <sz val="8"/>
        <color rgb="FFFF0000"/>
        <rFont val="맑은 고딕"/>
        <family val="3"/>
        <charset val="129"/>
        <scheme val="minor"/>
      </rPr>
      <t>*</t>
    </r>
  </si>
  <si>
    <r>
      <t>의복,의복액세서리및모피제품제조업</t>
    </r>
    <r>
      <rPr>
        <sz val="8"/>
        <color rgb="FFFF0000"/>
        <rFont val="맑은 고딕"/>
        <family val="3"/>
        <charset val="129"/>
        <scheme val="minor"/>
      </rPr>
      <t>*</t>
    </r>
  </si>
  <si>
    <r>
      <t>가죽,가방및신발제조업</t>
    </r>
    <r>
      <rPr>
        <sz val="8"/>
        <color rgb="FFFF0000"/>
        <rFont val="맑은 고딕"/>
        <family val="3"/>
        <charset val="129"/>
        <scheme val="minor"/>
      </rPr>
      <t>*</t>
    </r>
  </si>
  <si>
    <r>
      <t>목재및나무제품제조업;가구제외</t>
    </r>
    <r>
      <rPr>
        <sz val="8"/>
        <color rgb="FFFF0000"/>
        <rFont val="맑은 고딕"/>
        <family val="3"/>
        <charset val="129"/>
        <scheme val="minor"/>
      </rPr>
      <t>*</t>
    </r>
  </si>
  <si>
    <t>펄프,종이및종이제품제조업</t>
  </si>
  <si>
    <t>화학물질및화학제품제조업;의약품제외</t>
  </si>
  <si>
    <r>
      <t>고무및플라스틱제품제조업</t>
    </r>
    <r>
      <rPr>
        <sz val="8"/>
        <color rgb="FFFF0000"/>
        <rFont val="맑은 고딕"/>
        <family val="3"/>
        <charset val="129"/>
        <scheme val="minor"/>
      </rPr>
      <t>*</t>
    </r>
  </si>
  <si>
    <t>비금속광물제품제조업</t>
  </si>
  <si>
    <r>
      <t>1차금속제조업</t>
    </r>
    <r>
      <rPr>
        <sz val="8"/>
        <color rgb="FFFF0000"/>
        <rFont val="맑은 고딕"/>
        <family val="3"/>
        <charset val="129"/>
        <scheme val="minor"/>
      </rPr>
      <t>*</t>
    </r>
  </si>
  <si>
    <t>전자부품,컴퓨터,영상,음향및통신장비제조업</t>
  </si>
  <si>
    <t>의료,정밀,광학기기및시계제조업</t>
  </si>
  <si>
    <t>자동차및트레일러제조업</t>
  </si>
  <si>
    <t>기타운송장비제조업</t>
  </si>
  <si>
    <r>
      <t>가구제조업</t>
    </r>
    <r>
      <rPr>
        <sz val="8"/>
        <color rgb="FFFF0000"/>
        <rFont val="맑은 고딕"/>
        <family val="3"/>
        <charset val="129"/>
        <scheme val="minor"/>
      </rPr>
      <t>*</t>
    </r>
  </si>
  <si>
    <t>기타제품제조업</t>
  </si>
  <si>
    <t>전기,가스,증기및공기조절공급업</t>
  </si>
  <si>
    <t>수도,하수및폐기물처리,원료재생업</t>
  </si>
  <si>
    <t>폐기물수집,운반,처리및원료재생업</t>
  </si>
  <si>
    <t>종합건설업</t>
  </si>
  <si>
    <t>전문직별공사업</t>
  </si>
  <si>
    <t>도매및소매업</t>
  </si>
  <si>
    <r>
      <t>도매및상품중개업</t>
    </r>
    <r>
      <rPr>
        <sz val="8"/>
        <color rgb="FFFF0000"/>
        <rFont val="맑은 고딕"/>
        <family val="3"/>
        <charset val="129"/>
        <scheme val="minor"/>
      </rPr>
      <t>*</t>
    </r>
  </si>
  <si>
    <r>
      <t>소매업;자동차제외</t>
    </r>
    <r>
      <rPr>
        <sz val="8"/>
        <color rgb="FFFF0000"/>
        <rFont val="맑은 고딕"/>
        <family val="3"/>
        <charset val="129"/>
        <scheme val="minor"/>
      </rPr>
      <t>*</t>
    </r>
  </si>
  <si>
    <t>정보통신업</t>
  </si>
  <si>
    <t>출판업</t>
  </si>
  <si>
    <r>
      <t>영상ㆍ오디오기록물제작및배급업</t>
    </r>
    <r>
      <rPr>
        <sz val="8"/>
        <color rgb="FFFF0000"/>
        <rFont val="맑은 고딕"/>
        <family val="3"/>
        <charset val="129"/>
        <scheme val="minor"/>
      </rPr>
      <t>*</t>
    </r>
  </si>
  <si>
    <r>
      <t>방송업</t>
    </r>
    <r>
      <rPr>
        <sz val="8"/>
        <color rgb="FFFF0000"/>
        <rFont val="맑은 고딕"/>
        <family val="3"/>
        <charset val="129"/>
        <scheme val="minor"/>
      </rPr>
      <t>*</t>
    </r>
  </si>
  <si>
    <r>
      <t>우편및통신업</t>
    </r>
    <r>
      <rPr>
        <sz val="8"/>
        <color rgb="FFFF0000"/>
        <rFont val="맑은 고딕"/>
        <family val="3"/>
        <charset val="129"/>
        <scheme val="minor"/>
      </rPr>
      <t>*</t>
    </r>
  </si>
  <si>
    <t>금융및보험업</t>
  </si>
  <si>
    <r>
      <t>금융및보험관련서비스업</t>
    </r>
    <r>
      <rPr>
        <sz val="8"/>
        <color rgb="FFFF0000"/>
        <rFont val="맑은 고딕"/>
        <family val="3"/>
        <charset val="129"/>
        <scheme val="minor"/>
      </rPr>
      <t>*</t>
    </r>
  </si>
  <si>
    <t>전문,과학및기술서비스업</t>
  </si>
  <si>
    <r>
      <t>연구개발업</t>
    </r>
    <r>
      <rPr>
        <sz val="8"/>
        <color rgb="FFFF0000"/>
        <rFont val="맑은 고딕"/>
        <family val="3"/>
        <charset val="129"/>
        <scheme val="minor"/>
      </rPr>
      <t>*</t>
    </r>
  </si>
  <si>
    <r>
      <t>건축기술,엔지니어링및기타과학기술서비스업</t>
    </r>
    <r>
      <rPr>
        <sz val="8"/>
        <color rgb="FFFF0000"/>
        <rFont val="맑은 고딕"/>
        <family val="3"/>
        <charset val="129"/>
        <scheme val="minor"/>
      </rPr>
      <t>*</t>
    </r>
  </si>
  <si>
    <r>
      <t>기타전문,과학및기술서비스업</t>
    </r>
    <r>
      <rPr>
        <sz val="8"/>
        <color rgb="FFFF0000"/>
        <rFont val="맑은 고딕"/>
        <family val="3"/>
        <charset val="129"/>
        <scheme val="minor"/>
      </rPr>
      <t>*</t>
    </r>
  </si>
  <si>
    <t>사업시설관리,사업지원및임대서비스업</t>
  </si>
  <si>
    <r>
      <t>사업시설관리및조경서비스업</t>
    </r>
    <r>
      <rPr>
        <sz val="8"/>
        <color rgb="FFFF0000"/>
        <rFont val="맑은 고딕"/>
        <family val="3"/>
        <charset val="129"/>
        <scheme val="minor"/>
      </rPr>
      <t>*</t>
    </r>
  </si>
  <si>
    <r>
      <t>사업지원서비스업</t>
    </r>
    <r>
      <rPr>
        <sz val="8"/>
        <color rgb="FFFF0000"/>
        <rFont val="맑은 고딕"/>
        <family val="3"/>
        <charset val="129"/>
        <scheme val="minor"/>
      </rPr>
      <t>*</t>
    </r>
  </si>
  <si>
    <t>보건업및사회복지서비스업</t>
  </si>
  <si>
    <r>
      <t>보건업</t>
    </r>
    <r>
      <rPr>
        <sz val="8"/>
        <color rgb="FFFF0000"/>
        <rFont val="맑은 고딕"/>
        <family val="3"/>
        <charset val="129"/>
        <scheme val="minor"/>
      </rPr>
      <t>*</t>
    </r>
  </si>
  <si>
    <t>예술,스포츠및여가관련서비스업</t>
  </si>
  <si>
    <r>
      <t>창작,예술및여가관련서비스업</t>
    </r>
    <r>
      <rPr>
        <sz val="8"/>
        <color rgb="FFFF0000"/>
        <rFont val="맑은 고딕"/>
        <family val="3"/>
        <charset val="129"/>
        <scheme val="minor"/>
      </rPr>
      <t>*</t>
    </r>
  </si>
  <si>
    <t>협회및단체,수리및기타개인서비스업</t>
  </si>
  <si>
    <r>
      <t>개인및소비용품수리업</t>
    </r>
    <r>
      <rPr>
        <sz val="8"/>
        <color rgb="FFFF0000"/>
        <rFont val="맑은 고딕"/>
        <family val="3"/>
        <charset val="129"/>
        <scheme val="minor"/>
      </rPr>
      <t>*</t>
    </r>
  </si>
  <si>
    <t>(단위: %)</t>
    <phoneticPr fontId="21" type="noConversion"/>
  </si>
  <si>
    <t>(단위: %)</t>
    <phoneticPr fontId="21" type="noConversion"/>
  </si>
  <si>
    <t>모피제품 제조업</t>
  </si>
  <si>
    <t>세제, 화장품 및 광택제 제조업</t>
  </si>
  <si>
    <t>모피 및 가죽제조업</t>
  </si>
  <si>
    <t>측정, 시험, 항해, 제어 및 기타 정밀기기 제조업</t>
  </si>
  <si>
    <t>금속가공제품 제조업;기계 및 가구 제외</t>
  </si>
  <si>
    <t>소독, 구충 및 방제 서비스업</t>
  </si>
  <si>
    <t>그외 기타 분류안된 전문, 과학 및 기술 서비스업</t>
  </si>
  <si>
    <t>기술 시험, 검사 및 분석업</t>
  </si>
  <si>
    <t>폐기물 수집운반, 처리 및 원료재생업</t>
  </si>
  <si>
    <t>하수, 폐수 및 분뇨 처리업</t>
  </si>
  <si>
    <t>시스템 응용 소프트웨어 개발 및 공급업</t>
  </si>
  <si>
    <t>컴퓨터 프로그래밍, 시스템 통합 및 관리업</t>
  </si>
  <si>
    <t>날붙이, 수공구 및 일반철물 제조업</t>
  </si>
  <si>
    <t>기타 목재 가구 제조업</t>
  </si>
  <si>
    <t>콘크리트, 시멘트 및 플라스터 제품 제조업</t>
  </si>
  <si>
    <t>도배, 실내장식 및 내장 목공사업</t>
  </si>
  <si>
    <t>환경설비 건설업</t>
  </si>
  <si>
    <t>면류, 마카로니 및 유사식품 제조업</t>
  </si>
  <si>
    <t>음·식료품 및 담배 가공기계 제조업</t>
  </si>
  <si>
    <t>용기세척, 포장 및 충전기 제조업</t>
  </si>
  <si>
    <t>플라스틱 시트 및 판 제조업</t>
  </si>
  <si>
    <t>플라스틱 포대, 봉투 및 유사제품 제조업</t>
  </si>
  <si>
    <t>치약, 비누 및 기타 세제 제조업</t>
  </si>
  <si>
    <t>플라스틱 필름 제조업</t>
  </si>
  <si>
    <t>시스템응용 소프트웨어 개발 및 공급업</t>
  </si>
  <si>
    <t>농림수산식품산업분류(2020)</t>
    <phoneticPr fontId="21" type="noConversion"/>
  </si>
  <si>
    <t>한국표준산업분류(제10차)</t>
    <phoneticPr fontId="21" type="noConversion"/>
  </si>
  <si>
    <t>경상로열티</t>
    <phoneticPr fontId="21" type="noConversion"/>
  </si>
  <si>
    <t>상관행에 의한 업종별 로열티</t>
  </si>
  <si>
    <t>(단위: %)</t>
  </si>
  <si>
    <t>대분류</t>
  </si>
  <si>
    <t>중분류</t>
  </si>
  <si>
    <t>추정 로열티율</t>
  </si>
  <si>
    <t>소분류 업종명</t>
  </si>
  <si>
    <t>기업군</t>
  </si>
  <si>
    <t>A 농업, 임업 및 어업</t>
  </si>
  <si>
    <t>작물 재배업</t>
  </si>
  <si>
    <t>상위(25%)</t>
  </si>
  <si>
    <t>중위(50%)</t>
  </si>
  <si>
    <t>하위(25%)</t>
  </si>
  <si>
    <t>작물재배 및 축산 관련 서비스업</t>
  </si>
  <si>
    <t>임업</t>
  </si>
  <si>
    <t>어로 어업</t>
  </si>
  <si>
    <t>양식어업 및 어업관련 서비스업</t>
  </si>
  <si>
    <t>B 광업</t>
  </si>
  <si>
    <t>기타 비금속광물 광업</t>
  </si>
  <si>
    <t>C 제조업</t>
  </si>
  <si>
    <t>도축, 육류 가공 및 저장 처리업</t>
  </si>
  <si>
    <t>수산물 가공 및 저장 처리업</t>
  </si>
  <si>
    <t>곡물가공품, 전분 및 전분제품 제조업</t>
  </si>
  <si>
    <t>기타 식품 제조업</t>
  </si>
  <si>
    <t>알코올음료 제조업</t>
  </si>
  <si>
    <t>비알코올음료 및 얼음 제조업</t>
  </si>
  <si>
    <t>직물직조 및 직물제품 제조업</t>
  </si>
  <si>
    <t>기타 섬유제품 제조업</t>
  </si>
  <si>
    <t>가죽, 가방 및 유사제품 제조업</t>
  </si>
  <si>
    <t>나무제품 제조업</t>
  </si>
  <si>
    <t>펄프, 종이 및 판지 제조업</t>
  </si>
  <si>
    <t>골판지, 종이 상자 및 종이 용기 제조업</t>
  </si>
  <si>
    <t>기타 종이 및 판지 제품 제조업</t>
  </si>
  <si>
    <t>기초 화학물질 제조업</t>
  </si>
  <si>
    <t>합성고무 및 플라스틱 물질 제조업</t>
  </si>
  <si>
    <t>비료, 농약 및 살균, 살충제 제조업</t>
  </si>
  <si>
    <t>기타 화학제품 제조업</t>
  </si>
  <si>
    <t>기초 의약물질 및 생물학적 제제 제조업</t>
  </si>
  <si>
    <t>의약품 제조업</t>
  </si>
  <si>
    <t>의료용품 및 기타 의약 관련제품 제조업</t>
  </si>
  <si>
    <t>고무제품 제조업</t>
  </si>
  <si>
    <t>유리 및 유리제품 제조업</t>
  </si>
  <si>
    <t>내화, 비내화 요업제품 제조업</t>
  </si>
  <si>
    <t>시멘트, 석회, 플라스터 및 그 제품 제조업</t>
  </si>
  <si>
    <t>구조용 금속제품, 탱크 및 증기발생기 제조업</t>
  </si>
  <si>
    <t>무기 및 총포탄 제조업</t>
  </si>
  <si>
    <t>기타 금속 가공제품 제조업</t>
  </si>
  <si>
    <t>통신 및 방송 장비 제조업</t>
  </si>
  <si>
    <t>측정, 시험, 항해, 제어 및 기타 정밀기기 제조업; 광학기기 제외</t>
  </si>
  <si>
    <t>전동기, 발전기 및 전기 변환ㆍ 공급ㆍ제어 장치 제조업</t>
  </si>
  <si>
    <t>일차전지 및 축전지 제조업</t>
  </si>
  <si>
    <t>절연선 및 케이블 제조업</t>
  </si>
  <si>
    <t>전구 및 조명장치 제조업</t>
  </si>
  <si>
    <t>가정용 기기 제조업</t>
  </si>
  <si>
    <t>기타 전기장비 제조업</t>
  </si>
  <si>
    <t>일반 목적용 기계 제조업</t>
  </si>
  <si>
    <t>특수 목적용 기계 제조업</t>
  </si>
  <si>
    <t>선박 및 보트 건조업</t>
  </si>
  <si>
    <t>가구 제조업</t>
  </si>
  <si>
    <t>귀금속 및 장신용품 제조업</t>
  </si>
  <si>
    <t>운동 및 경기용구 제조업</t>
  </si>
  <si>
    <t>그 외 기타 제품 제조업</t>
  </si>
  <si>
    <t>E 수도, 하수 및 폐기물 처리,
원료 재생업</t>
  </si>
  <si>
    <t>폐기물 수집, 운반업</t>
  </si>
  <si>
    <t>폐기물 처리업</t>
  </si>
  <si>
    <t xml:space="preserve">해체, 선별 및 원료 재생업 </t>
  </si>
  <si>
    <t>F 건설업</t>
  </si>
  <si>
    <t>토목 건설업</t>
  </si>
  <si>
    <t>기반조성 및 시설물 축조관련 전문공사업</t>
  </si>
  <si>
    <t>전기 및 통신 공사업</t>
  </si>
  <si>
    <t>실내건축 및 건축마무리 공사업</t>
  </si>
  <si>
    <t>J 정보통신업</t>
  </si>
  <si>
    <t>소프트웨어 개발 및 공급업</t>
  </si>
  <si>
    <t>자료처리, 호스팅, 포털 및 기타 인터넷 정보매개 서비스업</t>
  </si>
  <si>
    <t>기타 정보 서비스업</t>
  </si>
  <si>
    <t>M 전문, 과학 및
기술 서비스업</t>
  </si>
  <si>
    <t>건축기술, 엔지니어링 및 관련 기술 서비스업</t>
  </si>
  <si>
    <t>기타 과학기술 서비스업</t>
  </si>
  <si>
    <t>그 외 기타 전문, 과학 및 기술 서비스업</t>
  </si>
  <si>
    <t>N 사업시설 관리, 사업 지원 및
임대 서비스업</t>
  </si>
  <si>
    <t>건물ㆍ산업설비 청소 및 방제 서비스업</t>
  </si>
  <si>
    <t>R 예술, 스포츠 및
여가관련 서비스업</t>
  </si>
  <si>
    <t>유원지 및 기타 오락관련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</si>
  <si>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</si>
  <si>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</si>
  <si>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</si>
  <si>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</si>
  <si>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</si>
  <si>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매출액</t>
    <phoneticPr fontId="21" type="noConversion"/>
  </si>
  <si>
    <t>매출총액</t>
    <phoneticPr fontId="21" type="noConversion"/>
  </si>
  <si>
    <t>판매관리비</t>
    <phoneticPr fontId="21" type="noConversion"/>
  </si>
  <si>
    <t>영업이익</t>
    <phoneticPr fontId="21" type="noConversion"/>
  </si>
  <si>
    <t>영업외수익</t>
    <phoneticPr fontId="21" type="noConversion"/>
  </si>
  <si>
    <t>영업외 비용</t>
    <phoneticPr fontId="21" type="noConversion"/>
  </si>
  <si>
    <t>경상이익</t>
    <phoneticPr fontId="21" type="noConversion"/>
  </si>
  <si>
    <t>당기순이익</t>
    <phoneticPr fontId="21" type="noConversion"/>
  </si>
  <si>
    <t>감가상각비</t>
    <phoneticPr fontId="21" type="noConversion"/>
  </si>
  <si>
    <t>고정자산</t>
    <phoneticPr fontId="21" type="noConversion"/>
  </si>
  <si>
    <t>무형자산</t>
    <phoneticPr fontId="21" type="noConversion"/>
  </si>
  <si>
    <t>유동자산</t>
    <phoneticPr fontId="21" type="noConversion"/>
  </si>
  <si>
    <t>유동부채</t>
    <phoneticPr fontId="21" type="noConversion"/>
  </si>
  <si>
    <t>자산총계</t>
    <phoneticPr fontId="21" type="noConversion"/>
  </si>
  <si>
    <t>부채총계</t>
    <phoneticPr fontId="21" type="noConversion"/>
  </si>
  <si>
    <t xml:space="preserve">작물재배업 </t>
  </si>
  <si>
    <t>농산물 가공품 제조업; 식료품 제외</t>
  </si>
  <si>
    <t>농산물 가공 외 농업관련 제조업</t>
  </si>
  <si>
    <t>농업관련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</si>
  <si>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</si>
  <si>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</si>
  <si>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</si>
  <si>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</si>
  <si>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</si>
  <si>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자산총계</t>
    <phoneticPr fontId="21" type="noConversion"/>
  </si>
  <si>
    <t>부채총계</t>
    <phoneticPr fontId="21" type="noConversion"/>
  </si>
  <si>
    <t>영림업 및 벌목업</t>
  </si>
  <si>
    <t>나무제품 외 임산물 가공품 제조업</t>
  </si>
  <si>
    <t>임산물 가공 외 임업관련 제조업</t>
  </si>
  <si>
    <t>코드명</t>
  </si>
  <si>
    <t>년도</t>
  </si>
  <si>
    <t>손익계산서</t>
  </si>
  <si>
    <t>재무상태표</t>
  </si>
  <si>
    <t>매출원가</t>
  </si>
  <si>
    <t>매출총액</t>
  </si>
  <si>
    <t>판매관리비</t>
  </si>
  <si>
    <t>영업이익</t>
  </si>
  <si>
    <t>영업외수익</t>
  </si>
  <si>
    <t>영업외 비용</t>
  </si>
  <si>
    <t>경상이익</t>
  </si>
  <si>
    <t>법인세</t>
  </si>
  <si>
    <t>당기순이익</t>
  </si>
  <si>
    <t>감가상각비</t>
  </si>
  <si>
    <t>고정자산</t>
  </si>
  <si>
    <t>유형자산</t>
  </si>
  <si>
    <t>무형자산</t>
  </si>
  <si>
    <t>유동자산</t>
  </si>
  <si>
    <t>유동부채</t>
  </si>
  <si>
    <t>자산총계</t>
  </si>
  <si>
    <t>부채총계</t>
  </si>
  <si>
    <t>매출채권</t>
  </si>
  <si>
    <t>재고자산</t>
  </si>
  <si>
    <t>매입채무</t>
  </si>
  <si>
    <t>수산물 가공업; 식료품 제외</t>
  </si>
  <si>
    <t>수산물 가공 외 수산업 관련 제조업</t>
  </si>
  <si>
    <t>어업 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</si>
  <si>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</si>
  <si>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</si>
  <si>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</si>
  <si>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</si>
  <si>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</si>
  <si>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매출액</t>
    <phoneticPr fontId="21" type="noConversion"/>
  </si>
  <si>
    <t>매출원가</t>
    <phoneticPr fontId="21" type="noConversion"/>
  </si>
  <si>
    <t>매출총액</t>
    <phoneticPr fontId="21" type="noConversion"/>
  </si>
  <si>
    <t>판매관리비</t>
    <phoneticPr fontId="21" type="noConversion"/>
  </si>
  <si>
    <t>영업이익</t>
    <phoneticPr fontId="21" type="noConversion"/>
  </si>
  <si>
    <t>영업외수익</t>
    <phoneticPr fontId="21" type="noConversion"/>
  </si>
  <si>
    <t>영업외 비용</t>
    <phoneticPr fontId="21" type="noConversion"/>
  </si>
  <si>
    <t>경상이익</t>
    <phoneticPr fontId="21" type="noConversion"/>
  </si>
  <si>
    <t>법인세</t>
    <phoneticPr fontId="21" type="noConversion"/>
  </si>
  <si>
    <t>당기순이익</t>
    <phoneticPr fontId="21" type="noConversion"/>
  </si>
  <si>
    <t>감가상각비</t>
    <phoneticPr fontId="21" type="noConversion"/>
  </si>
  <si>
    <t>고정자산</t>
    <phoneticPr fontId="21" type="noConversion"/>
  </si>
  <si>
    <t>유형자산</t>
    <phoneticPr fontId="21" type="noConversion"/>
  </si>
  <si>
    <t>무형자산</t>
    <phoneticPr fontId="21" type="noConversion"/>
  </si>
  <si>
    <t>유동자산</t>
    <phoneticPr fontId="21" type="noConversion"/>
  </si>
  <si>
    <t>유동부채</t>
    <phoneticPr fontId="21" type="noConversion"/>
  </si>
  <si>
    <t>자산총계</t>
    <phoneticPr fontId="21" type="noConversion"/>
  </si>
  <si>
    <t>부채총계</t>
    <phoneticPr fontId="21" type="noConversion"/>
  </si>
  <si>
    <t>매출채권</t>
    <phoneticPr fontId="21" type="noConversion"/>
  </si>
  <si>
    <t>재고자산</t>
    <phoneticPr fontId="21" type="noConversion"/>
  </si>
  <si>
    <t>매입채무</t>
    <phoneticPr fontId="21" type="noConversion"/>
  </si>
  <si>
    <t xml:space="preserve">수산물 가공 및 저장 처리업 </t>
  </si>
  <si>
    <t>알콜음료 제조업</t>
  </si>
  <si>
    <t>비알콜음료 및 얼음 제조업</t>
  </si>
  <si>
    <t>식품산업관련 제조업</t>
  </si>
  <si>
    <t>식품산업관련 서비스업</t>
  </si>
  <si>
    <t>10차 표준산업분류</t>
    <phoneticPr fontId="11" type="noConversion"/>
  </si>
  <si>
    <t>곡물 및 기타 식량작물 재배업</t>
    <phoneticPr fontId="11" type="noConversion"/>
  </si>
  <si>
    <t>업체수</t>
    <phoneticPr fontId="400" type="noConversion"/>
  </si>
  <si>
    <t>소분류업종명</t>
  </si>
  <si>
    <r>
      <t>기업베타</t>
    </r>
    <r>
      <rPr>
        <b/>
        <sz val="9"/>
        <color rgb="FF000000"/>
        <rFont val="맑은 고딕"/>
        <family val="3"/>
        <charset val="129"/>
        <scheme val="minor"/>
      </rPr>
      <t>(%)</t>
    </r>
  </si>
  <si>
    <t>자기자본비용</t>
    <phoneticPr fontId="21" type="noConversion"/>
  </si>
  <si>
    <t>타인자본비용</t>
    <phoneticPr fontId="21" type="noConversion"/>
  </si>
  <si>
    <t>자기자본비율</t>
    <phoneticPr fontId="21" type="noConversion"/>
  </si>
  <si>
    <t>WACC</t>
    <phoneticPr fontId="21" type="noConversion"/>
  </si>
  <si>
    <r>
      <t>W</t>
    </r>
    <r>
      <rPr>
        <sz val="11"/>
        <color theme="1"/>
        <rFont val="맑은 고딕"/>
        <family val="2"/>
        <charset val="129"/>
        <scheme val="minor"/>
      </rPr>
      <t>ACC 검산</t>
    </r>
    <phoneticPr fontId="400" type="noConversion"/>
  </si>
  <si>
    <t>011</t>
  </si>
  <si>
    <t>2</t>
    <phoneticPr fontId="400" type="noConversion"/>
  </si>
  <si>
    <t>0111</t>
  </si>
  <si>
    <t>0112</t>
  </si>
  <si>
    <t>0113</t>
  </si>
  <si>
    <t>0114</t>
  </si>
  <si>
    <t>0115</t>
  </si>
  <si>
    <t>0119</t>
  </si>
  <si>
    <t>012</t>
  </si>
  <si>
    <t>0121</t>
  </si>
  <si>
    <t>0122</t>
  </si>
  <si>
    <t>0123</t>
  </si>
  <si>
    <t>0124</t>
  </si>
  <si>
    <t>0129</t>
  </si>
  <si>
    <t>021</t>
  </si>
  <si>
    <t>0211</t>
  </si>
  <si>
    <t>0212</t>
  </si>
  <si>
    <t>0213</t>
  </si>
  <si>
    <t>0214</t>
  </si>
  <si>
    <t>0215</t>
  </si>
  <si>
    <t>0219</t>
  </si>
  <si>
    <t>022</t>
    <phoneticPr fontId="21" type="noConversion"/>
  </si>
  <si>
    <t>0221</t>
  </si>
  <si>
    <t>25</t>
    <phoneticPr fontId="400" type="noConversion"/>
  </si>
  <si>
    <t>0222</t>
  </si>
  <si>
    <t>0223</t>
  </si>
  <si>
    <t>0224</t>
  </si>
  <si>
    <t>0225</t>
  </si>
  <si>
    <t>0226</t>
  </si>
  <si>
    <t>0227</t>
  </si>
  <si>
    <t>0229</t>
    <phoneticPr fontId="21" type="noConversion"/>
  </si>
  <si>
    <t>0.7831</t>
    <phoneticPr fontId="21" type="noConversion"/>
  </si>
  <si>
    <t>0.4187</t>
    <phoneticPr fontId="21" type="noConversion"/>
  </si>
  <si>
    <t>023</t>
  </si>
  <si>
    <r>
      <t>2</t>
    </r>
    <r>
      <rPr>
        <sz val="11"/>
        <color theme="1"/>
        <rFont val="맑은 고딕"/>
        <family val="2"/>
        <charset val="129"/>
        <scheme val="minor"/>
      </rPr>
      <t>20</t>
    </r>
    <phoneticPr fontId="400" type="noConversion"/>
  </si>
  <si>
    <t>0231</t>
  </si>
  <si>
    <t>0232</t>
  </si>
  <si>
    <t>0233</t>
  </si>
  <si>
    <t>0234</t>
  </si>
  <si>
    <t>0235</t>
  </si>
  <si>
    <t>0236</t>
  </si>
  <si>
    <t>0237</t>
  </si>
  <si>
    <t>0239</t>
  </si>
  <si>
    <t>031</t>
  </si>
  <si>
    <r>
      <t>3</t>
    </r>
    <r>
      <rPr>
        <sz val="11"/>
        <color theme="1"/>
        <rFont val="맑은 고딕"/>
        <family val="2"/>
        <charset val="129"/>
        <scheme val="minor"/>
      </rPr>
      <t>84</t>
    </r>
    <phoneticPr fontId="400" type="noConversion"/>
  </si>
  <si>
    <t>0311</t>
  </si>
  <si>
    <t>0312</t>
  </si>
  <si>
    <t>039</t>
  </si>
  <si>
    <t>0390</t>
  </si>
  <si>
    <t>041</t>
  </si>
  <si>
    <t>0411</t>
  </si>
  <si>
    <t>0412</t>
  </si>
  <si>
    <t>9</t>
    <phoneticPr fontId="400" type="noConversion"/>
  </si>
  <si>
    <t>0413</t>
  </si>
  <si>
    <t>0414</t>
  </si>
  <si>
    <t>0415</t>
  </si>
  <si>
    <t>0416</t>
  </si>
  <si>
    <t>0419</t>
  </si>
  <si>
    <t>042</t>
  </si>
  <si>
    <t>0421</t>
  </si>
  <si>
    <r>
      <t>4</t>
    </r>
    <r>
      <rPr>
        <sz val="11"/>
        <color theme="1"/>
        <rFont val="맑은 고딕"/>
        <family val="2"/>
        <charset val="129"/>
        <scheme val="minor"/>
      </rPr>
      <t>9</t>
    </r>
    <phoneticPr fontId="400" type="noConversion"/>
  </si>
  <si>
    <t>0422</t>
  </si>
  <si>
    <t>0423</t>
  </si>
  <si>
    <t>0429</t>
  </si>
  <si>
    <t>043</t>
  </si>
  <si>
    <t>0431</t>
  </si>
  <si>
    <t>0432</t>
  </si>
  <si>
    <t>5</t>
    <phoneticPr fontId="400" type="noConversion"/>
  </si>
  <si>
    <t>0433</t>
  </si>
  <si>
    <t>0439</t>
  </si>
  <si>
    <t>044</t>
  </si>
  <si>
    <r>
      <t>2</t>
    </r>
    <r>
      <rPr>
        <sz val="11"/>
        <color theme="1"/>
        <rFont val="맑은 고딕"/>
        <family val="2"/>
        <charset val="129"/>
        <scheme val="minor"/>
      </rPr>
      <t>50</t>
    </r>
    <phoneticPr fontId="400" type="noConversion"/>
  </si>
  <si>
    <t>0441</t>
  </si>
  <si>
    <t>0442</t>
  </si>
  <si>
    <t>0443</t>
  </si>
  <si>
    <t>0444</t>
  </si>
  <si>
    <t>0445</t>
  </si>
  <si>
    <t>0446</t>
  </si>
  <si>
    <t>0447</t>
  </si>
  <si>
    <t>0449</t>
  </si>
  <si>
    <t>051</t>
  </si>
  <si>
    <t>0511</t>
  </si>
  <si>
    <t>0512</t>
  </si>
  <si>
    <t>052</t>
  </si>
  <si>
    <t>0520</t>
  </si>
  <si>
    <t>061</t>
  </si>
  <si>
    <t>1</t>
    <phoneticPr fontId="400" type="noConversion"/>
  </si>
  <si>
    <t>0611</t>
  </si>
  <si>
    <t>3</t>
    <phoneticPr fontId="400" type="noConversion"/>
  </si>
  <si>
    <t>0612</t>
  </si>
  <si>
    <t>0619</t>
  </si>
  <si>
    <t>062</t>
  </si>
  <si>
    <t>0621</t>
  </si>
  <si>
    <r>
      <t>4</t>
    </r>
    <r>
      <rPr>
        <sz val="11"/>
        <color theme="1"/>
        <rFont val="맑은 고딕"/>
        <family val="2"/>
        <charset val="129"/>
        <scheme val="minor"/>
      </rPr>
      <t>23</t>
    </r>
    <phoneticPr fontId="400" type="noConversion"/>
  </si>
  <si>
    <t>0622</t>
  </si>
  <si>
    <t>0623</t>
  </si>
  <si>
    <t>0624</t>
  </si>
  <si>
    <t>0625</t>
  </si>
  <si>
    <t>0626</t>
  </si>
  <si>
    <t>0627</t>
  </si>
  <si>
    <t>0628</t>
  </si>
  <si>
    <t>0629</t>
  </si>
  <si>
    <t>063</t>
  </si>
  <si>
    <r>
      <t>2</t>
    </r>
    <r>
      <rPr>
        <sz val="11"/>
        <color theme="1"/>
        <rFont val="맑은 고딕"/>
        <family val="2"/>
        <charset val="129"/>
        <scheme val="minor"/>
      </rPr>
      <t>79</t>
    </r>
    <phoneticPr fontId="400" type="noConversion"/>
  </si>
  <si>
    <t>0631</t>
  </si>
  <si>
    <t>0632</t>
  </si>
  <si>
    <t>0633</t>
  </si>
  <si>
    <t>0634</t>
  </si>
  <si>
    <t>0635</t>
  </si>
  <si>
    <t>0636</t>
  </si>
  <si>
    <t>0637</t>
  </si>
  <si>
    <t>0639</t>
  </si>
  <si>
    <t>071</t>
  </si>
  <si>
    <t>0711</t>
  </si>
  <si>
    <t>0712</t>
  </si>
  <si>
    <t>072</t>
  </si>
  <si>
    <t>0721</t>
  </si>
  <si>
    <t>6</t>
    <phoneticPr fontId="400" type="noConversion"/>
  </si>
  <si>
    <t>0722</t>
  </si>
  <si>
    <t>073</t>
  </si>
  <si>
    <t>0730</t>
  </si>
  <si>
    <t>074</t>
  </si>
  <si>
    <t>0740</t>
  </si>
  <si>
    <t>075</t>
  </si>
  <si>
    <t>0750</t>
  </si>
  <si>
    <t>076</t>
  </si>
  <si>
    <t>0761</t>
  </si>
  <si>
    <t>0762</t>
  </si>
  <si>
    <t>077</t>
  </si>
  <si>
    <t>0770</t>
  </si>
  <si>
    <t>079</t>
  </si>
  <si>
    <t>0791</t>
  </si>
  <si>
    <t>0792</t>
  </si>
  <si>
    <t>0793</t>
  </si>
  <si>
    <t>0794</t>
  </si>
  <si>
    <t>0795</t>
  </si>
  <si>
    <t>0799</t>
  </si>
  <si>
    <t>081</t>
  </si>
  <si>
    <t>0811</t>
  </si>
  <si>
    <t>7</t>
    <phoneticPr fontId="400" type="noConversion"/>
  </si>
  <si>
    <t>0812</t>
  </si>
  <si>
    <t>082</t>
  </si>
  <si>
    <t>0821</t>
  </si>
  <si>
    <t>4</t>
    <phoneticPr fontId="400" type="noConversion"/>
  </si>
  <si>
    <t>0822</t>
  </si>
  <si>
    <t>091</t>
  </si>
  <si>
    <t>0911</t>
  </si>
  <si>
    <t>0912</t>
  </si>
  <si>
    <t>0913</t>
  </si>
  <si>
    <t>0914</t>
  </si>
  <si>
    <r>
      <t>3</t>
    </r>
    <r>
      <rPr>
        <sz val="11"/>
        <color theme="1"/>
        <rFont val="맑은 고딕"/>
        <family val="2"/>
        <charset val="129"/>
        <scheme val="minor"/>
      </rPr>
      <t>0</t>
    </r>
    <phoneticPr fontId="400" type="noConversion"/>
  </si>
  <si>
    <t>0915</t>
  </si>
  <si>
    <t>0919</t>
  </si>
  <si>
    <t>092</t>
  </si>
  <si>
    <t>0921</t>
  </si>
  <si>
    <t>0922</t>
  </si>
  <si>
    <t>0923</t>
  </si>
  <si>
    <t>0924</t>
  </si>
  <si>
    <t>0929</t>
  </si>
  <si>
    <t>농업 업종 WACC 범위는 4.06%~29.73%</t>
    <phoneticPr fontId="400" type="noConversion"/>
  </si>
  <si>
    <t>임업 업종 WACC 범위는 4.11%~32.38%</t>
    <phoneticPr fontId="400" type="noConversion"/>
  </si>
  <si>
    <t>어업 업종 WACC 범위는 3.69%~29.73%</t>
    <phoneticPr fontId="400" type="noConversion"/>
  </si>
  <si>
    <t>식품 업종 WACC 범위는 3.28%~25.31%</t>
    <phoneticPr fontId="400" type="noConversion"/>
  </si>
  <si>
    <t>CAPM</t>
    <phoneticPr fontId="400" type="noConversion"/>
  </si>
  <si>
    <t>평균</t>
    <phoneticPr fontId="400" type="noConversion"/>
  </si>
  <si>
    <t>최빈</t>
    <phoneticPr fontId="400" type="noConversion"/>
  </si>
  <si>
    <t>중앙</t>
    <phoneticPr fontId="400" type="noConversion"/>
  </si>
  <si>
    <t>최소</t>
    <phoneticPr fontId="400" type="noConversion"/>
  </si>
  <si>
    <t>최대</t>
    <phoneticPr fontId="400" type="noConversion"/>
  </si>
  <si>
    <t>WACC</t>
    <phoneticPr fontId="400" type="noConversion"/>
  </si>
  <si>
    <t>일치여부 검수 if함수</t>
    <phoneticPr fontId="21" type="noConversion"/>
  </si>
  <si>
    <t>WACC 검수(고정)</t>
    <phoneticPr fontId="11" type="noConversion"/>
  </si>
  <si>
    <t>WACC 검수(유효)</t>
    <phoneticPr fontId="11" type="noConversion"/>
  </si>
  <si>
    <t>등록</t>
  </si>
  <si>
    <t>=RATE(기간-1, 0, -first value, last value)</t>
    <phoneticPr fontId="21" type="noConversion"/>
  </si>
  <si>
    <t>rate함수의 경우, 만약 2021년에서 2030년까지 총 10년일 경우 10이 아니라 9를 입력해야 함</t>
    <phoneticPr fontId="21" type="noConversion"/>
  </si>
  <si>
    <t>매출채권회전율</t>
    <phoneticPr fontId="21" type="noConversion"/>
  </si>
  <si>
    <t>IPC 설명</t>
  </si>
  <si>
    <t>일치여부 확인</t>
    <phoneticPr fontId="11" type="noConversion"/>
  </si>
  <si>
    <t>일치여부확인 함수</t>
    <phoneticPr fontId="11" type="noConversion"/>
  </si>
  <si>
    <t>일치여부 확인함수</t>
    <phoneticPr fontId="11" type="noConversion"/>
  </si>
  <si>
    <t>업종분류</t>
    <phoneticPr fontId="11" type="noConversion"/>
  </si>
  <si>
    <t>표준산업분류</t>
    <phoneticPr fontId="11" type="noConversion"/>
  </si>
  <si>
    <t>업종명</t>
    <phoneticPr fontId="11" type="noConversion"/>
  </si>
  <si>
    <t>원본파일</t>
    <phoneticPr fontId="11" type="noConversion"/>
  </si>
  <si>
    <t>매출원가율</t>
  </si>
  <si>
    <t>유형자산비중</t>
  </si>
  <si>
    <t>무형자산비중</t>
  </si>
  <si>
    <t>유무형자산비중</t>
  </si>
  <si>
    <t>법인기업</t>
  </si>
  <si>
    <t>그외기타축산업 (달리분류되지 않은 육지동물; 양봉, 곤충사육, 누에고치 등)</t>
    <phoneticPr fontId="11" type="noConversion"/>
  </si>
  <si>
    <t>산업용냉장및냉동장비제조업</t>
    <phoneticPr fontId="11" type="noConversion"/>
  </si>
  <si>
    <t>동력식수지공구제조업</t>
    <phoneticPr fontId="11" type="noConversion"/>
  </si>
  <si>
    <t>포장용플라스틱성형용기제조업</t>
    <phoneticPr fontId="11" type="noConversion"/>
  </si>
  <si>
    <t>플라스틱필름제조업</t>
    <phoneticPr fontId="11" type="noConversion"/>
  </si>
  <si>
    <t>금속캔및기타포장용기제조업</t>
    <phoneticPr fontId="11" type="noConversion"/>
  </si>
  <si>
    <t>폴리스티렌 발포 성형제품 제조업</t>
    <phoneticPr fontId="11" type="noConversion"/>
  </si>
  <si>
    <t xml:space="preserve">산업용 냉장 및 냉동장비 제조업 </t>
    <phoneticPr fontId="11" type="noConversion"/>
  </si>
  <si>
    <t xml:space="preserve">자연과학 및 공학 연구개발업 </t>
    <phoneticPr fontId="11" type="noConversion"/>
  </si>
  <si>
    <t>컴퓨터 프로그래밍, 시스템 통합 및 관리업</t>
    <phoneticPr fontId="11" type="noConversion"/>
  </si>
  <si>
    <t xml:space="preserve">정보서비스업  </t>
  </si>
  <si>
    <t xml:space="preserve">정보서비스업  </t>
    <phoneticPr fontId="11" type="noConversion"/>
  </si>
  <si>
    <t xml:space="preserve">시스템․응용 소프트웨어 개발 및 공급업 </t>
  </si>
  <si>
    <t xml:space="preserve">시스템․응용 소프트웨어 개발 및 공급업 </t>
    <phoneticPr fontId="11" type="noConversion"/>
  </si>
  <si>
    <t>작물포대제조업</t>
    <phoneticPr fontId="11" type="noConversion"/>
  </si>
  <si>
    <t xml:space="preserve">접착제 및 젤라틴 제조업 </t>
    <phoneticPr fontId="11" type="noConversion"/>
  </si>
  <si>
    <t xml:space="preserve">그 외 기타 분류 안된 화학제품 제조업  </t>
    <phoneticPr fontId="11" type="noConversion"/>
  </si>
  <si>
    <t xml:space="preserve">하수, 폐수 및 분뇨 처리업 </t>
  </si>
  <si>
    <t xml:space="preserve">하수, 폐수 및 분뇨 처리업 </t>
    <phoneticPr fontId="11" type="noConversion"/>
  </si>
  <si>
    <t xml:space="preserve">폐기물 수집, 운반, 처리 및 원료 재생업 </t>
  </si>
  <si>
    <t xml:space="preserve">폐기물 수집, 운반, 처리 및 원료 재생업 </t>
    <phoneticPr fontId="11" type="noConversion"/>
  </si>
  <si>
    <t xml:space="preserve">환경 정화 및 복원업 </t>
  </si>
  <si>
    <t xml:space="preserve">환경 정화 및 복원업 </t>
    <phoneticPr fontId="11" type="noConversion"/>
  </si>
  <si>
    <t xml:space="preserve">플라스틱 필름 제조업 </t>
    <phoneticPr fontId="11" type="noConversion"/>
  </si>
  <si>
    <t xml:space="preserve">플라스틱 시트 및 판 제조업 </t>
    <phoneticPr fontId="11" type="noConversion"/>
  </si>
  <si>
    <t xml:space="preserve">치약, 비누 및 기타 세제 제조업 </t>
    <phoneticPr fontId="11" type="noConversion"/>
  </si>
  <si>
    <t>곡물및기타식량작물재배업</t>
    <phoneticPr fontId="11" type="noConversion"/>
  </si>
  <si>
    <t>채소작물재배업</t>
    <phoneticPr fontId="11" type="noConversion"/>
  </si>
  <si>
    <t xml:space="preserve">컴퓨터 프로그래밍, 시스템 통합 및 관리업 </t>
  </si>
  <si>
    <t xml:space="preserve">컴퓨터 프로그래밍, 시스템 통합 및 관리업 </t>
    <phoneticPr fontId="11" type="noConversion"/>
  </si>
  <si>
    <t xml:space="preserve">정보서비스업 </t>
  </si>
  <si>
    <t xml:space="preserve">정보서비스업 </t>
    <phoneticPr fontId="11" type="noConversion"/>
  </si>
  <si>
    <t>소금채취업</t>
    <phoneticPr fontId="11" type="noConversion"/>
  </si>
  <si>
    <t>그 외 기타 분류 안된 화학제품 제조업</t>
  </si>
  <si>
    <t xml:space="preserve">낚시 및 수렵용구 제조업 </t>
  </si>
  <si>
    <t xml:space="preserve">낚시 및 수렵용구 제조업 </t>
    <phoneticPr fontId="11" type="noConversion"/>
  </si>
  <si>
    <t>그외기타달리분류되지않은제품제조업</t>
    <phoneticPr fontId="11" type="noConversion"/>
  </si>
  <si>
    <t xml:space="preserve">그 외 기타 달리 분류되지 않은 제품 제조업 </t>
    <phoneticPr fontId="11" type="noConversion"/>
  </si>
  <si>
    <t>그외기타분류안된전문,과학및기술서비스업</t>
    <phoneticPr fontId="11" type="noConversion"/>
  </si>
  <si>
    <t xml:space="preserve">가정용 비전기식 조리 및 난방 기구 제조업 </t>
  </si>
  <si>
    <t xml:space="preserve">가정용 비전기식 조리 및 난방 기구 제조업 </t>
    <phoneticPr fontId="11" type="noConversion"/>
  </si>
  <si>
    <t>음․식료품 및 담배 가공기계 제조업</t>
  </si>
  <si>
    <t>플라스틱포대,봉투및유사제품제조업</t>
    <phoneticPr fontId="11" type="noConversion"/>
  </si>
  <si>
    <t>위생용종이제품제조업</t>
    <phoneticPr fontId="11" type="noConversion"/>
  </si>
  <si>
    <t>플라스틱 포대, 봉투 및 유사제품 제조업</t>
    <phoneticPr fontId="11" type="noConversion"/>
  </si>
  <si>
    <t>플라스틱시트및판제조업</t>
    <phoneticPr fontId="11" type="noConversion"/>
  </si>
  <si>
    <t>가정용및장식용도자기제조업</t>
    <phoneticPr fontId="11" type="noConversion"/>
  </si>
  <si>
    <t>식품 위생용 종이 상자 및 용기 제조업</t>
    <phoneticPr fontId="11" type="noConversion"/>
  </si>
  <si>
    <t>농림수산학및수의학연구개발업</t>
    <phoneticPr fontId="11" type="noConversion"/>
  </si>
  <si>
    <t xml:space="preserve">선박 및 수상 부유 구조물 건조업 </t>
    <phoneticPr fontId="11" type="noConversion"/>
  </si>
  <si>
    <t xml:space="preserve">선박 및 수상 부유 구조물 건조업 </t>
    <phoneticPr fontId="11" type="noConversion"/>
  </si>
  <si>
    <t>판유리제조업</t>
    <phoneticPr fontId="11" type="noConversion"/>
  </si>
  <si>
    <t>판유리제조업</t>
    <phoneticPr fontId="11" type="noConversion"/>
  </si>
  <si>
    <t xml:space="preserve">건축용 비내화 요업제품 제조업 </t>
    <phoneticPr fontId="11" type="noConversion"/>
  </si>
  <si>
    <t>구조용금속제품제조업</t>
    <phoneticPr fontId="11" type="noConversion"/>
  </si>
  <si>
    <t xml:space="preserve">건축용 비내화 요업제품 제조업 </t>
    <phoneticPr fontId="11" type="noConversion"/>
  </si>
  <si>
    <t>천일염 생산 및 암염 채취업</t>
    <phoneticPr fontId="11" type="noConversion"/>
  </si>
  <si>
    <t xml:space="preserve">천일염 생산 및 암염 채취업 </t>
    <phoneticPr fontId="11" type="noConversion"/>
  </si>
  <si>
    <t xml:space="preserve">고무 의류 및 기타 위생용 비경화 고무제품 제조업 </t>
    <phoneticPr fontId="11" type="noConversion"/>
  </si>
  <si>
    <t>고무 의류 및 기타 위생용 비경화 고무제품 제조업</t>
    <phoneticPr fontId="11" type="noConversion"/>
  </si>
  <si>
    <t>10차 표준산업분류</t>
    <phoneticPr fontId="11" type="noConversion"/>
  </si>
  <si>
    <t>10차 표준산업분류</t>
    <phoneticPr fontId="11" type="noConversion"/>
  </si>
  <si>
    <t>농식품산업 업종분류</t>
    <phoneticPr fontId="11" type="noConversion"/>
  </si>
  <si>
    <t>농식품산업 업종분류</t>
    <phoneticPr fontId="11" type="noConversion"/>
  </si>
  <si>
    <t>해당없음</t>
    <phoneticPr fontId="11" type="noConversion"/>
  </si>
  <si>
    <t>해당없음</t>
    <phoneticPr fontId="11" type="noConversion"/>
  </si>
  <si>
    <t>산업별 기술거래 분석(경상로열티)</t>
    <phoneticPr fontId="21" type="noConversion"/>
  </si>
  <si>
    <t>KSIC별 기술거래 분석(경상로열티)</t>
    <phoneticPr fontId="21" type="noConversion"/>
  </si>
  <si>
    <t>기존 하위버전은 평균값(Avg) 참조했으나 본 버전부터는 중위수(Med)를 참조하여 경상로열티율 값이 산출되도록 함</t>
    <phoneticPr fontId="11" type="noConversion"/>
  </si>
  <si>
    <t>화훼작물 재배업</t>
    <phoneticPr fontId="11" type="noConversion"/>
  </si>
  <si>
    <t>농림수산학 및 수의학 연구개발업</t>
    <phoneticPr fontId="11" type="noConversion"/>
  </si>
  <si>
    <t>판유리 제조업</t>
    <phoneticPr fontId="11" type="noConversion"/>
  </si>
  <si>
    <t xml:space="preserve">건축용 비내화 요업제품 제조업 </t>
    <phoneticPr fontId="11" type="noConversion"/>
  </si>
  <si>
    <t xml:space="preserve">천일염 생산 및 암염 채취업 </t>
    <phoneticPr fontId="11" type="noConversion"/>
  </si>
  <si>
    <t>플라스틱제품 제조업</t>
    <phoneticPr fontId="11" type="noConversion"/>
  </si>
  <si>
    <t>플라스틱제품제조업</t>
    <phoneticPr fontId="11" type="noConversion"/>
  </si>
  <si>
    <t>플라스틱제품제조업</t>
    <phoneticPr fontId="11" type="noConversion"/>
  </si>
  <si>
    <t xml:space="preserve">선박 및 수상 부유 구조물 건조업 </t>
    <phoneticPr fontId="11" type="noConversion"/>
  </si>
  <si>
    <t>정보서비스업</t>
    <phoneticPr fontId="11" type="noConversion"/>
  </si>
  <si>
    <t>하수, 폐수 및 분뇨 처리업</t>
    <phoneticPr fontId="11" type="noConversion"/>
  </si>
  <si>
    <t>목재도구및기구제조업</t>
    <phoneticPr fontId="11" type="noConversion"/>
  </si>
  <si>
    <t xml:space="preserve">목재 도구 및 주방용 나무제품 제조업 </t>
    <phoneticPr fontId="11" type="noConversion"/>
  </si>
  <si>
    <t>목재 도구 및 주방용 나무제품 제조업</t>
    <phoneticPr fontId="11" type="noConversion"/>
  </si>
  <si>
    <t xml:space="preserve">가정용 및 장식용 도자기 제조업 </t>
    <phoneticPr fontId="11" type="noConversion"/>
  </si>
  <si>
    <t xml:space="preserve">산업용 냉장 및 냉동장비 제조업 </t>
    <phoneticPr fontId="11" type="noConversion"/>
  </si>
  <si>
    <t xml:space="preserve">가정용 및 장식용 도자기 제조업 </t>
    <phoneticPr fontId="11" type="noConversion"/>
  </si>
  <si>
    <t>가정용 및 장식용 도자기 제조업</t>
    <phoneticPr fontId="11" type="noConversion"/>
  </si>
  <si>
    <t xml:space="preserve">폴리스티렌 발포 성형제품 제조업 </t>
    <phoneticPr fontId="11" type="noConversion"/>
  </si>
  <si>
    <t xml:space="preserve">폴리스티렌 발포 성형제품 제조업 </t>
    <phoneticPr fontId="11" type="noConversion"/>
  </si>
  <si>
    <t>상관행법 로열티율</t>
    <phoneticPr fontId="11" type="noConversion"/>
  </si>
  <si>
    <t>소분류 코드</t>
    <phoneticPr fontId="11" type="noConversion"/>
  </si>
  <si>
    <t>임업 정보서비스업</t>
    <phoneticPr fontId="11" type="noConversion"/>
  </si>
  <si>
    <t>임업 관련 연구개발업</t>
    <phoneticPr fontId="11" type="noConversion"/>
  </si>
  <si>
    <t>임업 관련 연구개발업</t>
    <phoneticPr fontId="11" type="noConversion"/>
  </si>
  <si>
    <t>주방용전기기기 제조업</t>
    <phoneticPr fontId="11" type="noConversion"/>
  </si>
  <si>
    <t>(1) 작물재배업(011) 재무비율</t>
  </si>
  <si>
    <t>2017~2019</t>
  </si>
  <si>
    <t>매출원가비율</t>
  </si>
  <si>
    <t>유형자산/총자산</t>
  </si>
  <si>
    <t>무형자산/총자산</t>
  </si>
  <si>
    <t>유무형자산/매출액</t>
  </si>
  <si>
    <t>(2) 축산업(012) 재무비율</t>
  </si>
  <si>
    <t>(3) 농산물가공품제조업;식표품제외(021) 재무비율</t>
  </si>
  <si>
    <t>(4) 농산물가공외농업관련제조업(022) 재무비율</t>
  </si>
  <si>
    <t>(5) 농업관련서비스업(023) 재무비율</t>
  </si>
  <si>
    <t>(6) 영림업및벌목업(031) 재무비율</t>
  </si>
  <si>
    <t>(7) 기타임산물생산업(039) 재무비율</t>
  </si>
  <si>
    <t>(8) 나무제품제조업(041) 재무비율</t>
  </si>
  <si>
    <t>(9) 나무제품외임산물가공품제조업(042) 재무비율</t>
  </si>
  <si>
    <t>(10) 임산물가공외임업관련제조업(043) 재무비율</t>
  </si>
  <si>
    <t>(11) 임업관련서비스업(044) 재무비율</t>
  </si>
  <si>
    <t>(12) 어로어업(051) 재무비율</t>
  </si>
  <si>
    <t>(13) 양식어업(052) 재무비율</t>
  </si>
  <si>
    <t>(14) 수산물가공업;식료품제외(061) 재무비율</t>
  </si>
  <si>
    <t>(15) 수산물가공외수산업관련제조업(062) 재무비율</t>
  </si>
  <si>
    <t>(16) 어업관련서비스업(063) 재무비율</t>
  </si>
  <si>
    <t>(17) 도축,육류가공및저장처리업(071) 재무비율</t>
  </si>
  <si>
    <t>(18) 수산물가공및저장처리업(072) 재무비율</t>
  </si>
  <si>
    <t>(19) 과실,채소가공및저장처리업(073) 재무비율</t>
  </si>
  <si>
    <t>(20) 동물성및식물성유지제조업(074) 재무비율</t>
  </si>
  <si>
    <t>(21) 낙농제품및식용빙과류제조업(075) 재무비율</t>
  </si>
  <si>
    <t>(22) 곡물가공품,전분및전분제품제조업(076) 재무비율</t>
  </si>
  <si>
    <t>(23) 동물용사료및조제식품제조업(077) 재무비율</t>
  </si>
  <si>
    <t>(24) 기타식품제조업(079) 재무비율</t>
  </si>
  <si>
    <t>(25) 알콜음료제조업(081) 재무비율</t>
  </si>
  <si>
    <t>(26) 비알콜음료및얼음제조업(082) 재무비율</t>
  </si>
  <si>
    <t>(27) 식품산업관련제조업(091) 재무비율</t>
  </si>
  <si>
    <t>(28) 식품산업관련서비스업(092) 재무비율</t>
  </si>
  <si>
    <t>(29) 곡물및기타식량작물재배업(0111) 재무비율</t>
  </si>
  <si>
    <t>(30) 채소및화훼작물재배업(0112) 재무비율</t>
  </si>
  <si>
    <t>(31) 과실,읨료용및향신용작물재배업(0113) 재무비율</t>
  </si>
  <si>
    <t>(32) 종자및묘목재배업(0114) 재무비율</t>
  </si>
  <si>
    <t>(33) 시설작물재배업(0115) 재무비율</t>
  </si>
  <si>
    <t>(34) 기타작물재배업(0119) 재무비율</t>
  </si>
  <si>
    <t>(35) 소사육업(0121) 재무비율</t>
  </si>
  <si>
    <t>(36) 양돈업(0122) 재무비율</t>
  </si>
  <si>
    <t>(37) 가금류및조류사육업(0123) 재무비율</t>
  </si>
  <si>
    <t>(38) 곤충사육업(0124) 재무비율</t>
  </si>
  <si>
    <t>(39) 기타축산업(0129) 재무비율</t>
  </si>
  <si>
    <t>(40) 농산물가공섬유제조업(0211) 재무비율</t>
  </si>
  <si>
    <t>(41) 담배제조업(0212) 재무비율</t>
  </si>
  <si>
    <t>(42) 모피및가죽제조업(0213) 재무비율</t>
  </si>
  <si>
    <t>(43) 농산물가공의료용물질및의약품제조업(0214) 재무비율</t>
  </si>
  <si>
    <t>(44) 농산물가공세제,화장품및광택제제조업(0215) 재무비율</t>
  </si>
  <si>
    <t>(45) 기타농산물가공품제조업(0219) 재무비율</t>
  </si>
  <si>
    <t>(46) 비료및질소화합물제조업(0221) 재무비율</t>
  </si>
  <si>
    <t>(47) 농약제조업(0222) 재무비율</t>
  </si>
  <si>
    <t>(48) 농업용플라스틱제품제조업(0223) 재무비율</t>
  </si>
  <si>
    <t>(49) 농업용금속제품제조업;기계제외(0224) 재무비율</t>
  </si>
  <si>
    <t>(50) 농업용기계제조업(0225) 재무비율</t>
  </si>
  <si>
    <t>(51) 농업관련측정,시험,제어및기타정밀기기제조업(0226) 재무비율</t>
  </si>
  <si>
    <t>(52) 농업의료용물질및의약품제조업(0227) 재무비율</t>
  </si>
  <si>
    <t>(53) 기타농산물가공외농업관련제조업(0229) 재무비율</t>
  </si>
  <si>
    <t>(54) 작물재배관련서비스업(0231) 재무비율</t>
  </si>
  <si>
    <t>(55) 수의업(0232) 재무비율</t>
  </si>
  <si>
    <t>(56) 농학연구개발업(0233) 재무비율</t>
  </si>
  <si>
    <t>(57) 농업정보서비스업(0234) 재무비율</t>
  </si>
  <si>
    <t>(58) 농업관련폐기물처리,원료재생및환경복업업(0235) 재무비율</t>
  </si>
  <si>
    <t>(59) 농업관련기술시험,검사및분석업(0236) 재무비율</t>
  </si>
  <si>
    <t>(60) 농업엔지니어링서비스업(0237) 재무비율</t>
  </si>
  <si>
    <t>(61) 기타농업관련서비스업(0239) 재무비율</t>
  </si>
  <si>
    <t>(62) 영림업(0311) 재무비율</t>
  </si>
  <si>
    <t>(63) 벌목업(0312) 재무비율</t>
  </si>
  <si>
    <t>(64) 기타임산물생산업(0390) 재무비율</t>
  </si>
  <si>
    <t>(65) 제재및목재가공업(0411) 재무비율</t>
  </si>
  <si>
    <t>(66) 박판,합판및강화목제품제조업(0412) 재무비율</t>
  </si>
  <si>
    <t>(67) 건축용나무제품제조업(0413) 재무비율</t>
  </si>
  <si>
    <t>(68) 목재상자,드럼및적재판제조업(0414) 재무비율</t>
  </si>
  <si>
    <t>(69) 코르크및조물제품제조업(0415) 재무비율</t>
  </si>
  <si>
    <t>(70) 목재가구제조업(0416) 재무비율</t>
  </si>
  <si>
    <t>(71) 기타나무제품제조업(0419) 재무비율</t>
  </si>
  <si>
    <t>(72) 펄프제조업(0421) 재무비율</t>
  </si>
  <si>
    <t>(73) 천연수지및나무화학물질제조업(0422) 재무비율</t>
  </si>
  <si>
    <t>(74) 종이및판지제조업(0423) 재무비율</t>
  </si>
  <si>
    <t>(75) 기타임산물가공품제조업(0429) 재무비율</t>
  </si>
  <si>
    <t>(76) 임업관련날붙이,수공구및일반철물제조업(0431) 재무비율</t>
  </si>
  <si>
    <t>(77) 임업관련구조용금속제품제조업(0432) 재무비율</t>
  </si>
  <si>
    <t>(78) 임업관련기계제조업(0433) 재무비율</t>
  </si>
  <si>
    <t>(79) 기타임산물가공외임업관련제조업(0439) 재무비율</t>
  </si>
  <si>
    <t>(80) 수목치료업(0441) 재무비율</t>
  </si>
  <si>
    <t>(81) 임업용정보서비스업(0442) 재무비율</t>
  </si>
  <si>
    <t>(82) 조경건설업(0443) 재무비율</t>
  </si>
  <si>
    <t>(83) 조경관리서비스업(0444) 재무비율</t>
  </si>
  <si>
    <t>(84) 조경설계서비스업(0445) 재무비율</t>
  </si>
  <si>
    <t>(85) 임업관련폐기물처리,원료재생및환경복원업(0446) 재무비율</t>
  </si>
  <si>
    <t>(86) 임업관련연구개발업(0447) 재무비율</t>
  </si>
  <si>
    <t>(87) 기타임업관련서비스업(0449) 재무비율</t>
  </si>
  <si>
    <t>(88) 해면어업(0511) 재무비율</t>
  </si>
  <si>
    <t>(89) 내수면어업(0512) 재무비율</t>
  </si>
  <si>
    <t>(90) 양식어업(0520) 재무비율</t>
  </si>
  <si>
    <t>(91) 진주가공업(0611) 재무비율</t>
  </si>
  <si>
    <t>(92) 나전칠기제품제조업(0612) 재무비율</t>
  </si>
  <si>
    <t>(93) 기타비식용수산물가공품제조업(0619) 재무비율</t>
  </si>
  <si>
    <t>(94) 선박건조업(0621) 재무비율</t>
  </si>
  <si>
    <t>(95) 오락및스포츠용보트건조업(0622) 재무비율</t>
  </si>
  <si>
    <t>(96) 선박용구성부분품제조업;측정,시험,항해,제어및기타정밀기기 제외(0623) 재무비율</t>
  </si>
  <si>
    <t>(97) 어업관련측정,시험,항해,제어및기타정밀기기제조업(0624) 재무비율</t>
  </si>
  <si>
    <t>(98) 어망및기타어업관련끈가공품제조업(0625) 재무비율</t>
  </si>
  <si>
    <t>(99) 어업관련금속구조재제조업(0626) 재무비율</t>
  </si>
  <si>
    <t>(100) 어업관련판유리가공품제조업(0627) 재무비율</t>
  </si>
  <si>
    <t>(101) 어업관련비금속광물질구조재제조업;세라믹,콘크리트및유사재료 기반(0628) 재무비율</t>
  </si>
  <si>
    <t>(102) 기타수산물가공외어업관련제조업(0629) 재무비율</t>
  </si>
  <si>
    <t>(103) 수중공사업(0631) 재무비율</t>
  </si>
  <si>
    <t>(104) 어업정보서비스업(0632) 재무비율</t>
  </si>
  <si>
    <t>(105) 어업관련연구개발업(0633) 재무비율</t>
  </si>
  <si>
    <t>(106) 어업관련기술시험,검사및분석업(0634) 재무비율</t>
  </si>
  <si>
    <t>(107) 어업엔지니어링서비스업(0635) 재무비율</t>
  </si>
  <si>
    <t>(108) 수생동물치료업(0636) 재무비율</t>
  </si>
  <si>
    <t>(109) 어업관련폐기물처리,원료재생및환경복원업(0637) 재무비율</t>
  </si>
  <si>
    <t>(110) 기타어업관련서비스업(0639) 재무비율</t>
  </si>
  <si>
    <t>(111) 도축업(0711) 재무비율</t>
  </si>
  <si>
    <t>(112) 육류가공및저장처리업(0712) 재무비율</t>
  </si>
  <si>
    <t>(113) 수산동물가공및저장처리업(0721) 재무비율</t>
  </si>
  <si>
    <t>(114) 수산식물가공및저장처리업(0722) 재무비율</t>
  </si>
  <si>
    <t>(115) 과실,채소가공및저장처리업(0730) 재무비율</t>
  </si>
  <si>
    <t>(116) 동물성및식물성유지제조업(0740) 재무비율</t>
  </si>
  <si>
    <t>(117) 낙농제품및식용빙과류제조업(0750) 재무비율</t>
  </si>
  <si>
    <t>(118) 곡물가공품제조업(0761) 재무비율</t>
  </si>
  <si>
    <t>(119) 전분제품및당류제조업(0762) 재무비율</t>
  </si>
  <si>
    <t>(120) 동물용사료및조제식품제조업(0770) 재무비율</t>
  </si>
  <si>
    <t>(121) 떡,빵및과자류제조업(0791) 재무비율</t>
  </si>
  <si>
    <t>(122) 설탕제조업(0792) 재무비율</t>
  </si>
  <si>
    <t>(123) 면류,마카로니및유사식품제조업(0793) 재무비율</t>
  </si>
  <si>
    <t>(124) 조미료및식품첨가물제조업(0794) 재무비율</t>
  </si>
  <si>
    <t>(125) 건강기능식품제조업(0795) 재무비율</t>
  </si>
  <si>
    <t>(126) 기타식료품제조업(0799) 재무비율</t>
  </si>
  <si>
    <t>(127) 발효주제조업(0811) 재무비율</t>
  </si>
  <si>
    <t>(128) 증류주및합성주제조업(0812) 재무비율</t>
  </si>
  <si>
    <t>(129) 비알콜음료제조업(0821) 재무비율</t>
  </si>
  <si>
    <t>(130) 얼음제조업(0822) 재무비율</t>
  </si>
  <si>
    <t>(131) 음⋅식료품가공기계제조업(0911) 재무비율</t>
  </si>
  <si>
    <t>(132) 주방용전기기기제조업(0912) 재무비율</t>
  </si>
  <si>
    <t>(133) 식품가공용금속제품제조업;기계,전기기기제외(0913) 재무비율</t>
  </si>
  <si>
    <t>(134) 식품관련위생용품제조업(0914) 재무비율</t>
  </si>
  <si>
    <t>(135) 식품용기및포장관련제조업(0915) 재무비율</t>
  </si>
  <si>
    <t>(136) 기타식품산업관련제조업(0919) 재무비율</t>
  </si>
  <si>
    <t>(137) 식품연구개발업(0921) 재무비율</t>
  </si>
  <si>
    <t>(138) 식품정보서비스업(0922) 재무비율</t>
  </si>
  <si>
    <t>(139) 식품관련기술시험,검사및분석업(0923) 재무비율</t>
  </si>
  <si>
    <t>(140) 식품관련폐기물처리,원료재생및환경복원업(0924) 재무비율</t>
  </si>
  <si>
    <t>(141) 기타식품관련서비스업(0929) 재무비율</t>
  </si>
  <si>
    <t xml:space="preserve"> </t>
    <phoneticPr fontId="11" type="noConversion"/>
  </si>
  <si>
    <t>1. 기술기여도, 할인율, 업종분류, 산업기술요소(보조), 표준산업분류, IPC, TCT 등 최신자료로 현행화(최신화)
2. 상기 모든 변수의 현행화시 10차 표준산업분류-농식품 업종분류와 매핑을 기본전제로 수정한후 이루어짐
3. 산업기술요소의 경우, 업종분류 0427,0663, 0921 등 3개 업종에서 100%가 넘는 등 수치오류발견, 이에대해서 수정
4.  INPUT 시트 내 IPC, 업종분류,표준산업분류 등 기술분류 시트 함수 수정
5. 할인율 시트 내 기술성숙도 위험프리미엄 표에서, 미성숙시장의 경우, 기존 2016년도 보고서 적용 수치에서 
    2020년 11월 완료한 현행화 보고서 P45 &lt;표 Ⅲ-16&gt; 기술성숙도 단계별 평균 위험프리미엄(%) 수치로 변경함
6.할인율 시트 내 기술성숙도 위험프리미엄 표에서, 성숙시장의 단계별 할인율 산출근거를 메모로 삽입함
7. Total, Y_2017~Y_2019시트 및 재무시트, 경상로열티 시트내 함수오류 수정 및 관련 데이타  현행화 완료
8. 경상로열티 시트에서 실시료율 자료 부재한 업종에 대해 상관행 로열티 추가하여, 해당 업종 상관행 로열티 준용하도록 함수처리
9. 기술수명 Sheet에서 C9셀이 INPUT sheet E15 IPC코드가 연결되도록 수정하고, 체크박스 함수 삭제처리
10. INPUT sheet에서 매출추정옵션 셀 및 재무제표 옵션 셀 관련 메모추가
11. 10차 표준산업분류 코드 오류 및 업종분류와 매핑 오류 수정
12. INPUT sheet내 업종분류와 경상로열티율 매핑관계 오류 전면 수정
13. 업종분류 Sheet 내 산업기술요소 업종별 최대값과 평균값 오류 수정</t>
    <phoneticPr fontId="11" type="noConversion"/>
  </si>
  <si>
    <t>투자연계용</t>
    <phoneticPr fontId="21" type="noConversion"/>
  </si>
  <si>
    <t>융자연계용</t>
    <phoneticPr fontId="21" type="noConversion"/>
  </si>
  <si>
    <t>기술이전/거래용</t>
  </si>
  <si>
    <t>(-) 법인세비용</t>
  </si>
  <si>
    <t>건수</t>
    <phoneticPr fontId="11" type="noConversion"/>
  </si>
  <si>
    <t>-</t>
    <phoneticPr fontId="11" type="noConversion"/>
  </si>
  <si>
    <t>건수</t>
    <phoneticPr fontId="21" type="noConversion"/>
  </si>
  <si>
    <t>경상로열티율 최대값 수정(KISTI에 자료 다시 받아서 수정 22, 23, 43,44, 62, 63, 79, 91,92 업종)</t>
    <phoneticPr fontId="11" type="noConversion"/>
  </si>
  <si>
    <t>검수 : 윤홍근
          송윤찬</t>
    <phoneticPr fontId="11" type="noConversion"/>
  </si>
  <si>
    <t>윤홍근</t>
    <phoneticPr fontId="11" type="noConversion"/>
  </si>
  <si>
    <t>1.3.10</t>
    <phoneticPr fontId="11" type="noConversion"/>
  </si>
  <si>
    <t>1.3.11</t>
    <phoneticPr fontId="11" type="noConversion"/>
  </si>
  <si>
    <t>윤홍근</t>
    <phoneticPr fontId="11" type="noConversion"/>
  </si>
  <si>
    <t>1. 업종별 자본구조비용 중 특이치 제외하여 업종별 자기자본비용, 타인자본비용, WACC 등 수정보완
2. 업종별 경상로열티율도 전반적으로 특이치 제외한 후 업종별 로열티율 수정보완</t>
    <phoneticPr fontId="11" type="noConversion"/>
  </si>
  <si>
    <t>건물 및 구축물</t>
    <phoneticPr fontId="11" type="noConversion"/>
  </si>
  <si>
    <t>기계장치</t>
    <phoneticPr fontId="11" type="noConversion"/>
  </si>
  <si>
    <t>무형자산</t>
    <phoneticPr fontId="11" type="noConversion"/>
  </si>
  <si>
    <t>합계</t>
    <phoneticPr fontId="11" type="noConversion"/>
  </si>
  <si>
    <t>자본적 지출</t>
    <phoneticPr fontId="11" type="noConversion"/>
  </si>
  <si>
    <t>정액법</t>
    <phoneticPr fontId="21" type="noConversion"/>
  </si>
  <si>
    <t>정률법</t>
    <phoneticPr fontId="21" type="noConversion"/>
  </si>
  <si>
    <t>토지</t>
    <phoneticPr fontId="11" type="noConversion"/>
  </si>
  <si>
    <t>내용연수</t>
    <phoneticPr fontId="11" type="noConversion"/>
  </si>
  <si>
    <t>KOAT 할인율</t>
    <phoneticPr fontId="21" type="noConversion"/>
  </si>
  <si>
    <t>1.3.12</t>
    <phoneticPr fontId="11" type="noConversion"/>
  </si>
  <si>
    <t>㈜티밸류</t>
    <phoneticPr fontId="11" type="noConversion"/>
  </si>
  <si>
    <t>특허법인(유) 다래</t>
    <phoneticPr fontId="11" type="noConversion"/>
  </si>
  <si>
    <t>전략컨설팅 혜안㈜</t>
    <phoneticPr fontId="11" type="noConversion"/>
  </si>
  <si>
    <t>* 수행기관('22. 3.~) : ㈜티밸류, ㈜나이스디앤비, 나이스평가정보㈜, 특허법인(유) 다래, 전략컨설팅혜안㈜</t>
    <phoneticPr fontId="11" type="noConversion"/>
  </si>
  <si>
    <t>KOAT 내외부 기술평가 수행기관*(특허등록 제10-1930591호)</t>
    <phoneticPr fontId="11" type="noConversion"/>
  </si>
  <si>
    <t>한국농업기술진흥원</t>
    <phoneticPr fontId="11" type="noConversion"/>
  </si>
  <si>
    <t>진흥원 분류</t>
    <phoneticPr fontId="11" type="noConversion"/>
  </si>
  <si>
    <t>기술/권리요인</t>
  </si>
  <si>
    <t>기술/권리요인</t>
    <phoneticPr fontId="11" type="noConversion"/>
  </si>
  <si>
    <t>시장/사업요인</t>
  </si>
  <si>
    <t>시장/사업요인</t>
    <phoneticPr fontId="11" type="noConversion"/>
  </si>
  <si>
    <t>우월성</t>
  </si>
  <si>
    <t>우월성</t>
    <phoneticPr fontId="11" type="noConversion"/>
  </si>
  <si>
    <t>시장경쟁강도</t>
  </si>
  <si>
    <t>시장경쟁강도</t>
    <phoneticPr fontId="11" type="noConversion"/>
  </si>
  <si>
    <t>대체가능성</t>
  </si>
  <si>
    <t>대체가능성</t>
    <phoneticPr fontId="11" type="noConversion"/>
  </si>
  <si>
    <t>모방난이도</t>
  </si>
  <si>
    <t>모방난이도</t>
    <phoneticPr fontId="11" type="noConversion"/>
  </si>
  <si>
    <t>권리보호강도</t>
  </si>
  <si>
    <t>권리보호강도</t>
    <phoneticPr fontId="11" type="noConversion"/>
  </si>
  <si>
    <t>시장진입 가능성</t>
  </si>
  <si>
    <t>시장진입 가능성</t>
    <phoneticPr fontId="11" type="noConversion"/>
  </si>
  <si>
    <t>시장경쟁의 변화</t>
  </si>
  <si>
    <t>시장경쟁의 변화</t>
    <phoneticPr fontId="11" type="noConversion"/>
  </si>
  <si>
    <t>신제품 출현가능성</t>
  </si>
  <si>
    <t>신제품 출현가능성</t>
    <phoneticPr fontId="11" type="noConversion"/>
  </si>
  <si>
    <t>예상 시장점유율</t>
  </si>
  <si>
    <t>예상 시장점유율</t>
    <phoneticPr fontId="11" type="noConversion"/>
  </si>
  <si>
    <t>기술성</t>
    <phoneticPr fontId="11" type="noConversion"/>
  </si>
  <si>
    <t>사업성</t>
    <phoneticPr fontId="11" type="noConversion"/>
  </si>
  <si>
    <t>혁신성</t>
  </si>
  <si>
    <t>혁신성</t>
    <phoneticPr fontId="11" type="noConversion"/>
  </si>
  <si>
    <t>차별성</t>
    <phoneticPr fontId="11" type="noConversion"/>
  </si>
  <si>
    <t>활용성</t>
    <phoneticPr fontId="11" type="noConversion"/>
  </si>
  <si>
    <t>파급성</t>
    <phoneticPr fontId="11" type="noConversion"/>
  </si>
  <si>
    <t>진부화가능성</t>
  </si>
  <si>
    <t>진부화가능성</t>
    <phoneticPr fontId="11" type="noConversion"/>
  </si>
  <si>
    <t>권리안정성</t>
  </si>
  <si>
    <t>권리안정성</t>
    <phoneticPr fontId="11" type="noConversion"/>
  </si>
  <si>
    <t>침해발견 및 입증 용이성</t>
  </si>
  <si>
    <t>침해발견 및 입증 용이성</t>
    <phoneticPr fontId="11" type="noConversion"/>
  </si>
  <si>
    <t>수요민감도</t>
  </si>
  <si>
    <t>수요민감도</t>
    <phoneticPr fontId="11" type="noConversion"/>
  </si>
  <si>
    <t>사업화 준비기간</t>
    <phoneticPr fontId="11" type="noConversion"/>
  </si>
  <si>
    <t>사업화 소요자본</t>
  </si>
  <si>
    <t>사업화 소요자본</t>
    <phoneticPr fontId="11" type="noConversion"/>
  </si>
  <si>
    <t>생산용이성</t>
  </si>
  <si>
    <t>생산용이성</t>
    <phoneticPr fontId="11" type="noConversion"/>
  </si>
  <si>
    <t>경제적수명</t>
    <phoneticPr fontId="11" type="noConversion"/>
  </si>
  <si>
    <t>매출 성장추세</t>
  </si>
  <si>
    <t>매출 성장추세</t>
    <phoneticPr fontId="11" type="noConversion"/>
  </si>
  <si>
    <t>수익성</t>
    <phoneticPr fontId="11" type="noConversion"/>
  </si>
  <si>
    <t>파생적 매출</t>
    <phoneticPr fontId="11" type="noConversion"/>
  </si>
  <si>
    <t>1. 감가상각비 계산 매크로 추가
2. 기관명 및 평가자 정보 현행화
3. 경제적 수명 계산 시 등록경과년수 미반영되도록 수정
4. 기술수명, 기술기여도 관련 평가지표 수정</t>
    <phoneticPr fontId="11" type="noConversion"/>
  </si>
  <si>
    <t>검수 : 손세도
         신효정
         송윤찬</t>
    <phoneticPr fontId="11" type="noConversion"/>
  </si>
  <si>
    <t>기술성</t>
    <phoneticPr fontId="11" type="noConversion"/>
  </si>
  <si>
    <t>기술경쟁강도</t>
    <phoneticPr fontId="11" type="noConversion"/>
  </si>
  <si>
    <t>기술경쟁강도</t>
    <phoneticPr fontId="11" type="noConversion"/>
  </si>
  <si>
    <t>로열티공제법1</t>
    <phoneticPr fontId="11" type="noConversion"/>
  </si>
  <si>
    <t>로열티공제법2</t>
    <phoneticPr fontId="11" type="noConversion"/>
  </si>
  <si>
    <t>지식재산 유효성</t>
    <phoneticPr fontId="21" type="noConversion"/>
  </si>
  <si>
    <t>전망성</t>
    <phoneticPr fontId="11" type="noConversion"/>
  </si>
  <si>
    <t>기술사업화 환경</t>
    <phoneticPr fontId="11" type="noConversion"/>
  </si>
  <si>
    <t>기술 및 권리 위험</t>
    <phoneticPr fontId="11" type="noConversion"/>
  </si>
  <si>
    <t>제품구성 기술분류</t>
  </si>
  <si>
    <t>세분류 요소기술</t>
  </si>
  <si>
    <t>(A)×(B)</t>
  </si>
  <si>
    <t>① 소 계</t>
  </si>
  <si>
    <t>② 소 계</t>
  </si>
  <si>
    <t>③ 소 계</t>
  </si>
  <si>
    <t>④ 총 계(①+②+③)</t>
  </si>
  <si>
    <t>사업성</t>
    <phoneticPr fontId="11" type="noConversion"/>
  </si>
  <si>
    <t>세부구성기술 1-2</t>
    <phoneticPr fontId="11" type="noConversion"/>
  </si>
  <si>
    <t>세부구성기술 2-1</t>
    <phoneticPr fontId="11" type="noConversion"/>
  </si>
  <si>
    <t>세부구성기술 2-2</t>
    <phoneticPr fontId="11" type="noConversion"/>
  </si>
  <si>
    <t>세부구성기술 3-3</t>
    <phoneticPr fontId="11" type="noConversion"/>
  </si>
  <si>
    <t>세부구성기술 3-1</t>
    <phoneticPr fontId="11" type="noConversion"/>
  </si>
  <si>
    <t>세부구성기술 2-3</t>
    <phoneticPr fontId="11" type="noConversion"/>
  </si>
  <si>
    <t>세부구성기술 3-2</t>
    <phoneticPr fontId="11" type="noConversion"/>
  </si>
  <si>
    <t>X</t>
    <phoneticPr fontId="11" type="noConversion"/>
  </si>
  <si>
    <t>조정계수1</t>
    <phoneticPr fontId="21" type="noConversion"/>
  </si>
  <si>
    <t>시장성장전망</t>
    <phoneticPr fontId="11" type="noConversion"/>
  </si>
  <si>
    <t>DCF 최종 기술기여도</t>
    <phoneticPr fontId="21" type="noConversion"/>
  </si>
  <si>
    <t>2. 지식재산 유효성</t>
    <phoneticPr fontId="21" type="noConversion"/>
  </si>
  <si>
    <t>권리성</t>
    <phoneticPr fontId="21" type="noConversion"/>
  </si>
  <si>
    <t>권리안정성</t>
    <phoneticPr fontId="21" type="noConversion"/>
  </si>
  <si>
    <t>신규성 또는 진보성 무효가능성</t>
    <phoneticPr fontId="21" type="noConversion"/>
  </si>
  <si>
    <t>기타 요인에 의한 무효 가능성</t>
    <phoneticPr fontId="21" type="noConversion"/>
  </si>
  <si>
    <t>권리보호가능성</t>
    <phoneticPr fontId="21" type="noConversion"/>
  </si>
  <si>
    <t>해당 제품(서비스)의 보호가능성</t>
    <phoneticPr fontId="21" type="noConversion"/>
  </si>
  <si>
    <t>국내외 지식재산 포트폴리오 구축의 적절성</t>
    <phoneticPr fontId="21" type="noConversion"/>
  </si>
  <si>
    <t>권리행사용이성</t>
    <phoneticPr fontId="21" type="noConversion"/>
  </si>
  <si>
    <t>침해발견 및 입증용이성</t>
    <phoneticPr fontId="21" type="noConversion"/>
  </si>
  <si>
    <t>권리행사 제한가능성</t>
    <phoneticPr fontId="21" type="noConversion"/>
  </si>
  <si>
    <t>지식재산거래시장성</t>
    <phoneticPr fontId="21" type="noConversion"/>
  </si>
  <si>
    <t>특허출원 활성도</t>
    <phoneticPr fontId="21" type="noConversion"/>
  </si>
  <si>
    <t>산    출    점    수</t>
    <phoneticPr fontId="21" type="noConversion"/>
  </si>
  <si>
    <t>기술가치 = 〔매출액 × (합리적 로열티율 × 지식재산 보호비중)) × (1-세율)〕의 현재가치× 지식재산 유효성</t>
    <phoneticPr fontId="21" type="noConversion"/>
  </si>
  <si>
    <t>합리적 로열티율</t>
    <phoneticPr fontId="21" type="noConversion"/>
  </si>
  <si>
    <t>⦁ 합리적 로열티율 = 기준 로열티율 × 조정계수</t>
  </si>
  <si>
    <t>⦁ 기준 로열티율: 유사사례 로열티율 또는 업종별 로열티 통계의 중앙값(또는 평균)</t>
  </si>
  <si>
    <t>조정계수 값 &lt; 30</t>
    <phoneticPr fontId="21" type="noConversion"/>
  </si>
  <si>
    <t>⦁ 조정계수: 로열티 영향요인 평점에 근거하여 기준 로열티율을 조정하는 계수</t>
  </si>
  <si>
    <t>⦁ 지식재산 보호비중: 대상 지식재산이 대상기술 제품에서 차지하는 비율(0~100%)</t>
  </si>
  <si>
    <t>⦁ 지식재산 유효성: 기술(지식재산)의 권리로서의 유효성과 거래 가능성에 대한 평점(0~100%)</t>
  </si>
  <si>
    <t>합리적 로열티율 = Rm+(R3–Rm)[(획득값-기준값)/(최대값-기준값)], 획득값≥기준값</t>
  </si>
  <si>
    <t>= R1+(Rm–R1)[(획득값-최소값)/(기준값-최소값)], 획득값&lt;기준값</t>
  </si>
  <si>
    <t xml:space="preserve"> ⦁ Rm: 업종별 로열티 통계의 중앙값</t>
    <phoneticPr fontId="21" type="noConversion"/>
  </si>
  <si>
    <t xml:space="preserve"> ⦁ R3: 업종별 로열티 통계의 삼사분위값(또는 최대값) </t>
    <phoneticPr fontId="21" type="noConversion"/>
  </si>
  <si>
    <t xml:space="preserve"> ⦁ R1: 업종별 로열티 통계의 일사분위값(또는 최소값) </t>
    <phoneticPr fontId="21" type="noConversion"/>
  </si>
  <si>
    <t xml:space="preserve"> ⦁ 획득값: 1.조정계수에서 구한 평점</t>
    <phoneticPr fontId="21" type="noConversion"/>
  </si>
  <si>
    <t xml:space="preserve"> ⦁ 기준값: 30점</t>
    <phoneticPr fontId="21" type="noConversion"/>
  </si>
  <si>
    <t xml:space="preserve"> ⦁ 최대값: 50점</t>
  </si>
  <si>
    <t>합계</t>
    <phoneticPr fontId="21" type="noConversion"/>
  </si>
  <si>
    <t>비중(A)</t>
  </si>
  <si>
    <t>INPUT 연동</t>
    <phoneticPr fontId="11" type="noConversion"/>
  </si>
  <si>
    <t>대상기술·특허</t>
    <phoneticPr fontId="11" type="noConversion"/>
  </si>
  <si>
    <t>기술비중
(=지식재산보호비중)</t>
    <phoneticPr fontId="21" type="noConversion"/>
  </si>
  <si>
    <t>구분</t>
    <phoneticPr fontId="11" type="noConversion"/>
  </si>
  <si>
    <t>영향요인</t>
    <phoneticPr fontId="11" type="noConversion"/>
  </si>
  <si>
    <t>업종분류코드</t>
    <phoneticPr fontId="11" type="noConversion"/>
  </si>
  <si>
    <t>업종분류명</t>
    <phoneticPr fontId="11" type="noConversion"/>
  </si>
  <si>
    <t>최소값</t>
    <phoneticPr fontId="11" type="noConversion"/>
  </si>
  <si>
    <t>중위수</t>
    <phoneticPr fontId="11" type="noConversion"/>
  </si>
  <si>
    <t>최대값</t>
    <phoneticPr fontId="11" type="noConversion"/>
  </si>
  <si>
    <t>기술적속성</t>
    <phoneticPr fontId="11" type="noConversion"/>
  </si>
  <si>
    <t>시장,사업적 속성</t>
    <phoneticPr fontId="11" type="noConversion"/>
  </si>
  <si>
    <t>분쟁 및 라이선스 활성도</t>
    <phoneticPr fontId="21" type="noConversion"/>
  </si>
  <si>
    <t>수익성</t>
    <phoneticPr fontId="21" type="noConversion"/>
  </si>
  <si>
    <t>최철만</t>
    <phoneticPr fontId="11" type="noConversion"/>
  </si>
  <si>
    <t>최선영</t>
    <phoneticPr fontId="11" type="noConversion"/>
  </si>
  <si>
    <t>김지영</t>
    <phoneticPr fontId="11" type="noConversion"/>
  </si>
  <si>
    <t>김진선</t>
    <phoneticPr fontId="11" type="noConversion"/>
  </si>
  <si>
    <t>기술 및 
권리위험</t>
    <phoneticPr fontId="11" type="noConversion"/>
  </si>
  <si>
    <t>1. 조정계수2</t>
    <phoneticPr fontId="21" type="noConversion"/>
  </si>
  <si>
    <t>종합소득세율
(~14백만)</t>
    <phoneticPr fontId="11" type="noConversion"/>
  </si>
  <si>
    <t>종합소득세율
(14~50백만)</t>
    <phoneticPr fontId="11" type="noConversion"/>
  </si>
  <si>
    <t>종합소득세율
(50~88백만)</t>
    <phoneticPr fontId="11" type="noConversion"/>
  </si>
  <si>
    <t>활용성</t>
    <phoneticPr fontId="11" type="noConversion"/>
  </si>
  <si>
    <t>차별성</t>
    <phoneticPr fontId="11" type="noConversion"/>
  </si>
  <si>
    <t>대체가능성</t>
    <phoneticPr fontId="11" type="noConversion"/>
  </si>
  <si>
    <t>모방난이도</t>
    <phoneticPr fontId="11" type="noConversion"/>
  </si>
  <si>
    <t>권리성</t>
    <phoneticPr fontId="11" type="noConversion"/>
  </si>
  <si>
    <t>로열티공제법 I</t>
    <phoneticPr fontId="11" type="noConversion"/>
  </si>
  <si>
    <t>시장성/
사업성</t>
    <phoneticPr fontId="11" type="noConversion"/>
  </si>
  <si>
    <t>기술성</t>
    <phoneticPr fontId="11" type="noConversion"/>
  </si>
  <si>
    <t>평점</t>
    <phoneticPr fontId="11" type="noConversion"/>
  </si>
  <si>
    <t>권리의 안정성</t>
    <phoneticPr fontId="11" type="noConversion"/>
  </si>
  <si>
    <t>생산 용이성</t>
    <phoneticPr fontId="11" type="noConversion"/>
  </si>
  <si>
    <t>기술기여도(로열티법 조정계수) 영향요인 체크리스트</t>
    <phoneticPr fontId="11" type="noConversion"/>
  </si>
  <si>
    <t>E</t>
    <phoneticPr fontId="11" type="noConversion"/>
  </si>
  <si>
    <t>D</t>
    <phoneticPr fontId="11" type="noConversion"/>
  </si>
  <si>
    <t>C</t>
    <phoneticPr fontId="11" type="noConversion"/>
  </si>
  <si>
    <t>E</t>
    <phoneticPr fontId="11" type="noConversion"/>
  </si>
  <si>
    <t>D</t>
    <phoneticPr fontId="11" type="noConversion"/>
  </si>
  <si>
    <t>C</t>
    <phoneticPr fontId="11" type="noConversion"/>
  </si>
  <si>
    <t>B</t>
    <phoneticPr fontId="11" type="noConversion"/>
  </si>
  <si>
    <t>A</t>
    <phoneticPr fontId="11" type="noConversion"/>
  </si>
  <si>
    <t>기술성(0.5)</t>
    <phoneticPr fontId="11" type="noConversion"/>
  </si>
  <si>
    <t>사업성(0.5)</t>
    <phoneticPr fontId="11" type="noConversion"/>
  </si>
  <si>
    <t>1.3.13.</t>
    <phoneticPr fontId="11" type="noConversion"/>
  </si>
  <si>
    <t>A</t>
  </si>
  <si>
    <t>기술가치 (H)
(H=F×G)</t>
    <phoneticPr fontId="21" type="noConversion"/>
  </si>
  <si>
    <t>기술기여도(I)</t>
    <phoneticPr fontId="11" type="noConversion"/>
  </si>
  <si>
    <t>기술가치(J=HxI)</t>
    <phoneticPr fontId="21" type="noConversion"/>
  </si>
  <si>
    <t>기술비중( %)</t>
    <phoneticPr fontId="11" type="noConversion"/>
  </si>
  <si>
    <t>지식재산 유효성(로열티공제법2)</t>
    <phoneticPr fontId="11" type="noConversion"/>
  </si>
  <si>
    <t>신규성 또는 진보성 무효가능성</t>
    <phoneticPr fontId="11" type="noConversion"/>
  </si>
  <si>
    <t>기타 요인에 의한 무효 가능성</t>
    <phoneticPr fontId="11" type="noConversion"/>
  </si>
  <si>
    <t>해당 제품(서비스)의 보호가능성</t>
    <phoneticPr fontId="11" type="noConversion"/>
  </si>
  <si>
    <t>국내외 지식재산 포트폴리오 구축의 적절성</t>
    <phoneticPr fontId="11" type="noConversion"/>
  </si>
  <si>
    <t>침해발견 및 입증용이성</t>
    <phoneticPr fontId="11" type="noConversion"/>
  </si>
  <si>
    <t>권리행사 제한가능성</t>
    <phoneticPr fontId="11" type="noConversion"/>
  </si>
  <si>
    <t>분쟁 및 라이선스 활성도</t>
    <phoneticPr fontId="11" type="noConversion"/>
  </si>
  <si>
    <t>특허출원 활성도</t>
    <phoneticPr fontId="11" type="noConversion"/>
  </si>
  <si>
    <t>권리보호가능성</t>
    <phoneticPr fontId="11" type="noConversion"/>
  </si>
  <si>
    <t>권리행사용이성</t>
    <phoneticPr fontId="11" type="noConversion"/>
  </si>
  <si>
    <t>지식재산거래시장성</t>
    <phoneticPr fontId="11" type="noConversion"/>
  </si>
  <si>
    <t>33.1 백만원</t>
  </si>
  <si>
    <t>노란색 값은 중복 지표로 체크리스트 간 점수 일치 여부 확인</t>
    <phoneticPr fontId="11" type="noConversion"/>
  </si>
  <si>
    <t>기술비중
(지식재산보호비중)</t>
    <phoneticPr fontId="11" type="noConversion"/>
  </si>
  <si>
    <t>법인세율 20.9%고정</t>
    <phoneticPr fontId="11" type="noConversion"/>
  </si>
  <si>
    <t>법인세율 
20.9%고정</t>
    <phoneticPr fontId="11" type="noConversion"/>
  </si>
  <si>
    <t>* 사업가치 조정계수</t>
  </si>
  <si>
    <t>조정계수</t>
  </si>
  <si>
    <t>로열티수입</t>
  </si>
  <si>
    <t>(=) 세후로열티수입(A)</t>
  </si>
  <si>
    <t>기술가치 (H)
(H=F×G)</t>
  </si>
  <si>
    <t>검수 : 이현석, 최철만, 송영헌</t>
    <phoneticPr fontId="11" type="noConversion"/>
  </si>
  <si>
    <t>C</t>
  </si>
  <si>
    <t>E</t>
  </si>
  <si>
    <t>1.산자부 실무가이드 21년 평가지표 현행화(기술수명, 사업화프리미엄, 기술기여도 및 조정계수 등)
2.법인세율 등 현행화(현금흐름 시트 내 법인세율 정정 및 WACC 고정값(2~200억구간)을 20.9%로 정정)
3.로열티공제법2 추정방법 추가(지식재산 유효성 등 관련 지표 반영)
4.기술기여도 및 로열티율 계산시 기술비중이 반영되도록 변경
5.평가지표를 A~E 등급으로 입력하도록 수정(기존 -2~2 또는 1~5)
6.기술기여도&amp;조정계수 체크리스트에서 수익공제법과 로열티공제법 구분하여 표현
7.매출액추정액 입력란 세로→ 가로로 변경</t>
    <phoneticPr fontId="11" type="noConversion"/>
  </si>
  <si>
    <t>직접 추정</t>
  </si>
  <si>
    <t>송윤찬</t>
    <phoneticPr fontId="11" type="noConversion"/>
  </si>
  <si>
    <t>이용대</t>
  </si>
  <si>
    <t>이용대</t>
    <phoneticPr fontId="11" type="noConversion"/>
  </si>
  <si>
    <t>기술가치평가의 목적과 연관된 관련 법령, 기준, 평가지침 등을 준수하여 평가하였다는 평가기관의 의견이 포함되어 있고, 수행한 기술평가자의 소속과 자격을 표시하고 서명 날인 하였는가?</t>
  </si>
  <si>
    <t>보고서의 내용은 평가의 목적과 용도에 일치하고, 기술평가 의뢰자가 그 보고서를 이해할 수 있도록 적합한 설명과 요약을 포함하고 있는가?</t>
  </si>
  <si>
    <t>기술평가자는 평가목적에 대해 적용된 가정과 제한적 조건 등을 분명하게 이해할 수 있도록 기술하고, 그러한 가정의 적용이 평가결과에 미치는 내용을 기술하고 있는가?</t>
  </si>
  <si>
    <t>대상기술의 독창성 및 우수성, 기술의 완성도, 적용분야 및 제품, 추가기술의 개발 여부 등에 관한 분석이 적절하게 수행되었는가?</t>
  </si>
  <si>
    <t>기술환경 분석 결과에 근거하여 대상기술의 장단점을 비교하여 기술적 유용성과 경쟁성 분석이 객관적인 관점에서 수행되었는가?</t>
  </si>
  <si>
    <t>기술성 분석 결과를 종합하여 기술성 관점에서 사업화 또는 가치 창출 가능성에 대한 평가자의 의견이 구체적으로 제시되었는가?</t>
  </si>
  <si>
    <t>선행특허 분석 결과에 근거하여 권리의 안정적(무효나 침해 여지) 유지 가능성에 대한 의견이 제시되었고, 평가대상특허의 권리범위 분석(법적보호강도)을 통한 기술보호 차별성 의견이 제시되었는가?</t>
    <phoneticPr fontId="11" type="noConversion"/>
  </si>
  <si>
    <r>
      <t>권리성 분석 결과에 근거하여 권리성(권리범위 및 강도) 관점에서</t>
    </r>
    <r>
      <rPr>
        <sz val="10"/>
        <color rgb="FF0000FF"/>
        <rFont val="돋움"/>
        <family val="3"/>
        <charset val="129"/>
      </rPr>
      <t xml:space="preserve"> </t>
    </r>
    <r>
      <rPr>
        <sz val="10"/>
        <color rgb="FF000000"/>
        <rFont val="돋움"/>
        <family val="3"/>
        <charset val="129"/>
      </rPr>
      <t>시장에서 일정 정도 독점적 지위 확보를 통한 사업화 연관성에 대한 평가자의 의견이 구체적으로 제시되었는가?</t>
    </r>
  </si>
  <si>
    <t>대상기술이 적용될 제품 시장이 적합하게 설정되었는가? 목표시장의 규모예측에 객관성이 확보된 자료와 정보에 근거한 중장기 예측방법이 적용되었는가?</t>
  </si>
  <si>
    <t>시장경쟁 분석에서 경쟁업체와 경쟁제품, 경쟁업체의 지위(대기업 또는 중소기업), 경쟁업체의 지배력 등 분석을 통하여 기술사업화의 기회와 제한점이 구체적으로 제시되었는가?</t>
  </si>
  <si>
    <t>시장성 분석 결과 대상기술 적용제품이 시장진입 후 일정기간 동안 목표시장 규모 성장 패턴과 시장점유 가능성에 대한 의견이 제시되었는가?</t>
  </si>
  <si>
    <t>대상기술 적용제품이 경쟁제품과의 가격, 품질 등 경쟁력 관점에서 우위 및 제한 요인이 객관적인 자료 및 정보에 근거하여 분석 되었는가?</t>
    <phoneticPr fontId="11" type="noConversion"/>
  </si>
  <si>
    <t>대상기술 적용제품의 해당 시장에서의 매출확보 가능성에 근거하여 중장기 시장점유율이 합리적으로 예측되었고, 사업화를 위한 생산설비 투자규모 및 비용에 관한 정보도 제시되었는가?</t>
  </si>
  <si>
    <t>기술의 경제적 수명을 결정하기 위하여 선택된 방법(인용특허수명(TCT), 기술로드맵, 생존분석, 전문가 합의 등)의 근거가 제시되었고, 결정 과정에 사용한 분석에 대한 설명이 포함되어 있는가?</t>
    <phoneticPr fontId="11" type="noConversion"/>
  </si>
  <si>
    <t>기술의 경제적 수명 결정에 영향을 미치는 기술요인과 시장요인 등에서 긍정적 영향요인과 부정적 영향요인에 대한 근거가 객관적으로 제시되었는가?</t>
  </si>
  <si>
    <t>시장점유율에 근거한 매출추정이 연관 시장경쟁구조와 기업 정보(생산능력, 제품종류, 사업계획 등)에 근거하여 산출되었는가? 혹은 수요예측에 의한 매출액 추정에서 방법론의 선택 및 자료의 적용에 대한 근거가 제시되었는가?</t>
  </si>
  <si>
    <t>현금흐름 추정방식의 선택에 대한 근거가 제시되었고, 현금흐름의 단계별 산출절차가 올바르게 적용되었는가?</t>
  </si>
  <si>
    <t>(세후영업이익 + 감가상각비 - 자본적지출 비용 - 운전자본 증감액 확인)</t>
  </si>
  <si>
    <t>사업화에 소요되는 자본적 지출(영업활동에 필요한 유형 및 무형자산에 대한 투자액) 및 비용에 대한 근거가 제시되었는가?</t>
  </si>
  <si>
    <t>기술사업화 위험 분석에서 기술과 시장, 사업 관점에서 대상기술의 사업화위험 수준으로 표현되고, 분석결과가 할인율에 반영되었는가?</t>
  </si>
  <si>
    <t>표준 할인율 정보의 유의사항(안정성 위험프리미엄, 규모프리미엄, 자기자본비율 등에 관한 정보)에 대한 확인이 수행되었고, 표준 할인율 정보와 달리 적용할 때 근거가 제시되었는가?</t>
  </si>
  <si>
    <t>개별기술강도(기술성 10개 항목과 사업성 10개 항목) 평가에 적용된 자료 및 정보가 명확하고, 기술기여도 산출절차가 단계적으로 제시되었는가?</t>
    <phoneticPr fontId="11" type="noConversion"/>
  </si>
  <si>
    <t>기술기여도 산출에 제품을 구성하는 기술의 특성 및 기술비중이 고려되고 반영되었는가?</t>
  </si>
  <si>
    <t>평가요소 추정에 영향을 미치는 가정, 가설적 상황, 제한적인 조건 등이 제시되었고, 미래상황 변화에 따라 가치평가 결과가 변동될 수 있음을 명시하였는가?</t>
  </si>
  <si>
    <t xml:space="preserve">                                  (서명)</t>
    <phoneticPr fontId="11" type="noConversion"/>
  </si>
  <si>
    <t>기술의 경제적 수명을 결정하기 위하여 선택된 방법(인용특허수명(CLT), 기술로드맵, 생존분석, 전문가 합의 등)의 근거가 제시되었고, 결정 과정에 사용한 분석에 대한 설명이 포함되어 있는가?</t>
  </si>
  <si>
    <t>대상기술과 비교 가능한 유사기술의 거래사례가 다수 있는 경우에, 대상기술과 유사기술 사이의 차이를 반영하여 합리적으로 로열티율이 산출되었는가?</t>
  </si>
  <si>
    <t>만약 유사 거래사례가 작을 경우에, 기술과 연관된 유사기업군의 상관행법 로열티율 제시와 더불어 대상기술의 영향요인(기술성, 권리성, 시장성) 수준을 반영한 조정계수를 통해 합리적으로 추정되었는가?</t>
  </si>
  <si>
    <t xml:space="preserve">                               (서명)</t>
    <phoneticPr fontId="11" type="noConversion"/>
  </si>
  <si>
    <t>조정계수 값 ≥ 30</t>
    <phoneticPr fontId="21" type="noConversion"/>
  </si>
  <si>
    <t>채소작물 재배업</t>
    <phoneticPr fontId="11" type="noConversion"/>
  </si>
  <si>
    <t>과실, 음료용 및 향신용 작물 재배업</t>
    <phoneticPr fontId="11" type="noConversion"/>
  </si>
  <si>
    <t>수익접근법</t>
  </si>
  <si>
    <t>제품구성 기술분류</t>
    <phoneticPr fontId="11" type="noConversion"/>
  </si>
  <si>
    <t>세분류 요소기술</t>
    <phoneticPr fontId="11" type="noConversion"/>
  </si>
  <si>
    <t>구성기술 1</t>
    <phoneticPr fontId="11" type="noConversion"/>
  </si>
  <si>
    <t>비중(A)</t>
    <phoneticPr fontId="11" type="noConversion"/>
  </si>
  <si>
    <t>비중(B)</t>
    <phoneticPr fontId="11" type="noConversion"/>
  </si>
  <si>
    <t>(A)×(B)</t>
    <phoneticPr fontId="11" type="noConversion"/>
  </si>
  <si>
    <t>세부구성기술 1-1</t>
    <phoneticPr fontId="11" type="noConversion"/>
  </si>
  <si>
    <t>세부구성기술 1-3</t>
  </si>
  <si>
    <t>O</t>
    <phoneticPr fontId="11" type="noConversion"/>
  </si>
  <si>
    <t>① 소 계</t>
    <phoneticPr fontId="11" type="noConversion"/>
  </si>
  <si>
    <t>② 소 계</t>
    <phoneticPr fontId="11" type="noConversion"/>
  </si>
  <si>
    <t>구성기술 2</t>
    <phoneticPr fontId="11" type="noConversion"/>
  </si>
  <si>
    <t>구성기술 3</t>
    <phoneticPr fontId="11" type="noConversion"/>
  </si>
  <si>
    <t>③ 소 계</t>
    <phoneticPr fontId="11" type="noConversion"/>
  </si>
  <si>
    <t>④ 총 계(①+②+③)</t>
    <phoneticPr fontId="11" type="noConversion"/>
  </si>
  <si>
    <t>기술비중산정</t>
    <phoneticPr fontId="11" type="noConversion"/>
  </si>
  <si>
    <t>D</t>
  </si>
  <si>
    <t>B</t>
  </si>
  <si>
    <t>(단위: 백만원)</t>
    <phoneticPr fontId="11" type="noConversion"/>
  </si>
  <si>
    <t>1.3.14.</t>
    <phoneticPr fontId="11" type="noConversion"/>
  </si>
  <si>
    <t>검수 : 송윤찬, 최철만, 최선영, 김지영</t>
    <phoneticPr fontId="11" type="noConversion"/>
  </si>
  <si>
    <r>
      <rPr>
        <b/>
        <sz val="10"/>
        <color rgb="FF000000"/>
        <rFont val="맑은 고딕"/>
        <family val="3"/>
        <charset val="129"/>
        <scheme val="minor"/>
      </rPr>
      <t>개별기술강도</t>
    </r>
    <r>
      <rPr>
        <b/>
        <sz val="11"/>
        <color rgb="FF000000"/>
        <rFont val="맑은 고딕"/>
        <family val="3"/>
        <charset val="129"/>
        <scheme val="minor"/>
      </rPr>
      <t xml:space="preserve">
(효용성 및 경쟁성 강도비율의 평균)</t>
    </r>
    <phoneticPr fontId="21" type="noConversion"/>
  </si>
  <si>
    <r>
      <t>비중</t>
    </r>
    <r>
      <rPr>
        <b/>
        <sz val="11"/>
        <color rgb="FF000000"/>
        <rFont val="맑은 고딕"/>
        <family val="3"/>
        <charset val="129"/>
        <scheme val="minor"/>
      </rPr>
      <t>(A)</t>
    </r>
  </si>
  <si>
    <r>
      <t>비중</t>
    </r>
    <r>
      <rPr>
        <b/>
        <sz val="11"/>
        <color rgb="FF000000"/>
        <rFont val="맑은 고딕"/>
        <family val="3"/>
        <charset val="129"/>
        <scheme val="minor"/>
      </rPr>
      <t>(B)</t>
    </r>
  </si>
  <si>
    <r>
      <t>(1)</t>
    </r>
    <r>
      <rPr>
        <sz val="10"/>
        <color rgb="FF000000"/>
        <rFont val="맑은 고딕"/>
        <family val="3"/>
        <charset val="129"/>
        <scheme val="major"/>
      </rPr>
      <t>산업기술요소(%)</t>
    </r>
    <phoneticPr fontId="11" type="noConversion"/>
  </si>
  <si>
    <r>
      <t>(2)</t>
    </r>
    <r>
      <rPr>
        <sz val="10"/>
        <rFont val="맑은 고딕"/>
        <family val="3"/>
        <charset val="129"/>
        <scheme val="major"/>
      </rPr>
      <t>기술의 비중</t>
    </r>
    <phoneticPr fontId="11" type="noConversion"/>
  </si>
  <si>
    <r>
      <t>(3)</t>
    </r>
    <r>
      <rPr>
        <sz val="10"/>
        <color rgb="FF000000"/>
        <rFont val="맑은 고딕"/>
        <family val="3"/>
        <charset val="129"/>
        <scheme val="major"/>
      </rPr>
      <t>개별기술강도(%)</t>
    </r>
    <phoneticPr fontId="11" type="noConversion"/>
  </si>
  <si>
    <r>
      <t>성숙도 프리미엄</t>
    </r>
    <r>
      <rPr>
        <b/>
        <sz val="11"/>
        <color theme="1"/>
        <rFont val="맑은 고딕"/>
        <family val="3"/>
        <charset val="129"/>
        <scheme val="major"/>
      </rPr>
      <t xml:space="preserve"> 옵션</t>
    </r>
    <phoneticPr fontId="21" type="noConversion"/>
  </si>
  <si>
    <t>위험프리미엄(A)</t>
  </si>
  <si>
    <t>기존 적용하던 방식</t>
  </si>
  <si>
    <t>위험프리미엄(B)</t>
  </si>
  <si>
    <t>기술성숙도가 미흡한 경우 적용가능</t>
  </si>
  <si>
    <t>(현행화 보고서 p135)</t>
  </si>
  <si>
    <t>중앙값(Q2)</t>
  </si>
  <si>
    <t>V-RAY ver1.3.14(2024.2.21)</t>
    <phoneticPr fontId="21" type="noConversion"/>
  </si>
  <si>
    <t>KOAT 기술거래평가팀</t>
    <phoneticPr fontId="21" type="noConversion"/>
  </si>
  <si>
    <t>감가상각 및 자본적 
지출 추정 옵션</t>
    <phoneticPr fontId="21" type="noConversion"/>
  </si>
  <si>
    <t>자본적지출</t>
  </si>
  <si>
    <t>운전자본
증감액</t>
  </si>
  <si>
    <t>이용대, 송영헌</t>
    <phoneticPr fontId="11" type="noConversion"/>
  </si>
  <si>
    <t>1. INPUT 항목 수정(평가자), 기술비중산정표 신규 생성
2. INPUT 지식재산 유효성 조건부 서식 삭제(상시 보이도록)
3. 현금흐름 자본적지출 수동 계산 부분 매크로 오류 수정
4. 로열티2 지식재산 유효성 합계 함수 수정(기존 미적용)
5. 시트별 글씨체 통일</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</si>
</sst>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9">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24" formatCode="\$#,##0_);[Red]\(\$#,##0\)"/>
    <numFmt numFmtId="176" formatCode="_-* #,##0.00_-;\-* #,##0.00_-;_-* &quot;-&quot;_-;_-@_-"/>
    <numFmt numFmtId="177" formatCode="0.00_ "/>
    <numFmt numFmtId="178" formatCode="0.0_ "/>
    <numFmt numFmtId="179" formatCode="#&quot;년&quot;"/>
    <numFmt numFmtId="180" formatCode="0.0%"/>
    <numFmt numFmtId="181" formatCode="_-* #,##0.0_-;\-* #,##0.0_-;_-* &quot;-&quot;_-;_-@_-"/>
    <numFmt numFmtId="182" formatCode="#,##0_ "/>
    <numFmt numFmtId="183" formatCode="0\ &quot;점&quot;"/>
    <numFmt numFmtId="184" formatCode="0.0"/>
    <numFmt numFmtId="185" formatCode="0_ "/>
    <numFmt numFmtId="186" formatCode="0_);[Red]\(0\)"/>
    <numFmt numFmtId="187" formatCode="0000"/>
    <numFmt numFmtId="188" formatCode="_-* #,##0.000_-;\-* #,##0.000_-;_-* &quot;-&quot;_-;_-@_-"/>
    <numFmt numFmtId="189" formatCode="_ &quot;₩&quot;* #,##0_ ;_ &quot;₩&quot;* &quot;₩&quot;&quot;₩&quot;&quot;₩&quot;&quot;₩&quot;&quot;₩&quot;&quot;₩&quot;&quot;₩&quot;&quot;₩&quot;&quot;₩&quot;&quot;₩&quot;&quot;₩&quot;&quot;₩&quot;\-#,##0_ ;_ &quot;₩&quot;* &quot;-&quot;_ ;_ @_ "/>
    <numFmt numFmtId="190" formatCode="&quot;₩&quot;#,##0.00;[Red]&quot;₩&quot;&quot;₩&quot;&quot;₩&quot;&quot;₩&quot;&quot;₩&quot;&quot;₩&quot;&quot;₩&quot;&quot;₩&quot;&quot;₩&quot;&quot;₩&quot;&quot;₩&quot;&quot;₩&quot;\-&quot;₩&quot;#,##0.00"/>
    <numFmt numFmtId="191" formatCode="#,##0.000"/>
    <numFmt numFmtId="192" formatCode="#,##0\ &quot;mk&quot;;\-#,##0\ &quot;mk&quot;"/>
    <numFmt numFmtId="193" formatCode="#,##0\ &quot;mk&quot;;[Red]\-#,##0\ &quot;mk&quot;"/>
    <numFmt numFmtId="194" formatCode="#,##0.00\ &quot;mk&quot;;\-#,##0.00\ &quot;mk&quot;"/>
    <numFmt numFmtId="195" formatCode="#,##0.00\ &quot;mk&quot;;[Red]\-#,##0.00\ &quot;mk&quot;"/>
    <numFmt numFmtId="196" formatCode="_-* #,##0\ &quot;mk&quot;_-;\-* #,##0\ &quot;mk&quot;_-;_-* &quot;-&quot;\ &quot;mk&quot;_-;_-@_-"/>
    <numFmt numFmtId="197" formatCode="_-* #,##0\ _m_k_-;\-* #,##0\ _m_k_-;_-* &quot;-&quot;\ _m_k_-;_-@_-"/>
    <numFmt numFmtId="198" formatCode="_-* #,##0.00\ &quot;mk&quot;_-;\-* #,##0.00\ &quot;mk&quot;_-;_-* &quot;-&quot;??\ &quot;mk&quot;_-;_-@_-"/>
    <numFmt numFmtId="199" formatCode="_-* #,##0.00\ _m_k_-;\-* #,##0.00\ _m_k_-;_-* &quot;-&quot;??\ _m_k_-;_-@_-"/>
    <numFmt numFmtId="200" formatCode="&quot;$&quot;#,##0;&quot;$&quot;\-#,##0"/>
    <numFmt numFmtId="201" formatCode="&quot;$&quot;#,##0;[Red]&quot;$&quot;\-#,##0"/>
    <numFmt numFmtId="202" formatCode="&quot;$&quot;#,##0.00;&quot;$&quot;\-#,##0.00"/>
    <numFmt numFmtId="203" formatCode="&quot;$&quot;#,##0.00;[Red]&quot;$&quot;\-#,##0.00"/>
    <numFmt numFmtId="204" formatCode="_ &quot;$&quot;* #,##0_ ;_ &quot;$&quot;* \-#,##0_ ;_ &quot;$&quot;* &quot;-&quot;_ ;_ @_ "/>
    <numFmt numFmtId="205" formatCode="_ &quot;$&quot;* #,##0.00_ ;_ &quot;$&quot;* \-#,##0.00_ ;_ &quot;$&quot;* &quot;-&quot;??_ ;_ @_ "/>
    <numFmt numFmtId="206" formatCode="_-* #,##0.00_-;&quot;₩&quot;&quot;₩&quot;&quot;₩&quot;&quot;₩&quot;&quot;₩&quot;&quot;₩&quot;&quot;₩&quot;&quot;₩&quot;&quot;₩&quot;&quot;₩&quot;\-* #,##0.00_-;_-* &quot;-&quot;??_-;_-@_-"/>
    <numFmt numFmtId="207" formatCode="#,##0.0;[Red]\-#,##0.0"/>
    <numFmt numFmtId="208" formatCode="#,##0.000;[Red]\-#,##0.000"/>
    <numFmt numFmtId="209" formatCode="######\-#######"/>
    <numFmt numFmtId="210" formatCode="yyyy&quot;/&quot;m&quot;/&quot;d"/>
    <numFmt numFmtId="211" formatCode="#,##0;&quot;-&quot;#,##0"/>
    <numFmt numFmtId="212" formatCode="#,##0;[Red]&quot;-&quot;#,##0"/>
    <numFmt numFmtId="213" formatCode="#,##0.00;&quot;-&quot;#,##0.00"/>
    <numFmt numFmtId="214" formatCode="#,##0.00;[Red]&quot;-&quot;#,##0.00"/>
    <numFmt numFmtId="215" formatCode="0%;[Red]\ \ &quot;-&quot;0%"/>
    <numFmt numFmtId="216" formatCode="#.#"/>
    <numFmt numFmtId="217" formatCode="#,##0.0;[Red]&quot;-&quot;#,##0.0"/>
    <numFmt numFmtId="218" formatCode="#.##"/>
    <numFmt numFmtId="219" formatCode="&quot;₩&quot;#,##0;&quot;₩&quot;&quot;₩&quot;&quot;₩&quot;&quot;₩&quot;&quot;₩&quot;&quot;₩&quot;&quot;₩&quot;&quot;₩&quot;&quot;₩&quot;&quot;₩&quot;&quot;₩&quot;\-&quot;₩&quot;#,##0"/>
    <numFmt numFmtId="220" formatCode="&quot;₩&quot;\!\$#,##0_);[Red]&quot;₩&quot;\!\(&quot;₩&quot;\!\$#,##0&quot;₩&quot;\!\)"/>
    <numFmt numFmtId="221" formatCode="&quot;113-&quot;@"/>
    <numFmt numFmtId="222" formatCode="&quot;$&quot;#,##0_);\(&quot;$&quot;#,##0\)"/>
    <numFmt numFmtId="223" formatCode="&quot;$&quot;#,##0.0_);\(&quot;$&quot;#,##0.0\)"/>
    <numFmt numFmtId="224" formatCode="&quot;$&quot;#,##0.00_);\(&quot;$&quot;#,##0.00\)"/>
    <numFmt numFmtId="225" formatCode="&quot;$&quot;#,##0.000_);\(&quot;$&quot;#,##0.000\)"/>
    <numFmt numFmtId="226" formatCode="&quot;$&quot;#,##0.0000_);\(&quot;$&quot;#,##0.0000\)"/>
    <numFmt numFmtId="227" formatCode="_(* #,##0.00_);_(* \(#,##0.00\);_(* &quot;-&quot;??_);_(@_)"/>
    <numFmt numFmtId="228" formatCode="0.0_)\%;\(0.0\)\%;0.0_)\%;@_)_%"/>
    <numFmt numFmtId="229" formatCode="#,##0.0_)_%;\(#,##0.0\)_%;0.0_)_%;@_)_%"/>
    <numFmt numFmtId="230" formatCode="_(* #,##0_);_(* \(#,##0\);_(* &quot;-&quot;_);_(@_)"/>
    <numFmt numFmtId="231" formatCode="yy&quot;-&quot;m&quot;-&quot;d"/>
    <numFmt numFmtId="232" formatCode="#,##0\ &quot;FB&quot;;[Red]\-#,##0\ &quot;FB&quot;"/>
    <numFmt numFmtId="233" formatCode="_(&quot;$&quot;* #,##0_);_(&quot;$&quot;* \(#,##0\);_(&quot;$&quot;* &quot;-&quot;_);_(@_)"/>
    <numFmt numFmtId="234" formatCode="#,##0.0_);\(#,##0.0\);#,##0.0_);@_)"/>
    <numFmt numFmtId="235" formatCode="#,##0_);\(#,##0\);#,##0_);@_)"/>
    <numFmt numFmtId="236" formatCode="&quot;$&quot;_(#,##0.00_);&quot;$&quot;\(#,##0.00\);&quot;$&quot;_(0.00_);@_)"/>
    <numFmt numFmtId="237" formatCode="&quot;$&quot;_(#,##0_);&quot;$&quot;\(#,##0\);&quot;$&quot;_(0_);@_)"/>
    <numFmt numFmtId="238" formatCode="#,##0.00_);\(#,##0.00\);0.00_);@_)"/>
    <numFmt numFmtId="239" formatCode="#,##0.00_ ;[Red]\-#,##0.00;\-"/>
    <numFmt numFmtId="240" formatCode="&quot;€&quot;_(#,##0.00_);&quot;€&quot;\(#,##0.00\);&quot;€&quot;_(0.00_);@_)"/>
    <numFmt numFmtId="241" formatCode="#,##0.0_)\x;\(#,##0.0\)\x;0.0_)\x;@_)_x"/>
    <numFmt numFmtId="242" formatCode="#,##0_)_x;\(#,##0\)_x;0_)_x;@_)_x"/>
    <numFmt numFmtId="243" formatCode="0.0_)\%;\(0.0\)\%"/>
    <numFmt numFmtId="244" formatCode="#,##0.0_)_%;\(#,##0.0\)_%"/>
    <numFmt numFmtId="245" formatCode="_ * #,##0.00_ ;_ * \-#,##0.00_ ;_ * &quot;-&quot;??_ ;_ @_ "/>
    <numFmt numFmtId="246" formatCode="#,##0.0_);\(#,##0.0\)"/>
    <numFmt numFmtId="247" formatCode="#,##0.000_);\(#,##0.000\)"/>
    <numFmt numFmtId="248" formatCode="#,##0.0000_);\(#,##0.0000\)"/>
    <numFmt numFmtId="249" formatCode="_-* #,##0_-;&quot;₩&quot;&quot;₩&quot;&quot;₩&quot;&quot;₩&quot;&quot;₩&quot;&quot;₩&quot;&quot;₩&quot;&quot;₩&quot;&quot;₩&quot;&quot;₩&quot;&quot;₩&quot;&quot;₩&quot;\-* #,##0_-;_-* &quot;-&quot;_-;_-@_-"/>
    <numFmt numFmtId="250" formatCode="0.0%;[Red]&quot;₩&quot;&quot;₩&quot;&quot;₩&quot;&quot;₩&quot;&quot;₩&quot;&quot;₩&quot;&quot;₩&quot;&quot;₩&quot;&quot;₩&quot;&quot;₩&quot;&quot;₩&quot;&quot;₩&quot;&quot;₩&quot;\(0.0%&quot;₩&quot;&quot;₩&quot;&quot;₩&quot;&quot;₩&quot;&quot;₩&quot;&quot;₩&quot;&quot;₩&quot;&quot;₩&quot;&quot;₩&quot;&quot;₩&quot;&quot;₩&quot;&quot;₩&quot;&quot;₩&quot;\)"/>
    <numFmt numFmtId="251" formatCode="###.#####"/>
    <numFmt numFmtId="252" formatCode="0.0000%"/>
    <numFmt numFmtId="253" formatCode="_ * #,##0_ ;_ * \-#,##0_ ;_ * &quot;-&quot;_ ;_ @_ "/>
    <numFmt numFmtId="254" formatCode="&quot;$&quot;#,##0.00_);[Red]\(&quot;$&quot;#,##0.00\)"/>
    <numFmt numFmtId="255" formatCode="&quot;￥&quot;#,##0;&quot;￥&quot;\-#,##0"/>
    <numFmt numFmtId="256" formatCode="_ &quot;₩&quot;* #,##0_ ;_ &quot;₩&quot;* \-#,##0_ ;_ &quot;₩&quot;* &quot;-&quot;_ ;_ @_ "/>
    <numFmt numFmtId="257" formatCode="_ &quot;₩&quot;* #,##0_ ;_ &quot;₩&quot;* &quot;₩&quot;\!\-#,##0_ ;_ &quot;₩&quot;* &quot;-&quot;_ ;_ @_ "/>
    <numFmt numFmtId="258" formatCode="&quot;₩&quot;#,##0.00;[Red]&quot;₩&quot;\-#,##0.00"/>
    <numFmt numFmtId="259" formatCode="_(&quot;$&quot;* #,##0.00_);_(&quot;$&quot;* \(#,##0.00\);_(&quot;$&quot;* &quot;-&quot;??_);_(@_)"/>
    <numFmt numFmtId="260" formatCode="_ &quot;₩&quot;* #,##0.00_ ;_ &quot;₩&quot;* \-#,##0.00_ ;_ &quot;₩&quot;* &quot;-&quot;??_ ;_ @_ "/>
    <numFmt numFmtId="261" formatCode="_ &quot;₩&quot;* #,##0.00_ ;_ &quot;₩&quot;* &quot;₩&quot;\!\-#,##0.00_ ;_ &quot;₩&quot;* &quot;-&quot;??_ ;_ @_ "/>
    <numFmt numFmtId="262" formatCode="&quot;₩&quot;#,##0;[Red]&quot;₩&quot;\-#,##0"/>
    <numFmt numFmtId="263" formatCode="_-&quot;₩&quot;* #,##0.00_-;&quot;₩&quot;&quot;₩&quot;&quot;₩&quot;&quot;₩&quot;&quot;₩&quot;&quot;₩&quot;&quot;₩&quot;&quot;₩&quot;&quot;₩&quot;&quot;₩&quot;\-&quot;₩&quot;* #,##0.00_-;_-&quot;₩&quot;* &quot;-&quot;??_-;_-@_-"/>
    <numFmt numFmtId="264" formatCode="&quot;  &quot;General&quot;  &quot;"/>
    <numFmt numFmtId="265" formatCode="_ * #,##0_ ;_ * &quot;₩&quot;\!\-#,##0_ ;_ * &quot;-&quot;_ ;_ @_ "/>
    <numFmt numFmtId="266" formatCode="_-* #,##0_-;&quot;₩&quot;&quot;₩&quot;&quot;₩&quot;&quot;₩&quot;&quot;₩&quot;&quot;₩&quot;&quot;₩&quot;&quot;₩&quot;&quot;₩&quot;&quot;₩&quot;\-* #,##0_-;_-* &quot;-&quot;_-;_-@_-"/>
    <numFmt numFmtId="267" formatCode="_ * #,##0.00_ ;_ * &quot;₩&quot;\!\-#,##0.00_ ;_ * &quot;-&quot;??_ ;_ @_ "/>
    <numFmt numFmtId="268" formatCode=";;;"/>
    <numFmt numFmtId="269" formatCode="#,##0\ ;\(#,##0\);&quot;–&quot;\ \ \ \ \ "/>
    <numFmt numFmtId="270" formatCode="#,##0.0\ %"/>
    <numFmt numFmtId="271" formatCode="_(* #,##0.0_);_(* \(#,##0.0\);_(* &quot;-&quot;?_);@_)"/>
    <numFmt numFmtId="272" formatCode="&quot;$&quot;#,##0.00"/>
    <numFmt numFmtId="273" formatCode="#,##0&quot; F&quot;_);[Red]\(#,##0&quot; F&quot;\)"/>
    <numFmt numFmtId="274" formatCode="&quot;$&quot;#,##0;\-&quot;$&quot;#,##0"/>
    <numFmt numFmtId="275" formatCode="0.000"/>
    <numFmt numFmtId="276" formatCode="#,##0.00&quot; F&quot;_);[Red]\(#,##0.00&quot; F&quot;\)"/>
    <numFmt numFmtId="277" formatCode="#,##0&quot; $&quot;;\-#,##0&quot; $&quot;"/>
    <numFmt numFmtId="278" formatCode="#,##0&quot; $&quot;;[Red]\-#,##0&quot; $&quot;"/>
    <numFmt numFmtId="279" formatCode="#,##0.0"/>
    <numFmt numFmtId="280" formatCode="&quot;₩&quot;#,##0.00;&quot;₩&quot;\-#,##0.00"/>
    <numFmt numFmtId="281" formatCode="#,##0_%_);\(#,##0\)_%;#,##0_%_);@_%_)"/>
    <numFmt numFmtId="282" formatCode="#,##0_%_);\(#,##0\)_%;**;@_%_)"/>
    <numFmt numFmtId="283" formatCode="#,##0.00_%_);\(#,##0.00\)_%;#,##0.00_%_);@_%_)"/>
    <numFmt numFmtId="284" formatCode="mmm\.yy"/>
    <numFmt numFmtId="285" formatCode="\$#.00"/>
    <numFmt numFmtId="286" formatCode="yy/m/d"/>
    <numFmt numFmtId="287" formatCode="_ * #,##0_ ;_ * &quot;₩&quot;\-#,##0_ ;_ * &quot;-&quot;_ ;_ @_ "/>
    <numFmt numFmtId="288" formatCode="&quot;$&quot;#,##0_%_);\(&quot;$&quot;#,##0\)_%;&quot;$&quot;#,##0_%_);@_%_)"/>
    <numFmt numFmtId="289" formatCode="&quot;$&quot;#,##0.00_%_);\(&quot;$&quot;#,##0.00\)_%;&quot;$&quot;#,##0.00_%_);@_%_)"/>
    <numFmt numFmtId="290" formatCode="_ &quot;₩&quot;* #,##0_ ;_ &quot;₩&quot;* &quot;₩&quot;\-#,##0_ ;_ &quot;₩&quot;* &quot;-&quot;_ ;_ @_ "/>
    <numFmt numFmtId="291" formatCode="m/d/yy_%_)"/>
    <numFmt numFmtId="292" formatCode="_ &quot;₩&quot;* #,##0.00_ ;_ &quot;₩&quot;* &quot;₩&quot;\-#,##0.00_ ;_ &quot;₩&quot;* &quot;-&quot;??_ ;_ @_ "/>
    <numFmt numFmtId="293" formatCode="0_%_);\(0\)_%;0_%_);@_%_)"/>
    <numFmt numFmtId="294" formatCode="_-[$€-2]* #,##0.00_-;\-[$€-2]* #,##0.00_-;_-[$€-2]* &quot;-&quot;??_-"/>
    <numFmt numFmtId="295" formatCode="#."/>
    <numFmt numFmtId="296" formatCode="0.0\%_);\(0.0\%\);0.0\%_);@_%_)"/>
    <numFmt numFmtId="297" formatCode="&quot;SFr.&quot;#,##0.00;&quot;SFr.&quot;\-#,##0.00"/>
    <numFmt numFmtId="298" formatCode="_(&quot;$&quot;* #,##0.0_);_(&quot;$&quot;* \(#,##0.0\);_(&quot;$&quot;* &quot;-&quot;??_);_(@_)"/>
    <numFmt numFmtId="299" formatCode="#,##0\ \ \ ;\(#,##0\)\ \ "/>
    <numFmt numFmtId="300" formatCode="_-* #,##0\ _F_-;\-* #,##0\ _F_-;_-* &quot;-&quot;\ _F_-;_-@_-"/>
    <numFmt numFmtId="301" formatCode="_-* #,##0.00\ _F_-;\-* #,##0.00\ _F_-;_-* &quot;-&quot;??\ _F_-;_-@_-"/>
    <numFmt numFmtId="302" formatCode="\$#,##0"/>
    <numFmt numFmtId="303" formatCode="##.##"/>
    <numFmt numFmtId="304" formatCode="_-* #,##0\ &quot;F&quot;_-;\-* #,##0\ &quot;F&quot;_-;_-* &quot;-&quot;\ &quot;F&quot;_-;_-@_-"/>
    <numFmt numFmtId="305" formatCode="_-* #,##0.00\ &quot;F&quot;_-;\-* #,##0.00\ &quot;F&quot;_-;_-* &quot;-&quot;??\ &quot;F&quot;_-;_-@_-"/>
    <numFmt numFmtId="306" formatCode="_-&quot;$&quot;\ * #,##0_-;\-&quot;$&quot;\ * #,##0_-;_-&quot;$&quot;\ * &quot;-&quot;_-;_-@_-"/>
    <numFmt numFmtId="307" formatCode="_-&quot;$&quot;\ * #,##0.00_-;\-&quot;$&quot;\ * #,##0.00_-;_-&quot;$&quot;\ * &quot;-&quot;??_-;_-@_-"/>
    <numFmt numFmtId="308" formatCode="0.0\x_)_);&quot;NM&quot;_x_)_);0.0\x_)_);@_%_)"/>
    <numFmt numFmtId="309" formatCode="0.00000000"/>
    <numFmt numFmtId="310" formatCode="_-* #,##0_-;&quot;₩&quot;\!\-* #,##0_-;_-* &quot;-&quot;_-;_-@_-"/>
    <numFmt numFmtId="311" formatCode="0.00_)"/>
    <numFmt numFmtId="312" formatCode="#,##0&quot; &quot;\ &quot; &quot;;[Red]\(#,##0\)\ &quot; &quot;;&quot;—&quot;&quot; &quot;&quot; &quot;&quot; &quot;&quot; &quot;"/>
    <numFmt numFmtId="313" formatCode="%#.00"/>
    <numFmt numFmtId="314" formatCode="0.0&quot;  &quot;"/>
    <numFmt numFmtId="315" formatCode="#,##0.00;[Red]\(#,##0.00\)"/>
    <numFmt numFmtId="316" formatCode="0.00000"/>
    <numFmt numFmtId="317" formatCode="\ @"/>
    <numFmt numFmtId="318" formatCode="#,##0\ \ "/>
    <numFmt numFmtId="319" formatCode="#,##0.00\ &quot;F&quot;;[Red]\-#,##0.00\ &quot;F&quot;"/>
    <numFmt numFmtId="320" formatCode="#,##0.00&quot; $&quot;;\-#,##0.00&quot; $&quot;"/>
    <numFmt numFmtId="321" formatCode="#,##0.00&quot; $&quot;;[Red]\-#,##0.00&quot; $&quot;"/>
    <numFmt numFmtId="322" formatCode="_-&quot;£&quot;* #,##0_-;\-&quot;£&quot;* #,##0_-;_-&quot;£&quot;* &quot;-&quot;_-;_-@_-"/>
    <numFmt numFmtId="323" formatCode="_-&quot;£&quot;* #,##0.00_-;\-&quot;£&quot;* #,##0.00_-;_-&quot;£&quot;* &quot;-&quot;??_-;_-@_-"/>
    <numFmt numFmtId="324" formatCode="0\ \ ;\(0\)\ \ \ "/>
    <numFmt numFmtId="325" formatCode="\(#,##0\)"/>
    <numFmt numFmtId="326" formatCode="#,##0;&quot;△&quot;#,##0"/>
    <numFmt numFmtId="327" formatCode="yyyy\.mm\.dd"/>
    <numFmt numFmtId="328" formatCode="yy\.mm\.dd"/>
    <numFmt numFmtId="329" formatCode="mm&quot;/&quot;dd&quot;/&quot;yy"/>
    <numFmt numFmtId="330" formatCode="#,##0;\(\-\)#,##0;\-"/>
    <numFmt numFmtId="331" formatCode="#,##0,,_);[Red]\(#,##0,,\)"/>
    <numFmt numFmtId="332" formatCode="#,##0;[Red]\(#,##0\);\-"/>
    <numFmt numFmtId="333" formatCode="#,##0.000;\-#,##0.000"/>
    <numFmt numFmtId="334" formatCode="_ * #,##0_ ;_ * &quot;₩&quot;&quot;₩&quot;&quot;₩&quot;&quot;₩&quot;&quot;₩&quot;&quot;₩&quot;&quot;₩&quot;&quot;₩&quot;&quot;₩&quot;&quot;₩&quot;&quot;₩&quot;&quot;₩&quot;\-#,##0_ ;_ * &quot;-&quot;_ ;_ @_ "/>
    <numFmt numFmtId="335" formatCode="#,##0.00_ "/>
    <numFmt numFmtId="336" formatCode="&quot;PG1130&quot;@&quot;01&quot;"/>
    <numFmt numFmtId="337" formatCode="yyyy/m/d"/>
    <numFmt numFmtId="338" formatCode="###,###,###,###,###&quot;차&quot;&quot;이&quot;"/>
    <numFmt numFmtId="339" formatCode="m&quot;₩&quot;/d&quot;₩&quot;/yy&quot;₩&quot;\!\ h&quot;₩&quot;:mm"/>
    <numFmt numFmtId="340" formatCode="d/&quot;기&quot;&quot;정&quot;&quot;치&quot;"/>
    <numFmt numFmtId="341" formatCode="#,##0.00&quot;      &quot;"/>
    <numFmt numFmtId="342" formatCode="\(0\)"/>
    <numFmt numFmtId="343" formatCode="&quot;₩&quot;\!\(0&quot;₩&quot;\!\)"/>
    <numFmt numFmtId="344" formatCode="0.\%"/>
    <numFmt numFmtId="345" formatCode="_ * #,##0.0_ ;_ * \-#,##0.0_ ;_ * &quot;-&quot;_ ;_ @_ "/>
    <numFmt numFmtId="346" formatCode="_ * #,##0.0000000_ ;_ * \-#,##0.0000000_ ;_ * &quot;-&quot;_ ;_ @_ "/>
    <numFmt numFmtId="347" formatCode="yy&quot;년&quot;m&quot;월&quot;d&quot;일&quot;"/>
    <numFmt numFmtId="348" formatCode="&quot;₩&quot;#,##0;[Red]&quot;₩&quot;\!\-&quot;₩&quot;#,##0"/>
    <numFmt numFmtId="349" formatCode="&quot;₩&quot;#,##0;[Red]&quot;₩&quot;&quot;₩&quot;\!\!\-&quot;₩&quot;#,##0"/>
    <numFmt numFmtId="350" formatCode="\$#,##0.0000_);\(\$#,##0.0000\)"/>
    <numFmt numFmtId="351" formatCode="&quot;₩&quot;\!\$#,##0.0000_);&quot;₩&quot;\!\(&quot;₩&quot;\!\$#,##0.0000&quot;₩&quot;\!\)"/>
    <numFmt numFmtId="352" formatCode="m\/d\/yy\ h\:mm"/>
    <numFmt numFmtId="353" formatCode="\(0.0%\)"/>
    <numFmt numFmtId="354" formatCode="&quot;₩&quot;\!\(&quot;₩&quot;\!\-0&quot;₩&quot;\!\)"/>
    <numFmt numFmtId="355" formatCode="\(\-0\)"/>
    <numFmt numFmtId="356" formatCode="&quot;￦ &quot;#,##0_);\(&quot;￦ &quot;#,##0\);&quot;￦ &quot;\-_)"/>
    <numFmt numFmtId="357" formatCode="mm&quot;월&quot;\ dd&quot;일&quot;"/>
    <numFmt numFmtId="358" formatCode="#,##0_);\-#,##0_);&quot;- &quot;"/>
    <numFmt numFmtId="359" formatCode="#,##0;[Red]\-#,##0;\-"/>
    <numFmt numFmtId="360" formatCode="0.0%;[Red]&quot;△&quot;0.0%;\-"/>
    <numFmt numFmtId="361" formatCode="_ &quot;₩&quot;* #,##0.00_ ;_ &quot;₩&quot;* &quot;₩&quot;&quot;₩&quot;&quot;₩&quot;&quot;₩&quot;&quot;₩&quot;&quot;₩&quot;&quot;₩&quot;&quot;₩&quot;&quot;₩&quot;&quot;₩&quot;&quot;₩&quot;&quot;₩&quot;&quot;₩&quot;&quot;₩&quot;\-#,##0.00_ ;_ &quot;₩&quot;* &quot;-&quot;??_ ;_ @_ "/>
    <numFmt numFmtId="362" formatCode="_ * #,##0.00_ ;_ * &quot;₩&quot;\-#,##0.00_ ;_ * &quot;-&quot;??_ ;_ @_ "/>
    <numFmt numFmtId="363" formatCode="_ * #,##0_ ;_ * &quot;₩&quot;&quot;₩&quot;&quot;₩&quot;&quot;₩&quot;&quot;₩&quot;&quot;₩&quot;\-#,##0_ ;_ * &quot;-&quot;_ ;_ @_ "/>
    <numFmt numFmtId="364" formatCode="_(* #,##0.00_);_(* &quot;₩&quot;\(#,##0.00&quot;₩&quot;\);_(* &quot;-&quot;??_);_(@_)"/>
    <numFmt numFmtId="365" formatCode="#,##0_);[Red]\(#,##0\);&quot;-&quot;_);_-@_-"/>
    <numFmt numFmtId="366" formatCode="\(#,##0\);[Red]\(#,##0\);&quot;-&quot;_);_-@_-"/>
    <numFmt numFmtId="367" formatCode="_ * #,##0.00_ ;_ * \-#,##0.00_ ;_ * &quot;-&quot;_ ;_ @_ "/>
    <numFmt numFmtId="368" formatCode="#,##0.0_ "/>
    <numFmt numFmtId="369" formatCode="#,##0&quot;?_);[Red]\(#,##0&quot;&quot;?&quot;\)"/>
    <numFmt numFmtId="370" formatCode="\ #,##0_ ;\-#,##0_ ;\ &quot;-&quot;_ "/>
    <numFmt numFmtId="371" formatCode="#,##0_);[Red]\(#,##0\)"/>
    <numFmt numFmtId="372" formatCode="#,###;[Red]\(#,###\);\-"/>
    <numFmt numFmtId="373" formatCode="#,###;[Black]\(#,###\);\-"/>
    <numFmt numFmtId="374" formatCode="_-* #,##0.0000_-;\-* #,##0.0000_-;_-* &quot;-&quot;_-;_-@_-"/>
    <numFmt numFmtId="375" formatCode="0.00_);[Red]\(0.00\)"/>
    <numFmt numFmtId="376" formatCode="#,##0_ ;[Red]\-#,##0\ "/>
    <numFmt numFmtId="377" formatCode="0###"/>
    <numFmt numFmtId="378" formatCode="0####"/>
  </numFmts>
  <fonts count="504">
    <font>
      <sz val="11"/>
      <name val="돋움"/>
      <family val="3"/>
      <charset val="129"/>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name val="돋움"/>
      <family val="3"/>
      <charset val="129"/>
    </font>
    <font>
      <sz val="8"/>
      <name val="돋움"/>
      <family val="3"/>
      <charset val="129"/>
    </font>
    <font>
      <sz val="11"/>
      <name val="돋움"/>
      <family val="3"/>
      <charset val="129"/>
    </font>
    <font>
      <sz val="10"/>
      <name val="돋움"/>
      <family val="3"/>
      <charset val="129"/>
    </font>
    <font>
      <b/>
      <sz val="11"/>
      <name val="돋움"/>
      <family val="3"/>
      <charset val="129"/>
    </font>
    <font>
      <b/>
      <sz val="10"/>
      <name val="돋움"/>
      <family val="3"/>
      <charset val="129"/>
    </font>
    <font>
      <sz val="9"/>
      <name val="돋움"/>
      <family val="3"/>
      <charset val="129"/>
    </font>
    <font>
      <b/>
      <sz val="10"/>
      <name val="MS Sans Serif"/>
      <family val="2"/>
    </font>
    <font>
      <sz val="9"/>
      <color theme="1"/>
      <name val="돋움"/>
      <family val="3"/>
      <charset val="129"/>
    </font>
    <font>
      <b/>
      <sz val="11"/>
      <name val="맑은 고딕"/>
      <family val="3"/>
      <charset val="129"/>
      <scheme val="minor"/>
    </font>
    <font>
      <sz val="11"/>
      <name val="맑은 고딕"/>
      <family val="3"/>
      <charset val="129"/>
      <scheme val="minor"/>
    </font>
    <font>
      <sz val="8"/>
      <name val="맑은 고딕"/>
      <family val="2"/>
      <charset val="129"/>
      <scheme val="minor"/>
    </font>
    <font>
      <b/>
      <sz val="11"/>
      <color rgb="FF000000"/>
      <name val="맑은 고딕"/>
      <family val="3"/>
      <charset val="129"/>
      <scheme val="minor"/>
    </font>
    <font>
      <b/>
      <sz val="12"/>
      <color rgb="FF000000"/>
      <name val="맑은 고딕"/>
      <family val="3"/>
      <charset val="129"/>
      <scheme val="major"/>
    </font>
    <font>
      <sz val="12"/>
      <color rgb="FF000000"/>
      <name val="맑은 고딕"/>
      <family val="3"/>
      <charset val="129"/>
      <scheme val="major"/>
    </font>
    <font>
      <sz val="11"/>
      <color rgb="FF000000"/>
      <name val="맑은 고딕"/>
      <family val="3"/>
      <charset val="129"/>
      <scheme val="minor"/>
    </font>
    <font>
      <sz val="12"/>
      <name val="맑은 고딕"/>
      <family val="3"/>
      <charset val="129"/>
      <scheme val="major"/>
    </font>
    <font>
      <b/>
      <sz val="11"/>
      <color theme="1"/>
      <name val="맑은 고딕"/>
      <family val="3"/>
      <charset val="129"/>
      <scheme val="minor"/>
    </font>
    <font>
      <sz val="11"/>
      <color theme="1"/>
      <name val="맑은 고딕"/>
      <family val="3"/>
      <charset val="129"/>
      <scheme val="minor"/>
    </font>
    <font>
      <sz val="11"/>
      <color theme="1"/>
      <name val="맑은 고딕"/>
      <family val="3"/>
      <charset val="129"/>
      <scheme val="major"/>
    </font>
    <font>
      <b/>
      <sz val="14"/>
      <color theme="0"/>
      <name val="맑은 고딕"/>
      <family val="3"/>
      <charset val="129"/>
      <scheme val="major"/>
    </font>
    <font>
      <b/>
      <sz val="11"/>
      <color rgb="FF000000"/>
      <name val="맑은 고딕"/>
      <family val="3"/>
      <charset val="129"/>
      <scheme val="major"/>
    </font>
    <font>
      <sz val="10"/>
      <color rgb="FF000000"/>
      <name val="맑은 고딕"/>
      <family val="3"/>
      <charset val="129"/>
      <scheme val="major"/>
    </font>
    <font>
      <sz val="11"/>
      <color rgb="FF000000"/>
      <name val="맑은 고딕"/>
      <family val="3"/>
      <charset val="129"/>
      <scheme val="major"/>
    </font>
    <font>
      <sz val="10"/>
      <color rgb="FF000000"/>
      <name val="휴먼명조"/>
      <family val="3"/>
      <charset val="129"/>
    </font>
    <font>
      <sz val="12"/>
      <name val="맑은 고딕"/>
      <family val="3"/>
      <charset val="129"/>
      <scheme val="minor"/>
    </font>
    <font>
      <b/>
      <sz val="12"/>
      <name val="맑은 고딕"/>
      <family val="3"/>
      <charset val="129"/>
      <scheme val="minor"/>
    </font>
    <font>
      <b/>
      <sz val="12"/>
      <color rgb="FF000000"/>
      <name val="맑은 고딕"/>
      <family val="3"/>
      <charset val="129"/>
      <scheme val="minor"/>
    </font>
    <font>
      <sz val="12"/>
      <color rgb="FF000000"/>
      <name val="맑은 고딕"/>
      <family val="3"/>
      <charset val="129"/>
      <scheme val="minor"/>
    </font>
    <font>
      <sz val="12"/>
      <color rgb="FF000000"/>
      <name val="돋움"/>
      <family val="3"/>
      <charset val="129"/>
    </font>
    <font>
      <sz val="12"/>
      <color theme="1"/>
      <name val="맑은 고딕"/>
      <family val="2"/>
      <charset val="129"/>
      <scheme val="minor"/>
    </font>
    <font>
      <i/>
      <sz val="11"/>
      <color theme="1"/>
      <name val="HY강M"/>
      <family val="1"/>
      <charset val="129"/>
    </font>
    <font>
      <b/>
      <sz val="12"/>
      <color theme="0"/>
      <name val="맑은 고딕"/>
      <family val="3"/>
      <charset val="129"/>
      <scheme val="minor"/>
    </font>
    <font>
      <sz val="10"/>
      <color theme="1"/>
      <name val="맑은 고딕"/>
      <family val="3"/>
      <charset val="129"/>
      <scheme val="minor"/>
    </font>
    <font>
      <u/>
      <sz val="11"/>
      <color theme="10"/>
      <name val="맑은 고딕"/>
      <family val="2"/>
      <charset val="129"/>
      <scheme val="minor"/>
    </font>
    <font>
      <sz val="11"/>
      <name val="HY강M"/>
      <family val="1"/>
      <charset val="129"/>
    </font>
    <font>
      <sz val="11"/>
      <name val="맑은 고딕"/>
      <family val="3"/>
      <charset val="129"/>
      <scheme val="major"/>
    </font>
    <font>
      <b/>
      <sz val="14"/>
      <color rgb="FFFF0000"/>
      <name val="맑은 고딕"/>
      <family val="3"/>
      <charset val="129"/>
      <scheme val="minor"/>
    </font>
    <font>
      <b/>
      <sz val="14"/>
      <name val="맑은 고딕"/>
      <family val="3"/>
      <charset val="129"/>
      <scheme val="minor"/>
    </font>
    <font>
      <b/>
      <sz val="16"/>
      <name val="맑은 고딕"/>
      <family val="3"/>
      <charset val="129"/>
      <scheme val="minor"/>
    </font>
    <font>
      <sz val="11"/>
      <color theme="0"/>
      <name val="맑은 고딕"/>
      <family val="3"/>
      <charset val="129"/>
      <scheme val="major"/>
    </font>
    <font>
      <b/>
      <sz val="12"/>
      <color rgb="FFFF0000"/>
      <name val="맑은 고딕"/>
      <family val="3"/>
      <charset val="129"/>
      <scheme val="major"/>
    </font>
    <font>
      <b/>
      <sz val="24"/>
      <color rgb="FF002060"/>
      <name val="HY동녘B"/>
      <family val="1"/>
      <charset val="129"/>
    </font>
    <font>
      <b/>
      <sz val="12"/>
      <color theme="1"/>
      <name val="맑은 고딕"/>
      <family val="3"/>
      <charset val="129"/>
      <scheme val="minor"/>
    </font>
    <font>
      <b/>
      <sz val="12"/>
      <color theme="1"/>
      <name val="HY헤드라인M"/>
      <family val="1"/>
      <charset val="129"/>
    </font>
    <font>
      <i/>
      <sz val="10"/>
      <color theme="1"/>
      <name val="맑은 고딕"/>
      <family val="3"/>
      <charset val="129"/>
      <scheme val="minor"/>
    </font>
    <font>
      <i/>
      <sz val="12"/>
      <color theme="1"/>
      <name val="맑은 고딕"/>
      <family val="3"/>
      <charset val="129"/>
      <scheme val="minor"/>
    </font>
    <font>
      <sz val="12"/>
      <color theme="1"/>
      <name val="HY헤드라인M"/>
      <family val="1"/>
      <charset val="129"/>
    </font>
    <font>
      <b/>
      <sz val="11"/>
      <color rgb="FFFF0000"/>
      <name val="맑은 고딕"/>
      <family val="3"/>
      <charset val="129"/>
      <scheme val="minor"/>
    </font>
    <font>
      <sz val="11"/>
      <color rgb="FFFF0000"/>
      <name val="맑은 고딕"/>
      <family val="3"/>
      <charset val="129"/>
      <scheme val="minor"/>
    </font>
    <font>
      <sz val="11"/>
      <color theme="1"/>
      <name val="HY헤드라인M"/>
      <family val="1"/>
      <charset val="129"/>
    </font>
    <font>
      <b/>
      <vertAlign val="superscript"/>
      <sz val="24"/>
      <color rgb="FF002060"/>
      <name val="HY동녘B"/>
      <family val="1"/>
      <charset val="129"/>
    </font>
    <font>
      <i/>
      <sz val="10"/>
      <color theme="1"/>
      <name val="HY강M"/>
      <family val="1"/>
      <charset val="129"/>
    </font>
    <font>
      <sz val="14"/>
      <name val="맑은 고딕"/>
      <family val="3"/>
      <charset val="129"/>
      <scheme val="minor"/>
    </font>
    <font>
      <b/>
      <sz val="10"/>
      <name val="맑은 고딕"/>
      <family val="3"/>
      <charset val="129"/>
      <scheme val="minor"/>
    </font>
    <font>
      <b/>
      <sz val="12"/>
      <color theme="3" tint="-0.499984740745262"/>
      <name val="맑은 고딕"/>
      <family val="3"/>
      <charset val="129"/>
      <scheme val="minor"/>
    </font>
    <font>
      <b/>
      <sz val="14"/>
      <color theme="3" tint="-0.499984740745262"/>
      <name val="맑은 고딕"/>
      <family val="3"/>
      <charset val="129"/>
      <scheme val="minor"/>
    </font>
    <font>
      <b/>
      <sz val="13"/>
      <color theme="3" tint="-0.499984740745262"/>
      <name val="맑은 고딕"/>
      <family val="3"/>
      <charset val="129"/>
      <scheme val="minor"/>
    </font>
    <font>
      <u/>
      <sz val="11"/>
      <color theme="10"/>
      <name val="돋움"/>
      <family val="3"/>
      <charset val="129"/>
    </font>
    <font>
      <sz val="9"/>
      <color indexed="81"/>
      <name val="Tahoma"/>
      <family val="2"/>
    </font>
    <font>
      <sz val="9"/>
      <color indexed="81"/>
      <name val="돋움"/>
      <family val="3"/>
      <charset val="129"/>
    </font>
    <font>
      <sz val="8"/>
      <color indexed="81"/>
      <name val="Tahoma"/>
      <family val="2"/>
    </font>
    <font>
      <sz val="8"/>
      <color indexed="81"/>
      <name val="돋움"/>
      <family val="3"/>
      <charset val="129"/>
    </font>
    <font>
      <b/>
      <sz val="9"/>
      <color indexed="81"/>
      <name val="Tahoma"/>
      <family val="2"/>
    </font>
    <font>
      <b/>
      <sz val="9"/>
      <color indexed="81"/>
      <name val="돋움"/>
      <family val="3"/>
      <charset val="129"/>
    </font>
    <font>
      <sz val="10"/>
      <name val="맑은 고딕"/>
      <family val="3"/>
      <charset val="129"/>
      <scheme val="minor"/>
    </font>
    <font>
      <b/>
      <i/>
      <sz val="11"/>
      <color theme="1"/>
      <name val="HY강M"/>
      <family val="1"/>
      <charset val="129"/>
    </font>
    <font>
      <sz val="10"/>
      <color theme="1"/>
      <name val="HY견고딕"/>
      <family val="1"/>
      <charset val="129"/>
    </font>
    <font>
      <b/>
      <sz val="14"/>
      <name val="돋움"/>
      <family val="3"/>
      <charset val="129"/>
    </font>
    <font>
      <sz val="10"/>
      <color theme="1"/>
      <name val="맑은 고딕"/>
      <family val="2"/>
      <charset val="129"/>
      <scheme val="minor"/>
    </font>
    <font>
      <sz val="11"/>
      <color indexed="8"/>
      <name val="맑은 고딕"/>
      <family val="3"/>
      <charset val="129"/>
    </font>
    <font>
      <b/>
      <sz val="10"/>
      <color indexed="8"/>
      <name val="맑은 고딕"/>
      <family val="3"/>
      <charset val="129"/>
    </font>
    <font>
      <sz val="10"/>
      <name val="Arial"/>
      <family val="2"/>
    </font>
    <font>
      <sz val="10"/>
      <name val="바탕체"/>
      <family val="1"/>
      <charset val="129"/>
    </font>
    <font>
      <sz val="10"/>
      <name val="Helv"/>
      <family val="2"/>
    </font>
    <font>
      <sz val="12"/>
      <name val="바탕체"/>
      <family val="1"/>
      <charset val="129"/>
    </font>
    <font>
      <sz val="12"/>
      <name val="돋움체"/>
      <family val="3"/>
      <charset val="129"/>
    </font>
    <font>
      <sz val="12"/>
      <name val="굴림체"/>
      <family val="3"/>
      <charset val="129"/>
    </font>
    <font>
      <sz val="10"/>
      <name val="MS Sans Serif"/>
      <family val="2"/>
    </font>
    <font>
      <sz val="10"/>
      <color indexed="12"/>
      <name val="Arial"/>
      <family val="2"/>
    </font>
    <font>
      <sz val="10"/>
      <name val="Times New Roman"/>
      <family val="1"/>
    </font>
    <font>
      <sz val="10"/>
      <name val="Book Antiqua"/>
      <family val="1"/>
    </font>
    <font>
      <sz val="12"/>
      <color indexed="8"/>
      <name val="바탕체"/>
      <family val="1"/>
      <charset val="129"/>
    </font>
    <font>
      <sz val="12"/>
      <name val="¹UAAA¼"/>
      <family val="3"/>
      <charset val="129"/>
    </font>
    <font>
      <sz val="12"/>
      <name val="???"/>
      <family val="1"/>
    </font>
    <font>
      <i/>
      <sz val="12"/>
      <name val="바탕체"/>
      <family val="1"/>
      <charset val="129"/>
    </font>
    <font>
      <sz val="12"/>
      <name val="¹????¼"/>
      <family val="1"/>
      <charset val="129"/>
    </font>
    <font>
      <sz val="12"/>
      <name val="??????"/>
      <family val="1"/>
    </font>
    <font>
      <u/>
      <sz val="8.4"/>
      <color indexed="12"/>
      <name val="Arial"/>
      <family val="2"/>
    </font>
    <font>
      <sz val="8"/>
      <name val="???"/>
      <family val="1"/>
    </font>
    <font>
      <sz val="10"/>
      <name val="PragmaticaCTT"/>
      <family val="2"/>
      <charset val="204"/>
    </font>
    <font>
      <sz val="11"/>
      <name val="돋?o"/>
      <family val="3"/>
      <charset val="129"/>
    </font>
    <font>
      <sz val="10"/>
      <name val="Arial Narrow"/>
      <family val="2"/>
    </font>
    <font>
      <sz val="10"/>
      <name val="굴림체"/>
      <family val="3"/>
      <charset val="129"/>
    </font>
    <font>
      <b/>
      <sz val="12"/>
      <name val="바탕체"/>
      <family val="1"/>
      <charset val="129"/>
    </font>
    <font>
      <sz val="11"/>
      <name val="μ¸¿o"/>
      <family val="3"/>
      <charset val="129"/>
    </font>
    <font>
      <b/>
      <sz val="10"/>
      <name val="Arial"/>
      <family val="2"/>
    </font>
    <font>
      <i/>
      <sz val="10"/>
      <name val="Arial"/>
      <family val="2"/>
    </font>
    <font>
      <b/>
      <i/>
      <sz val="10"/>
      <name val="Arial"/>
      <family val="2"/>
    </font>
    <font>
      <b/>
      <i/>
      <sz val="9"/>
      <name val="Arial"/>
      <family val="2"/>
    </font>
    <font>
      <b/>
      <sz val="9"/>
      <name val="Arial"/>
      <family val="2"/>
    </font>
    <font>
      <sz val="8"/>
      <name val="Arial"/>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10"/>
      <color indexed="22"/>
      <name val="Modern"/>
      <family val="3"/>
      <charset val="255"/>
    </font>
    <font>
      <sz val="10"/>
      <color indexed="8"/>
      <name val="Arial"/>
      <family val="2"/>
    </font>
    <font>
      <sz val="12"/>
      <name val="Times New Roman"/>
      <family val="1"/>
    </font>
    <font>
      <sz val="11"/>
      <name val="ＭＳ 明朝"/>
      <family val="3"/>
      <charset val="128"/>
    </font>
    <font>
      <sz val="20"/>
      <name val="돋움체"/>
      <family val="3"/>
      <charset val="129"/>
    </font>
    <font>
      <sz val="14"/>
      <name val="¾©"/>
      <family val="1"/>
      <charset val="129"/>
    </font>
    <font>
      <sz val="12"/>
      <name val="¾©"/>
      <family val="1"/>
      <charset val="129"/>
    </font>
    <font>
      <sz val="10"/>
      <name val="Tahoma"/>
      <family val="2"/>
    </font>
    <font>
      <sz val="10"/>
      <name val="¸iA¶"/>
      <family val="3"/>
      <charset val="129"/>
    </font>
    <font>
      <b/>
      <sz val="12"/>
      <name val="돋움체"/>
      <family val="3"/>
      <charset val="129"/>
    </font>
    <font>
      <b/>
      <sz val="11"/>
      <color indexed="12"/>
      <name val="굴림체"/>
      <family val="3"/>
      <charset val="129"/>
    </font>
    <font>
      <sz val="7"/>
      <name val="바탕체"/>
      <family val="1"/>
      <charset val="129"/>
    </font>
    <font>
      <sz val="12"/>
      <name val="¹UAAA¼"/>
      <family val="1"/>
      <charset val="129"/>
    </font>
    <font>
      <sz val="11"/>
      <color indexed="8"/>
      <name val="ＭＳ Ｐゴシック"/>
      <family val="2"/>
      <charset val="128"/>
    </font>
    <font>
      <sz val="11"/>
      <color theme="1"/>
      <name val="가을체"/>
      <family val="1"/>
      <charset val="129"/>
    </font>
    <font>
      <sz val="11"/>
      <color indexed="8"/>
      <name val="가는각진제목체"/>
      <family val="1"/>
      <charset val="129"/>
    </font>
    <font>
      <sz val="11"/>
      <color indexed="9"/>
      <name val="맑은 고딕"/>
      <family val="3"/>
      <charset val="129"/>
    </font>
    <font>
      <sz val="11"/>
      <color indexed="9"/>
      <name val="ＭＳ Ｐゴシック"/>
      <family val="2"/>
      <charset val="128"/>
    </font>
    <font>
      <sz val="11"/>
      <color theme="0"/>
      <name val="가을체"/>
      <family val="1"/>
      <charset val="129"/>
    </font>
    <font>
      <sz val="11"/>
      <color indexed="9"/>
      <name val="가는각진제목체"/>
      <family val="1"/>
      <charset val="129"/>
    </font>
    <font>
      <sz val="11"/>
      <name val="￠R¨u¡§u¡E¡þ¨I¡AA¡§u"/>
      <family val="3"/>
      <charset val="129"/>
    </font>
    <font>
      <sz val="11"/>
      <name val="??????o"/>
      <family val="3"/>
    </font>
    <font>
      <sz val="10"/>
      <name val="￥i￠￢￠?oA¨u"/>
      <family val="3"/>
      <charset val="129"/>
    </font>
    <font>
      <sz val="11"/>
      <name val="¥ì¢¬¢¯o"/>
      <family val="3"/>
    </font>
    <font>
      <sz val="12"/>
      <name val="ⓒoUAAA¨u"/>
      <family val="1"/>
      <charset val="129"/>
    </font>
    <font>
      <sz val="12"/>
      <name val="ⓒoUAAA¨u"/>
      <family val="3"/>
      <charset val="129"/>
    </font>
    <font>
      <sz val="12"/>
      <name val="￥i￠￢￠?oA¨u"/>
      <family val="3"/>
      <charset val="129"/>
    </font>
    <font>
      <sz val="9"/>
      <name val="Arial"/>
      <family val="2"/>
    </font>
    <font>
      <sz val="12"/>
      <name val="1UAAA?"/>
      <family val="1"/>
    </font>
    <font>
      <sz val="12"/>
      <name val="¹ÙÅÁÃ¼"/>
      <family val="1"/>
      <charset val="129"/>
    </font>
    <font>
      <sz val="10"/>
      <name val="¹UAAA¼"/>
      <family val="1"/>
      <charset val="129"/>
    </font>
    <font>
      <sz val="10"/>
      <name val="¹ÙÅÁÃ¼"/>
      <family val="1"/>
      <charset val="129"/>
    </font>
    <font>
      <sz val="10"/>
      <name val="¹UAAA¼"/>
      <family val="1"/>
    </font>
    <font>
      <sz val="10"/>
      <name val="¹ÙÅÁÃ¼"/>
      <family val="1"/>
    </font>
    <font>
      <sz val="10"/>
      <name val="¹UAAA¼"/>
      <family val="3"/>
      <charset val="129"/>
    </font>
    <font>
      <sz val="11"/>
      <name val="µ¸¿ò"/>
      <family val="3"/>
      <charset val="129"/>
    </font>
    <font>
      <sz val="12"/>
      <name val="±¼¸²A¼"/>
      <family val="3"/>
      <charset val="129"/>
    </font>
    <font>
      <sz val="12"/>
      <name val="∂?좲2A?"/>
      <family val="3"/>
      <charset val="129"/>
    </font>
    <font>
      <sz val="10"/>
      <name val="μ¸¿oA¼"/>
      <family val="3"/>
      <charset val="129"/>
    </font>
    <font>
      <sz val="10"/>
      <name val="µ¸¿òÃ¼"/>
      <family val="3"/>
      <charset val="129"/>
    </font>
    <font>
      <sz val="12"/>
      <name val="µ¸¿òÃ¼"/>
      <family val="3"/>
      <charset val="129"/>
    </font>
    <font>
      <sz val="12"/>
      <name val="¡ERERER￠RERER¡ERER¡ERE?IoUA"/>
      <family val="1"/>
      <charset val="129"/>
    </font>
    <font>
      <b/>
      <u/>
      <sz val="10"/>
      <name val="Times New Roman"/>
      <family val="1"/>
    </font>
    <font>
      <sz val="8"/>
      <name val="Times New Roman"/>
      <family val="1"/>
    </font>
    <font>
      <sz val="12"/>
      <name val="Arial"/>
      <family val="2"/>
    </font>
    <font>
      <b/>
      <sz val="6"/>
      <name val="Arial"/>
      <family val="2"/>
    </font>
    <font>
      <b/>
      <sz val="8"/>
      <name val="Arial"/>
      <family val="2"/>
    </font>
    <font>
      <i/>
      <sz val="8"/>
      <name val="Arial"/>
      <family val="2"/>
    </font>
    <font>
      <sz val="9"/>
      <name val="Akzidenz Grotesk Light"/>
      <family val="2"/>
    </font>
    <font>
      <sz val="12"/>
      <name val="¹ÙÅÁÃ¼"/>
      <family val="3"/>
      <charset val="129"/>
    </font>
    <font>
      <sz val="11"/>
      <color indexed="20"/>
      <name val="맑은 고딕"/>
      <family val="3"/>
      <charset val="129"/>
    </font>
    <font>
      <b/>
      <sz val="11"/>
      <name val="Arial"/>
      <family val="2"/>
    </font>
    <font>
      <b/>
      <sz val="12"/>
      <name val="Arial MT"/>
      <family val="2"/>
    </font>
    <font>
      <sz val="12"/>
      <name val="Tms Rmn"/>
      <family val="1"/>
    </font>
    <font>
      <sz val="11"/>
      <name val="Times New Roman"/>
      <family val="1"/>
    </font>
    <font>
      <sz val="11"/>
      <name val="굴림체"/>
      <family val="3"/>
      <charset val="129"/>
    </font>
    <font>
      <b/>
      <sz val="9"/>
      <color indexed="24"/>
      <name val="Arial"/>
      <family val="2"/>
    </font>
    <font>
      <b/>
      <sz val="11"/>
      <color indexed="24"/>
      <name val="Arial"/>
      <family val="2"/>
    </font>
    <font>
      <sz val="11"/>
      <name val="￥i￠￢￠?o"/>
      <family val="3"/>
      <charset val="129"/>
    </font>
    <font>
      <sz val="12"/>
      <name val="¨IoUAAA¡§u"/>
      <family val="1"/>
      <charset val="129"/>
    </font>
    <font>
      <sz val="10"/>
      <name val="ÇÑ¾ç½Å¸íÁ¶"/>
      <family val="3"/>
      <charset val="129"/>
    </font>
    <font>
      <sz val="10"/>
      <name val="±¼¸²A¼"/>
      <family val="3"/>
      <charset val="129"/>
    </font>
    <font>
      <sz val="10"/>
      <name val="±¼¸²Ã¼"/>
      <family val="3"/>
      <charset val="129"/>
    </font>
    <font>
      <sz val="10"/>
      <name val="±¼¸²A¼"/>
      <family val="3"/>
    </font>
    <font>
      <sz val="10"/>
      <name val="±¼¸²Ã¼"/>
      <family val="3"/>
    </font>
    <font>
      <sz val="12"/>
      <name val="μ¸¿oA¼"/>
      <family val="3"/>
      <charset val="129"/>
    </font>
    <font>
      <sz val="12"/>
      <name val="System"/>
      <family val="2"/>
      <charset val="129"/>
    </font>
    <font>
      <sz val="9"/>
      <name val="±¼¸²Ã¼"/>
      <family val="3"/>
      <charset val="129"/>
    </font>
    <font>
      <sz val="9"/>
      <name val="±¼¸²A¼"/>
      <family val="3"/>
      <charset val="129"/>
    </font>
    <font>
      <sz val="11"/>
      <name val="μ¸¿oA¼"/>
      <family val="3"/>
      <charset val="129"/>
    </font>
    <font>
      <sz val="11"/>
      <name val="µ¸¿òÃ¼"/>
      <family val="3"/>
      <charset val="129"/>
    </font>
    <font>
      <sz val="12"/>
      <name val="¸iA¶"/>
      <family val="3"/>
      <charset val="129"/>
    </font>
    <font>
      <sz val="12"/>
      <name val="¸íÁ¶"/>
      <family val="3"/>
      <charset val="129"/>
    </font>
    <font>
      <sz val="11"/>
      <name val="¹UAAA¼"/>
      <family val="1"/>
      <charset val="129"/>
    </font>
    <font>
      <sz val="11"/>
      <name val="¹ÙÅÁÃ¼"/>
      <family val="1"/>
      <charset val="129"/>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sz val="9"/>
      <name val="Times New Roman"/>
      <family val="1"/>
    </font>
    <font>
      <b/>
      <sz val="11"/>
      <color indexed="52"/>
      <name val="맑은 고딕"/>
      <family val="3"/>
      <charset val="129"/>
    </font>
    <font>
      <b/>
      <sz val="10"/>
      <name val="Helv"/>
      <family val="2"/>
    </font>
    <font>
      <b/>
      <sz val="11"/>
      <color indexed="9"/>
      <name val="맑은 고딕"/>
      <family val="3"/>
      <charset val="129"/>
    </font>
    <font>
      <sz val="10"/>
      <name val="Courier New"/>
      <family val="3"/>
    </font>
    <font>
      <sz val="10"/>
      <color indexed="8"/>
      <name val="Impact"/>
      <family val="2"/>
    </font>
    <font>
      <sz val="1"/>
      <color indexed="8"/>
      <name val="Courier"/>
      <family val="3"/>
    </font>
    <font>
      <sz val="12"/>
      <name val="Arial MT"/>
      <family val="2"/>
    </font>
    <font>
      <sz val="8"/>
      <name val="Palatino"/>
      <family val="1"/>
    </font>
    <font>
      <sz val="10"/>
      <name val="MS Serif"/>
      <family val="1"/>
    </font>
    <font>
      <sz val="10"/>
      <name val="Courier"/>
      <family val="3"/>
    </font>
    <font>
      <sz val="11"/>
      <name val="Helv"/>
      <family val="2"/>
    </font>
    <font>
      <sz val="10"/>
      <name val="HPANTOLV"/>
      <family val="1"/>
    </font>
    <font>
      <b/>
      <sz val="12"/>
      <name val="Helv"/>
      <family val="2"/>
    </font>
    <font>
      <b/>
      <i/>
      <strike/>
      <sz val="12"/>
      <color indexed="48"/>
      <name val="Arial"/>
      <family val="2"/>
    </font>
    <font>
      <sz val="8"/>
      <color indexed="9"/>
      <name val="Arial"/>
      <family val="2"/>
    </font>
    <font>
      <sz val="10"/>
      <name val="Lucida Bright"/>
      <family val="1"/>
    </font>
    <font>
      <sz val="10"/>
      <color indexed="16"/>
      <name val="MS Serif"/>
      <family val="1"/>
    </font>
    <font>
      <i/>
      <strike/>
      <sz val="12"/>
      <color indexed="40"/>
      <name val="Arial"/>
      <family val="2"/>
    </font>
    <font>
      <i/>
      <sz val="11"/>
      <color indexed="23"/>
      <name val="맑은 고딕"/>
      <family val="3"/>
      <charset val="129"/>
    </font>
    <font>
      <sz val="1"/>
      <color indexed="16"/>
      <name val="Courier"/>
      <family val="3"/>
    </font>
    <font>
      <i/>
      <sz val="1"/>
      <color indexed="16"/>
      <name val="Courier"/>
      <family val="3"/>
    </font>
    <font>
      <u/>
      <sz val="10"/>
      <color indexed="14"/>
      <name val="MS Sans Serif"/>
      <family val="2"/>
    </font>
    <font>
      <sz val="7"/>
      <name val="Palatino"/>
      <family val="1"/>
    </font>
    <font>
      <sz val="10"/>
      <name val="Geneva"/>
      <family val="2"/>
    </font>
    <font>
      <sz val="11"/>
      <color indexed="17"/>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b/>
      <sz val="12"/>
      <name val="Tms Rmn"/>
      <family val="1"/>
    </font>
    <font>
      <b/>
      <sz val="18"/>
      <name val="Arial"/>
      <family val="2"/>
    </font>
    <font>
      <b/>
      <sz val="8"/>
      <name val="MS Sans Serif"/>
      <family val="2"/>
    </font>
    <font>
      <u/>
      <sz val="8"/>
      <color indexed="12"/>
      <name val="Times New Roman"/>
      <family val="1"/>
    </font>
    <font>
      <u/>
      <sz val="10"/>
      <color indexed="36"/>
      <name val="Arial"/>
      <family val="2"/>
    </font>
    <font>
      <u/>
      <sz val="10"/>
      <color indexed="12"/>
      <name val="MS Sans Serif"/>
      <family val="2"/>
    </font>
    <font>
      <sz val="11"/>
      <color indexed="62"/>
      <name val="맑은 고딕"/>
      <family val="3"/>
      <charset val="129"/>
    </font>
    <font>
      <sz val="12"/>
      <name val="Helv"/>
      <family val="2"/>
    </font>
    <font>
      <sz val="8"/>
      <color indexed="12"/>
      <name val="Helv"/>
      <family val="2"/>
    </font>
    <font>
      <b/>
      <sz val="14"/>
      <name val="Helv"/>
      <family val="2"/>
    </font>
    <font>
      <sz val="11"/>
      <color indexed="52"/>
      <name val="맑은 고딕"/>
      <family val="3"/>
      <charset val="129"/>
    </font>
    <font>
      <sz val="12"/>
      <color indexed="9"/>
      <name val="Helv"/>
      <family val="2"/>
    </font>
    <font>
      <b/>
      <sz val="11"/>
      <name val="Helv"/>
      <family val="2"/>
    </font>
    <font>
      <sz val="8"/>
      <name val="Tms Rmn"/>
      <family val="1"/>
    </font>
    <font>
      <sz val="11"/>
      <color indexed="60"/>
      <name val="맑은 고딕"/>
      <family val="3"/>
      <charset val="129"/>
    </font>
    <font>
      <sz val="7"/>
      <name val="Small Fonts"/>
      <family val="2"/>
    </font>
    <font>
      <sz val="11"/>
      <name val="돋움체"/>
      <family val="3"/>
      <charset val="129"/>
    </font>
    <font>
      <b/>
      <i/>
      <sz val="16"/>
      <name val="Helv"/>
      <family val="2"/>
    </font>
    <font>
      <u/>
      <sz val="18"/>
      <name val="Times New Roman"/>
      <family val="1"/>
    </font>
    <font>
      <i/>
      <strike/>
      <sz val="12"/>
      <color indexed="10"/>
      <name val="Arial"/>
      <family val="2"/>
    </font>
    <font>
      <b/>
      <sz val="11"/>
      <color indexed="63"/>
      <name val="맑은 고딕"/>
      <family val="3"/>
      <charset val="129"/>
    </font>
    <font>
      <sz val="11"/>
      <color indexed="8"/>
      <name val="Times New Roman"/>
      <family val="1"/>
    </font>
    <font>
      <b/>
      <i/>
      <sz val="11"/>
      <color indexed="8"/>
      <name val="Times New Roman"/>
      <family val="1"/>
    </font>
    <font>
      <i/>
      <sz val="10"/>
      <color indexed="14"/>
      <name val="Lucida Sans"/>
      <family val="2"/>
    </font>
    <font>
      <b/>
      <sz val="11"/>
      <color indexed="16"/>
      <name val="Times New Roman"/>
      <family val="1"/>
    </font>
    <font>
      <b/>
      <sz val="22"/>
      <color indexed="8"/>
      <name val="Times New Roman"/>
      <family val="1"/>
    </font>
    <font>
      <sz val="10"/>
      <color indexed="16"/>
      <name val="Helvetica-Black"/>
      <family val="2"/>
    </font>
    <font>
      <sz val="12"/>
      <color indexed="8"/>
      <name val="Times New Roman"/>
      <family val="1"/>
    </font>
    <font>
      <strike/>
      <sz val="12"/>
      <color indexed="46"/>
      <name val="Arial"/>
      <family val="2"/>
    </font>
    <font>
      <sz val="8"/>
      <color indexed="38"/>
      <name val="Arial"/>
      <family val="2"/>
    </font>
    <font>
      <b/>
      <i/>
      <sz val="16"/>
      <name val="Arial"/>
      <family val="2"/>
    </font>
    <font>
      <b/>
      <sz val="12"/>
      <color indexed="32"/>
      <name val="Arial"/>
      <family val="2"/>
    </font>
    <font>
      <i/>
      <sz val="11"/>
      <name val="Arial"/>
      <family val="2"/>
    </font>
    <font>
      <sz val="11"/>
      <name val="Arial"/>
      <family val="2"/>
    </font>
    <font>
      <sz val="12"/>
      <color indexed="17"/>
      <name val="Arial"/>
      <family val="2"/>
    </font>
    <font>
      <sz val="8"/>
      <name val="Wingdings"/>
      <charset val="2"/>
    </font>
    <font>
      <i/>
      <sz val="9"/>
      <color indexed="12"/>
      <name val="Arial"/>
      <family val="2"/>
    </font>
    <font>
      <sz val="8"/>
      <name val="MS Sans Serif"/>
      <family val="2"/>
    </font>
    <font>
      <strike/>
      <sz val="10"/>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2"/>
      <color indexed="9"/>
      <name val="Symbol"/>
      <family val="1"/>
      <charset val="2"/>
    </font>
    <font>
      <b/>
      <sz val="8"/>
      <color indexed="8"/>
      <name val="Helv"/>
      <family val="2"/>
    </font>
    <font>
      <b/>
      <sz val="9"/>
      <name val="Palatino"/>
      <family val="1"/>
    </font>
    <font>
      <sz val="9"/>
      <color indexed="21"/>
      <name val="Helvetica-Black"/>
      <family val="2"/>
    </font>
    <font>
      <sz val="9"/>
      <name val="Helvetica-Black"/>
      <family val="2"/>
    </font>
    <font>
      <b/>
      <sz val="10"/>
      <color indexed="10"/>
      <name val="Arial"/>
      <family val="2"/>
    </font>
    <font>
      <b/>
      <sz val="18"/>
      <color indexed="56"/>
      <name val="맑은 고딕"/>
      <family val="3"/>
      <charset val="129"/>
    </font>
    <font>
      <sz val="10"/>
      <color indexed="13"/>
      <name val="Helv"/>
      <family val="2"/>
    </font>
    <font>
      <sz val="11"/>
      <color indexed="13"/>
      <name val="Helv"/>
      <family val="2"/>
    </font>
    <font>
      <b/>
      <u/>
      <sz val="13"/>
      <name val="굴림체"/>
      <family val="3"/>
      <charset val="129"/>
    </font>
    <font>
      <sz val="10"/>
      <color indexed="38"/>
      <name val="Arial"/>
      <family val="2"/>
    </font>
    <font>
      <sz val="11"/>
      <color indexed="12"/>
      <name val="Times New Roman"/>
      <family val="1"/>
    </font>
    <font>
      <i/>
      <strike/>
      <sz val="12"/>
      <color indexed="48"/>
      <name val="Arial"/>
      <family val="2"/>
    </font>
    <font>
      <sz val="10"/>
      <name val="Century Schoolbook"/>
      <family val="2"/>
    </font>
    <font>
      <sz val="11"/>
      <color indexed="10"/>
      <name val="맑은 고딕"/>
      <family val="3"/>
      <charset val="129"/>
    </font>
    <font>
      <b/>
      <i/>
      <sz val="8"/>
      <name val="Helv"/>
      <family val="2"/>
    </font>
    <font>
      <b/>
      <sz val="18"/>
      <color indexed="56"/>
      <name val="ＭＳ Ｐゴシック"/>
      <family val="2"/>
      <charset val="128"/>
    </font>
    <font>
      <b/>
      <sz val="11"/>
      <color indexed="9"/>
      <name val="ＭＳ Ｐゴシック"/>
      <family val="2"/>
      <charset val="128"/>
    </font>
    <font>
      <sz val="11"/>
      <color indexed="60"/>
      <name val="ＭＳ Ｐゴシック"/>
      <family val="2"/>
      <charset val="128"/>
    </font>
    <font>
      <sz val="11"/>
      <color indexed="52"/>
      <name val="ＭＳ Ｐゴシック"/>
      <family val="2"/>
      <charset val="128"/>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sz val="11"/>
      <name val="궁서"/>
      <family val="1"/>
      <charset val="129"/>
    </font>
    <font>
      <sz val="11"/>
      <color indexed="10"/>
      <name val="ＭＳ Ｐゴシック"/>
      <family val="2"/>
      <charset val="128"/>
    </font>
    <font>
      <sz val="11"/>
      <color rgb="FFFF0000"/>
      <name val="가을체"/>
      <family val="1"/>
      <charset val="129"/>
    </font>
    <font>
      <sz val="11"/>
      <color indexed="10"/>
      <name val="가는각진제목체"/>
      <family val="1"/>
      <charset val="129"/>
    </font>
    <font>
      <b/>
      <sz val="11"/>
      <color indexed="52"/>
      <name val="ＭＳ Ｐゴシック"/>
      <family val="2"/>
      <charset val="128"/>
    </font>
    <font>
      <b/>
      <sz val="11"/>
      <color rgb="FFFA7D00"/>
      <name val="가을체"/>
      <family val="1"/>
      <charset val="129"/>
    </font>
    <font>
      <b/>
      <sz val="11"/>
      <color indexed="52"/>
      <name val="가는각진제목체"/>
      <family val="1"/>
      <charset val="129"/>
    </font>
    <font>
      <sz val="11"/>
      <name val="바탕체"/>
      <family val="1"/>
      <charset val="129"/>
    </font>
    <font>
      <b/>
      <sz val="1"/>
      <color indexed="8"/>
      <name val="Courier"/>
      <family val="3"/>
    </font>
    <font>
      <sz val="10"/>
      <name val="PragmaticaCTT"/>
      <family val="1"/>
    </font>
    <font>
      <sz val="11"/>
      <color rgb="FF9C0006"/>
      <name val="가을체"/>
      <family val="1"/>
      <charset val="129"/>
    </font>
    <font>
      <sz val="11"/>
      <color indexed="20"/>
      <name val="가는각진제목체"/>
      <family val="1"/>
      <charset val="129"/>
    </font>
    <font>
      <sz val="11"/>
      <name val="굴림"/>
      <family val="3"/>
      <charset val="129"/>
    </font>
    <font>
      <sz val="11"/>
      <name val="바탕"/>
      <family val="1"/>
      <charset val="129"/>
    </font>
    <font>
      <sz val="12"/>
      <color indexed="24"/>
      <name val="바탕체"/>
      <family val="1"/>
      <charset val="129"/>
    </font>
    <font>
      <sz val="11"/>
      <name val="HY헤드라인M"/>
      <family val="1"/>
      <charset val="129"/>
    </font>
    <font>
      <u/>
      <sz val="7.5"/>
      <color indexed="36"/>
      <name val="돋움체"/>
      <family val="3"/>
      <charset val="129"/>
    </font>
    <font>
      <sz val="14"/>
      <name val="뼥?ⓒ"/>
      <family val="3"/>
      <charset val="129"/>
    </font>
    <font>
      <sz val="10"/>
      <color indexed="72"/>
      <name val="Arial"/>
      <family val="2"/>
    </font>
    <font>
      <sz val="11"/>
      <color indexed="17"/>
      <name val="ＭＳ Ｐゴシック"/>
      <family val="2"/>
      <charset val="128"/>
    </font>
    <font>
      <sz val="11"/>
      <color indexed="8"/>
      <name val="가을체"/>
      <family val="1"/>
      <charset val="129"/>
    </font>
    <font>
      <sz val="14"/>
      <name val="ＭＳ 明朝"/>
      <family val="3"/>
      <charset val="255"/>
    </font>
    <font>
      <sz val="10"/>
      <name val="바탕"/>
      <family val="1"/>
      <charset val="129"/>
    </font>
    <font>
      <sz val="11"/>
      <color rgb="FF9C6500"/>
      <name val="가을체"/>
      <family val="1"/>
      <charset val="129"/>
    </font>
    <font>
      <sz val="11"/>
      <color indexed="60"/>
      <name val="가는각진제목체"/>
      <family val="1"/>
      <charset val="129"/>
    </font>
    <font>
      <sz val="12"/>
      <name val="뼻뮝"/>
      <family val="1"/>
      <charset val="129"/>
    </font>
    <font>
      <sz val="11"/>
      <name val="돋움"/>
      <family val="3"/>
    </font>
    <font>
      <sz val="10"/>
      <name val="돋움체"/>
      <family val="3"/>
      <charset val="129"/>
    </font>
    <font>
      <b/>
      <sz val="10"/>
      <name val="바탕체"/>
      <family val="1"/>
      <charset val="129"/>
    </font>
    <font>
      <b/>
      <sz val="18"/>
      <name val="바탕체"/>
      <family val="1"/>
      <charset val="129"/>
    </font>
    <font>
      <i/>
      <sz val="11"/>
      <color rgb="FF7F7F7F"/>
      <name val="가을체"/>
      <family val="1"/>
      <charset val="129"/>
    </font>
    <font>
      <i/>
      <sz val="11"/>
      <color indexed="23"/>
      <name val="가는각진제목체"/>
      <family val="1"/>
      <charset val="129"/>
    </font>
    <font>
      <i/>
      <sz val="11"/>
      <color indexed="23"/>
      <name val="ＭＳ Ｐゴシック"/>
      <family val="2"/>
      <charset val="128"/>
    </font>
    <font>
      <b/>
      <sz val="11"/>
      <color theme="0"/>
      <name val="가을체"/>
      <family val="1"/>
      <charset val="129"/>
    </font>
    <font>
      <b/>
      <sz val="11"/>
      <color indexed="9"/>
      <name val="가는각진제목체"/>
      <family val="1"/>
      <charset val="129"/>
    </font>
    <font>
      <sz val="9"/>
      <name val="새굴림"/>
      <family val="1"/>
      <charset val="129"/>
    </font>
    <font>
      <sz val="10"/>
      <name val="명조"/>
      <family val="3"/>
      <charset val="129"/>
    </font>
    <font>
      <sz val="11"/>
      <color indexed="20"/>
      <name val="ＭＳ Ｐゴシック"/>
      <family val="2"/>
      <charset val="128"/>
    </font>
    <font>
      <sz val="11"/>
      <color rgb="FFFA7D00"/>
      <name val="가을체"/>
      <family val="1"/>
      <charset val="129"/>
    </font>
    <font>
      <sz val="11"/>
      <color indexed="52"/>
      <name val="가는각진제목체"/>
      <family val="1"/>
      <charset val="129"/>
    </font>
    <font>
      <u/>
      <sz val="11"/>
      <color indexed="36"/>
      <name val="돋움"/>
      <family val="3"/>
      <charset val="129"/>
    </font>
    <font>
      <b/>
      <sz val="11"/>
      <color indexed="8"/>
      <name val="맑은 고딕"/>
      <family val="3"/>
      <charset val="129"/>
    </font>
    <font>
      <b/>
      <sz val="11"/>
      <color theme="1"/>
      <name val="가을체"/>
      <family val="1"/>
      <charset val="129"/>
    </font>
    <font>
      <b/>
      <sz val="11"/>
      <color indexed="8"/>
      <name val="가는각진제목체"/>
      <family val="1"/>
      <charset val="129"/>
    </font>
    <font>
      <sz val="10"/>
      <name val="궁서(English)"/>
      <family val="3"/>
      <charset val="129"/>
    </font>
    <font>
      <sz val="11"/>
      <color indexed="62"/>
      <name val="ＭＳ Ｐゴシック"/>
      <family val="2"/>
      <charset val="128"/>
    </font>
    <font>
      <sz val="11"/>
      <color rgb="FF3F3F76"/>
      <name val="가을체"/>
      <family val="1"/>
      <charset val="129"/>
    </font>
    <font>
      <sz val="11"/>
      <color indexed="62"/>
      <name val="가는각진제목체"/>
      <family val="1"/>
      <charset val="129"/>
    </font>
    <font>
      <sz val="12"/>
      <name val="명조"/>
      <family val="3"/>
      <charset val="129"/>
    </font>
    <font>
      <b/>
      <sz val="15"/>
      <color theme="3"/>
      <name val="가을체"/>
      <family val="1"/>
      <charset val="129"/>
    </font>
    <font>
      <b/>
      <sz val="15"/>
      <color indexed="56"/>
      <name val="가는각진제목체"/>
      <family val="1"/>
      <charset val="129"/>
    </font>
    <font>
      <b/>
      <sz val="18"/>
      <color theme="3"/>
      <name val="맑은 고딕"/>
      <family val="3"/>
      <charset val="129"/>
      <scheme val="major"/>
    </font>
    <font>
      <b/>
      <sz val="13"/>
      <color theme="3"/>
      <name val="가을체"/>
      <family val="1"/>
      <charset val="129"/>
    </font>
    <font>
      <b/>
      <sz val="13"/>
      <color indexed="56"/>
      <name val="가는각진제목체"/>
      <family val="1"/>
      <charset val="129"/>
    </font>
    <font>
      <b/>
      <sz val="11"/>
      <color theme="3"/>
      <name val="가을체"/>
      <family val="1"/>
      <charset val="129"/>
    </font>
    <font>
      <b/>
      <sz val="11"/>
      <color indexed="56"/>
      <name val="가는각진제목체"/>
      <family val="1"/>
      <charset val="129"/>
    </font>
    <font>
      <b/>
      <sz val="18"/>
      <name val="굴림체"/>
      <family val="3"/>
      <charset val="129"/>
    </font>
    <font>
      <b/>
      <sz val="14"/>
      <name val="굴림체"/>
      <family val="3"/>
      <charset val="129"/>
    </font>
    <font>
      <sz val="11"/>
      <color rgb="FF006100"/>
      <name val="가을체"/>
      <family val="1"/>
      <charset val="129"/>
    </font>
    <font>
      <sz val="11"/>
      <color indexed="17"/>
      <name val="가는각진제목체"/>
      <family val="1"/>
      <charset val="129"/>
    </font>
    <font>
      <b/>
      <sz val="11"/>
      <color indexed="8"/>
      <name val="ＭＳ Ｐゴシック"/>
      <family val="2"/>
      <charset val="128"/>
    </font>
    <font>
      <sz val="12"/>
      <name val="宋体"/>
      <family val="1"/>
      <charset val="129"/>
    </font>
    <font>
      <sz val="12"/>
      <name val="宋体"/>
      <family val="3"/>
      <charset val="129"/>
    </font>
    <font>
      <b/>
      <sz val="11"/>
      <color indexed="63"/>
      <name val="ＭＳ Ｐゴシック"/>
      <family val="2"/>
      <charset val="128"/>
    </font>
    <font>
      <b/>
      <sz val="11"/>
      <color rgb="FF3F3F3F"/>
      <name val="가을체"/>
      <family val="1"/>
      <charset val="129"/>
    </font>
    <font>
      <b/>
      <sz val="11"/>
      <color indexed="63"/>
      <name val="가는각진제목체"/>
      <family val="1"/>
      <charset val="129"/>
    </font>
    <font>
      <b/>
      <sz val="9"/>
      <color rgb="FFFFFFFF"/>
      <name val="Arial"/>
      <family val="2"/>
    </font>
    <font>
      <sz val="9"/>
      <color rgb="FF0C2D83"/>
      <name val="Arial"/>
      <family val="2"/>
    </font>
    <font>
      <sz val="9"/>
      <color indexed="8"/>
      <name val="굴림체"/>
      <family val="3"/>
      <charset val="129"/>
    </font>
    <font>
      <sz val="12"/>
      <color theme="1"/>
      <name val="맑은 고딕"/>
      <family val="3"/>
      <charset val="129"/>
    </font>
    <font>
      <sz val="12"/>
      <name val="Verdana"/>
      <family val="3"/>
      <charset val="129"/>
    </font>
    <font>
      <sz val="6"/>
      <color indexed="8"/>
      <name val="Arial"/>
      <family val="2"/>
    </font>
    <font>
      <sz val="10"/>
      <name val="굴림"/>
      <family val="3"/>
      <charset val="129"/>
    </font>
    <font>
      <b/>
      <sz val="10"/>
      <color rgb="FFFF0000"/>
      <name val="돋움"/>
      <family val="3"/>
      <charset val="129"/>
    </font>
    <font>
      <b/>
      <sz val="12"/>
      <color theme="0"/>
      <name val="맑은 고딕"/>
      <family val="3"/>
      <charset val="129"/>
      <scheme val="major"/>
    </font>
    <font>
      <b/>
      <sz val="10"/>
      <color theme="0"/>
      <name val="맑은 고딕"/>
      <family val="3"/>
      <charset val="129"/>
      <scheme val="major"/>
    </font>
    <font>
      <sz val="10"/>
      <color rgb="FF000000"/>
      <name val="돋움"/>
      <family val="3"/>
      <charset val="129"/>
    </font>
    <font>
      <sz val="22"/>
      <name val="HY강B"/>
      <family val="1"/>
      <charset val="129"/>
    </font>
    <font>
      <sz val="12"/>
      <color rgb="FF000000"/>
      <name val="-2002"/>
      <family val="1"/>
      <charset val="129"/>
    </font>
    <font>
      <sz val="10"/>
      <color theme="1" tint="0.499984740745262"/>
      <name val="돋움"/>
      <family val="3"/>
      <charset val="129"/>
    </font>
    <font>
      <sz val="10"/>
      <color theme="0" tint="-0.249977111117893"/>
      <name val="돋움"/>
      <family val="3"/>
      <charset val="129"/>
    </font>
    <font>
      <sz val="9"/>
      <color rgb="FF000000"/>
      <name val="굴림"/>
      <family val="3"/>
      <charset val="129"/>
    </font>
    <font>
      <sz val="11"/>
      <color rgb="FFFF0000"/>
      <name val="HY강M"/>
      <family val="1"/>
      <charset val="129"/>
    </font>
    <font>
      <sz val="8"/>
      <color rgb="FFFF0000"/>
      <name val="맑은 고딕"/>
      <family val="3"/>
      <charset val="129"/>
      <scheme val="major"/>
    </font>
    <font>
      <sz val="11"/>
      <color rgb="FFFF0000"/>
      <name val="돋움"/>
      <family val="3"/>
      <charset val="129"/>
    </font>
    <font>
      <b/>
      <sz val="11"/>
      <color rgb="FFFF0000"/>
      <name val="맑은 고딕"/>
      <family val="3"/>
      <charset val="129"/>
      <scheme val="major"/>
    </font>
    <font>
      <b/>
      <sz val="9"/>
      <color rgb="FF000000"/>
      <name val="맑은 고딕"/>
      <family val="3"/>
      <charset val="129"/>
      <scheme val="minor"/>
    </font>
    <font>
      <sz val="8"/>
      <color rgb="FF000000"/>
      <name val="맑은 고딕"/>
      <family val="3"/>
      <charset val="129"/>
      <scheme val="minor"/>
    </font>
    <font>
      <sz val="8"/>
      <color rgb="FFFF0000"/>
      <name val="맑은 고딕"/>
      <family val="3"/>
      <charset val="129"/>
      <scheme val="minor"/>
    </font>
    <font>
      <b/>
      <sz val="9"/>
      <color rgb="FFFFFFFF"/>
      <name val="맑은 고딕"/>
      <family val="3"/>
      <charset val="129"/>
      <scheme val="minor"/>
    </font>
    <font>
      <b/>
      <sz val="7"/>
      <color indexed="81"/>
      <name val="Tahoma"/>
      <family val="2"/>
    </font>
    <font>
      <b/>
      <sz val="7"/>
      <color indexed="81"/>
      <name val="돋움"/>
      <family val="3"/>
      <charset val="129"/>
    </font>
    <font>
      <b/>
      <sz val="8"/>
      <color rgb="FFFF0000"/>
      <name val="맑은 고딕"/>
      <family val="3"/>
      <charset val="129"/>
      <scheme val="minor"/>
    </font>
    <font>
      <b/>
      <sz val="9"/>
      <color rgb="FF000000"/>
      <name val="휴먼명조"/>
      <family val="3"/>
      <charset val="129"/>
    </font>
    <font>
      <b/>
      <sz val="9"/>
      <color rgb="FFFF0000"/>
      <name val="휴먼명조"/>
      <family val="3"/>
      <charset val="129"/>
    </font>
    <font>
      <sz val="8"/>
      <name val="맑은 고딕"/>
      <family val="3"/>
      <charset val="129"/>
      <scheme val="minor"/>
    </font>
    <font>
      <sz val="11"/>
      <color theme="1"/>
      <name val="돋움"/>
      <family val="3"/>
      <charset val="129"/>
    </font>
    <font>
      <b/>
      <sz val="28"/>
      <color rgb="FF002060"/>
      <name val="맑은 고딕"/>
      <family val="3"/>
      <charset val="129"/>
      <scheme val="minor"/>
    </font>
    <font>
      <b/>
      <sz val="9"/>
      <name val="맑은 고딕"/>
      <family val="3"/>
      <charset val="129"/>
      <scheme val="minor"/>
    </font>
    <font>
      <b/>
      <sz val="11"/>
      <color theme="3" tint="-0.499984740745262"/>
      <name val="맑은 고딕"/>
      <family val="3"/>
      <charset val="129"/>
      <scheme val="minor"/>
    </font>
    <font>
      <b/>
      <sz val="9"/>
      <color indexed="10"/>
      <name val="맑은 고딕"/>
      <family val="3"/>
      <charset val="129"/>
    </font>
    <font>
      <b/>
      <sz val="9"/>
      <color indexed="81"/>
      <name val="맑은 고딕"/>
      <family val="3"/>
      <charset val="129"/>
    </font>
    <font>
      <sz val="15"/>
      <color indexed="81"/>
      <name val="돋움"/>
      <family val="3"/>
      <charset val="129"/>
    </font>
    <font>
      <sz val="15"/>
      <color indexed="81"/>
      <name val="Tahoma"/>
      <family val="2"/>
    </font>
    <font>
      <b/>
      <sz val="15"/>
      <color indexed="10"/>
      <name val="맑은 고딕"/>
      <family val="3"/>
      <charset val="129"/>
    </font>
    <font>
      <b/>
      <sz val="9"/>
      <color indexed="81"/>
      <name val="MS Gothic"/>
      <family val="3"/>
      <charset val="128"/>
    </font>
    <font>
      <sz val="9"/>
      <color indexed="81"/>
      <name val="맑은 고딕"/>
      <family val="3"/>
      <charset val="129"/>
    </font>
    <font>
      <sz val="8"/>
      <color rgb="FFFF0000"/>
      <name val="돋움"/>
      <family val="3"/>
      <charset val="129"/>
    </font>
    <font>
      <b/>
      <sz val="9"/>
      <color indexed="10"/>
      <name val="Tahoma"/>
      <family val="2"/>
    </font>
    <font>
      <b/>
      <sz val="14"/>
      <color indexed="14"/>
      <name val="맑은 고딕"/>
      <family val="3"/>
      <charset val="129"/>
    </font>
    <font>
      <b/>
      <sz val="14"/>
      <color indexed="81"/>
      <name val="맑은 고딕"/>
      <family val="3"/>
      <charset val="129"/>
    </font>
    <font>
      <b/>
      <sz val="14"/>
      <color indexed="81"/>
      <name val="Tahoma"/>
      <family val="2"/>
    </font>
    <font>
      <b/>
      <sz val="9"/>
      <color indexed="32"/>
      <name val="맑은 고딕"/>
      <family val="3"/>
      <charset val="129"/>
    </font>
    <font>
      <sz val="8"/>
      <color rgb="FF3399FF"/>
      <name val="맑은 고딕"/>
      <family val="3"/>
      <charset val="129"/>
      <scheme val="minor"/>
    </font>
    <font>
      <sz val="8"/>
      <color theme="3"/>
      <name val="맑은 고딕"/>
      <family val="3"/>
      <charset val="129"/>
      <scheme val="minor"/>
    </font>
    <font>
      <b/>
      <sz val="16"/>
      <color indexed="81"/>
      <name val="돋움"/>
      <family val="3"/>
      <charset val="129"/>
    </font>
    <font>
      <b/>
      <sz val="16"/>
      <color indexed="81"/>
      <name val="Tahoma"/>
      <family val="2"/>
    </font>
    <font>
      <sz val="9"/>
      <color theme="1"/>
      <name val="맑은 고딕"/>
      <family val="3"/>
      <charset val="129"/>
      <scheme val="minor"/>
    </font>
    <font>
      <sz val="10"/>
      <color theme="1"/>
      <name val="맑은 고딕"/>
      <family val="3"/>
      <charset val="129"/>
      <scheme val="major"/>
    </font>
    <font>
      <b/>
      <sz val="11"/>
      <color theme="1"/>
      <name val="맑은 고딕"/>
      <family val="3"/>
      <charset val="129"/>
      <scheme val="major"/>
    </font>
    <font>
      <b/>
      <sz val="10"/>
      <color theme="1"/>
      <name val="맑은 고딕"/>
      <family val="3"/>
      <charset val="129"/>
      <scheme val="minor"/>
    </font>
    <font>
      <b/>
      <sz val="10"/>
      <color theme="1"/>
      <name val="맑은 고딕"/>
      <family val="3"/>
      <charset val="129"/>
      <scheme val="major"/>
    </font>
    <font>
      <sz val="9"/>
      <name val="맑은 고딕"/>
      <family val="3"/>
      <charset val="129"/>
      <scheme val="minor"/>
    </font>
    <font>
      <sz val="16"/>
      <color indexed="81"/>
      <name val="돋움"/>
      <family val="3"/>
      <charset val="129"/>
    </font>
    <font>
      <sz val="16"/>
      <color indexed="81"/>
      <name val="Tahoma"/>
      <family val="2"/>
    </font>
    <font>
      <b/>
      <sz val="12"/>
      <color rgb="FFFF0000"/>
      <name val="맑은 고딕"/>
      <family val="3"/>
      <charset val="129"/>
      <scheme val="minor"/>
    </font>
    <font>
      <b/>
      <sz val="26"/>
      <color rgb="FF002060"/>
      <name val="HY헤드라인M"/>
      <family val="1"/>
      <charset val="129"/>
    </font>
    <font>
      <sz val="22"/>
      <name val="돋움"/>
      <family val="3"/>
      <charset val="129"/>
    </font>
    <font>
      <sz val="16"/>
      <name val="돋움"/>
      <family val="3"/>
      <charset val="129"/>
    </font>
    <font>
      <sz val="16"/>
      <color rgb="FFFF0000"/>
      <name val="돋움"/>
      <family val="3"/>
      <charset val="129"/>
    </font>
    <font>
      <sz val="10"/>
      <color rgb="FF0000FF"/>
      <name val="돋움"/>
      <family val="3"/>
      <charset val="129"/>
    </font>
    <font>
      <b/>
      <sz val="16"/>
      <name val="돋움"/>
      <family val="3"/>
      <charset val="129"/>
    </font>
    <font>
      <sz val="11"/>
      <color theme="9"/>
      <name val="돋움"/>
      <family val="3"/>
      <charset val="129"/>
    </font>
    <font>
      <b/>
      <sz val="11"/>
      <color theme="0"/>
      <name val="맑은 고딕"/>
      <family val="3"/>
      <charset val="129"/>
      <scheme val="major"/>
    </font>
    <font>
      <sz val="9"/>
      <color theme="1"/>
      <name val="맑은 고딕"/>
      <family val="3"/>
      <charset val="129"/>
      <scheme val="major"/>
    </font>
    <font>
      <b/>
      <sz val="26"/>
      <name val="맑은 고딕"/>
      <family val="3"/>
      <charset val="129"/>
      <scheme val="minor"/>
    </font>
    <font>
      <sz val="12"/>
      <color rgb="FFFF0000"/>
      <name val="맑은 고딕"/>
      <family val="3"/>
      <charset val="129"/>
      <scheme val="minor"/>
    </font>
    <font>
      <b/>
      <sz val="16"/>
      <color theme="0"/>
      <name val="맑은 고딕"/>
      <family val="3"/>
      <charset val="129"/>
      <scheme val="minor"/>
    </font>
    <font>
      <sz val="26"/>
      <color rgb="FFFF0000"/>
      <name val="맑은 고딕"/>
      <family val="3"/>
      <charset val="129"/>
      <scheme val="minor"/>
    </font>
    <font>
      <b/>
      <sz val="14"/>
      <color theme="0"/>
      <name val="맑은 고딕"/>
      <family val="3"/>
      <charset val="129"/>
      <scheme val="minor"/>
    </font>
    <font>
      <sz val="11"/>
      <color rgb="FF003366"/>
      <name val="맑은 고딕"/>
      <family val="3"/>
      <charset val="129"/>
      <scheme val="minor"/>
    </font>
    <font>
      <sz val="8.25"/>
      <color rgb="FF646363"/>
      <name val="맑은 고딕"/>
      <family val="3"/>
      <charset val="129"/>
      <scheme val="minor"/>
    </font>
    <font>
      <b/>
      <sz val="36"/>
      <color theme="7" tint="-0.499984740745262"/>
      <name val="맑은 고딕"/>
      <family val="3"/>
      <charset val="129"/>
      <scheme val="minor"/>
    </font>
    <font>
      <b/>
      <sz val="20"/>
      <color rgb="FFFF0000"/>
      <name val="맑은 고딕"/>
      <family val="3"/>
      <charset val="129"/>
      <scheme val="minor"/>
    </font>
    <font>
      <b/>
      <sz val="18"/>
      <color rgb="FFFF0000"/>
      <name val="맑은 고딕"/>
      <family val="3"/>
      <charset val="129"/>
      <scheme val="minor"/>
    </font>
    <font>
      <sz val="18"/>
      <name val="맑은 고딕"/>
      <family val="3"/>
      <charset val="129"/>
      <scheme val="minor"/>
    </font>
    <font>
      <sz val="14"/>
      <color theme="3" tint="-0.499984740745262"/>
      <name val="맑은 고딕"/>
      <family val="3"/>
      <charset val="129"/>
      <scheme val="minor"/>
    </font>
    <font>
      <b/>
      <sz val="13"/>
      <color rgb="FF000000"/>
      <name val="맑은 고딕"/>
      <family val="3"/>
      <charset val="129"/>
      <scheme val="minor"/>
    </font>
    <font>
      <sz val="13"/>
      <color rgb="FF000000"/>
      <name val="맑은 고딕"/>
      <family val="3"/>
      <charset val="129"/>
      <scheme val="minor"/>
    </font>
    <font>
      <sz val="13"/>
      <name val="맑은 고딕"/>
      <family val="3"/>
      <charset val="129"/>
      <scheme val="minor"/>
    </font>
    <font>
      <sz val="14"/>
      <color rgb="FFFF0000"/>
      <name val="맑은 고딕"/>
      <family val="3"/>
      <charset val="129"/>
      <scheme val="minor"/>
    </font>
    <font>
      <b/>
      <sz val="18"/>
      <color theme="3" tint="-0.499984740745262"/>
      <name val="맑은 고딕"/>
      <family val="3"/>
      <charset val="129"/>
      <scheme val="minor"/>
    </font>
    <font>
      <sz val="14"/>
      <color theme="1"/>
      <name val="맑은 고딕"/>
      <family val="3"/>
      <charset val="129"/>
      <scheme val="minor"/>
    </font>
    <font>
      <sz val="13"/>
      <color theme="1"/>
      <name val="맑은 고딕"/>
      <family val="3"/>
      <charset val="129"/>
      <scheme val="minor"/>
    </font>
    <font>
      <b/>
      <shadow/>
      <sz val="12"/>
      <color rgb="FF000000"/>
      <name val="맑은 고딕"/>
      <family val="3"/>
      <charset val="129"/>
      <scheme val="minor"/>
    </font>
    <font>
      <b/>
      <sz val="10"/>
      <color rgb="FF000000"/>
      <name val="맑은 고딕"/>
      <family val="3"/>
      <charset val="129"/>
      <scheme val="minor"/>
    </font>
    <font>
      <sz val="10"/>
      <color theme="0"/>
      <name val="맑은 고딕"/>
      <family val="3"/>
      <charset val="129"/>
      <scheme val="major"/>
    </font>
    <font>
      <b/>
      <sz val="18"/>
      <name val="맑은 고딕"/>
      <family val="3"/>
      <charset val="129"/>
      <scheme val="major"/>
    </font>
    <font>
      <sz val="12"/>
      <color theme="0"/>
      <name val="맑은 고딕"/>
      <family val="3"/>
      <charset val="129"/>
      <scheme val="major"/>
    </font>
    <font>
      <sz val="11"/>
      <color rgb="FFFF0000"/>
      <name val="맑은 고딕"/>
      <family val="3"/>
      <charset val="129"/>
      <scheme val="major"/>
    </font>
    <font>
      <sz val="10"/>
      <name val="맑은 고딕"/>
      <family val="3"/>
      <charset val="129"/>
      <scheme val="major"/>
    </font>
    <font>
      <sz val="9"/>
      <color rgb="FFFF0000"/>
      <name val="맑은 고딕"/>
      <family val="3"/>
      <charset val="129"/>
      <scheme val="major"/>
    </font>
    <font>
      <b/>
      <sz val="9"/>
      <color theme="1"/>
      <name val="맑은 고딕"/>
      <family val="3"/>
      <charset val="129"/>
      <scheme val="major"/>
    </font>
    <font>
      <b/>
      <sz val="10"/>
      <color rgb="FFFFFFFF"/>
      <name val="맑은 고딕"/>
      <family val="3"/>
      <charset val="129"/>
      <scheme val="major"/>
    </font>
    <font>
      <sz val="9"/>
      <name val="맑은 고딕"/>
      <family val="3"/>
      <charset val="129"/>
      <scheme val="major"/>
    </font>
    <font>
      <b/>
      <shadow/>
      <sz val="11"/>
      <color rgb="FFFF0000"/>
      <name val="맑은 고딕"/>
      <family val="3"/>
      <charset val="129"/>
      <scheme val="major"/>
    </font>
    <font>
      <b/>
      <shadow/>
      <sz val="11"/>
      <color rgb="FF000000"/>
      <name val="맑은 고딕"/>
      <family val="3"/>
      <charset val="129"/>
      <scheme val="major"/>
    </font>
    <font>
      <b/>
      <sz val="11"/>
      <name val="맑은 고딕"/>
      <family val="3"/>
      <charset val="129"/>
      <scheme val="major"/>
    </font>
    <font>
      <sz val="6"/>
      <name val="맑은 고딕"/>
      <family val="3"/>
      <charset val="129"/>
      <scheme val="minor"/>
    </font>
    <font>
      <b/>
      <sz val="8"/>
      <color theme="1"/>
      <name val="맑은 고딕"/>
      <family val="3"/>
      <charset val="129"/>
      <scheme val="minor"/>
    </font>
    <font>
      <b/>
      <sz val="6"/>
      <color theme="1"/>
      <name val="맑은 고딕"/>
      <family val="3"/>
      <charset val="129"/>
      <scheme val="minor"/>
    </font>
    <font>
      <b/>
      <sz val="8"/>
      <name val="맑은 고딕"/>
      <family val="3"/>
      <charset val="129"/>
      <scheme val="minor"/>
    </font>
    <font>
      <b/>
      <sz val="6"/>
      <name val="맑은 고딕"/>
      <family val="3"/>
      <charset val="129"/>
      <scheme val="minor"/>
    </font>
    <font>
      <b/>
      <sz val="9"/>
      <color rgb="FFFF0000"/>
      <name val="맑은 고딕"/>
      <family val="3"/>
      <charset val="129"/>
      <scheme val="minor"/>
    </font>
    <font>
      <sz val="9"/>
      <color rgb="FF4C4C4C"/>
      <name val="맑은 고딕"/>
      <family val="3"/>
      <charset val="129"/>
      <scheme val="minor"/>
    </font>
    <font>
      <b/>
      <sz val="8"/>
      <color rgb="FF000000"/>
      <name val="맑은 고딕"/>
      <family val="3"/>
      <charset val="129"/>
      <scheme val="minor"/>
    </font>
    <font>
      <u/>
      <sz val="11"/>
      <color rgb="FFFF0000"/>
      <name val="맑은 고딕"/>
      <family val="3"/>
      <charset val="129"/>
      <scheme val="minor"/>
    </font>
    <font>
      <b/>
      <i/>
      <sz val="12"/>
      <color theme="0"/>
      <name val="맑은 고딕"/>
      <family val="3"/>
      <charset val="129"/>
      <scheme val="major"/>
    </font>
    <font>
      <b/>
      <sz val="14"/>
      <name val="맑은 고딕"/>
      <family val="3"/>
      <charset val="129"/>
      <scheme val="major"/>
    </font>
    <font>
      <b/>
      <sz val="14"/>
      <color rgb="FFFF0000"/>
      <name val="맑은 고딕"/>
      <family val="3"/>
      <charset val="129"/>
      <scheme val="major"/>
    </font>
    <font>
      <b/>
      <sz val="9"/>
      <color rgb="FFFF0000"/>
      <name val="맑은 고딕"/>
      <family val="3"/>
      <charset val="129"/>
      <scheme val="major"/>
    </font>
    <font>
      <b/>
      <sz val="12"/>
      <color theme="1"/>
      <name val="맑은 고딕"/>
      <family val="3"/>
      <charset val="129"/>
      <scheme val="major"/>
    </font>
    <font>
      <b/>
      <sz val="18"/>
      <color theme="1"/>
      <name val="맑은 고딕"/>
      <family val="3"/>
      <charset val="129"/>
      <scheme val="major"/>
    </font>
    <font>
      <i/>
      <sz val="11"/>
      <color theme="0"/>
      <name val="맑은 고딕"/>
      <family val="3"/>
      <charset val="129"/>
      <scheme val="major"/>
    </font>
    <font>
      <b/>
      <i/>
      <sz val="14"/>
      <color rgb="FFFF0000"/>
      <name val="맑은 고딕"/>
      <family val="3"/>
      <charset val="129"/>
      <scheme val="major"/>
    </font>
    <font>
      <b/>
      <i/>
      <sz val="11"/>
      <color theme="0"/>
      <name val="맑은 고딕"/>
      <family val="3"/>
      <charset val="129"/>
      <scheme val="major"/>
    </font>
    <font>
      <b/>
      <sz val="16"/>
      <color rgb="FFFF0000"/>
      <name val="맑은 고딕"/>
      <family val="3"/>
      <charset val="129"/>
      <scheme val="major"/>
    </font>
    <font>
      <b/>
      <sz val="16"/>
      <name val="맑은 고딕"/>
      <family val="3"/>
      <charset val="129"/>
      <scheme val="major"/>
    </font>
    <font>
      <sz val="12"/>
      <color theme="1"/>
      <name val="맑은 고딕"/>
      <family val="3"/>
      <charset val="129"/>
      <scheme val="major"/>
    </font>
    <font>
      <b/>
      <sz val="16"/>
      <color theme="0"/>
      <name val="맑은 고딕"/>
      <family val="3"/>
      <charset val="129"/>
      <scheme val="major"/>
    </font>
    <font>
      <sz val="24"/>
      <name val="맑은 고딕"/>
      <family val="3"/>
      <charset val="129"/>
      <scheme val="major"/>
    </font>
    <font>
      <sz val="16"/>
      <name val="맑은 고딕"/>
      <family val="3"/>
      <charset val="129"/>
      <scheme val="major"/>
    </font>
    <font>
      <b/>
      <i/>
      <sz val="12"/>
      <name val="맑은 고딕"/>
      <family val="3"/>
      <charset val="129"/>
      <scheme val="major"/>
    </font>
    <font>
      <sz val="14"/>
      <name val="맑은 고딕"/>
      <family val="3"/>
      <charset val="129"/>
      <scheme val="major"/>
    </font>
    <font>
      <b/>
      <sz val="12"/>
      <name val="맑은 고딕"/>
      <family val="3"/>
      <charset val="129"/>
      <scheme val="major"/>
    </font>
    <font>
      <b/>
      <sz val="10"/>
      <name val="맑은 고딕"/>
      <family val="3"/>
      <charset val="129"/>
      <scheme val="major"/>
    </font>
    <font>
      <sz val="12"/>
      <color theme="1"/>
      <name val="맑은 고딕"/>
      <family val="3"/>
      <charset val="129"/>
      <scheme val="minor"/>
    </font>
    <font>
      <sz val="11"/>
      <color theme="0"/>
      <name val="맑은 고딕"/>
      <family val="2"/>
      <charset val="129"/>
      <scheme val="minor"/>
    </font>
    <font>
      <sz val="11"/>
      <color rgb="FF000000"/>
      <name val="맑은 고딕"/>
      <family val="3"/>
      <charset val="129"/>
    </font>
  </fonts>
  <fills count="121">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D6D6D6"/>
        <bgColor indexed="64"/>
      </patternFill>
    </fill>
    <fill>
      <patternFill patternType="solid">
        <fgColor theme="3"/>
        <bgColor indexed="64"/>
      </patternFill>
    </fill>
    <fill>
      <patternFill patternType="solid">
        <fgColor theme="0"/>
        <bgColor indexed="64"/>
      </patternFill>
    </fill>
    <fill>
      <patternFill patternType="solid">
        <fgColor theme="4" tint="-0.499984740745262"/>
        <bgColor indexed="64"/>
      </patternFill>
    </fill>
    <fill>
      <patternFill patternType="solid">
        <fgColor theme="3" tint="-0.499984740745262"/>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FFFCC"/>
        <bgColor indexed="64"/>
      </patternFill>
    </fill>
    <fill>
      <patternFill patternType="solid">
        <fgColor theme="9" tint="-0.249977111117893"/>
        <bgColor indexed="64"/>
      </patternFill>
    </fill>
    <fill>
      <patternFill patternType="solid">
        <fgColor theme="6"/>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00B0F0"/>
        <bgColor indexed="64"/>
      </patternFill>
    </fill>
    <fill>
      <patternFill patternType="solid">
        <fgColor theme="8" tint="0.79998168889431442"/>
        <bgColor indexed="64"/>
      </patternFill>
    </fill>
    <fill>
      <patternFill patternType="solid">
        <fgColor rgb="FF0070C0"/>
        <bgColor indexed="64"/>
      </patternFill>
    </fill>
    <fill>
      <patternFill patternType="solid">
        <fgColor rgb="FF00B0F0"/>
        <bgColor rgb="FF00B0F0"/>
      </patternFill>
    </fill>
    <fill>
      <patternFill patternType="solid">
        <fgColor theme="1"/>
        <bgColor indexed="64"/>
      </patternFill>
    </fill>
    <fill>
      <patternFill patternType="gray125">
        <fgColor theme="8" tint="0.79998168889431442"/>
        <bgColor theme="0"/>
      </patternFill>
    </fill>
    <fill>
      <patternFill patternType="solid">
        <fgColor rgb="FF5D5D5D"/>
        <bgColor indexed="64"/>
      </patternFill>
    </fill>
    <fill>
      <patternFill patternType="solid">
        <fgColor rgb="FF002060"/>
        <bgColor indexed="64"/>
      </patternFill>
    </fill>
    <fill>
      <patternFill patternType="solid">
        <fgColor rgb="FFFF0000"/>
        <bgColor indexed="64"/>
      </patternFill>
    </fill>
    <fill>
      <gradientFill degree="270">
        <stop position="0">
          <color rgb="FF00B0F0"/>
        </stop>
        <stop position="1">
          <color theme="0"/>
        </stop>
      </gradientFill>
    </fill>
    <fill>
      <patternFill patternType="solid">
        <fgColor rgb="FF002060"/>
        <bgColor auto="1"/>
      </patternFill>
    </fill>
    <fill>
      <patternFill patternType="solid">
        <fgColor rgb="FFFFFFE1"/>
        <bgColor indexed="64"/>
      </patternFill>
    </fill>
    <fill>
      <patternFill patternType="solid">
        <fgColor rgb="FFFFCC00"/>
        <bgColor indexed="64"/>
      </patternFill>
    </fill>
    <fill>
      <patternFill patternType="solid">
        <fgColor rgb="FFE7FF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patternFill>
    </fill>
    <fill>
      <patternFill patternType="solid">
        <fgColor indexed="22"/>
        <bgColor indexed="64"/>
      </patternFill>
    </fill>
    <fill>
      <patternFill patternType="solid">
        <fgColor indexed="26"/>
        <bgColor indexed="64"/>
      </patternFill>
    </fill>
    <fill>
      <patternFill patternType="solid">
        <fgColor indexed="27"/>
        <bgColor indexed="64"/>
      </patternFill>
    </fill>
    <fill>
      <patternFill patternType="solid">
        <fgColor indexed="43"/>
      </patternFill>
    </fill>
    <fill>
      <patternFill patternType="solid">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4"/>
        <bgColor indexed="64"/>
      </patternFill>
    </fill>
    <fill>
      <patternFill patternType="solid">
        <fgColor indexed="42"/>
        <bgColor indexed="64"/>
      </patternFill>
    </fill>
    <fill>
      <patternFill patternType="solid">
        <fgColor indexed="55"/>
      </patternFill>
    </fill>
    <fill>
      <patternFill patternType="solid">
        <fgColor indexed="9"/>
        <bgColor indexed="64"/>
      </patternFill>
    </fill>
    <fill>
      <patternFill patternType="solid">
        <fgColor indexed="10"/>
        <bgColor indexed="64"/>
      </patternFill>
    </fill>
    <fill>
      <patternFill patternType="solid">
        <fgColor indexed="15"/>
      </patternFill>
    </fill>
    <fill>
      <patternFill patternType="solid">
        <fgColor indexed="13"/>
      </patternFill>
    </fill>
    <fill>
      <patternFill patternType="solid">
        <fgColor indexed="12"/>
      </patternFill>
    </fill>
    <fill>
      <patternFill patternType="solid">
        <fgColor indexed="26"/>
      </patternFill>
    </fill>
    <fill>
      <patternFill patternType="solid">
        <fgColor indexed="34"/>
        <bgColor indexed="64"/>
      </patternFill>
    </fill>
    <fill>
      <patternFill patternType="mediumGray">
        <fgColor indexed="22"/>
      </patternFill>
    </fill>
    <fill>
      <patternFill patternType="darkVertical"/>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1"/>
        <bgColor indexed="64"/>
      </patternFill>
    </fill>
    <fill>
      <patternFill patternType="solid">
        <fgColor indexed="16"/>
        <bgColor indexed="64"/>
      </patternFill>
    </fill>
    <fill>
      <patternFill patternType="solid">
        <fgColor indexed="8"/>
        <bgColor indexed="64"/>
      </patternFill>
    </fill>
    <fill>
      <patternFill patternType="solid">
        <fgColor indexed="38"/>
        <bgColor indexed="17"/>
      </patternFill>
    </fill>
    <fill>
      <patternFill patternType="solid">
        <fgColor indexed="65"/>
        <bgColor indexed="64"/>
      </patternFill>
    </fill>
    <fill>
      <patternFill patternType="solid">
        <fgColor indexed="33"/>
        <bgColor indexed="64"/>
      </patternFill>
    </fill>
    <fill>
      <patternFill patternType="solid">
        <fgColor rgb="FF8AA5CB"/>
        <bgColor indexed="64"/>
      </patternFill>
    </fill>
    <fill>
      <patternFill patternType="solid">
        <fgColor rgb="FFCCD6E3"/>
        <bgColor indexed="64"/>
      </patternFill>
    </fill>
    <fill>
      <patternFill patternType="solid">
        <fgColor theme="5"/>
        <bgColor indexed="64"/>
      </patternFill>
    </fill>
    <fill>
      <patternFill patternType="solid">
        <fgColor rgb="FFE5E5E5"/>
        <bgColor indexed="64"/>
      </patternFill>
    </fill>
    <fill>
      <patternFill patternType="gray125">
        <fgColor theme="0" tint="-4.9989318521683403E-2"/>
        <bgColor theme="0" tint="-4.9989318521683403E-2"/>
      </patternFill>
    </fill>
    <fill>
      <patternFill patternType="solid">
        <fgColor theme="0" tint="-0.34998626667073579"/>
        <bgColor indexed="64"/>
      </patternFill>
    </fill>
    <fill>
      <patternFill patternType="solid">
        <fgColor rgb="FF92D050"/>
        <bgColor indexed="64"/>
      </patternFill>
    </fill>
    <fill>
      <patternFill patternType="solid">
        <fgColor theme="9" tint="0.79998168889431442"/>
        <bgColor indexed="64"/>
      </patternFill>
    </fill>
    <fill>
      <patternFill patternType="solid">
        <fgColor rgb="FFD8D8D8"/>
        <bgColor indexed="64"/>
      </patternFill>
    </fill>
    <fill>
      <patternFill patternType="solid">
        <fgColor rgb="FF00A7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rgb="FF000000"/>
      </patternFill>
    </fill>
    <fill>
      <patternFill patternType="solid">
        <fgColor rgb="FF3399FF"/>
        <bgColor indexed="64"/>
      </patternFill>
    </fill>
  </fills>
  <borders count="3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bottom style="hair">
        <color indexed="64"/>
      </bottom>
      <diagonal/>
    </border>
    <border>
      <left style="thin">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hair">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theme="4" tint="-0.249977111117893"/>
      </left>
      <right/>
      <top/>
      <bottom/>
      <diagonal/>
    </border>
    <border>
      <left style="thin">
        <color rgb="FF000000"/>
      </left>
      <right/>
      <top style="thin">
        <color rgb="FF000000"/>
      </top>
      <bottom/>
      <diagonal/>
    </border>
    <border>
      <left style="thin">
        <color rgb="FF000000"/>
      </left>
      <right/>
      <top/>
      <bottom style="thin">
        <color rgb="FF000000"/>
      </bottom>
      <diagonal/>
    </border>
    <border>
      <left style="medium">
        <color theme="4" tint="-0.249977111117893"/>
      </left>
      <right/>
      <top style="medium">
        <color theme="4" tint="-0.249977111117893"/>
      </top>
      <bottom/>
      <diagonal/>
    </border>
    <border>
      <left/>
      <right/>
      <top style="medium">
        <color theme="4" tint="-0.249977111117893"/>
      </top>
      <bottom/>
      <diagonal/>
    </border>
    <border>
      <left/>
      <right style="thin">
        <color rgb="FF000000"/>
      </right>
      <top/>
      <bottom style="thin">
        <color rgb="FF000000"/>
      </bottom>
      <diagonal/>
    </border>
    <border>
      <left/>
      <right style="thin">
        <color rgb="FF000000"/>
      </right>
      <top style="thin">
        <color rgb="FF000000"/>
      </top>
      <bottom/>
      <diagonal/>
    </border>
    <border>
      <left/>
      <right style="thin">
        <color rgb="FF000000"/>
      </right>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hair">
        <color auto="1"/>
      </top>
      <bottom style="hair">
        <color auto="1"/>
      </bottom>
      <diagonal/>
    </border>
    <border>
      <left/>
      <right style="medium">
        <color indexed="64"/>
      </right>
      <top style="thin">
        <color indexed="64"/>
      </top>
      <bottom style="medium">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thin">
        <color rgb="FF000000"/>
      </right>
      <top style="thin">
        <color rgb="FF000000"/>
      </top>
      <bottom style="thin">
        <color rgb="FFFFFFFF"/>
      </bottom>
      <diagonal/>
    </border>
    <border>
      <left/>
      <right/>
      <top/>
      <bottom style="thin">
        <color rgb="FF000000"/>
      </bottom>
      <diagonal/>
    </border>
    <border>
      <left style="thin">
        <color rgb="FF000000"/>
      </left>
      <right style="medium">
        <color rgb="FF000000"/>
      </right>
      <top style="medium">
        <color rgb="FF000000"/>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medium">
        <color indexed="64"/>
      </bottom>
      <diagonal/>
    </border>
    <border>
      <left style="thin">
        <color indexed="64"/>
      </left>
      <right style="medium">
        <color indexed="64"/>
      </right>
      <top/>
      <bottom style="hair">
        <color indexed="64"/>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auto="1"/>
      </left>
      <right/>
      <top style="medium">
        <color auto="1"/>
      </top>
      <bottom style="medium">
        <color auto="1"/>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rgb="FF000000"/>
      </left>
      <right style="thin">
        <color rgb="FF000000"/>
      </right>
      <top style="thin">
        <color rgb="FF000000"/>
      </top>
      <bottom style="hair">
        <color rgb="FF000000"/>
      </bottom>
      <diagonal/>
    </border>
    <border>
      <left style="thin">
        <color rgb="FF000000"/>
      </left>
      <right style="medium">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medium">
        <color rgb="FF000000"/>
      </right>
      <top style="hair">
        <color rgb="FF000000"/>
      </top>
      <bottom style="hair">
        <color rgb="FF000000"/>
      </bottom>
      <diagonal/>
    </border>
    <border>
      <left style="thin">
        <color rgb="FF000000"/>
      </left>
      <right style="thin">
        <color rgb="FF000000"/>
      </right>
      <top style="hair">
        <color rgb="FF000000"/>
      </top>
      <bottom style="medium">
        <color rgb="FF000000"/>
      </bottom>
      <diagonal/>
    </border>
    <border>
      <left style="thin">
        <color rgb="FF000000"/>
      </left>
      <right style="thin">
        <color rgb="FF000000"/>
      </right>
      <top style="hair">
        <color rgb="FF000000"/>
      </top>
      <bottom style="thin">
        <color rgb="FF000000"/>
      </bottom>
      <diagonal/>
    </border>
    <border>
      <left style="thin">
        <color indexed="64"/>
      </left>
      <right style="medium">
        <color indexed="64"/>
      </right>
      <top style="thin">
        <color indexed="64"/>
      </top>
      <bottom/>
      <diagonal/>
    </border>
    <border>
      <left style="medium">
        <color auto="1"/>
      </left>
      <right style="thin">
        <color auto="1"/>
      </right>
      <top style="double">
        <color auto="1"/>
      </top>
      <bottom style="medium">
        <color indexed="64"/>
      </bottom>
      <diagonal/>
    </border>
    <border>
      <left style="thin">
        <color auto="1"/>
      </left>
      <right style="thin">
        <color auto="1"/>
      </right>
      <top style="double">
        <color auto="1"/>
      </top>
      <bottom style="medium">
        <color indexed="64"/>
      </bottom>
      <diagonal/>
    </border>
    <border>
      <left style="thin">
        <color auto="1"/>
      </left>
      <right style="medium">
        <color indexed="64"/>
      </right>
      <top style="double">
        <color auto="1"/>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dotted">
        <color indexed="64"/>
      </top>
      <bottom style="thin">
        <color indexed="64"/>
      </bottom>
      <diagonal/>
    </border>
    <border>
      <left style="thin">
        <color rgb="FF000000"/>
      </left>
      <right style="dotted">
        <color rgb="FF000000"/>
      </right>
      <top style="thick">
        <color rgb="FF000000"/>
      </top>
      <bottom/>
      <diagonal/>
    </border>
    <border>
      <left style="thin">
        <color rgb="FF000000"/>
      </left>
      <right style="dotted">
        <color rgb="FF000000"/>
      </right>
      <top/>
      <bottom style="double">
        <color rgb="FF000000"/>
      </bottom>
      <diagonal/>
    </border>
    <border>
      <left style="dotted">
        <color rgb="FF000000"/>
      </left>
      <right style="thin">
        <color rgb="FF000000"/>
      </right>
      <top style="thick">
        <color rgb="FF000000"/>
      </top>
      <bottom/>
      <diagonal/>
    </border>
    <border>
      <left style="dotted">
        <color rgb="FF000000"/>
      </left>
      <right style="thin">
        <color rgb="FF000000"/>
      </right>
      <top/>
      <bottom style="double">
        <color rgb="FF000000"/>
      </bottom>
      <diagonal/>
    </border>
    <border>
      <left style="dotted">
        <color rgb="FF000000"/>
      </left>
      <right style="dotted">
        <color rgb="FF000000"/>
      </right>
      <top/>
      <bottom style="double">
        <color rgb="FF000000"/>
      </bottom>
      <diagonal/>
    </border>
    <border>
      <left style="dotted">
        <color rgb="FF000000"/>
      </left>
      <right style="dotted">
        <color rgb="FF000000"/>
      </right>
      <top/>
      <bottom/>
      <diagonal/>
    </border>
    <border>
      <left style="medium">
        <color indexed="64"/>
      </left>
      <right style="medium">
        <color indexed="64"/>
      </right>
      <top style="medium">
        <color indexed="64"/>
      </top>
      <bottom style="thin">
        <color indexed="64"/>
      </bottom>
      <diagonal/>
    </border>
    <border>
      <left style="medium">
        <color auto="1"/>
      </left>
      <right style="double">
        <color auto="1"/>
      </right>
      <top style="medium">
        <color auto="1"/>
      </top>
      <bottom/>
      <diagonal/>
    </border>
    <border>
      <left style="double">
        <color auto="1"/>
      </left>
      <right style="double">
        <color auto="1"/>
      </right>
      <top style="medium">
        <color auto="1"/>
      </top>
      <bottom/>
      <diagonal/>
    </border>
    <border>
      <left style="double">
        <color auto="1"/>
      </left>
      <right style="medium">
        <color auto="1"/>
      </right>
      <top style="medium">
        <color auto="1"/>
      </top>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medium">
        <color auto="1"/>
      </left>
      <right style="double">
        <color auto="1"/>
      </right>
      <top/>
      <bottom style="medium">
        <color auto="1"/>
      </bottom>
      <diagonal/>
    </border>
    <border>
      <left style="double">
        <color auto="1"/>
      </left>
      <right style="double">
        <color auto="1"/>
      </right>
      <top/>
      <bottom style="medium">
        <color auto="1"/>
      </bottom>
      <diagonal/>
    </border>
    <border>
      <left style="double">
        <color auto="1"/>
      </left>
      <right style="medium">
        <color auto="1"/>
      </right>
      <top/>
      <bottom style="medium">
        <color auto="1"/>
      </bottom>
      <diagonal/>
    </border>
    <border>
      <left style="medium">
        <color theme="3" tint="-0.499984740745262"/>
      </left>
      <right style="medium">
        <color indexed="64"/>
      </right>
      <top style="medium">
        <color theme="3" tint="-0.499984740745262"/>
      </top>
      <bottom/>
      <diagonal/>
    </border>
    <border>
      <left style="medium">
        <color theme="3" tint="-0.499984740745262"/>
      </left>
      <right style="medium">
        <color indexed="64"/>
      </right>
      <top/>
      <bottom style="medium">
        <color theme="3" tint="-0.499984740745262"/>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bottom style="medium">
        <color indexed="64"/>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diagonal style="mediumDashed">
        <color indexed="0"/>
      </diagonal>
    </border>
    <border>
      <left/>
      <right/>
      <top/>
      <bottom style="hair">
        <color indexed="22"/>
      </bottom>
      <diagonal/>
    </border>
    <border>
      <left/>
      <right/>
      <top style="hair">
        <color indexed="8"/>
      </top>
      <bottom style="hair">
        <color indexed="8"/>
      </bottom>
      <diagonal/>
    </border>
    <border>
      <left/>
      <right/>
      <top/>
      <bottom style="medium">
        <color indexed="18"/>
      </bottom>
      <diagonal/>
    </border>
    <border>
      <left/>
      <right/>
      <top/>
      <bottom style="hair">
        <color indexed="64"/>
      </bottom>
      <diagonal/>
    </border>
    <border>
      <left/>
      <right/>
      <top/>
      <bottom style="thin">
        <color indexed="64"/>
      </bottom>
      <diagonal/>
    </border>
    <border>
      <left style="thin">
        <color indexed="64"/>
      </left>
      <right style="thin">
        <color indexed="64"/>
      </right>
      <top/>
      <bottom style="dotted">
        <color indexed="64"/>
      </bottom>
      <diagonal/>
    </border>
    <border>
      <left style="double">
        <color indexed="64"/>
      </left>
      <right/>
      <top/>
      <bottom style="hair">
        <color indexed="64"/>
      </bottom>
      <diagonal/>
    </border>
    <border>
      <left style="thin">
        <color indexed="9"/>
      </left>
      <right style="thin">
        <color indexed="9"/>
      </right>
      <top style="thin">
        <color indexed="9"/>
      </top>
      <bottom style="thin">
        <color indexed="9"/>
      </bottom>
      <diagonal/>
    </border>
    <border>
      <left/>
      <right/>
      <top style="thin">
        <color indexed="64"/>
      </top>
      <bottom/>
      <diagonal/>
    </border>
    <border>
      <left/>
      <right/>
      <top/>
      <bottom style="medium">
        <color indexed="24"/>
      </bottom>
      <diagonal/>
    </border>
    <border>
      <left/>
      <right/>
      <top style="double">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right/>
      <top style="double">
        <color indexed="64"/>
      </top>
      <bottom style="double">
        <color indexed="64"/>
      </bottom>
      <diagonal/>
    </border>
    <border>
      <left/>
      <right/>
      <top/>
      <bottom style="dotted">
        <color indexed="64"/>
      </bottom>
      <diagonal/>
    </border>
    <border>
      <left/>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medium">
        <color auto="1"/>
      </left>
      <right/>
      <top style="medium">
        <color auto="1"/>
      </top>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ck">
        <color indexed="64"/>
      </bottom>
      <diagonal/>
    </border>
    <border>
      <left/>
      <right/>
      <top style="thin">
        <color indexed="64"/>
      </top>
      <bottom style="double">
        <color indexed="64"/>
      </bottom>
      <diagonal/>
    </border>
    <border>
      <left style="thin">
        <color indexed="8"/>
      </left>
      <right style="thin">
        <color indexed="8"/>
      </right>
      <top style="double">
        <color indexed="8"/>
      </top>
      <bottom style="thin">
        <color indexed="8"/>
      </bottom>
      <diagonal/>
    </border>
    <border>
      <left style="double">
        <color indexed="63"/>
      </left>
      <right style="double">
        <color indexed="63"/>
      </right>
      <top style="double">
        <color indexed="63"/>
      </top>
      <bottom style="double">
        <color indexed="63"/>
      </bottom>
      <diagonal/>
    </border>
    <border>
      <left style="thin">
        <color indexed="8"/>
      </left>
      <right/>
      <top style="thin">
        <color indexed="8"/>
      </top>
      <bottom/>
      <diagonal/>
    </border>
    <border>
      <left style="dashed">
        <color indexed="64"/>
      </left>
      <right/>
      <top style="hair">
        <color indexed="64"/>
      </top>
      <bottom style="hair">
        <color indexed="64"/>
      </bottom>
      <diagonal/>
    </border>
    <border>
      <left/>
      <right/>
      <top style="thin">
        <color indexed="62"/>
      </top>
      <bottom style="double">
        <color indexed="62"/>
      </bottom>
      <diagonal/>
    </border>
    <border>
      <left style="dotted">
        <color indexed="64"/>
      </left>
      <right style="dotted">
        <color indexed="64"/>
      </right>
      <top style="dotted">
        <color indexed="64"/>
      </top>
      <bottom style="dotted">
        <color indexed="64"/>
      </bottom>
      <diagonal/>
    </border>
    <border>
      <left style="hair">
        <color indexed="64"/>
      </left>
      <right style="hair">
        <color indexed="64"/>
      </right>
      <top style="dotted">
        <color indexed="64"/>
      </top>
      <bottom style="dotted">
        <color indexed="64"/>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medium">
        <color indexed="64"/>
      </left>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thin">
        <color indexed="64"/>
      </left>
      <right style="thin">
        <color indexed="64"/>
      </right>
      <top style="hair">
        <color indexed="64"/>
      </top>
      <bottom/>
      <diagonal/>
    </border>
    <border>
      <left style="medium">
        <color auto="1"/>
      </left>
      <right style="medium">
        <color auto="1"/>
      </right>
      <top style="double">
        <color auto="1"/>
      </top>
      <bottom style="medium">
        <color auto="1"/>
      </bottom>
      <diagonal/>
    </border>
    <border>
      <left style="medium">
        <color indexed="64"/>
      </left>
      <right style="medium">
        <color auto="1"/>
      </right>
      <top style="thin">
        <color indexed="64"/>
      </top>
      <bottom style="double">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medium">
        <color indexed="64"/>
      </bottom>
      <diagonal/>
    </border>
    <border>
      <left style="thin">
        <color indexed="64"/>
      </left>
      <right style="thin">
        <color indexed="64"/>
      </right>
      <top style="thin">
        <color indexed="64"/>
      </top>
      <bottom style="double">
        <color auto="1"/>
      </bottom>
      <diagonal/>
    </border>
    <border>
      <left style="thin">
        <color indexed="64"/>
      </left>
      <right style="medium">
        <color indexed="64"/>
      </right>
      <top style="thin">
        <color indexed="64"/>
      </top>
      <bottom style="double">
        <color auto="1"/>
      </bottom>
      <diagonal/>
    </border>
    <border>
      <left style="double">
        <color indexed="64"/>
      </left>
      <right style="thin">
        <color indexed="64"/>
      </right>
      <top style="thin">
        <color indexed="64"/>
      </top>
      <bottom style="double">
        <color auto="1"/>
      </bottom>
      <diagonal/>
    </border>
    <border>
      <left style="thin">
        <color indexed="64"/>
      </left>
      <right style="double">
        <color indexed="64"/>
      </right>
      <top style="thin">
        <color indexed="64"/>
      </top>
      <bottom style="double">
        <color auto="1"/>
      </bottom>
      <diagonal/>
    </border>
    <border>
      <left style="medium">
        <color theme="4" tint="-0.249977111117893"/>
      </left>
      <right/>
      <top/>
      <bottom style="thin">
        <color rgb="FF000000"/>
      </bottom>
      <diagonal/>
    </border>
    <border>
      <left style="medium">
        <color indexed="64"/>
      </left>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diagonal/>
    </border>
    <border>
      <left style="medium">
        <color indexed="64"/>
      </left>
      <right/>
      <top style="hair">
        <color indexed="64"/>
      </top>
      <bottom/>
      <diagonal/>
    </border>
    <border>
      <left style="thin">
        <color indexed="64"/>
      </left>
      <right style="medium">
        <color indexed="64"/>
      </right>
      <top/>
      <bottom/>
      <diagonal/>
    </border>
    <border>
      <left/>
      <right/>
      <top style="thin">
        <color rgb="FF000000"/>
      </top>
      <bottom/>
      <diagonal/>
    </border>
    <border>
      <left style="thin">
        <color rgb="FF000000"/>
      </left>
      <right/>
      <top/>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rgb="FF000000"/>
      </top>
      <bottom style="thin">
        <color rgb="FF000000"/>
      </bottom>
      <diagonal/>
    </border>
    <border>
      <left style="thin">
        <color indexed="64"/>
      </left>
      <right/>
      <top style="thin">
        <color rgb="FF000000"/>
      </top>
      <bottom/>
      <diagonal/>
    </border>
    <border>
      <left style="thin">
        <color indexed="64"/>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top style="thin">
        <color rgb="FF000000"/>
      </top>
      <bottom style="thin">
        <color indexed="64"/>
      </bottom>
      <diagonal/>
    </border>
    <border>
      <left/>
      <right style="thin">
        <color indexed="64"/>
      </right>
      <top style="thin">
        <color indexed="64"/>
      </top>
      <bottom style="thin">
        <color rgb="FF000000"/>
      </bottom>
      <diagonal/>
    </border>
    <border>
      <left style="thin">
        <color rgb="FF000000"/>
      </left>
      <right style="thin">
        <color indexed="64"/>
      </right>
      <top style="thin">
        <color rgb="FF000000"/>
      </top>
      <bottom/>
      <diagonal/>
    </border>
    <border>
      <left/>
      <right style="thin">
        <color indexed="64"/>
      </right>
      <top style="thin">
        <color rgb="FF000000"/>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style="thin">
        <color indexed="64"/>
      </top>
      <bottom/>
      <diagonal/>
    </border>
    <border>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double">
        <color theme="3" tint="-0.499984740745262"/>
      </right>
      <top style="thin">
        <color auto="1"/>
      </top>
      <bottom style="thin">
        <color auto="1"/>
      </bottom>
      <diagonal/>
    </border>
    <border>
      <left style="double">
        <color theme="3" tint="-0.499984740745262"/>
      </left>
      <right/>
      <top style="thin">
        <color auto="1"/>
      </top>
      <bottom style="thin">
        <color auto="1"/>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theme="3" tint="-0.499984740745262"/>
      </top>
      <bottom style="thin">
        <color indexed="64"/>
      </bottom>
      <diagonal/>
    </border>
    <border>
      <left style="thin">
        <color indexed="64"/>
      </left>
      <right/>
      <top style="medium">
        <color theme="3" tint="-0.499984740745262"/>
      </top>
      <bottom/>
      <diagonal/>
    </border>
    <border>
      <left/>
      <right style="double">
        <color indexed="64"/>
      </right>
      <top style="medium">
        <color theme="3" tint="-0.499984740745262"/>
      </top>
      <bottom/>
      <diagonal/>
    </border>
    <border>
      <left style="double">
        <color auto="1"/>
      </left>
      <right/>
      <top style="medium">
        <color theme="3" tint="-0.499984740745262"/>
      </top>
      <bottom/>
      <diagonal/>
    </border>
    <border>
      <left/>
      <right/>
      <top style="medium">
        <color theme="3" tint="-0.499984740745262"/>
      </top>
      <bottom/>
      <diagonal/>
    </border>
    <border>
      <left/>
      <right style="medium">
        <color theme="3" tint="-0.499984740745262"/>
      </right>
      <top style="medium">
        <color theme="3" tint="-0.499984740745262"/>
      </top>
      <bottom/>
      <diagonal/>
    </border>
    <border>
      <left style="thin">
        <color indexed="64"/>
      </left>
      <right style="thin">
        <color indexed="64"/>
      </right>
      <top/>
      <bottom style="medium">
        <color theme="3" tint="-0.499984740745262"/>
      </bottom>
      <diagonal/>
    </border>
    <border>
      <left/>
      <right/>
      <top style="thin">
        <color theme="3" tint="-0.499984740745262"/>
      </top>
      <bottom style="medium">
        <color theme="3" tint="-0.499984740745262"/>
      </bottom>
      <diagonal/>
    </border>
    <border>
      <left style="thin">
        <color indexed="64"/>
      </left>
      <right/>
      <top style="thin">
        <color theme="3" tint="-0.499984740745262"/>
      </top>
      <bottom style="medium">
        <color theme="3" tint="-0.499984740745262"/>
      </bottom>
      <diagonal/>
    </border>
    <border>
      <left/>
      <right style="double">
        <color indexed="64"/>
      </right>
      <top style="thin">
        <color theme="3" tint="-0.499984740745262"/>
      </top>
      <bottom style="medium">
        <color theme="3" tint="-0.499984740745262"/>
      </bottom>
      <diagonal/>
    </border>
    <border>
      <left style="double">
        <color auto="1"/>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hair">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diagonal/>
    </border>
    <border>
      <left style="medium">
        <color indexed="64"/>
      </left>
      <right/>
      <top style="thin">
        <color indexed="64"/>
      </top>
      <bottom style="hair">
        <color indexed="64"/>
      </bottom>
      <diagonal/>
    </border>
    <border>
      <left style="double">
        <color indexed="64"/>
      </left>
      <right/>
      <top style="medium">
        <color indexed="64"/>
      </top>
      <bottom style="thin">
        <color indexed="64"/>
      </bottom>
      <diagonal/>
    </border>
    <border>
      <left style="double">
        <color indexed="64"/>
      </left>
      <right/>
      <top style="thin">
        <color indexed="64"/>
      </top>
      <bottom style="medium">
        <color indexed="64"/>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ck">
        <color rgb="FF000000"/>
      </top>
      <bottom/>
      <diagonal/>
    </border>
    <border>
      <left style="dotted">
        <color rgb="FF000000"/>
      </left>
      <right style="dotted">
        <color rgb="FF000000"/>
      </right>
      <top style="thick">
        <color rgb="FF000000"/>
      </top>
      <bottom/>
      <diagonal/>
    </border>
    <border>
      <left style="dotted">
        <color rgb="FF000000"/>
      </left>
      <right style="medium">
        <color rgb="FF000000"/>
      </right>
      <top style="thick">
        <color rgb="FF000000"/>
      </top>
      <bottom/>
      <diagonal/>
    </border>
    <border>
      <left style="thin">
        <color rgb="FF000000"/>
      </left>
      <right style="thin">
        <color rgb="FF000000"/>
      </right>
      <top/>
      <bottom style="double">
        <color rgb="FF000000"/>
      </bottom>
      <diagonal/>
    </border>
    <border>
      <left style="thin">
        <color rgb="FF000000"/>
      </left>
      <right style="dotted">
        <color rgb="FF000000"/>
      </right>
      <top/>
      <bottom style="medium">
        <color rgb="FF000000"/>
      </bottom>
      <diagonal/>
    </border>
    <border>
      <left style="thin">
        <color rgb="FF000000"/>
      </left>
      <right/>
      <top style="medium">
        <color rgb="FF000000"/>
      </top>
      <bottom style="thick">
        <color rgb="FF000000"/>
      </bottom>
      <diagonal/>
    </border>
    <border>
      <left/>
      <right/>
      <top style="medium">
        <color rgb="FF000000"/>
      </top>
      <bottom style="thick">
        <color rgb="FF000000"/>
      </bottom>
      <diagonal/>
    </border>
    <border>
      <left/>
      <right style="medium">
        <color rgb="FF000000"/>
      </right>
      <top style="medium">
        <color rgb="FF000000"/>
      </top>
      <bottom style="thick">
        <color rgb="FF000000"/>
      </bottom>
      <diagonal/>
    </border>
    <border>
      <left/>
      <right style="thin">
        <color rgb="FF000000"/>
      </right>
      <top style="medium">
        <color rgb="FF000000"/>
      </top>
      <bottom style="thick">
        <color rgb="FF000000"/>
      </bottom>
      <diagonal/>
    </border>
    <border>
      <left style="dotted">
        <color rgb="FF000000"/>
      </left>
      <right style="thin">
        <color rgb="FF000000"/>
      </right>
      <top/>
      <bottom style="medium">
        <color rgb="FF000000"/>
      </bottom>
      <diagonal/>
    </border>
    <border>
      <left style="thin">
        <color rgb="FF000000"/>
      </left>
      <right style="thin">
        <color rgb="FF000000"/>
      </right>
      <top style="double">
        <color rgb="FF000000"/>
      </top>
      <bottom style="thin">
        <color rgb="FF000000"/>
      </bottom>
      <diagonal/>
    </border>
    <border>
      <left style="thin">
        <color rgb="FF000000"/>
      </left>
      <right/>
      <top style="thick">
        <color rgb="FF000000"/>
      </top>
      <bottom/>
      <diagonal/>
    </border>
    <border>
      <left style="thin">
        <color rgb="FF000000"/>
      </left>
      <right/>
      <top/>
      <bottom style="double">
        <color rgb="FF000000"/>
      </bottom>
      <diagonal/>
    </border>
    <border>
      <left style="thin">
        <color rgb="FF000000"/>
      </left>
      <right/>
      <top/>
      <bottom style="medium">
        <color rgb="FF000000"/>
      </bottom>
      <diagonal/>
    </border>
    <border>
      <left style="dotted">
        <color rgb="FF000000"/>
      </left>
      <right style="medium">
        <color rgb="FF000000"/>
      </right>
      <top/>
      <bottom/>
      <diagonal/>
    </border>
    <border>
      <left style="medium">
        <color rgb="FF000000"/>
      </left>
      <right style="medium">
        <color rgb="FF000000"/>
      </right>
      <top style="thin">
        <color rgb="FF000000"/>
      </top>
      <bottom style="medium">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thin">
        <color indexed="64"/>
      </top>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rgb="FF000000"/>
      </left>
      <right style="medium">
        <color rgb="FF000000"/>
      </right>
      <top style="hair">
        <color rgb="FF000000"/>
      </top>
      <bottom style="medium">
        <color rgb="FF000000"/>
      </bottom>
      <diagonal/>
    </border>
    <border>
      <left style="thin">
        <color rgb="FF000000"/>
      </left>
      <right style="medium">
        <color rgb="FF000000"/>
      </right>
      <top style="hair">
        <color rgb="FF000000"/>
      </top>
      <bottom/>
      <diagonal/>
    </border>
    <border>
      <left style="thin">
        <color rgb="FF000000"/>
      </left>
      <right style="medium">
        <color rgb="FF000000"/>
      </right>
      <top style="hair">
        <color indexed="64"/>
      </top>
      <bottom style="medium">
        <color rgb="FF000000"/>
      </bottom>
      <diagonal/>
    </border>
    <border>
      <left style="thin">
        <color rgb="FF000000"/>
      </left>
      <right style="medium">
        <color rgb="FF000000"/>
      </right>
      <top style="thin">
        <color rgb="FF000000"/>
      </top>
      <bottom/>
      <diagonal/>
    </border>
    <border>
      <left style="thin">
        <color rgb="FF000000"/>
      </left>
      <right style="medium">
        <color rgb="FF000000"/>
      </right>
      <top/>
      <bottom style="hair">
        <color rgb="FF000000"/>
      </bottom>
      <diagonal/>
    </border>
    <border>
      <left style="thin">
        <color rgb="FF000000"/>
      </left>
      <right style="medium">
        <color rgb="FF000000"/>
      </right>
      <top style="thin">
        <color rgb="FF000000"/>
      </top>
      <bottom style="hair">
        <color indexed="64"/>
      </bottom>
      <diagonal/>
    </border>
    <border>
      <left style="thin">
        <color rgb="FF000000"/>
      </left>
      <right style="medium">
        <color rgb="FF000000"/>
      </right>
      <top/>
      <bottom/>
      <diagonal/>
    </border>
    <border>
      <left style="thin">
        <color rgb="FF000000"/>
      </left>
      <right style="medium">
        <color rgb="FF000000"/>
      </right>
      <top style="hair">
        <color indexed="64"/>
      </top>
      <bottom/>
      <diagonal/>
    </border>
    <border>
      <left style="thin">
        <color rgb="FF000000"/>
      </left>
      <right style="medium">
        <color rgb="FF000000"/>
      </right>
      <top style="hair">
        <color indexed="64"/>
      </top>
      <bottom style="hair">
        <color indexed="64"/>
      </bottom>
      <diagonal/>
    </border>
    <border>
      <left style="thin">
        <color rgb="FF000000"/>
      </left>
      <right style="medium">
        <color rgb="FF000000"/>
      </right>
      <top style="hair">
        <color indexed="64"/>
      </top>
      <bottom style="medium">
        <color indexed="64"/>
      </bottom>
      <diagonal/>
    </border>
    <border>
      <left style="thin">
        <color rgb="FF000000"/>
      </left>
      <right style="medium">
        <color rgb="FF000000"/>
      </right>
      <top style="hair">
        <color rgb="FF000000"/>
      </top>
      <bottom style="thin">
        <color indexed="64"/>
      </bottom>
      <diagonal/>
    </border>
    <border>
      <left style="thin">
        <color rgb="FF000000"/>
      </left>
      <right style="thin">
        <color rgb="FF000000"/>
      </right>
      <top/>
      <bottom style="thin">
        <color indexed="64"/>
      </bottom>
      <diagonal/>
    </border>
    <border>
      <left style="thin">
        <color rgb="FF000000"/>
      </left>
      <right/>
      <top style="hair">
        <color rgb="FF000000"/>
      </top>
      <bottom style="hair">
        <color rgb="FF000000"/>
      </bottom>
      <diagonal/>
    </border>
    <border>
      <left style="thin">
        <color rgb="FF000000"/>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rgb="FF000000"/>
      </bottom>
      <diagonal/>
    </border>
    <border>
      <left style="thin">
        <color rgb="FF000000"/>
      </left>
      <right/>
      <top style="hair">
        <color indexed="64"/>
      </top>
      <bottom style="hair">
        <color rgb="FF000000"/>
      </bottom>
      <diagonal/>
    </border>
    <border>
      <left/>
      <right style="thin">
        <color rgb="FF000000"/>
      </right>
      <top style="hair">
        <color indexed="64"/>
      </top>
      <bottom style="hair">
        <color rgb="FF000000"/>
      </bottom>
      <diagonal/>
    </border>
    <border>
      <left style="thin">
        <color rgb="FF000000"/>
      </left>
      <right style="medium">
        <color indexed="64"/>
      </right>
      <top style="thin">
        <color rgb="FF000000"/>
      </top>
      <bottom style="thin">
        <color rgb="FF000000"/>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style="thin">
        <color indexed="64"/>
      </right>
      <top/>
      <bottom style="thin">
        <color indexed="64"/>
      </bottom>
      <diagonal/>
    </border>
    <border>
      <left style="thin">
        <color rgb="FF000000"/>
      </left>
      <right style="thin">
        <color rgb="FF000000"/>
      </right>
      <top style="hair">
        <color rgb="FF000000"/>
      </top>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style="dotted">
        <color indexed="64"/>
      </top>
      <bottom/>
      <diagonal/>
    </border>
    <border>
      <left/>
      <right/>
      <top style="dotted">
        <color indexed="64"/>
      </top>
      <bottom style="dotted">
        <color indexed="64"/>
      </bottom>
      <diagonal/>
    </border>
    <border>
      <left/>
      <right/>
      <top style="dotted">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rgb="FF000000"/>
      </right>
      <top style="hair">
        <color indexed="64"/>
      </top>
      <bottom/>
      <diagonal/>
    </border>
    <border>
      <left/>
      <right style="thin">
        <color rgb="FF000000"/>
      </right>
      <top style="hair">
        <color indexed="64"/>
      </top>
      <bottom style="hair">
        <color indexed="64"/>
      </bottom>
      <diagonal/>
    </border>
    <border>
      <left/>
      <right style="thin">
        <color rgb="FF000000"/>
      </right>
      <top style="hair">
        <color indexed="64"/>
      </top>
      <bottom style="medium">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style="medium">
        <color indexed="64"/>
      </left>
      <right/>
      <top style="medium">
        <color rgb="FF000000"/>
      </top>
      <bottom/>
      <diagonal/>
    </border>
    <border>
      <left style="medium">
        <color indexed="64"/>
      </left>
      <right/>
      <top/>
      <bottom style="medium">
        <color indexed="64"/>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diagonal/>
    </border>
    <border>
      <left style="thin">
        <color rgb="FF000000"/>
      </left>
      <right style="medium">
        <color indexed="64"/>
      </right>
      <top style="hair">
        <color indexed="64"/>
      </top>
      <bottom style="hair">
        <color indexed="64"/>
      </bottom>
      <diagonal/>
    </border>
    <border>
      <left style="thin">
        <color rgb="FF000000"/>
      </left>
      <right style="medium">
        <color indexed="64"/>
      </right>
      <top/>
      <bottom/>
      <diagonal/>
    </border>
    <border>
      <left style="thin">
        <color rgb="FF000000"/>
      </left>
      <right style="medium">
        <color indexed="64"/>
      </right>
      <top style="hair">
        <color indexed="64"/>
      </top>
      <bottom style="medium">
        <color indexed="64"/>
      </bottom>
      <diagonal/>
    </border>
    <border>
      <left style="thin">
        <color rgb="FF000000"/>
      </left>
      <right style="medium">
        <color indexed="64"/>
      </right>
      <top style="thin">
        <color rgb="FF000000"/>
      </top>
      <bottom style="hair">
        <color indexed="64"/>
      </bottom>
      <diagonal/>
    </border>
    <border>
      <left style="thin">
        <color rgb="FF000000"/>
      </left>
      <right style="medium">
        <color indexed="64"/>
      </right>
      <top/>
      <bottom style="medium">
        <color indexed="64"/>
      </bottom>
      <diagonal/>
    </border>
    <border>
      <left style="thin">
        <color theme="1"/>
      </left>
      <right style="thin">
        <color theme="1"/>
      </right>
      <top style="thin">
        <color theme="1"/>
      </top>
      <bottom/>
      <diagonal/>
    </border>
    <border>
      <left style="medium">
        <color rgb="FF000000"/>
      </left>
      <right style="thin">
        <color rgb="FF000000"/>
      </right>
      <top style="thin">
        <color indexed="64"/>
      </top>
      <bottom style="medium">
        <color indexed="64"/>
      </bottom>
      <diagonal/>
    </border>
    <border>
      <left style="thin">
        <color rgb="FF000000"/>
      </left>
      <right style="thin">
        <color rgb="FF000000"/>
      </right>
      <top style="thin">
        <color indexed="64"/>
      </top>
      <bottom style="medium">
        <color indexed="64"/>
      </bottom>
      <diagonal/>
    </border>
    <border>
      <left style="medium">
        <color rgb="FF000000"/>
      </left>
      <right style="thin">
        <color rgb="FF000000"/>
      </right>
      <top style="hair">
        <color rgb="FF000000"/>
      </top>
      <bottom style="hair">
        <color rgb="FF000000"/>
      </bottom>
      <diagonal/>
    </border>
    <border>
      <left style="medium">
        <color rgb="FF000000"/>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top/>
      <bottom style="hair">
        <color indexed="64"/>
      </bottom>
      <diagonal/>
    </border>
  </borders>
  <cellStyleXfs count="6616">
    <xf numFmtId="0" fontId="0" fillId="0" borderId="0"/>
    <xf numFmtId="41" fontId="10" fillId="0" borderId="0" applyFont="0" applyFill="0" applyBorder="0" applyAlignment="0" applyProtection="0"/>
    <xf numFmtId="0" fontId="12" fillId="0" borderId="0">
      <alignment vertical="center"/>
    </xf>
    <xf numFmtId="41" fontId="12" fillId="0" borderId="0" applyFont="0" applyFill="0" applyBorder="0" applyAlignment="0" applyProtection="0"/>
    <xf numFmtId="0" fontId="17" fillId="0" borderId="0" applyNumberFormat="0" applyFill="0" applyBorder="0" applyAlignment="0" applyProtection="0"/>
    <xf numFmtId="9" fontId="10" fillId="0" borderId="0" applyFont="0" applyFill="0" applyBorder="0" applyAlignment="0" applyProtection="0">
      <alignment vertical="center"/>
    </xf>
    <xf numFmtId="0" fontId="9" fillId="0" borderId="0">
      <alignment vertical="center"/>
    </xf>
    <xf numFmtId="9" fontId="9" fillId="0" borderId="0" applyFont="0" applyFill="0" applyBorder="0" applyAlignment="0" applyProtection="0">
      <alignment vertical="center"/>
    </xf>
    <xf numFmtId="0" fontId="8" fillId="0" borderId="0">
      <alignment vertical="center"/>
    </xf>
    <xf numFmtId="41" fontId="8" fillId="0" borderId="0" applyFont="0" applyFill="0" applyBorder="0" applyAlignment="0" applyProtection="0">
      <alignment vertical="center"/>
    </xf>
    <xf numFmtId="9" fontId="8" fillId="0" borderId="0" applyFont="0" applyFill="0" applyBorder="0" applyAlignment="0" applyProtection="0">
      <alignment vertical="center"/>
    </xf>
    <xf numFmtId="0" fontId="44" fillId="0" borderId="0" applyNumberFormat="0" applyFill="0" applyBorder="0" applyAlignment="0" applyProtection="0">
      <alignment vertical="center"/>
    </xf>
    <xf numFmtId="0" fontId="10" fillId="0" borderId="0"/>
    <xf numFmtId="9" fontId="8"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xf numFmtId="41" fontId="10" fillId="0" borderId="0" applyFont="0" applyFill="0" applyBorder="0" applyAlignment="0" applyProtection="0"/>
    <xf numFmtId="0" fontId="10" fillId="0" borderId="0">
      <alignment vertical="center"/>
    </xf>
    <xf numFmtId="0" fontId="8" fillId="0" borderId="0">
      <alignment vertical="center"/>
    </xf>
    <xf numFmtId="0" fontId="7" fillId="0" borderId="0">
      <alignment vertical="center"/>
    </xf>
    <xf numFmtId="0" fontId="68" fillId="0" borderId="0" applyNumberFormat="0" applyFill="0" applyBorder="0" applyAlignment="0" applyProtection="0"/>
    <xf numFmtId="0" fontId="5" fillId="0" borderId="0">
      <alignment vertical="center"/>
    </xf>
    <xf numFmtId="0" fontId="80" fillId="63" borderId="0" applyNumberFormat="0" applyBorder="0" applyAlignment="0" applyProtection="0">
      <alignment vertical="center"/>
    </xf>
    <xf numFmtId="0" fontId="10" fillId="0" borderId="0"/>
    <xf numFmtId="0" fontId="10" fillId="0" borderId="0">
      <alignment vertical="center"/>
    </xf>
    <xf numFmtId="41" fontId="10" fillId="0" borderId="0"/>
    <xf numFmtId="0" fontId="82" fillId="0" borderId="0" applyFont="0" applyFill="0" applyBorder="0" applyAlignment="0" applyProtection="0"/>
    <xf numFmtId="0" fontId="82" fillId="0" borderId="0"/>
    <xf numFmtId="0" fontId="83" fillId="0" borderId="0"/>
    <xf numFmtId="0" fontId="82" fillId="0" borderId="0"/>
    <xf numFmtId="0" fontId="82" fillId="0" borderId="0"/>
    <xf numFmtId="189" fontId="82" fillId="0" borderId="0" applyFont="0" applyFill="0" applyBorder="0" applyAlignment="0" applyProtection="0"/>
    <xf numFmtId="38" fontId="84" fillId="0" borderId="0" applyFont="0" applyFill="0" applyBorder="0" applyAlignment="0" applyProtection="0"/>
    <xf numFmtId="189" fontId="82" fillId="0" borderId="0" applyFont="0" applyFill="0" applyBorder="0" applyAlignment="0" applyProtection="0"/>
    <xf numFmtId="0" fontId="85" fillId="0" borderId="0"/>
    <xf numFmtId="0" fontId="17" fillId="0" borderId="0" applyNumberFormat="0" applyFill="0" applyBorder="0" applyAlignment="0" applyProtection="0"/>
    <xf numFmtId="190" fontId="83" fillId="0" borderId="8">
      <alignment horizontal="centerContinuous" vertical="center"/>
    </xf>
    <xf numFmtId="41" fontId="10" fillId="0" borderId="0"/>
    <xf numFmtId="3" fontId="86" fillId="0" borderId="1"/>
    <xf numFmtId="191" fontId="10" fillId="0" borderId="0" applyFont="0" applyFill="0" applyBorder="0" applyAlignment="0" applyProtection="0"/>
    <xf numFmtId="192" fontId="10" fillId="0" borderId="0" applyFont="0" applyFill="0" applyBorder="0" applyAlignment="0" applyProtection="0"/>
    <xf numFmtId="193" fontId="10" fillId="0" borderId="1" applyFont="0" applyFill="0" applyBorder="0" applyAlignment="0" applyProtection="0">
      <alignment vertical="center"/>
    </xf>
    <xf numFmtId="194" fontId="10" fillId="0" borderId="0" applyFont="0" applyFill="0" applyBorder="0" applyAlignment="0" applyProtection="0"/>
    <xf numFmtId="195" fontId="10" fillId="0" borderId="0" applyFont="0" applyFill="0" applyBorder="0" applyAlignment="0" applyProtection="0"/>
    <xf numFmtId="196" fontId="10" fillId="0" borderId="0" applyFont="0" applyFill="0" applyBorder="0" applyAlignment="0" applyProtection="0"/>
    <xf numFmtId="195" fontId="10" fillId="0" borderId="0" applyFont="0" applyFill="0" applyBorder="0" applyAlignment="0" applyProtection="0"/>
    <xf numFmtId="197" fontId="10" fillId="0" borderId="0" applyFont="0" applyFill="0" applyBorder="0" applyAlignment="0" applyProtection="0"/>
    <xf numFmtId="198" fontId="10" fillId="0" borderId="0" applyFont="0" applyFill="0" applyBorder="0" applyAlignment="0" applyProtection="0"/>
    <xf numFmtId="199" fontId="10" fillId="0" borderId="0" applyFont="0" applyFill="0" applyBorder="0" applyAlignment="0" applyProtection="0"/>
    <xf numFmtId="200" fontId="10" fillId="0" borderId="0" applyFont="0" applyFill="0" applyBorder="0" applyAlignment="0" applyProtection="0"/>
    <xf numFmtId="201" fontId="10" fillId="0" borderId="0" applyFont="0" applyFill="0" applyBorder="0" applyAlignment="0" applyProtection="0"/>
    <xf numFmtId="202" fontId="10" fillId="0" borderId="0" applyFont="0" applyFill="0" applyBorder="0" applyAlignment="0" applyProtection="0"/>
    <xf numFmtId="203" fontId="10" fillId="0" borderId="0" applyFont="0" applyFill="0" applyBorder="0" applyAlignment="0" applyProtection="0"/>
    <xf numFmtId="204" fontId="10" fillId="0" borderId="0" applyFont="0" applyFill="0" applyBorder="0" applyAlignment="0" applyProtection="0"/>
    <xf numFmtId="205" fontId="10" fillId="0" borderId="0" applyFont="0" applyFill="0" applyBorder="0" applyAlignment="0" applyProtection="0"/>
    <xf numFmtId="206" fontId="10" fillId="0" borderId="0">
      <alignment vertical="center"/>
    </xf>
    <xf numFmtId="207" fontId="10" fillId="0" borderId="0" applyFont="0" applyFill="0" applyBorder="0" applyAlignment="0" applyProtection="0"/>
    <xf numFmtId="208" fontId="10" fillId="0" borderId="1" applyFont="0" applyFill="0" applyBorder="0" applyAlignment="0" applyProtection="0">
      <alignment vertical="center"/>
    </xf>
    <xf numFmtId="209" fontId="10" fillId="0" borderId="0" applyFont="0" applyFill="0" applyBorder="0" applyAlignment="0" applyProtection="0"/>
    <xf numFmtId="210" fontId="10" fillId="0" borderId="0" applyFont="0" applyFill="0" applyBorder="0" applyAlignment="0" applyProtection="0"/>
    <xf numFmtId="211" fontId="10" fillId="0" borderId="0" applyFont="0" applyFill="0" applyBorder="0" applyAlignment="0" applyProtection="0"/>
    <xf numFmtId="212" fontId="10" fillId="0" borderId="0" applyFont="0" applyFill="0" applyBorder="0" applyAlignment="0" applyProtection="0"/>
    <xf numFmtId="213" fontId="10" fillId="0" borderId="0" applyFont="0" applyFill="0" applyBorder="0" applyAlignment="0" applyProtection="0"/>
    <xf numFmtId="214" fontId="10" fillId="0" borderId="0" applyFont="0" applyFill="0" applyBorder="0" applyAlignment="0" applyProtection="0"/>
    <xf numFmtId="215" fontId="10" fillId="0" borderId="0" applyFont="0" applyFill="0" applyBorder="0" applyAlignment="0" applyProtection="0"/>
    <xf numFmtId="216" fontId="10" fillId="0" borderId="0" applyFont="0" applyFill="0" applyBorder="0" applyAlignment="0" applyProtection="0"/>
    <xf numFmtId="217" fontId="10" fillId="0" borderId="0" applyFont="0" applyFill="0" applyBorder="0" applyAlignment="0" applyProtection="0"/>
    <xf numFmtId="218" fontId="10" fillId="0" borderId="0" applyFont="0" applyFill="0" applyBorder="0" applyAlignment="0" applyProtection="0"/>
    <xf numFmtId="217" fontId="87" fillId="0" borderId="0" applyFont="0" applyFill="0" applyBorder="0" applyAlignment="0" applyProtection="0"/>
    <xf numFmtId="215" fontId="87" fillId="0" borderId="0" applyFont="0" applyFill="0" applyBorder="0" applyAlignment="0" applyProtection="0"/>
    <xf numFmtId="4" fontId="85" fillId="0" borderId="0">
      <alignment vertical="center"/>
    </xf>
    <xf numFmtId="219" fontId="10" fillId="0" borderId="0">
      <alignment vertical="center"/>
    </xf>
    <xf numFmtId="3" fontId="85" fillId="0" borderId="0">
      <alignment vertical="center"/>
    </xf>
    <xf numFmtId="0" fontId="83" fillId="0" borderId="8">
      <alignment horizontal="centerContinuous" vertical="center"/>
    </xf>
    <xf numFmtId="0" fontId="83" fillId="0" borderId="8">
      <alignment horizontal="centerContinuous" vertical="center"/>
    </xf>
    <xf numFmtId="24"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185" fontId="10" fillId="0" borderId="0" applyNumberFormat="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185" fontId="10" fillId="0" borderId="0" applyNumberFormat="0" applyFont="0" applyFill="0" applyBorder="0" applyAlignment="0" applyProtection="0"/>
    <xf numFmtId="221" fontId="10" fillId="0" borderId="0" applyNumberFormat="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222" fontId="82" fillId="0" borderId="0" applyFont="0" applyFill="0" applyBorder="0" applyAlignment="0" applyProtection="0"/>
    <xf numFmtId="223" fontId="82" fillId="0" borderId="0" applyFont="0" applyFill="0" applyBorder="0" applyAlignment="0" applyProtection="0"/>
    <xf numFmtId="224" fontId="82" fillId="0" borderId="0" applyFont="0" applyFill="0" applyBorder="0" applyAlignment="0" applyProtection="0"/>
    <xf numFmtId="225" fontId="89" fillId="0" borderId="0" applyFont="0" applyFill="0" applyBorder="0" applyAlignment="0" applyProtection="0"/>
    <xf numFmtId="226" fontId="90" fillId="0" borderId="0" applyFont="0" applyFill="0" applyBorder="0" applyAlignment="0" applyProtection="0"/>
    <xf numFmtId="0" fontId="82" fillId="0" borderId="0"/>
    <xf numFmtId="0" fontId="85" fillId="0" borderId="0"/>
    <xf numFmtId="227" fontId="91" fillId="0" borderId="0" applyFont="0" applyFill="0" applyBorder="0" applyAlignment="0" applyProtection="0"/>
    <xf numFmtId="0" fontId="82" fillId="0" borderId="0"/>
    <xf numFmtId="205" fontId="82" fillId="64" borderId="0" applyFont="0" applyFill="0" applyBorder="0" applyAlignment="0" applyProtection="0">
      <alignment horizontal="center"/>
    </xf>
    <xf numFmtId="9" fontId="92" fillId="0" borderId="0" applyBorder="0" applyAlignment="0" applyProtection="0"/>
    <xf numFmtId="0" fontId="82" fillId="0" borderId="0"/>
    <xf numFmtId="0" fontId="93" fillId="0" borderId="0"/>
    <xf numFmtId="0" fontId="94" fillId="0" borderId="0" applyFont="0" applyFill="0" applyBorder="0" applyAlignment="0" applyProtection="0"/>
    <xf numFmtId="0" fontId="85" fillId="0" borderId="0"/>
    <xf numFmtId="0" fontId="85" fillId="0" borderId="0"/>
    <xf numFmtId="0" fontId="85" fillId="0" borderId="0"/>
    <xf numFmtId="0" fontId="95" fillId="0" borderId="0" applyNumberFormat="0" applyFill="0" applyBorder="0" applyAlignment="0" applyProtection="0"/>
    <xf numFmtId="0" fontId="82" fillId="0" borderId="0" applyFont="0" applyFill="0" applyBorder="0" applyAlignment="0" applyProtection="0"/>
    <xf numFmtId="0" fontId="96" fillId="0" borderId="0" applyFont="0" applyFill="0" applyBorder="0" applyAlignment="0" applyProtection="0"/>
    <xf numFmtId="0" fontId="82" fillId="0" borderId="0" applyFont="0" applyFill="0" applyBorder="0" applyAlignment="0" applyProtection="0"/>
    <xf numFmtId="0" fontId="97" fillId="0" borderId="0" applyFont="0" applyFill="0" applyBorder="0" applyAlignment="0" applyProtection="0"/>
    <xf numFmtId="0" fontId="98" fillId="0" borderId="0" applyNumberFormat="0" applyFill="0" applyBorder="0" applyAlignment="0" applyProtection="0">
      <alignment vertical="top"/>
      <protection locked="0"/>
    </xf>
    <xf numFmtId="0" fontId="97" fillId="0" borderId="0" applyFont="0" applyFill="0" applyBorder="0" applyAlignment="0" applyProtection="0"/>
    <xf numFmtId="0" fontId="96" fillId="0" borderId="0" applyFont="0" applyFill="0" applyBorder="0" applyAlignment="0" applyProtection="0"/>
    <xf numFmtId="0" fontId="96" fillId="0" borderId="0"/>
    <xf numFmtId="42" fontId="10" fillId="0" borderId="0" applyFont="0" applyFill="0" applyBorder="0" applyAlignment="0" applyProtection="0"/>
    <xf numFmtId="0" fontId="99" fillId="0" borderId="0"/>
    <xf numFmtId="0" fontId="100" fillId="0" borderId="0"/>
    <xf numFmtId="0" fontId="96" fillId="0" borderId="0" applyFont="0" applyFill="0" applyBorder="0" applyAlignment="0" applyProtection="0"/>
    <xf numFmtId="0" fontId="85" fillId="0" borderId="0" applyFont="0" applyFill="0" applyBorder="0" applyAlignment="0" applyProtection="0"/>
    <xf numFmtId="0" fontId="82" fillId="0" borderId="0"/>
    <xf numFmtId="0" fontId="101" fillId="0" borderId="0"/>
    <xf numFmtId="9" fontId="92" fillId="0" borderId="0" applyBorder="0" applyAlignment="0" applyProtection="0"/>
    <xf numFmtId="0" fontId="82" fillId="0" borderId="0"/>
    <xf numFmtId="228" fontId="82" fillId="0" borderId="0" applyFont="0" applyFill="0" applyBorder="0" applyAlignment="0" applyProtection="0"/>
    <xf numFmtId="229" fontId="82" fillId="0" borderId="0" applyFont="0" applyFill="0" applyBorder="0" applyAlignment="0" applyProtection="0"/>
    <xf numFmtId="0" fontId="84" fillId="0" borderId="0"/>
    <xf numFmtId="0" fontId="84" fillId="0" borderId="0"/>
    <xf numFmtId="0" fontId="82" fillId="0" borderId="0"/>
    <xf numFmtId="0" fontId="84" fillId="0" borderId="0"/>
    <xf numFmtId="0" fontId="82" fillId="0" borderId="0"/>
    <xf numFmtId="0" fontId="82" fillId="0" borderId="0"/>
    <xf numFmtId="0" fontId="82" fillId="0" borderId="0"/>
    <xf numFmtId="230" fontId="102" fillId="0" borderId="0" applyFont="0" applyFill="0" applyBorder="0" applyAlignment="0" applyProtection="0"/>
    <xf numFmtId="0" fontId="84" fillId="0" borderId="0"/>
    <xf numFmtId="0" fontId="103" fillId="0" borderId="0" applyFont="0" applyFill="0" applyBorder="0" applyAlignment="0" applyProtection="0"/>
    <xf numFmtId="0" fontId="84" fillId="0" borderId="0"/>
    <xf numFmtId="38" fontId="84" fillId="0" borderId="0" applyFont="0" applyFill="0" applyBorder="0" applyAlignment="0" applyProtection="0"/>
    <xf numFmtId="0" fontId="82" fillId="0" borderId="0"/>
    <xf numFmtId="0" fontId="10" fillId="0" borderId="0"/>
    <xf numFmtId="0" fontId="103" fillId="0" borderId="0" applyFont="0" applyFill="0" applyBorder="0" applyAlignment="0" applyProtection="0"/>
    <xf numFmtId="0" fontId="82" fillId="0" borderId="0"/>
    <xf numFmtId="0" fontId="84" fillId="0" borderId="0"/>
    <xf numFmtId="0" fontId="85" fillId="0" borderId="0" applyFont="0" applyFill="0" applyBorder="0" applyAlignment="0" applyProtection="0"/>
    <xf numFmtId="0" fontId="85" fillId="0" borderId="0" applyFont="0" applyFill="0" applyBorder="0" applyAlignment="0" applyProtection="0"/>
    <xf numFmtId="0" fontId="82" fillId="0" borderId="0"/>
    <xf numFmtId="231" fontId="85" fillId="0" borderId="0" applyFont="0" applyFill="0" applyBorder="0" applyAlignment="0" applyProtection="0"/>
    <xf numFmtId="227" fontId="82" fillId="0" borderId="0" applyFont="0" applyFill="0" applyBorder="0" applyAlignment="0" applyProtection="0"/>
    <xf numFmtId="0" fontId="82" fillId="0" borderId="0"/>
    <xf numFmtId="0" fontId="84" fillId="0" borderId="0"/>
    <xf numFmtId="0" fontId="82" fillId="0" borderId="0"/>
    <xf numFmtId="230" fontId="102"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2" fillId="0" borderId="0"/>
    <xf numFmtId="0" fontId="82" fillId="0" borderId="0"/>
    <xf numFmtId="0" fontId="82"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104" fillId="0" borderId="0" applyNumberFormat="0" applyFill="0" applyBorder="0" applyAlignment="0" applyProtection="0"/>
    <xf numFmtId="0" fontId="84" fillId="0" borderId="0"/>
    <xf numFmtId="0" fontId="84" fillId="0" borderId="0"/>
    <xf numFmtId="0" fontId="84" fillId="0" borderId="0"/>
    <xf numFmtId="0" fontId="84" fillId="0" borderId="0"/>
    <xf numFmtId="0" fontId="84" fillId="0" borderId="0"/>
    <xf numFmtId="0" fontId="84"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105" fillId="0" borderId="0" applyFont="0" applyFill="0" applyBorder="0" applyAlignment="0" applyProtection="0"/>
    <xf numFmtId="232" fontId="10" fillId="0" borderId="0" applyFont="0" applyFill="0" applyBorder="0" applyAlignment="0" applyProtection="0"/>
    <xf numFmtId="0" fontId="82" fillId="0" borderId="0"/>
    <xf numFmtId="0" fontId="82" fillId="0" borderId="0"/>
    <xf numFmtId="0" fontId="82" fillId="0" borderId="0"/>
    <xf numFmtId="0" fontId="85" fillId="0" borderId="0" applyFont="0" applyFill="0" applyBorder="0" applyAlignment="0" applyProtection="0"/>
    <xf numFmtId="0" fontId="104" fillId="0" borderId="0" applyNumberForma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233" fontId="10" fillId="0" borderId="0" applyFont="0" applyFill="0" applyBorder="0" applyAlignment="0" applyProtection="0"/>
    <xf numFmtId="233" fontId="10" fillId="0" borderId="0" applyFont="0" applyFill="0" applyBorder="0" applyAlignment="0" applyProtection="0"/>
    <xf numFmtId="0" fontId="90" fillId="0" borderId="0"/>
    <xf numFmtId="0" fontId="85" fillId="0" borderId="0" applyFont="0" applyFill="0" applyBorder="0" applyAlignment="0" applyProtection="0"/>
    <xf numFmtId="0" fontId="85" fillId="0" borderId="0" applyFont="0" applyFill="0" applyBorder="0" applyAlignment="0" applyProtection="0"/>
    <xf numFmtId="0" fontId="82" fillId="0" borderId="0"/>
    <xf numFmtId="0" fontId="84"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4" fillId="0" borderId="0"/>
    <xf numFmtId="0" fontId="82" fillId="0" borderId="0" applyFont="0" applyFill="0" applyBorder="0" applyAlignment="0" applyProtection="0"/>
    <xf numFmtId="0" fontId="85" fillId="0" borderId="0" applyFont="0" applyFill="0" applyBorder="0" applyAlignment="0" applyProtection="0"/>
    <xf numFmtId="38" fontId="84" fillId="0" borderId="0" applyFont="0" applyFill="0" applyBorder="0" applyAlignment="0" applyProtection="0"/>
    <xf numFmtId="0" fontId="84" fillId="0" borderId="0"/>
    <xf numFmtId="0" fontId="103" fillId="0" borderId="0" applyFont="0" applyFill="0" applyBorder="0" applyAlignment="0" applyProtection="0"/>
    <xf numFmtId="0" fontId="82" fillId="0" borderId="171"/>
    <xf numFmtId="0" fontId="84" fillId="0" borderId="0"/>
    <xf numFmtId="0" fontId="82" fillId="64" borderId="0"/>
    <xf numFmtId="0" fontId="106" fillId="64" borderId="0"/>
    <xf numFmtId="0" fontId="107" fillId="64" borderId="0"/>
    <xf numFmtId="0" fontId="108" fillId="64" borderId="0"/>
    <xf numFmtId="0" fontId="109" fillId="64" borderId="0"/>
    <xf numFmtId="0" fontId="110" fillId="64" borderId="0"/>
    <xf numFmtId="0" fontId="111" fillId="64" borderId="0"/>
    <xf numFmtId="234" fontId="82" fillId="0" borderId="0" applyFont="0" applyFill="0" applyBorder="0" applyAlignment="0" applyProtection="0"/>
    <xf numFmtId="235" fontId="82" fillId="0" borderId="0" applyProtection="0">
      <alignment horizontal="right"/>
    </xf>
    <xf numFmtId="235" fontId="82" fillId="0" borderId="0" applyProtection="0">
      <alignment horizontal="right"/>
    </xf>
    <xf numFmtId="235" fontId="82" fillId="0" borderId="0" applyFont="0" applyFill="0" applyBorder="0" applyAlignment="0" applyProtection="0"/>
    <xf numFmtId="235" fontId="82" fillId="0" borderId="0" applyFont="0" applyFill="0" applyBorder="0" applyAlignment="0" applyProtection="0"/>
    <xf numFmtId="0" fontId="82" fillId="0" borderId="0"/>
    <xf numFmtId="236" fontId="82" fillId="0" borderId="0" applyFont="0" applyFill="0" applyBorder="0" applyAlignment="0" applyProtection="0"/>
    <xf numFmtId="237" fontId="82" fillId="0" borderId="0" applyFont="0" applyFill="0" applyBorder="0" applyProtection="0">
      <alignment horizontal="right"/>
    </xf>
    <xf numFmtId="236" fontId="82" fillId="0" borderId="0" applyFont="0" applyFill="0" applyBorder="0" applyAlignment="0" applyProtection="0"/>
    <xf numFmtId="238" fontId="82" fillId="0" borderId="0" applyFont="0" applyFill="0" applyBorder="0" applyAlignment="0" applyProtection="0"/>
    <xf numFmtId="239" fontId="82" fillId="65" borderId="172"/>
    <xf numFmtId="239" fontId="82" fillId="65" borderId="172"/>
    <xf numFmtId="0" fontId="82" fillId="0" borderId="0"/>
    <xf numFmtId="0" fontId="82" fillId="0" borderId="0"/>
    <xf numFmtId="240" fontId="82" fillId="0" borderId="0" applyFont="0" applyFill="0" applyBorder="0" applyAlignment="0" applyProtection="0"/>
    <xf numFmtId="0" fontId="82"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107" fillId="65"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12" fillId="0" borderId="0" applyNumberFormat="0" applyFill="0" applyBorder="0" applyAlignment="0" applyProtection="0"/>
    <xf numFmtId="0" fontId="82" fillId="67" borderId="0" applyNumberFormat="0" applyFont="0" applyAlignment="0" applyProtection="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241" fontId="82" fillId="0" borderId="0" applyFont="0" applyFill="0" applyBorder="0" applyAlignment="0" applyProtection="0"/>
    <xf numFmtId="242" fontId="82" fillId="0" borderId="0" applyFont="0" applyFill="0" applyBorder="0" applyProtection="0">
      <alignment horizontal="right"/>
    </xf>
    <xf numFmtId="0" fontId="82" fillId="0" borderId="171"/>
    <xf numFmtId="243" fontId="82" fillId="0" borderId="0" applyFont="0" applyFill="0" applyBorder="0" applyAlignment="0" applyProtection="0"/>
    <xf numFmtId="244" fontId="82" fillId="0" borderId="0" applyFont="0" applyFill="0" applyBorder="0" applyAlignment="0" applyProtection="0"/>
    <xf numFmtId="38" fontId="84" fillId="0" borderId="0" applyFont="0" applyFill="0" applyBorder="0" applyAlignment="0" applyProtection="0"/>
    <xf numFmtId="0" fontId="82" fillId="0" borderId="0" applyFont="0" applyFill="0" applyBorder="0" applyAlignment="0" applyProtection="0"/>
    <xf numFmtId="0" fontId="82" fillId="0" borderId="0"/>
    <xf numFmtId="0" fontId="10" fillId="0" borderId="0"/>
    <xf numFmtId="0" fontId="85" fillId="0" borderId="0" applyFont="0" applyFill="0" applyBorder="0" applyAlignment="0" applyProtection="0"/>
    <xf numFmtId="0" fontId="82" fillId="0" borderId="0"/>
    <xf numFmtId="0" fontId="82" fillId="64" borderId="0"/>
    <xf numFmtId="0" fontId="106" fillId="64" borderId="0"/>
    <xf numFmtId="0" fontId="107" fillId="64" borderId="0"/>
    <xf numFmtId="0" fontId="82" fillId="64" borderId="0"/>
    <xf numFmtId="0" fontId="82" fillId="64" borderId="0"/>
    <xf numFmtId="0" fontId="109" fillId="64" borderId="0"/>
    <xf numFmtId="0" fontId="110" fillId="64" borderId="0"/>
    <xf numFmtId="0" fontId="111" fillId="64" borderId="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2" fillId="0" borderId="0" applyFont="0" applyFill="0" applyBorder="0" applyAlignment="0" applyProtection="0"/>
    <xf numFmtId="0" fontId="10" fillId="0" borderId="0"/>
    <xf numFmtId="0" fontId="113" fillId="0" borderId="0" applyNumberFormat="0" applyFill="0" applyBorder="0" applyProtection="0">
      <alignment vertical="top"/>
    </xf>
    <xf numFmtId="0" fontId="114" fillId="0" borderId="173" applyNumberFormat="0" applyFill="0" applyAlignment="0" applyProtection="0"/>
    <xf numFmtId="0" fontId="115" fillId="0" borderId="174" applyNumberFormat="0" applyFill="0" applyProtection="0">
      <alignment horizontal="center"/>
    </xf>
    <xf numFmtId="0" fontId="115" fillId="0" borderId="0" applyNumberFormat="0" applyFill="0" applyBorder="0" applyProtection="0">
      <alignment horizontal="left"/>
    </xf>
    <xf numFmtId="0" fontId="116" fillId="0" borderId="0" applyNumberFormat="0" applyFill="0" applyBorder="0" applyProtection="0">
      <alignment horizontal="centerContinuous"/>
    </xf>
    <xf numFmtId="0" fontId="82" fillId="0" borderId="0"/>
    <xf numFmtId="0" fontId="84" fillId="0" borderId="0"/>
    <xf numFmtId="0" fontId="84" fillId="0" borderId="0"/>
    <xf numFmtId="0" fontId="82" fillId="0" borderId="0"/>
    <xf numFmtId="0" fontId="82" fillId="0" borderId="0"/>
    <xf numFmtId="0" fontId="82" fillId="0" borderId="0"/>
    <xf numFmtId="0" fontId="85" fillId="0" borderId="0"/>
    <xf numFmtId="0" fontId="82" fillId="0" borderId="0"/>
    <xf numFmtId="0" fontId="82" fillId="0" borderId="0"/>
    <xf numFmtId="0" fontId="84" fillId="0" borderId="0"/>
    <xf numFmtId="0" fontId="90" fillId="0" borderId="0"/>
    <xf numFmtId="0" fontId="82"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82" fillId="0" borderId="0"/>
    <xf numFmtId="0" fontId="84" fillId="0" borderId="0"/>
    <xf numFmtId="0" fontId="85" fillId="0" borderId="0"/>
    <xf numFmtId="0" fontId="84" fillId="0" borderId="0"/>
    <xf numFmtId="0" fontId="85" fillId="0" borderId="0" applyFont="0" applyFill="0" applyBorder="0" applyAlignment="0" applyProtection="0"/>
    <xf numFmtId="0" fontId="85" fillId="0" borderId="0" applyFont="0" applyFill="0" applyBorder="0" applyAlignment="0" applyProtection="0"/>
    <xf numFmtId="0" fontId="84" fillId="0" borderId="0"/>
    <xf numFmtId="0" fontId="82" fillId="0" borderId="0"/>
    <xf numFmtId="0" fontId="103" fillId="0" borderId="0" applyFont="0" applyFill="0" applyBorder="0" applyAlignment="0" applyProtection="0"/>
    <xf numFmtId="0" fontId="82" fillId="0" borderId="0"/>
    <xf numFmtId="0" fontId="82" fillId="0" borderId="0"/>
    <xf numFmtId="227" fontId="82"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8" fillId="0" borderId="0"/>
    <xf numFmtId="0" fontId="82" fillId="0" borderId="0"/>
    <xf numFmtId="0" fontId="10" fillId="0" borderId="0"/>
    <xf numFmtId="0" fontId="82" fillId="0" borderId="0"/>
    <xf numFmtId="0" fontId="84" fillId="0" borderId="0"/>
    <xf numFmtId="0" fontId="10" fillId="0" borderId="0"/>
    <xf numFmtId="0" fontId="85" fillId="0" borderId="0" applyFont="0" applyFill="0" applyBorder="0" applyAlignment="0" applyProtection="0"/>
    <xf numFmtId="0" fontId="104" fillId="0" borderId="0" applyNumberFormat="0" applyFill="0" applyBorder="0" applyAlignment="0" applyProtection="0"/>
    <xf numFmtId="0" fontId="82" fillId="0" borderId="0"/>
    <xf numFmtId="0" fontId="103"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38" fontId="84" fillId="0" borderId="0" applyFont="0" applyFill="0" applyBorder="0" applyAlignment="0" applyProtection="0"/>
    <xf numFmtId="41" fontId="10" fillId="0" borderId="0"/>
    <xf numFmtId="41" fontId="10" fillId="0" borderId="0"/>
    <xf numFmtId="41" fontId="10" fillId="0" borderId="0"/>
    <xf numFmtId="41" fontId="10" fillId="0" borderId="0"/>
    <xf numFmtId="41" fontId="10" fillId="0" borderId="0"/>
    <xf numFmtId="0" fontId="82" fillId="0" borderId="0"/>
    <xf numFmtId="0" fontId="84" fillId="0" borderId="0"/>
    <xf numFmtId="0" fontId="88" fillId="0" borderId="0"/>
    <xf numFmtId="0" fontId="90" fillId="0" borderId="0"/>
    <xf numFmtId="0" fontId="90" fillId="0" borderId="0"/>
    <xf numFmtId="233" fontId="10" fillId="0" borderId="0" applyFont="0" applyFill="0" applyBorder="0" applyAlignment="0" applyProtection="0"/>
    <xf numFmtId="0" fontId="117" fillId="0" borderId="0" applyProtection="0"/>
    <xf numFmtId="0" fontId="82" fillId="0" borderId="0"/>
    <xf numFmtId="0" fontId="103" fillId="0" borderId="0" applyFont="0" applyFill="0" applyBorder="0" applyAlignment="0" applyProtection="0"/>
    <xf numFmtId="0" fontId="84" fillId="0" borderId="0"/>
    <xf numFmtId="0" fontId="82" fillId="0" borderId="0"/>
    <xf numFmtId="0" fontId="10" fillId="0" borderId="0"/>
    <xf numFmtId="0" fontId="84" fillId="0" borderId="0"/>
    <xf numFmtId="0" fontId="84" fillId="0" borderId="0"/>
    <xf numFmtId="0" fontId="82" fillId="0" borderId="0"/>
    <xf numFmtId="0" fontId="103" fillId="0" borderId="0" applyFont="0" applyFill="0" applyBorder="0" applyAlignment="0" applyProtection="0"/>
    <xf numFmtId="230" fontId="102" fillId="0" borderId="0" applyFont="0" applyFill="0" applyBorder="0" applyAlignment="0" applyProtection="0"/>
    <xf numFmtId="41" fontId="10" fillId="0" borderId="0"/>
    <xf numFmtId="0" fontId="82" fillId="0" borderId="0"/>
    <xf numFmtId="0" fontId="88" fillId="0" borderId="0"/>
    <xf numFmtId="0" fontId="84" fillId="0" borderId="0"/>
    <xf numFmtId="0" fontId="82" fillId="0" borderId="0"/>
    <xf numFmtId="0" fontId="82"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103" fillId="0" borderId="0" applyFont="0" applyFill="0" applyBorder="0" applyAlignment="0" applyProtection="0"/>
    <xf numFmtId="0" fontId="84" fillId="0" borderId="0"/>
    <xf numFmtId="0" fontId="103" fillId="0" borderId="0" applyFont="0" applyFill="0" applyBorder="0" applyAlignment="0" applyProtection="0"/>
    <xf numFmtId="0" fontId="118" fillId="0" borderId="0">
      <alignment vertical="top"/>
    </xf>
    <xf numFmtId="0" fontId="82" fillId="0" borderId="0"/>
    <xf numFmtId="0" fontId="82" fillId="0" borderId="0"/>
    <xf numFmtId="0" fontId="82" fillId="0" borderId="0"/>
    <xf numFmtId="0" fontId="82" fillId="0" borderId="0"/>
    <xf numFmtId="0" fontId="82" fillId="0" borderId="0"/>
    <xf numFmtId="0" fontId="84" fillId="0" borderId="0"/>
    <xf numFmtId="0" fontId="117" fillId="0" borderId="0" applyProtection="0"/>
    <xf numFmtId="0" fontId="82" fillId="0" borderId="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4" fillId="0" borderId="0"/>
    <xf numFmtId="0" fontId="84" fillId="0" borderId="0"/>
    <xf numFmtId="0" fontId="10" fillId="0" borderId="0" applyFont="0" applyFill="0" applyBorder="0" applyAlignment="0" applyProtection="0"/>
    <xf numFmtId="0" fontId="90" fillId="0" borderId="0"/>
    <xf numFmtId="0" fontId="88" fillId="0" borderId="0"/>
    <xf numFmtId="0" fontId="82" fillId="0" borderId="0"/>
    <xf numFmtId="0" fontId="82" fillId="0" borderId="0"/>
    <xf numFmtId="0" fontId="82" fillId="0" borderId="0"/>
    <xf numFmtId="0" fontId="88" fillId="0" borderId="0"/>
    <xf numFmtId="0" fontId="88" fillId="0" borderId="0"/>
    <xf numFmtId="0" fontId="90" fillId="0" borderId="0"/>
    <xf numFmtId="0" fontId="82" fillId="0" borderId="0"/>
    <xf numFmtId="0" fontId="82" fillId="0" borderId="0"/>
    <xf numFmtId="0" fontId="88" fillId="0" borderId="0"/>
    <xf numFmtId="0" fontId="84" fillId="0" borderId="0"/>
    <xf numFmtId="0" fontId="84" fillId="0" borderId="0"/>
    <xf numFmtId="0" fontId="103" fillId="0" borderId="0" applyFont="0" applyFill="0" applyBorder="0" applyAlignment="0" applyProtection="0"/>
    <xf numFmtId="0" fontId="82" fillId="0" borderId="0"/>
    <xf numFmtId="0" fontId="82" fillId="0" borderId="0"/>
    <xf numFmtId="0" fontId="82" fillId="0" borderId="0"/>
    <xf numFmtId="0" fontId="84" fillId="0" borderId="0"/>
    <xf numFmtId="0" fontId="84" fillId="0" borderId="0"/>
    <xf numFmtId="0" fontId="82" fillId="0" borderId="0" applyFont="0" applyFill="0" applyBorder="0" applyAlignment="0" applyProtection="0"/>
    <xf numFmtId="0" fontId="84" fillId="0" borderId="0"/>
    <xf numFmtId="0" fontId="84" fillId="0" borderId="0"/>
    <xf numFmtId="0" fontId="82" fillId="0" borderId="0"/>
    <xf numFmtId="0" fontId="103" fillId="0" borderId="0" applyFont="0" applyFill="0" applyBorder="0" applyAlignment="0" applyProtection="0"/>
    <xf numFmtId="0" fontId="84" fillId="0" borderId="0"/>
    <xf numFmtId="230" fontId="102" fillId="0" borderId="0" applyFont="0" applyFill="0" applyBorder="0" applyAlignment="0" applyProtection="0"/>
    <xf numFmtId="230" fontId="102" fillId="0" borderId="0" applyFont="0" applyFill="0" applyBorder="0" applyAlignment="0" applyProtection="0"/>
    <xf numFmtId="230" fontId="102" fillId="0" borderId="0" applyFont="0" applyFill="0" applyBorder="0" applyAlignment="0" applyProtection="0"/>
    <xf numFmtId="40" fontId="88"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41" fontId="82" fillId="0" borderId="0" applyFont="0" applyFill="0" applyBorder="0" applyAlignment="0" applyProtection="0"/>
    <xf numFmtId="43" fontId="82" fillId="0" borderId="0" applyFont="0" applyFill="0" applyBorder="0" applyAlignment="0" applyProtection="0"/>
    <xf numFmtId="0" fontId="119" fillId="0" borderId="0"/>
    <xf numFmtId="41" fontId="82" fillId="0" borderId="0" applyFont="0" applyFill="0" applyBorder="0" applyAlignment="0" applyProtection="0"/>
    <xf numFmtId="43" fontId="82" fillId="0" borderId="0" applyFont="0" applyFill="0" applyBorder="0" applyAlignment="0" applyProtection="0"/>
    <xf numFmtId="0" fontId="120" fillId="0" borderId="0" applyNumberFormat="0" applyFill="0" applyBorder="0" applyAlignment="0" applyProtection="0"/>
    <xf numFmtId="0" fontId="121" fillId="0" borderId="0">
      <alignment horizontal="centerContinuous"/>
    </xf>
    <xf numFmtId="0" fontId="85" fillId="0" borderId="0"/>
    <xf numFmtId="0" fontId="87" fillId="0" borderId="0"/>
    <xf numFmtId="0" fontId="85" fillId="0" borderId="0"/>
    <xf numFmtId="0" fontId="85" fillId="0" borderId="0"/>
    <xf numFmtId="0" fontId="102" fillId="0" borderId="0"/>
    <xf numFmtId="0" fontId="86" fillId="0" borderId="0"/>
    <xf numFmtId="0" fontId="85" fillId="0" borderId="0"/>
    <xf numFmtId="0" fontId="85" fillId="0" borderId="0"/>
    <xf numFmtId="245" fontId="82" fillId="0" borderId="0" applyFont="0" applyFill="0" applyBorder="0" applyAlignment="0" applyProtection="0"/>
    <xf numFmtId="227" fontId="82" fillId="0" borderId="0" applyFont="0" applyFill="0" applyBorder="0" applyAlignment="0" applyProtection="0"/>
    <xf numFmtId="227" fontId="82" fillId="0" borderId="0" applyFont="0" applyFill="0" applyBorder="0" applyAlignment="0" applyProtection="0"/>
    <xf numFmtId="0" fontId="85" fillId="0" borderId="0"/>
    <xf numFmtId="0" fontId="122" fillId="0" borderId="0" applyFont="0" applyFill="0" applyBorder="0" applyAlignment="0" applyProtection="0"/>
    <xf numFmtId="0" fontId="122" fillId="0" borderId="0" applyFont="0" applyFill="0" applyBorder="0" applyAlignment="0" applyProtection="0"/>
    <xf numFmtId="0" fontId="123" fillId="0" borderId="0"/>
    <xf numFmtId="1" fontId="83" fillId="0" borderId="32">
      <alignment horizontal="center" vertical="center"/>
    </xf>
    <xf numFmtId="9" fontId="83" fillId="0" borderId="0">
      <alignment vertical="center"/>
    </xf>
    <xf numFmtId="0" fontId="124" fillId="0" borderId="0"/>
    <xf numFmtId="0" fontId="124" fillId="0" borderId="0"/>
    <xf numFmtId="37" fontId="82" fillId="0" borderId="0" applyFont="0" applyFill="0" applyBorder="0" applyAlignment="0" applyProtection="0"/>
    <xf numFmtId="246" fontId="89" fillId="0" borderId="0" applyFont="0" applyFill="0" applyBorder="0" applyAlignment="0" applyProtection="0"/>
    <xf numFmtId="39" fontId="89" fillId="0" borderId="0" applyFont="0" applyFill="0" applyBorder="0" applyAlignment="0" applyProtection="0"/>
    <xf numFmtId="247" fontId="82" fillId="0" borderId="0" applyFont="0" applyFill="0" applyBorder="0" applyAlignment="0" applyProtection="0"/>
    <xf numFmtId="248" fontId="89" fillId="0" borderId="0" applyFont="0" applyFill="0" applyBorder="0" applyAlignment="0" applyProtection="0"/>
    <xf numFmtId="3" fontId="86" fillId="0" borderId="1"/>
    <xf numFmtId="180" fontId="82" fillId="0" borderId="0" applyFont="0" applyFill="0" applyBorder="0" applyAlignment="0" applyProtection="0"/>
    <xf numFmtId="3" fontId="86" fillId="0" borderId="1"/>
    <xf numFmtId="10" fontId="82" fillId="0" borderId="0" applyFont="0" applyFill="0" applyBorder="0" applyAlignment="0" applyProtection="0">
      <alignment horizontal="right"/>
    </xf>
    <xf numFmtId="249" fontId="83" fillId="0" borderId="0">
      <alignment vertical="center"/>
    </xf>
    <xf numFmtId="250" fontId="10" fillId="0" borderId="0">
      <alignment vertical="center"/>
    </xf>
    <xf numFmtId="1" fontId="83" fillId="0" borderId="32">
      <alignment horizontal="center" vertical="center"/>
    </xf>
    <xf numFmtId="1" fontId="88" fillId="0" borderId="0"/>
    <xf numFmtId="1" fontId="83" fillId="0" borderId="32">
      <alignment horizontal="center" vertical="center"/>
    </xf>
    <xf numFmtId="1" fontId="83" fillId="0" borderId="32">
      <alignment horizontal="center" vertical="center"/>
    </xf>
    <xf numFmtId="1" fontId="83" fillId="0" borderId="32">
      <alignment horizontal="center" vertical="center"/>
    </xf>
    <xf numFmtId="1" fontId="83" fillId="0" borderId="32">
      <alignment horizontal="center" vertical="center"/>
    </xf>
    <xf numFmtId="1" fontId="83" fillId="0" borderId="32">
      <alignment horizontal="center" vertical="center"/>
    </xf>
    <xf numFmtId="1" fontId="88" fillId="0" borderId="0"/>
    <xf numFmtId="0" fontId="125" fillId="0" borderId="175"/>
    <xf numFmtId="49" fontId="126" fillId="0" borderId="2" applyBorder="0">
      <alignment vertical="center"/>
    </xf>
    <xf numFmtId="251" fontId="83" fillId="0" borderId="0" applyFont="0" applyFill="0" applyBorder="0" applyAlignment="0" applyProtection="0"/>
    <xf numFmtId="49" fontId="126" fillId="0" borderId="2" applyBorder="0">
      <alignment vertical="center"/>
    </xf>
    <xf numFmtId="252" fontId="127" fillId="68" borderId="176"/>
    <xf numFmtId="252" fontId="127" fillId="68" borderId="176"/>
    <xf numFmtId="4" fontId="128" fillId="0" borderId="158">
      <alignment vertical="center"/>
    </xf>
    <xf numFmtId="38" fontId="85" fillId="0" borderId="177">
      <alignment vertical="center"/>
    </xf>
    <xf numFmtId="0" fontId="85" fillId="0" borderId="0"/>
    <xf numFmtId="0" fontId="10" fillId="0" borderId="0"/>
    <xf numFmtId="9" fontId="129" fillId="0" borderId="0" applyFont="0" applyFill="0" applyBorder="0" applyAlignment="0" applyProtection="0"/>
    <xf numFmtId="253" fontId="104" fillId="0" borderId="0" applyFont="0" applyFill="0" applyBorder="0" applyAlignment="0" applyProtection="0"/>
    <xf numFmtId="0" fontId="85" fillId="0" borderId="6">
      <alignment horizontal="center"/>
    </xf>
    <xf numFmtId="0" fontId="80" fillId="69" borderId="0" applyNumberFormat="0" applyBorder="0" applyAlignment="0" applyProtection="0">
      <alignment vertical="center"/>
    </xf>
    <xf numFmtId="0" fontId="80" fillId="70"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130" fillId="69" borderId="0" applyNumberFormat="0" applyBorder="0" applyAlignment="0" applyProtection="0">
      <alignment vertical="center"/>
    </xf>
    <xf numFmtId="0" fontId="130" fillId="70" borderId="0" applyNumberFormat="0" applyBorder="0" applyAlignment="0" applyProtection="0">
      <alignment vertical="center"/>
    </xf>
    <xf numFmtId="0" fontId="130" fillId="71" borderId="0" applyNumberFormat="0" applyBorder="0" applyAlignment="0" applyProtection="0">
      <alignment vertical="center"/>
    </xf>
    <xf numFmtId="0" fontId="130" fillId="72" borderId="0" applyNumberFormat="0" applyBorder="0" applyAlignment="0" applyProtection="0">
      <alignment vertical="center"/>
    </xf>
    <xf numFmtId="0" fontId="130" fillId="73" borderId="0" applyNumberFormat="0" applyBorder="0" applyAlignment="0" applyProtection="0">
      <alignment vertical="center"/>
    </xf>
    <xf numFmtId="0" fontId="130" fillId="63"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5" fillId="0" borderId="0"/>
    <xf numFmtId="254" fontId="85" fillId="0" borderId="0" applyFont="0" applyFill="0" applyBorder="0" applyAlignment="0" applyProtection="0"/>
    <xf numFmtId="233" fontId="85" fillId="0" borderId="0" applyFont="0" applyFill="0" applyBorder="0" applyAlignment="0" applyProtection="0"/>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2" borderId="0" applyNumberFormat="0" applyBorder="0" applyAlignment="0" applyProtection="0">
      <alignment vertical="center"/>
    </xf>
    <xf numFmtId="0" fontId="80" fillId="74" borderId="0" applyNumberFormat="0" applyBorder="0" applyAlignment="0" applyProtection="0">
      <alignment vertical="center"/>
    </xf>
    <xf numFmtId="0" fontId="80" fillId="77" borderId="0" applyNumberFormat="0" applyBorder="0" applyAlignment="0" applyProtection="0">
      <alignment vertical="center"/>
    </xf>
    <xf numFmtId="0" fontId="130" fillId="74" borderId="0" applyNumberFormat="0" applyBorder="0" applyAlignment="0" applyProtection="0">
      <alignment vertical="center"/>
    </xf>
    <xf numFmtId="0" fontId="130" fillId="75" borderId="0" applyNumberFormat="0" applyBorder="0" applyAlignment="0" applyProtection="0">
      <alignment vertical="center"/>
    </xf>
    <xf numFmtId="0" fontId="130" fillId="76" borderId="0" applyNumberFormat="0" applyBorder="0" applyAlignment="0" applyProtection="0">
      <alignment vertical="center"/>
    </xf>
    <xf numFmtId="0" fontId="130" fillId="72" borderId="0" applyNumberFormat="0" applyBorder="0" applyAlignment="0" applyProtection="0">
      <alignment vertical="center"/>
    </xf>
    <xf numFmtId="0" fontId="130" fillId="74" borderId="0" applyNumberFormat="0" applyBorder="0" applyAlignment="0" applyProtection="0">
      <alignment vertical="center"/>
    </xf>
    <xf numFmtId="0" fontId="130" fillId="7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3" fillId="78" borderId="0" applyNumberFormat="0" applyBorder="0" applyAlignment="0" applyProtection="0">
      <alignment vertical="center"/>
    </xf>
    <xf numFmtId="0" fontId="133" fillId="75" borderId="0" applyNumberFormat="0" applyBorder="0" applyAlignment="0" applyProtection="0">
      <alignment vertical="center"/>
    </xf>
    <xf numFmtId="0" fontId="133" fillId="76"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1" borderId="0" applyNumberFormat="0" applyBorder="0" applyAlignment="0" applyProtection="0">
      <alignment vertical="center"/>
    </xf>
    <xf numFmtId="0" fontId="134" fillId="78" borderId="0" applyNumberFormat="0" applyBorder="0" applyAlignment="0" applyProtection="0">
      <alignment vertical="center"/>
    </xf>
    <xf numFmtId="0" fontId="134" fillId="75" borderId="0" applyNumberFormat="0" applyBorder="0" applyAlignment="0" applyProtection="0">
      <alignment vertical="center"/>
    </xf>
    <xf numFmtId="0" fontId="134" fillId="76" borderId="0" applyNumberFormat="0" applyBorder="0" applyAlignment="0" applyProtection="0">
      <alignment vertical="center"/>
    </xf>
    <xf numFmtId="0" fontId="134" fillId="79" borderId="0" applyNumberFormat="0" applyBorder="0" applyAlignment="0" applyProtection="0">
      <alignment vertical="center"/>
    </xf>
    <xf numFmtId="0" fontId="134" fillId="80" borderId="0" applyNumberFormat="0" applyBorder="0" applyAlignment="0" applyProtection="0">
      <alignment vertical="center"/>
    </xf>
    <xf numFmtId="0" fontId="134" fillId="81"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5" fillId="0" borderId="0"/>
    <xf numFmtId="0" fontId="85" fillId="0" borderId="0"/>
    <xf numFmtId="0" fontId="85" fillId="0" borderId="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255" fontId="13"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3" fontId="137" fillId="0" borderId="0" applyFont="0" applyFill="0" applyBorder="0" applyAlignment="0" applyProtection="0"/>
    <xf numFmtId="245" fontId="137" fillId="0" borderId="0" applyFont="0" applyFill="0" applyBorder="0" applyAlignment="0" applyProtection="0"/>
    <xf numFmtId="41" fontId="138" fillId="0" borderId="0" applyFont="0" applyFill="0" applyBorder="0" applyAlignment="0" applyProtection="0"/>
    <xf numFmtId="43" fontId="138" fillId="0" borderId="0" applyFont="0" applyFill="0" applyBorder="0" applyAlignment="0" applyProtection="0"/>
    <xf numFmtId="0" fontId="139" fillId="0" borderId="0" applyFont="0" applyFill="0" applyBorder="0" applyAlignment="0" applyProtection="0"/>
    <xf numFmtId="41" fontId="140" fillId="0" borderId="0" applyFont="0" applyFill="0" applyBorder="0" applyAlignment="0" applyProtection="0"/>
    <xf numFmtId="0" fontId="141" fillId="0" borderId="0" applyFont="0" applyFill="0" applyBorder="0" applyAlignment="0" applyProtection="0"/>
    <xf numFmtId="0" fontId="142" fillId="0" borderId="0" applyFont="0" applyFill="0" applyBorder="0" applyAlignment="0" applyProtection="0"/>
    <xf numFmtId="43" fontId="140" fillId="0" borderId="0" applyFont="0" applyFill="0" applyBorder="0" applyAlignment="0" applyProtection="0"/>
    <xf numFmtId="0" fontId="143" fillId="0" borderId="0" applyFont="0" applyFill="0" applyBorder="0" applyAlignment="0" applyProtection="0"/>
    <xf numFmtId="0" fontId="144" fillId="0" borderId="0"/>
    <xf numFmtId="0" fontId="133" fillId="82" borderId="0" applyNumberFormat="0" applyBorder="0" applyAlignment="0" applyProtection="0">
      <alignment vertical="center"/>
    </xf>
    <xf numFmtId="0" fontId="133" fillId="83" borderId="0" applyNumberFormat="0" applyBorder="0" applyAlignment="0" applyProtection="0">
      <alignment vertical="center"/>
    </xf>
    <xf numFmtId="0" fontId="133" fillId="84"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5" borderId="0" applyNumberFormat="0" applyBorder="0" applyAlignment="0" applyProtection="0">
      <alignment vertical="center"/>
    </xf>
    <xf numFmtId="0" fontId="111" fillId="0" borderId="0" applyNumberFormat="0" applyAlignment="0"/>
    <xf numFmtId="0" fontId="85" fillId="86" borderId="178">
      <alignment horizontal="center" vertical="center"/>
    </xf>
    <xf numFmtId="8" fontId="93" fillId="0" borderId="0" applyFont="0" applyFill="0" applyBorder="0" applyAlignment="0" applyProtection="0"/>
    <xf numFmtId="0" fontId="145" fillId="0" borderId="0" applyFont="0" applyFill="0" applyBorder="0" applyAlignment="0" applyProtection="0"/>
    <xf numFmtId="233" fontId="146" fillId="0" borderId="0" applyFont="0" applyFill="0" applyBorder="0" applyAlignment="0" applyProtection="0"/>
    <xf numFmtId="0" fontId="147"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256" fontId="149" fillId="0" borderId="0" applyFont="0" applyFill="0" applyBorder="0" applyAlignment="0" applyProtection="0"/>
    <xf numFmtId="256" fontId="150"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0" fontId="151" fillId="0" borderId="0" applyFont="0" applyFill="0" applyBorder="0" applyAlignment="0" applyProtection="0"/>
    <xf numFmtId="256" fontId="148"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42" fontId="105" fillId="0" borderId="0" applyFont="0" applyFill="0" applyBorder="0" applyAlignment="0" applyProtection="0"/>
    <xf numFmtId="256"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233" fontId="152"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 fillId="0" borderId="0" applyFont="0" applyFill="0" applyBorder="0" applyAlignment="0" applyProtection="0"/>
    <xf numFmtId="258" fontId="146" fillId="0" borderId="0" applyFont="0" applyFill="0" applyBorder="0" applyAlignment="0" applyProtection="0"/>
    <xf numFmtId="42" fontId="129"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45" fillId="0" borderId="0" applyFont="0" applyFill="0" applyBorder="0" applyAlignment="0" applyProtection="0"/>
    <xf numFmtId="0" fontId="153" fillId="0" borderId="0" applyFont="0" applyFill="0" applyBorder="0" applyAlignment="0" applyProtection="0"/>
    <xf numFmtId="0" fontId="154"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129" fillId="0" borderId="0" applyFont="0" applyFill="0" applyBorder="0" applyAlignment="0" applyProtection="0"/>
    <xf numFmtId="0" fontId="82"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259" fontId="129" fillId="0" borderId="0" applyFont="0" applyFill="0" applyBorder="0" applyAlignment="0" applyProtection="0"/>
    <xf numFmtId="0" fontId="145" fillId="0" borderId="0" applyFont="0" applyFill="0" applyBorder="0" applyAlignment="0" applyProtection="0"/>
    <xf numFmtId="259" fontId="146" fillId="0" borderId="0" applyFont="0" applyFill="0" applyBorder="0" applyAlignment="0" applyProtection="0"/>
    <xf numFmtId="205" fontId="147"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260" fontId="149" fillId="0" borderId="0" applyFont="0" applyFill="0" applyBorder="0" applyAlignment="0" applyProtection="0"/>
    <xf numFmtId="260" fontId="150"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0" fontId="151" fillId="0" borderId="0" applyFont="0" applyFill="0" applyBorder="0" applyAlignment="0" applyProtection="0"/>
    <xf numFmtId="260" fontId="148"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0" fontId="93"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205"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05" fontId="146" fillId="0" borderId="0" applyFont="0" applyFill="0" applyBorder="0" applyAlignment="0" applyProtection="0"/>
    <xf numFmtId="0" fontId="105" fillId="0" borderId="0" applyFont="0" applyFill="0" applyBorder="0" applyAlignment="0" applyProtection="0"/>
    <xf numFmtId="259"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29" fillId="0" borderId="0" applyFont="0" applyFill="0" applyBorder="0" applyAlignment="0" applyProtection="0"/>
    <xf numFmtId="262" fontId="146" fillId="0" borderId="0" applyFont="0" applyFill="0" applyBorder="0" applyAlignment="0" applyProtection="0"/>
    <xf numFmtId="44" fontId="129"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45" fillId="0" borderId="0" applyFont="0" applyFill="0" applyBorder="0" applyAlignment="0" applyProtection="0"/>
    <xf numFmtId="0" fontId="153" fillId="0" borderId="0" applyFont="0" applyFill="0" applyBorder="0" applyAlignment="0" applyProtection="0"/>
    <xf numFmtId="0" fontId="154"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129" fillId="0" borderId="0" applyFont="0" applyFill="0" applyBorder="0" applyAlignment="0" applyProtection="0"/>
    <xf numFmtId="205"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57" fillId="0" borderId="0" applyFont="0" applyFill="0" applyBorder="0" applyAlignment="0" applyProtection="0"/>
    <xf numFmtId="0" fontId="129" fillId="0" borderId="0" applyFont="0" applyFill="0" applyBorder="0" applyAlignment="0" applyProtection="0"/>
    <xf numFmtId="263" fontId="82"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42" fontId="138" fillId="0" borderId="0" applyFont="0" applyFill="0" applyBorder="0" applyAlignment="0" applyProtection="0"/>
    <xf numFmtId="44" fontId="138" fillId="0" borderId="0" applyFont="0" applyFill="0" applyBorder="0" applyAlignment="0" applyProtection="0"/>
    <xf numFmtId="42" fontId="140" fillId="0" borderId="0" applyFont="0" applyFill="0" applyBorder="0" applyAlignment="0" applyProtection="0"/>
    <xf numFmtId="44" fontId="140" fillId="0" borderId="0" applyFont="0" applyFill="0" applyBorder="0" applyAlignment="0" applyProtection="0"/>
    <xf numFmtId="0" fontId="142" fillId="0" borderId="0" applyFont="0" applyFill="0" applyBorder="0" applyAlignment="0" applyProtection="0"/>
    <xf numFmtId="0" fontId="142" fillId="0" borderId="0" applyFont="0" applyFill="0" applyBorder="0" applyAlignment="0" applyProtection="0"/>
    <xf numFmtId="256" fontId="158" fillId="0" borderId="0" applyFont="0" applyFill="0" applyBorder="0" applyAlignment="0" applyProtection="0"/>
    <xf numFmtId="260" fontId="158" fillId="0" borderId="0" applyFont="0" applyFill="0" applyBorder="0" applyAlignment="0" applyProtection="0"/>
    <xf numFmtId="256" fontId="137" fillId="0" borderId="0" applyFont="0" applyFill="0" applyBorder="0" applyAlignment="0" applyProtection="0"/>
    <xf numFmtId="260" fontId="137" fillId="0" borderId="0" applyFont="0" applyFill="0" applyBorder="0" applyAlignment="0" applyProtection="0"/>
    <xf numFmtId="0" fontId="88" fillId="0" borderId="0"/>
    <xf numFmtId="0" fontId="90" fillId="0" borderId="30">
      <alignment horizontal="center" vertical="center"/>
    </xf>
    <xf numFmtId="264" fontId="159" fillId="0" borderId="0" applyFill="0" applyBorder="0" applyProtection="0">
      <alignment horizontal="center"/>
    </xf>
    <xf numFmtId="0" fontId="129" fillId="0" borderId="0"/>
    <xf numFmtId="0" fontId="160" fillId="0" borderId="0">
      <alignment horizontal="center" wrapText="1"/>
      <protection locked="0"/>
    </xf>
    <xf numFmtId="0" fontId="82" fillId="0" borderId="0" applyNumberFormat="0" applyFill="0" applyBorder="0" applyAlignment="0" applyProtection="0"/>
    <xf numFmtId="0" fontId="161" fillId="0" borderId="0" applyNumberFormat="0" applyFill="0" applyBorder="0" applyAlignment="0" applyProtection="0"/>
    <xf numFmtId="253" fontId="85" fillId="0" borderId="0" applyFont="0" applyFill="0" applyBorder="0" applyAlignment="0" applyProtection="0"/>
    <xf numFmtId="0" fontId="162" fillId="0" borderId="179" applyNumberFormat="0" applyFill="0" applyBorder="0" applyAlignment="0" applyProtection="0"/>
    <xf numFmtId="0" fontId="163" fillId="0" borderId="179" applyNumberFormat="0" applyFill="0" applyBorder="0" applyAlignment="0" applyProtection="0"/>
    <xf numFmtId="0" fontId="164" fillId="0" borderId="179" applyNumberFormat="0" applyFill="0" applyBorder="0" applyAlignment="0" applyProtection="0"/>
    <xf numFmtId="0" fontId="111" fillId="0" borderId="179" applyNumberFormat="0" applyFill="0" applyAlignment="0" applyProtection="0"/>
    <xf numFmtId="0" fontId="165" fillId="87" borderId="1" applyProtection="0">
      <alignment horizontal="right"/>
      <protection locked="0"/>
    </xf>
    <xf numFmtId="0" fontId="165" fillId="87" borderId="1" applyProtection="0">
      <alignment horizontal="right"/>
    </xf>
    <xf numFmtId="38" fontId="93"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253" fontId="149" fillId="0" borderId="0" applyFont="0" applyFill="0" applyBorder="0" applyAlignment="0" applyProtection="0"/>
    <xf numFmtId="253" fontId="150"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0" fontId="151" fillId="0" borderId="0" applyFont="0" applyFill="0" applyBorder="0" applyAlignment="0" applyProtection="0"/>
    <xf numFmtId="253" fontId="148"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41" fontId="105" fillId="0" borderId="0" applyFont="0" applyFill="0" applyBorder="0" applyAlignment="0" applyProtection="0"/>
    <xf numFmtId="253"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12" fontId="146" fillId="0" borderId="0" applyFont="0" applyFill="0" applyBorder="0" applyAlignment="0" applyProtection="0"/>
    <xf numFmtId="0" fontId="129" fillId="0" borderId="0" applyFont="0" applyFill="0" applyBorder="0" applyAlignment="0"/>
    <xf numFmtId="0" fontId="166" fillId="0" borderId="0" applyFont="0" applyFill="0" applyBorder="0" applyAlignment="0" applyProtection="0"/>
    <xf numFmtId="41" fontId="129" fillId="0" borderId="0" applyFont="0" applyFill="0" applyBorder="0" applyAlignment="0" applyProtection="0"/>
    <xf numFmtId="0" fontId="146" fillId="0" borderId="0" applyFont="0" applyFill="0" applyBorder="0" applyAlignment="0" applyProtection="0"/>
    <xf numFmtId="38" fontId="129" fillId="0" borderId="0" applyFont="0" applyFill="0" applyBorder="0" applyAlignment="0" applyProtection="0"/>
    <xf numFmtId="38"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66" fontId="82"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43" fontId="105" fillId="0" borderId="0" applyFont="0" applyFill="0" applyBorder="0" applyAlignment="0" applyProtection="0"/>
    <xf numFmtId="245" fontId="148" fillId="0" borderId="0" applyFont="0" applyFill="0" applyBorder="0" applyAlignment="0" applyProtection="0"/>
    <xf numFmtId="267" fontId="149" fillId="0" borderId="0" applyFont="0" applyFill="0" applyBorder="0" applyAlignment="0" applyProtection="0"/>
    <xf numFmtId="267" fontId="150" fillId="0" borderId="0" applyFont="0" applyFill="0" applyBorder="0" applyAlignment="0" applyProtection="0"/>
    <xf numFmtId="245" fontId="151" fillId="0" borderId="0" applyFont="0" applyFill="0" applyBorder="0" applyAlignment="0" applyProtection="0"/>
    <xf numFmtId="245" fontId="150" fillId="0" borderId="0" applyFont="0" applyFill="0" applyBorder="0" applyAlignment="0" applyProtection="0"/>
    <xf numFmtId="245" fontId="151" fillId="0" borderId="0" applyFont="0" applyFill="0" applyBorder="0" applyAlignment="0" applyProtection="0"/>
    <xf numFmtId="245" fontId="148" fillId="0" borderId="0" applyFont="0" applyFill="0" applyBorder="0" applyAlignment="0" applyProtection="0"/>
    <xf numFmtId="267" fontId="149" fillId="0" borderId="0" applyFont="0" applyFill="0" applyBorder="0" applyAlignment="0" applyProtection="0"/>
    <xf numFmtId="267" fontId="150" fillId="0" borderId="0" applyFont="0" applyFill="0" applyBorder="0" applyAlignment="0" applyProtection="0"/>
    <xf numFmtId="0" fontId="151" fillId="0" borderId="0" applyFont="0" applyFill="0" applyBorder="0" applyAlignment="0" applyProtection="0"/>
    <xf numFmtId="0" fontId="146" fillId="0" borderId="0" applyFont="0" applyFill="0" applyBorder="0" applyAlignment="0" applyProtection="0"/>
    <xf numFmtId="40" fontId="129" fillId="0" borderId="0" applyFont="0" applyFill="0" applyBorder="0" applyAlignment="0" applyProtection="0"/>
    <xf numFmtId="4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06" fontId="82"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87" fillId="0" borderId="0" applyFont="0" applyFill="0" applyBorder="0" applyAlignment="0" applyProtection="0"/>
    <xf numFmtId="0" fontId="167" fillId="70" borderId="0" applyNumberFormat="0" applyBorder="0" applyAlignment="0" applyProtection="0">
      <alignment vertical="center"/>
    </xf>
    <xf numFmtId="268" fontId="168" fillId="0" borderId="0" applyFont="0" applyFill="0" applyBorder="0" applyAlignment="0" applyProtection="0">
      <alignment horizontal="right"/>
    </xf>
    <xf numFmtId="0" fontId="169" fillId="0" borderId="0"/>
    <xf numFmtId="0" fontId="170" fillId="0" borderId="0" applyNumberFormat="0" applyFill="0" applyBorder="0" applyAlignment="0" applyProtection="0"/>
    <xf numFmtId="0" fontId="17" fillId="0" borderId="180" applyAlignment="0" applyProtection="0"/>
    <xf numFmtId="269" fontId="171" fillId="0" borderId="176" applyFill="0" applyAlignment="0" applyProtection="0">
      <alignment horizontal="center"/>
    </xf>
    <xf numFmtId="269" fontId="171" fillId="0" borderId="176" applyFill="0" applyAlignment="0" applyProtection="0">
      <alignment horizontal="center"/>
    </xf>
    <xf numFmtId="270" fontId="172" fillId="0" borderId="0"/>
    <xf numFmtId="270" fontId="172" fillId="0" borderId="0"/>
    <xf numFmtId="271" fontId="144" fillId="0" borderId="0" applyAlignment="0" applyProtection="0">
      <alignment vertical="center"/>
    </xf>
    <xf numFmtId="0" fontId="173" fillId="0" borderId="181" applyNumberFormat="0" applyAlignment="0" applyProtection="0">
      <alignment vertical="center"/>
    </xf>
    <xf numFmtId="49" fontId="174" fillId="0" borderId="0" applyAlignment="0" applyProtection="0">
      <alignment vertical="center"/>
    </xf>
    <xf numFmtId="0" fontId="138" fillId="0" borderId="0"/>
    <xf numFmtId="0" fontId="158" fillId="0" borderId="0"/>
    <xf numFmtId="0" fontId="141" fillId="0" borderId="0"/>
    <xf numFmtId="0" fontId="140" fillId="0" borderId="0"/>
    <xf numFmtId="0" fontId="175" fillId="0" borderId="0"/>
    <xf numFmtId="0" fontId="176" fillId="0" borderId="0"/>
    <xf numFmtId="0" fontId="153" fillId="0" borderId="0"/>
    <xf numFmtId="0" fontId="177" fillId="0" borderId="0"/>
    <xf numFmtId="0" fontId="147" fillId="0" borderId="0"/>
    <xf numFmtId="0" fontId="148"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47" fillId="0" borderId="0"/>
    <xf numFmtId="0" fontId="148" fillId="0" borderId="0"/>
    <xf numFmtId="0" fontId="149" fillId="0" borderId="0"/>
    <xf numFmtId="0" fontId="150" fillId="0" borderId="0"/>
    <xf numFmtId="0" fontId="151" fillId="0" borderId="0"/>
    <xf numFmtId="0" fontId="148" fillId="0" borderId="0"/>
    <xf numFmtId="0" fontId="149" fillId="0" borderId="0"/>
    <xf numFmtId="0" fontId="150"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49" fillId="0" borderId="0"/>
    <xf numFmtId="0" fontId="150" fillId="0" borderId="0"/>
    <xf numFmtId="0" fontId="151" fillId="0" borderId="0"/>
    <xf numFmtId="0" fontId="148" fillId="0" borderId="0"/>
    <xf numFmtId="0" fontId="153" fillId="0" borderId="0"/>
    <xf numFmtId="0" fontId="146" fillId="0" borderId="0"/>
    <xf numFmtId="0" fontId="182" fillId="0" borderId="0"/>
    <xf numFmtId="0" fontId="157" fillId="0" borderId="0"/>
    <xf numFmtId="0" fontId="93" fillId="0" borderId="0"/>
    <xf numFmtId="0" fontId="152" fillId="0" borderId="0"/>
    <xf numFmtId="0" fontId="105" fillId="0" borderId="0"/>
    <xf numFmtId="0" fontId="152" fillId="0" borderId="0"/>
    <xf numFmtId="0" fontId="153" fillId="0" borderId="0"/>
    <xf numFmtId="0" fontId="157" fillId="0" borderId="0"/>
    <xf numFmtId="0" fontId="105" fillId="0" borderId="0"/>
    <xf numFmtId="0" fontId="152" fillId="0" borderId="0"/>
    <xf numFmtId="0" fontId="183" fillId="0" borderId="0"/>
    <xf numFmtId="0" fontId="148" fillId="0" borderId="0"/>
    <xf numFmtId="0" fontId="147" fillId="0" borderId="0"/>
    <xf numFmtId="0" fontId="148" fillId="0" borderId="0"/>
    <xf numFmtId="0" fontId="129" fillId="0" borderId="0"/>
    <xf numFmtId="0" fontId="148" fillId="0" borderId="0"/>
    <xf numFmtId="0" fontId="147" fillId="0" borderId="0"/>
    <xf numFmtId="0" fontId="148" fillId="0" borderId="0"/>
    <xf numFmtId="37" fontId="129" fillId="0" borderId="0"/>
    <xf numFmtId="0" fontId="166" fillId="0" borderId="0"/>
    <xf numFmtId="0" fontId="129" fillId="0" borderId="0"/>
    <xf numFmtId="0" fontId="152" fillId="0" borderId="0"/>
    <xf numFmtId="0" fontId="129" fillId="0" borderId="0"/>
    <xf numFmtId="0" fontId="146" fillId="0" borderId="0"/>
    <xf numFmtId="0" fontId="182" fillId="0" borderId="0"/>
    <xf numFmtId="0" fontId="146" fillId="0" borderId="0"/>
    <xf numFmtId="0" fontId="129" fillId="0" borderId="0"/>
    <xf numFmtId="0" fontId="146" fillId="0" borderId="0"/>
    <xf numFmtId="0" fontId="182"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84" fillId="0" borderId="0"/>
    <xf numFmtId="0" fontId="185" fillId="0" borderId="0"/>
    <xf numFmtId="0" fontId="157" fillId="0" borderId="0"/>
    <xf numFmtId="0" fontId="105" fillId="0" borderId="0"/>
    <xf numFmtId="0" fontId="146" fillId="0" borderId="0"/>
    <xf numFmtId="0" fontId="129" fillId="0" borderId="0"/>
    <xf numFmtId="0" fontId="146" fillId="0" borderId="0"/>
    <xf numFmtId="0" fontId="129" fillId="0" borderId="0"/>
    <xf numFmtId="0" fontId="146" fillId="0" borderId="0"/>
    <xf numFmtId="0" fontId="105" fillId="0" borderId="0"/>
    <xf numFmtId="0" fontId="152"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55" fillId="0" borderId="0"/>
    <xf numFmtId="0" fontId="156" fillId="0" borderId="0"/>
    <xf numFmtId="0" fontId="186" fillId="0" borderId="0"/>
    <xf numFmtId="0" fontId="187" fillId="0" borderId="0"/>
    <xf numFmtId="0" fontId="186" fillId="0" borderId="0"/>
    <xf numFmtId="0" fontId="187" fillId="0" borderId="0"/>
    <xf numFmtId="0" fontId="186" fillId="0" borderId="0"/>
    <xf numFmtId="0" fontId="187" fillId="0" borderId="0"/>
    <xf numFmtId="0" fontId="186" fillId="0" borderId="0"/>
    <xf numFmtId="0" fontId="187" fillId="0" borderId="0"/>
    <xf numFmtId="0" fontId="129" fillId="0" borderId="0"/>
    <xf numFmtId="0" fontId="156" fillId="0" borderId="0"/>
    <xf numFmtId="0" fontId="188" fillId="0" borderId="0"/>
    <xf numFmtId="0" fontId="189"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05" fillId="0" borderId="0"/>
    <xf numFmtId="0" fontId="152" fillId="0" borderId="0"/>
    <xf numFmtId="0" fontId="129" fillId="0" borderId="0"/>
    <xf numFmtId="0" fontId="146" fillId="0" borderId="0"/>
    <xf numFmtId="0" fontId="129" fillId="0" borderId="0"/>
    <xf numFmtId="0" fontId="146" fillId="0" borderId="0"/>
    <xf numFmtId="0" fontId="182" fillId="0" borderId="0"/>
    <xf numFmtId="0" fontId="156" fillId="0" borderId="0"/>
    <xf numFmtId="0" fontId="155" fillId="0" borderId="0"/>
    <xf numFmtId="0" fontId="156" fillId="0" borderId="0"/>
    <xf numFmtId="0" fontId="129" fillId="0" borderId="0"/>
    <xf numFmtId="0" fontId="146" fillId="0" borderId="0"/>
    <xf numFmtId="0" fontId="190" fillId="0" borderId="0"/>
    <xf numFmtId="0" fontId="191" fillId="0" borderId="0"/>
    <xf numFmtId="0" fontId="186" fillId="0" borderId="0"/>
    <xf numFmtId="0" fontId="187"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46" fillId="0" borderId="0"/>
    <xf numFmtId="0" fontId="155" fillId="0" borderId="0"/>
    <xf numFmtId="0" fontId="156" fillId="0" borderId="0"/>
    <xf numFmtId="0" fontId="155" fillId="0" borderId="0"/>
    <xf numFmtId="272" fontId="111" fillId="0" borderId="0" applyFill="0"/>
    <xf numFmtId="272" fontId="111" fillId="0" borderId="0">
      <alignment horizontal="center"/>
    </xf>
    <xf numFmtId="0" fontId="111" fillId="0" borderId="0" applyFill="0">
      <alignment horizontal="center"/>
    </xf>
    <xf numFmtId="272" fontId="192" fillId="0" borderId="182" applyFill="0"/>
    <xf numFmtId="0" fontId="82" fillId="0" borderId="0" applyFont="0" applyAlignment="0"/>
    <xf numFmtId="0" fontId="193" fillId="0" borderId="0" applyFill="0">
      <alignment vertical="top"/>
    </xf>
    <xf numFmtId="0" fontId="192" fillId="0" borderId="0" applyFill="0">
      <alignment horizontal="left" vertical="top"/>
    </xf>
    <xf numFmtId="272" fontId="194" fillId="0" borderId="180" applyFill="0"/>
    <xf numFmtId="0" fontId="82" fillId="0" borderId="0" applyNumberFormat="0" applyFont="0" applyAlignment="0"/>
    <xf numFmtId="0" fontId="193" fillId="0" borderId="0" applyFill="0">
      <alignment wrapText="1"/>
    </xf>
    <xf numFmtId="0" fontId="192" fillId="0" borderId="0" applyFill="0">
      <alignment horizontal="left" vertical="top" wrapText="1"/>
    </xf>
    <xf numFmtId="272" fontId="168" fillId="0" borderId="0" applyFill="0"/>
    <xf numFmtId="0" fontId="195" fillId="0" borderId="0" applyNumberFormat="0" applyFont="0" applyAlignment="0">
      <alignment horizontal="center"/>
    </xf>
    <xf numFmtId="0" fontId="196" fillId="0" borderId="0" applyFill="0">
      <alignment vertical="top" wrapText="1"/>
    </xf>
    <xf numFmtId="0" fontId="194" fillId="0" borderId="0" applyFill="0">
      <alignment horizontal="left" vertical="top" wrapText="1"/>
    </xf>
    <xf numFmtId="272" fontId="82" fillId="0" borderId="0" applyFill="0"/>
    <xf numFmtId="0" fontId="195" fillId="0" borderId="0" applyNumberFormat="0" applyFont="0" applyAlignment="0">
      <alignment horizontal="center"/>
    </xf>
    <xf numFmtId="0" fontId="197" fillId="0" borderId="0" applyFill="0">
      <alignment vertical="center" wrapText="1"/>
    </xf>
    <xf numFmtId="0" fontId="161" fillId="0" borderId="0">
      <alignment horizontal="left" vertical="center" wrapText="1"/>
    </xf>
    <xf numFmtId="272" fontId="144" fillId="0" borderId="0" applyFill="0"/>
    <xf numFmtId="0" fontId="195" fillId="0" borderId="0" applyNumberFormat="0" applyFont="0" applyAlignment="0">
      <alignment horizontal="center"/>
    </xf>
    <xf numFmtId="0" fontId="107" fillId="0" borderId="0" applyFill="0">
      <alignment horizontal="center" vertical="center" wrapText="1"/>
    </xf>
    <xf numFmtId="0" fontId="82" fillId="0" borderId="0" applyFill="0">
      <alignment horizontal="center" vertical="center" wrapText="1"/>
    </xf>
    <xf numFmtId="272" fontId="198" fillId="0" borderId="0" applyFill="0"/>
    <xf numFmtId="0" fontId="195" fillId="0" borderId="0" applyNumberFormat="0" applyFont="0" applyAlignment="0">
      <alignment horizontal="center"/>
    </xf>
    <xf numFmtId="0" fontId="199" fillId="0" borderId="0" applyFill="0">
      <alignment horizontal="center" vertical="center" wrapText="1"/>
    </xf>
    <xf numFmtId="0" fontId="200" fillId="0" borderId="0" applyFill="0">
      <alignment horizontal="center" vertical="center" wrapText="1"/>
    </xf>
    <xf numFmtId="272" fontId="201" fillId="0" borderId="0" applyFill="0"/>
    <xf numFmtId="0" fontId="195" fillId="0" borderId="0" applyNumberFormat="0" applyFont="0" applyAlignment="0">
      <alignment horizontal="center"/>
    </xf>
    <xf numFmtId="0" fontId="202" fillId="0" borderId="0">
      <alignment horizontal="center" wrapText="1"/>
    </xf>
    <xf numFmtId="0" fontId="198" fillId="0" borderId="0" applyFill="0">
      <alignment horizontal="center" wrapText="1"/>
    </xf>
    <xf numFmtId="273" fontId="82" fillId="0" borderId="0" applyFill="0" applyBorder="0" applyAlignment="0"/>
    <xf numFmtId="274" fontId="82" fillId="0" borderId="0" applyFill="0" applyBorder="0" applyAlignment="0"/>
    <xf numFmtId="275" fontId="203" fillId="0" borderId="0" applyFill="0" applyBorder="0" applyAlignment="0"/>
    <xf numFmtId="276" fontId="82" fillId="0" borderId="0" applyFill="0" applyBorder="0" applyAlignment="0"/>
    <xf numFmtId="277"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04" fillId="68" borderId="183" applyNumberFormat="0" applyAlignment="0" applyProtection="0">
      <alignment vertical="center"/>
    </xf>
    <xf numFmtId="0" fontId="205" fillId="0" borderId="0"/>
    <xf numFmtId="0" fontId="206" fillId="88" borderId="184" applyNumberFormat="0" applyAlignment="0" applyProtection="0">
      <alignment vertical="center"/>
    </xf>
    <xf numFmtId="38" fontId="88" fillId="0" borderId="0" applyFont="0" applyFill="0" applyBorder="0" applyAlignment="0" applyProtection="0"/>
    <xf numFmtId="0" fontId="207" fillId="0" borderId="0" applyNumberFormat="0" applyFill="0" applyBorder="0" applyAlignment="0" applyProtection="0"/>
    <xf numFmtId="279" fontId="186" fillId="0" borderId="0" applyFont="0" applyFill="0" applyBorder="0" applyAlignment="0" applyProtection="0"/>
    <xf numFmtId="213" fontId="105" fillId="0" borderId="0" applyFont="0" applyFill="0" applyBorder="0" applyAlignment="0" applyProtection="0"/>
    <xf numFmtId="0" fontId="208" fillId="65" borderId="26">
      <alignment horizontal="center" wrapText="1"/>
    </xf>
    <xf numFmtId="0" fontId="163" fillId="0" borderId="31">
      <alignment horizontal="center"/>
    </xf>
    <xf numFmtId="253" fontId="104" fillId="0" borderId="0" applyFont="0" applyFill="0" applyBorder="0" applyAlignment="0" applyProtection="0"/>
    <xf numFmtId="4" fontId="209" fillId="0" borderId="0">
      <protection locked="0"/>
    </xf>
    <xf numFmtId="280" fontId="10" fillId="0" borderId="0"/>
    <xf numFmtId="0" fontId="210" fillId="0" borderId="0"/>
    <xf numFmtId="0" fontId="210" fillId="0" borderId="0"/>
    <xf numFmtId="0" fontId="210" fillId="0" borderId="0"/>
    <xf numFmtId="0" fontId="210" fillId="0" borderId="0"/>
    <xf numFmtId="0" fontId="210" fillId="0" borderId="0"/>
    <xf numFmtId="0" fontId="210" fillId="0" borderId="0"/>
    <xf numFmtId="0" fontId="210" fillId="0" borderId="0"/>
    <xf numFmtId="3" fontId="88" fillId="0" borderId="0" applyFont="0" applyFill="0" applyBorder="0" applyAlignment="0" applyProtection="0"/>
    <xf numFmtId="3" fontId="88" fillId="0" borderId="0" applyFont="0" applyFill="0" applyBorder="0" applyAlignment="0" applyProtection="0"/>
    <xf numFmtId="41" fontId="82" fillId="0" borderId="0" applyFont="0" applyFill="0" applyBorder="0" applyAlignment="0" applyProtection="0">
      <alignment vertical="center"/>
    </xf>
    <xf numFmtId="253" fontId="82" fillId="0" borderId="0" applyFont="0" applyFill="0" applyBorder="0" applyAlignment="0" applyProtection="0"/>
    <xf numFmtId="253" fontId="82" fillId="0" borderId="0" applyFont="0" applyFill="0" applyBorder="0" applyAlignment="0" applyProtection="0"/>
    <xf numFmtId="273" fontId="82" fillId="0" borderId="0" applyFont="0" applyFill="0" applyBorder="0" applyAlignment="0" applyProtection="0"/>
    <xf numFmtId="281" fontId="211" fillId="0" borderId="0" applyFont="0" applyFill="0" applyBorder="0" applyAlignment="0" applyProtection="0">
      <alignment horizontal="right"/>
    </xf>
    <xf numFmtId="282" fontId="211" fillId="0" borderId="0" applyFont="0" applyFill="0" applyBorder="0" applyAlignment="0" applyProtection="0"/>
    <xf numFmtId="223" fontId="82" fillId="0" borderId="0" applyFont="0" applyFill="0" applyBorder="0" applyAlignment="0" applyProtection="0">
      <alignment horizontal="right"/>
    </xf>
    <xf numFmtId="283" fontId="211" fillId="0" borderId="0" applyFont="0" applyFill="0" applyBorder="0" applyAlignment="0" applyProtection="0">
      <alignment horizontal="right"/>
    </xf>
    <xf numFmtId="0" fontId="85" fillId="0" borderId="0" applyFont="0" applyFill="0" applyBorder="0" applyAlignment="0" applyProtection="0"/>
    <xf numFmtId="284" fontId="10" fillId="0" borderId="0"/>
    <xf numFmtId="43" fontId="82" fillId="0" borderId="0" applyFont="0" applyFill="0" applyBorder="0" applyAlignment="0" applyProtection="0"/>
    <xf numFmtId="3" fontId="82" fillId="0" borderId="0" applyFont="0" applyFill="0" applyBorder="0" applyAlignment="0" applyProtection="0"/>
    <xf numFmtId="0" fontId="212" fillId="0" borderId="0" applyNumberFormat="0" applyAlignment="0">
      <alignment horizontal="left"/>
    </xf>
    <xf numFmtId="0" fontId="213" fillId="0" borderId="0" applyNumberFormat="0" applyAlignment="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285" fontId="209" fillId="0" borderId="0">
      <protection locked="0"/>
    </xf>
    <xf numFmtId="262" fontId="88" fillId="0" borderId="0" applyFont="0" applyFill="0" applyBorder="0" applyAlignment="0" applyProtection="0"/>
    <xf numFmtId="286" fontId="10" fillId="0" borderId="0" applyFont="0" applyFill="0" applyBorder="0" applyAlignment="0" applyProtection="0"/>
    <xf numFmtId="0" fontId="85" fillId="0" borderId="0" applyFont="0" applyFill="0" applyBorder="0" applyAlignment="0" applyProtection="0"/>
    <xf numFmtId="274" fontId="82" fillId="0" borderId="0" applyFont="0" applyFill="0" applyBorder="0" applyAlignment="0" applyProtection="0"/>
    <xf numFmtId="287" fontId="85" fillId="0" borderId="0" applyFont="0" applyFill="0" applyBorder="0" applyAlignment="0" applyProtection="0"/>
    <xf numFmtId="288" fontId="211" fillId="0" borderId="0" applyFont="0" applyFill="0" applyBorder="0" applyAlignment="0" applyProtection="0">
      <alignment horizontal="right"/>
    </xf>
    <xf numFmtId="289" fontId="211" fillId="0" borderId="0" applyFont="0" applyFill="0" applyBorder="0" applyAlignment="0" applyProtection="0">
      <alignment horizontal="right"/>
    </xf>
    <xf numFmtId="0" fontId="85" fillId="0" borderId="1" applyFill="0" applyBorder="0" applyAlignment="0"/>
    <xf numFmtId="259" fontId="82" fillId="0" borderId="0" applyFont="0" applyFill="0" applyBorder="0" applyAlignment="0" applyProtection="0"/>
    <xf numFmtId="0" fontId="10" fillId="0" borderId="0" applyFont="0" applyFill="0" applyBorder="0" applyAlignment="0" applyProtection="0"/>
    <xf numFmtId="222" fontId="82" fillId="0" borderId="0" applyFont="0" applyFill="0" applyBorder="0" applyAlignment="0" applyProtection="0"/>
    <xf numFmtId="290" fontId="10" fillId="0" borderId="0"/>
    <xf numFmtId="12" fontId="82" fillId="0" borderId="0" applyFont="0" applyFill="0" applyProtection="0"/>
    <xf numFmtId="0" fontId="214" fillId="0" borderId="0"/>
    <xf numFmtId="0" fontId="215" fillId="0" borderId="0"/>
    <xf numFmtId="0" fontId="216" fillId="0" borderId="185" applyNumberFormat="0" applyBorder="0">
      <alignment horizontal="centerContinuous"/>
    </xf>
    <xf numFmtId="0" fontId="215" fillId="0" borderId="186"/>
    <xf numFmtId="0" fontId="82" fillId="0" borderId="0" applyNumberFormat="0" applyFont="0" applyBorder="0" applyProtection="0">
      <alignment vertical="top"/>
      <protection locked="0"/>
    </xf>
    <xf numFmtId="0" fontId="217" fillId="0" borderId="0"/>
    <xf numFmtId="0" fontId="218" fillId="0" borderId="0" applyNumberFormat="0" applyAlignment="0"/>
    <xf numFmtId="0" fontId="161" fillId="0" borderId="0" applyFill="0" applyBorder="0" applyAlignment="0" applyProtection="0"/>
    <xf numFmtId="291" fontId="211" fillId="0" borderId="0" applyFont="0" applyFill="0" applyBorder="0" applyAlignment="0" applyProtection="0"/>
    <xf numFmtId="14" fontId="118" fillId="0" borderId="0" applyFill="0" applyBorder="0" applyAlignment="0"/>
    <xf numFmtId="265" fontId="10" fillId="0" borderId="0">
      <protection locked="0"/>
    </xf>
    <xf numFmtId="14" fontId="219" fillId="0" borderId="0" applyFont="0" applyFill="0" applyBorder="0" applyAlignment="0"/>
    <xf numFmtId="185" fontId="82" fillId="0" borderId="187">
      <alignment vertical="center"/>
    </xf>
    <xf numFmtId="49" fontId="111" fillId="89" borderId="1">
      <alignment vertical="center" wrapText="1"/>
    </xf>
    <xf numFmtId="0" fontId="82" fillId="0" borderId="0" applyFont="0" applyFill="0" applyBorder="0" applyAlignment="0" applyProtection="0"/>
    <xf numFmtId="0" fontId="82" fillId="0" borderId="0" applyFont="0" applyFill="0" applyBorder="0" applyAlignment="0" applyProtection="0"/>
    <xf numFmtId="38" fontId="88" fillId="0" borderId="0" applyFont="0" applyFill="0" applyBorder="0" applyAlignment="0" applyProtection="0"/>
    <xf numFmtId="40" fontId="88" fillId="0" borderId="0" applyFont="0" applyFill="0" applyBorder="0" applyAlignment="0" applyProtection="0"/>
    <xf numFmtId="0" fontId="82" fillId="90" borderId="0" applyNumberFormat="0" applyFont="0" applyBorder="0" applyAlignment="0" applyProtection="0"/>
    <xf numFmtId="292" fontId="10" fillId="0" borderId="0"/>
    <xf numFmtId="293" fontId="211" fillId="0" borderId="188" applyNumberFormat="0" applyFont="0" applyFill="0" applyAlignment="0" applyProtection="0"/>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20" fillId="0" borderId="0" applyNumberFormat="0" applyAlignment="0">
      <alignment horizontal="left"/>
    </xf>
    <xf numFmtId="0" fontId="221" fillId="0" borderId="0"/>
    <xf numFmtId="294" fontId="10" fillId="0" borderId="0" applyFont="0" applyFill="0" applyBorder="0" applyAlignment="0" applyProtection="0">
      <alignment vertical="center"/>
    </xf>
    <xf numFmtId="0" fontId="222" fillId="0" borderId="0" applyNumberFormat="0" applyFill="0" applyBorder="0" applyAlignment="0" applyProtection="0">
      <alignment vertical="center"/>
    </xf>
    <xf numFmtId="0" fontId="119" fillId="0" borderId="0" applyNumberFormat="0" applyFill="0" applyBorder="0" applyAlignment="0" applyProtection="0"/>
    <xf numFmtId="295" fontId="223" fillId="0" borderId="0">
      <protection locked="0"/>
    </xf>
    <xf numFmtId="295" fontId="223" fillId="0" borderId="0">
      <protection locked="0"/>
    </xf>
    <xf numFmtId="295" fontId="224" fillId="0" borderId="0">
      <protection locked="0"/>
    </xf>
    <xf numFmtId="295" fontId="223" fillId="0" borderId="0">
      <protection locked="0"/>
    </xf>
    <xf numFmtId="295" fontId="223" fillId="0" borderId="0">
      <protection locked="0"/>
    </xf>
    <xf numFmtId="295" fontId="223" fillId="0" borderId="0">
      <protection locked="0"/>
    </xf>
    <xf numFmtId="295" fontId="224" fillId="0" borderId="0">
      <protection locked="0"/>
    </xf>
    <xf numFmtId="0" fontId="85" fillId="0" borderId="0" applyFont="0" applyFill="0" applyBorder="0" applyAlignment="0" applyProtection="0"/>
    <xf numFmtId="40" fontId="82" fillId="0" borderId="0" applyNumberFormat="0">
      <alignment horizontal="right"/>
    </xf>
    <xf numFmtId="2" fontId="161" fillId="0" borderId="0" applyFill="0" applyBorder="0" applyAlignment="0" applyProtection="0"/>
    <xf numFmtId="0" fontId="225" fillId="0" borderId="0" applyNumberFormat="0" applyFill="0" applyBorder="0" applyAlignment="0" applyProtection="0"/>
    <xf numFmtId="0" fontId="226" fillId="0" borderId="0" applyFill="0" applyBorder="0" applyProtection="0">
      <alignment horizontal="left"/>
    </xf>
    <xf numFmtId="2" fontId="227" fillId="0" borderId="0">
      <alignment horizontal="left"/>
    </xf>
    <xf numFmtId="0" fontId="228" fillId="71" borderId="0" applyNumberFormat="0" applyBorder="0" applyAlignment="0" applyProtection="0">
      <alignment vertical="center"/>
    </xf>
    <xf numFmtId="38" fontId="111" fillId="64" borderId="0" applyNumberFormat="0" applyBorder="0" applyAlignment="0" applyProtection="0"/>
    <xf numFmtId="38" fontId="111" fillId="64" borderId="0" applyNumberFormat="0" applyBorder="0" applyAlignment="0" applyProtection="0"/>
    <xf numFmtId="38" fontId="111" fillId="64" borderId="0" applyNumberFormat="0" applyBorder="0" applyAlignment="0" applyProtection="0"/>
    <xf numFmtId="38" fontId="111" fillId="64" borderId="0" applyNumberFormat="0" applyBorder="0" applyAlignment="0" applyProtection="0"/>
    <xf numFmtId="296" fontId="211" fillId="0" borderId="0" applyFont="0" applyFill="0" applyBorder="0" applyAlignment="0" applyProtection="0">
      <alignment horizontal="right"/>
    </xf>
    <xf numFmtId="297" fontId="10" fillId="0" borderId="0" applyFont="0"/>
    <xf numFmtId="298" fontId="168" fillId="0" borderId="0" applyNumberFormat="0" applyFill="0" applyBorder="0" applyProtection="0">
      <alignment horizontal="right"/>
    </xf>
    <xf numFmtId="0" fontId="194" fillId="0" borderId="102" applyNumberFormat="0" applyAlignment="0" applyProtection="0">
      <alignment horizontal="left" vertical="center"/>
    </xf>
    <xf numFmtId="0" fontId="194" fillId="0" borderId="30">
      <alignment horizontal="left" vertical="center"/>
    </xf>
    <xf numFmtId="14" fontId="106" fillId="66" borderId="189">
      <alignment horizontal="center" vertical="center" wrapText="1"/>
    </xf>
    <xf numFmtId="0" fontId="229" fillId="0" borderId="190" applyNumberFormat="0" applyFill="0" applyAlignment="0" applyProtection="0">
      <alignment vertical="center"/>
    </xf>
    <xf numFmtId="0" fontId="230" fillId="0" borderId="191" applyNumberFormat="0" applyFill="0" applyAlignment="0" applyProtection="0">
      <alignment vertical="center"/>
    </xf>
    <xf numFmtId="0" fontId="231" fillId="0" borderId="192" applyNumberFormat="0" applyFill="0" applyAlignment="0" applyProtection="0">
      <alignment vertical="center"/>
    </xf>
    <xf numFmtId="0" fontId="231" fillId="0" borderId="0" applyNumberFormat="0" applyFill="0" applyBorder="0" applyAlignment="0" applyProtection="0">
      <alignment vertical="center"/>
    </xf>
    <xf numFmtId="0" fontId="232" fillId="0" borderId="0"/>
    <xf numFmtId="14" fontId="106" fillId="66" borderId="189">
      <alignment horizontal="center" vertical="center" wrapText="1"/>
    </xf>
    <xf numFmtId="0" fontId="233" fillId="0" borderId="0" applyNumberFormat="0" applyFill="0" applyBorder="0" applyAlignment="0" applyProtection="0"/>
    <xf numFmtId="0" fontId="194" fillId="0" borderId="0" applyNumberFormat="0" applyFill="0" applyBorder="0" applyAlignment="0" applyProtection="0"/>
    <xf numFmtId="0" fontId="234" fillId="0" borderId="189">
      <alignment horizontal="center"/>
    </xf>
    <xf numFmtId="0" fontId="234" fillId="0" borderId="0">
      <alignment horizontal="center"/>
    </xf>
    <xf numFmtId="0" fontId="235" fillId="0" borderId="0" applyNumberFormat="0" applyFill="0" applyBorder="0" applyAlignment="0" applyProtection="0">
      <alignment vertical="top"/>
      <protection locked="0"/>
    </xf>
    <xf numFmtId="0" fontId="236" fillId="0" borderId="0" applyNumberFormat="0" applyFill="0" applyBorder="0" applyAlignment="0" applyProtection="0">
      <alignment vertical="top"/>
      <protection locked="0"/>
    </xf>
    <xf numFmtId="0" fontId="237" fillId="0" borderId="0" applyNumberFormat="0" applyFill="0" applyBorder="0" applyAlignment="0" applyProtection="0"/>
    <xf numFmtId="0" fontId="238" fillId="63" borderId="183" applyNumberFormat="0" applyAlignment="0" applyProtection="0">
      <alignment vertical="center"/>
    </xf>
    <xf numFmtId="10" fontId="111" fillId="65" borderId="1" applyNumberFormat="0" applyBorder="0" applyAlignment="0" applyProtection="0"/>
    <xf numFmtId="10" fontId="111" fillId="65" borderId="1" applyNumberFormat="0" applyBorder="0" applyAlignment="0" applyProtection="0"/>
    <xf numFmtId="10" fontId="111" fillId="65" borderId="1" applyNumberFormat="0" applyBorder="0" applyAlignment="0" applyProtection="0"/>
    <xf numFmtId="10" fontId="111" fillId="65" borderId="1" applyNumberFormat="0" applyBorder="0" applyAlignment="0" applyProtection="0"/>
    <xf numFmtId="246" fontId="239" fillId="91" borderId="0"/>
    <xf numFmtId="299" fontId="240" fillId="0" borderId="0"/>
    <xf numFmtId="0" fontId="239" fillId="0" borderId="0" applyBorder="0"/>
    <xf numFmtId="0" fontId="87" fillId="0" borderId="0" applyFont="0" applyFill="0" applyBorder="0" applyAlignment="0" applyProtection="0"/>
    <xf numFmtId="0" fontId="93" fillId="0" borderId="0"/>
    <xf numFmtId="0" fontId="93" fillId="0" borderId="0"/>
    <xf numFmtId="0" fontId="241" fillId="92" borderId="186"/>
    <xf numFmtId="0" fontId="85" fillId="0" borderId="0"/>
    <xf numFmtId="0" fontId="90" fillId="0" borderId="0" applyNumberFormat="0" applyFont="0" applyFill="0" applyBorder="0" applyProtection="0">
      <alignment horizontal="left" vertical="center"/>
    </xf>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42" fillId="0" borderId="193" applyNumberFormat="0" applyFill="0" applyAlignment="0" applyProtection="0">
      <alignment vertical="center"/>
    </xf>
    <xf numFmtId="246" fontId="243" fillId="93" borderId="0"/>
    <xf numFmtId="0" fontId="82" fillId="64" borderId="0"/>
    <xf numFmtId="0" fontId="85"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82" fillId="0" borderId="0" applyFont="0" applyFill="0" applyBorder="0" applyAlignment="0" applyProtection="0"/>
    <xf numFmtId="227" fontId="82" fillId="0" borderId="0" applyFont="0" applyFill="0" applyBorder="0" applyAlignment="0" applyProtection="0"/>
    <xf numFmtId="300" fontId="82" fillId="0" borderId="0" applyFont="0" applyFill="0" applyBorder="0" applyAlignment="0" applyProtection="0"/>
    <xf numFmtId="301" fontId="82" fillId="0" borderId="0" applyFont="0" applyFill="0" applyBorder="0" applyAlignment="0" applyProtection="0"/>
    <xf numFmtId="0" fontId="244" fillId="0" borderId="189"/>
    <xf numFmtId="302" fontId="85" fillId="0" borderId="0" applyFont="0" applyFill="0" applyBorder="0" applyAlignment="0" applyProtection="0"/>
    <xf numFmtId="303" fontId="85" fillId="0" borderId="0" applyFont="0" applyFill="0" applyBorder="0" applyAlignment="0" applyProtection="0"/>
    <xf numFmtId="304" fontId="82" fillId="0" borderId="0" applyFont="0" applyFill="0" applyBorder="0" applyAlignment="0" applyProtection="0"/>
    <xf numFmtId="305" fontId="82" fillId="0" borderId="0" applyFont="0" applyFill="0" applyBorder="0" applyAlignment="0" applyProtection="0"/>
    <xf numFmtId="306" fontId="82" fillId="0" borderId="0" applyFont="0" applyFill="0" applyBorder="0" applyAlignment="0" applyProtection="0"/>
    <xf numFmtId="307" fontId="82" fillId="0" borderId="0" applyFont="0" applyFill="0" applyBorder="0" applyAlignment="0" applyProtection="0"/>
    <xf numFmtId="0" fontId="88" fillId="0" borderId="0" applyFont="0" applyFill="0" applyBorder="0" applyAlignment="0" applyProtection="0"/>
    <xf numFmtId="0" fontId="84" fillId="0" borderId="0" applyFont="0" applyFill="0" applyBorder="0" applyAlignment="0" applyProtection="0"/>
    <xf numFmtId="253" fontId="104" fillId="0" borderId="0" applyFont="0" applyFill="0" applyBorder="0" applyAlignment="0" applyProtection="0"/>
    <xf numFmtId="308" fontId="211" fillId="0" borderId="0" applyFont="0" applyFill="0" applyBorder="0" applyAlignment="0" applyProtection="0">
      <alignment horizontal="right"/>
    </xf>
    <xf numFmtId="309" fontId="85" fillId="0" borderId="0"/>
    <xf numFmtId="0" fontId="160" fillId="0" borderId="0"/>
    <xf numFmtId="0" fontId="82" fillId="0" borderId="0"/>
    <xf numFmtId="0" fontId="160" fillId="0" borderId="0"/>
    <xf numFmtId="0" fontId="245" fillId="0" borderId="0"/>
    <xf numFmtId="0" fontId="245" fillId="0" borderId="0"/>
    <xf numFmtId="0" fontId="246" fillId="67" borderId="0" applyNumberFormat="0" applyBorder="0" applyAlignment="0" applyProtection="0">
      <alignment vertical="center"/>
    </xf>
    <xf numFmtId="2" fontId="203" fillId="89" borderId="0"/>
    <xf numFmtId="0" fontId="245" fillId="0" borderId="0"/>
    <xf numFmtId="0" fontId="82" fillId="0" borderId="0"/>
    <xf numFmtId="0" fontId="171" fillId="0" borderId="0" applyNumberFormat="0" applyFill="0" applyAlignment="0" applyProtection="0"/>
    <xf numFmtId="37" fontId="247" fillId="0" borderId="0"/>
    <xf numFmtId="0" fontId="86" fillId="0" borderId="194" applyNumberFormat="0" applyFont="0" applyBorder="0" applyProtection="0">
      <alignment horizontal="center" vertical="center"/>
    </xf>
    <xf numFmtId="0" fontId="213" fillId="0" borderId="0"/>
    <xf numFmtId="0" fontId="161" fillId="0" borderId="0" applyNumberFormat="0" applyFill="0" applyBorder="0" applyAlignment="0" applyProtection="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310" fontId="248" fillId="0" borderId="0"/>
    <xf numFmtId="311" fontId="249" fillId="0" borderId="0"/>
    <xf numFmtId="311" fontId="249" fillId="0" borderId="0"/>
    <xf numFmtId="311" fontId="249" fillId="0" borderId="0"/>
    <xf numFmtId="0" fontId="239" fillId="0" borderId="0"/>
    <xf numFmtId="0" fontId="239" fillId="0" borderId="0"/>
    <xf numFmtId="0" fontId="239" fillId="0" borderId="0"/>
    <xf numFmtId="0" fontId="239" fillId="0" borderId="0"/>
    <xf numFmtId="0" fontId="239" fillId="0" borderId="0"/>
    <xf numFmtId="0" fontId="239" fillId="0" borderId="0"/>
    <xf numFmtId="0" fontId="239" fillId="0" borderId="0"/>
    <xf numFmtId="0" fontId="85" fillId="0" borderId="0"/>
    <xf numFmtId="0" fontId="10" fillId="0" borderId="0"/>
    <xf numFmtId="0" fontId="82" fillId="0" borderId="0">
      <alignment vertical="center"/>
    </xf>
    <xf numFmtId="0" fontId="82" fillId="0" borderId="0"/>
    <xf numFmtId="0" fontId="250" fillId="0" borderId="0" applyFont="0" applyFill="0" applyBorder="0" applyAlignment="0" applyProtection="0">
      <alignment horizontal="centerContinuous"/>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82" fillId="0" borderId="0"/>
    <xf numFmtId="0" fontId="80" fillId="94" borderId="196" applyNumberFormat="0" applyFont="0" applyAlignment="0" applyProtection="0">
      <alignment vertical="center"/>
    </xf>
    <xf numFmtId="312" fontId="171" fillId="0" borderId="0" applyFill="0" applyBorder="0" applyAlignment="0" applyProtection="0"/>
    <xf numFmtId="41" fontId="105" fillId="0" borderId="0" applyFont="0" applyFill="0" applyBorder="0" applyAlignment="0" applyProtection="0"/>
    <xf numFmtId="43" fontId="105"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82" fillId="0" borderId="0"/>
    <xf numFmtId="0" fontId="251" fillId="0" borderId="0"/>
    <xf numFmtId="0" fontId="252" fillId="68" borderId="197" applyNumberFormat="0" applyAlignment="0" applyProtection="0">
      <alignment vertical="center"/>
    </xf>
    <xf numFmtId="40" fontId="253" fillId="89" borderId="0">
      <alignment horizontal="right"/>
    </xf>
    <xf numFmtId="0" fontId="254" fillId="89" borderId="0">
      <alignment horizontal="right"/>
    </xf>
    <xf numFmtId="0" fontId="255" fillId="95" borderId="195"/>
    <xf numFmtId="0" fontId="255" fillId="95" borderId="195"/>
    <xf numFmtId="0" fontId="256" fillId="0" borderId="0" applyBorder="0">
      <alignment horizontal="centerContinuous"/>
    </xf>
    <xf numFmtId="0" fontId="257" fillId="0" borderId="0" applyBorder="0">
      <alignment horizontal="centerContinuous"/>
    </xf>
    <xf numFmtId="1" fontId="258" fillId="0" borderId="0" applyProtection="0">
      <alignment horizontal="right" vertical="center"/>
    </xf>
    <xf numFmtId="0" fontId="259" fillId="89" borderId="0"/>
    <xf numFmtId="0" fontId="85" fillId="0" borderId="0"/>
    <xf numFmtId="14" fontId="160" fillId="0" borderId="0">
      <alignment horizontal="center" wrapText="1"/>
      <protection locked="0"/>
    </xf>
    <xf numFmtId="313" fontId="209" fillId="0" borderId="0">
      <protection locked="0"/>
    </xf>
    <xf numFmtId="180" fontId="82" fillId="0" borderId="0" applyFont="0" applyFill="0" applyBorder="0" applyAlignment="0" applyProtection="0"/>
    <xf numFmtId="9" fontId="90" fillId="0" borderId="0" applyFont="0" applyFill="0" applyBorder="0" applyAlignment="0" applyProtection="0"/>
    <xf numFmtId="10" fontId="90" fillId="0" borderId="0" applyFont="0" applyFill="0" applyBorder="0" applyAlignment="0" applyProtection="0"/>
    <xf numFmtId="277" fontId="82" fillId="0" borderId="0" applyFont="0" applyFill="0" applyBorder="0" applyAlignment="0" applyProtection="0"/>
    <xf numFmtId="314" fontId="82" fillId="0" borderId="0" applyFont="0" applyFill="0" applyBorder="0" applyAlignment="0" applyProtection="0"/>
    <xf numFmtId="10" fontId="82" fillId="0" borderId="0" applyFont="0" applyFill="0" applyBorder="0" applyAlignment="0" applyProtection="0"/>
    <xf numFmtId="9" fontId="10" fillId="0" borderId="0" applyFont="0" applyFill="0" applyBorder="0" applyAlignment="0" applyProtection="0"/>
    <xf numFmtId="0" fontId="88" fillId="0" borderId="0" applyFont="0" applyFill="0" applyBorder="0" applyAlignment="0" applyProtection="0"/>
    <xf numFmtId="0" fontId="260" fillId="0" borderId="0"/>
    <xf numFmtId="270" fontId="172" fillId="0" borderId="0"/>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222" fontId="144" fillId="89" borderId="1">
      <alignment vertical="center"/>
    </xf>
    <xf numFmtId="0" fontId="88" fillId="0" borderId="0" applyNumberFormat="0" applyFont="0" applyFill="0" applyBorder="0" applyAlignment="0" applyProtection="0">
      <alignment horizontal="left"/>
    </xf>
    <xf numFmtId="15" fontId="88" fillId="0" borderId="0" applyFont="0" applyFill="0" applyBorder="0" applyAlignment="0" applyProtection="0"/>
    <xf numFmtId="4" fontId="88" fillId="0" borderId="0" applyFont="0" applyFill="0" applyBorder="0" applyAlignment="0" applyProtection="0"/>
    <xf numFmtId="0" fontId="17" fillId="0" borderId="189">
      <alignment horizontal="center"/>
    </xf>
    <xf numFmtId="3" fontId="88" fillId="0" borderId="0" applyFont="0" applyFill="0" applyBorder="0" applyAlignment="0" applyProtection="0"/>
    <xf numFmtId="0" fontId="88" fillId="96" borderId="0" applyNumberFormat="0" applyFont="0" applyBorder="0" applyAlignment="0" applyProtection="0"/>
    <xf numFmtId="0" fontId="85" fillId="0" borderId="0"/>
    <xf numFmtId="0" fontId="85" fillId="0" borderId="0"/>
    <xf numFmtId="0" fontId="144" fillId="0" borderId="0" applyNumberFormat="0" applyFont="0" applyFill="0" applyBorder="0" applyAlignment="0"/>
    <xf numFmtId="259" fontId="82" fillId="89" borderId="1">
      <alignment vertical="center"/>
    </xf>
    <xf numFmtId="4" fontId="111" fillId="64" borderId="0" applyFill="0"/>
    <xf numFmtId="0" fontId="261" fillId="0" borderId="0">
      <alignment horizontal="left" indent="7"/>
    </xf>
    <xf numFmtId="0" fontId="111" fillId="0" borderId="0" applyFill="0">
      <alignment horizontal="left" indent="7"/>
    </xf>
    <xf numFmtId="272" fontId="110" fillId="0" borderId="176" applyFill="0">
      <alignment horizontal="right"/>
    </xf>
    <xf numFmtId="272" fontId="110" fillId="0" borderId="176" applyFill="0">
      <alignment horizontal="right"/>
    </xf>
    <xf numFmtId="0" fontId="106" fillId="0" borderId="1" applyNumberFormat="0" applyFont="0" applyBorder="0">
      <alignment horizontal="right"/>
    </xf>
    <xf numFmtId="0" fontId="262" fillId="0" borderId="0" applyFill="0"/>
    <xf numFmtId="0" fontId="194" fillId="0" borderId="0" applyFill="0"/>
    <xf numFmtId="4" fontId="110" fillId="0" borderId="176" applyFill="0"/>
    <xf numFmtId="4" fontId="110" fillId="0" borderId="176" applyFill="0"/>
    <xf numFmtId="0" fontId="82" fillId="0" borderId="0" applyNumberFormat="0" applyFont="0" applyBorder="0" applyAlignment="0"/>
    <xf numFmtId="0" fontId="196" fillId="0" borderId="0" applyFill="0">
      <alignment horizontal="left" indent="1"/>
    </xf>
    <xf numFmtId="0" fontId="263" fillId="0" borderId="0" applyFill="0">
      <alignment horizontal="left" indent="1"/>
    </xf>
    <xf numFmtId="4" fontId="144" fillId="0" borderId="0" applyFill="0"/>
    <xf numFmtId="0" fontId="82" fillId="0" borderId="0" applyNumberFormat="0" applyFont="0" applyFill="0" applyBorder="0" applyAlignment="0"/>
    <xf numFmtId="0" fontId="196" fillId="0" borderId="0" applyFill="0">
      <alignment horizontal="left" indent="2"/>
    </xf>
    <xf numFmtId="0" fontId="194" fillId="0" borderId="0" applyFill="0">
      <alignment horizontal="left" indent="2"/>
    </xf>
    <xf numFmtId="4" fontId="144" fillId="0" borderId="0" applyFill="0"/>
    <xf numFmtId="0" fontId="82" fillId="0" borderId="0" applyNumberFormat="0" applyFont="0" applyBorder="0" applyAlignment="0"/>
    <xf numFmtId="0" fontId="264" fillId="0" borderId="0">
      <alignment horizontal="left" indent="3"/>
    </xf>
    <xf numFmtId="0" fontId="265" fillId="0" borderId="0" applyFill="0">
      <alignment horizontal="left" indent="3"/>
    </xf>
    <xf numFmtId="4" fontId="144" fillId="0" borderId="0" applyFill="0"/>
    <xf numFmtId="0" fontId="82" fillId="0" borderId="0" applyNumberFormat="0" applyFont="0" applyBorder="0" applyAlignment="0"/>
    <xf numFmtId="0" fontId="107" fillId="0" borderId="0">
      <alignment horizontal="left" indent="4"/>
    </xf>
    <xf numFmtId="0" fontId="82" fillId="0" borderId="0" applyFill="0">
      <alignment horizontal="left" indent="4"/>
    </xf>
    <xf numFmtId="4" fontId="198" fillId="0" borderId="0" applyFill="0"/>
    <xf numFmtId="0" fontId="82" fillId="0" borderId="0" applyNumberFormat="0" applyFont="0" applyBorder="0" applyAlignment="0"/>
    <xf numFmtId="0" fontId="199" fillId="0" borderId="0">
      <alignment horizontal="left" indent="5"/>
    </xf>
    <xf numFmtId="0" fontId="200" fillId="0" borderId="0" applyFill="0">
      <alignment horizontal="left" indent="5"/>
    </xf>
    <xf numFmtId="4" fontId="201" fillId="0" borderId="0" applyFill="0"/>
    <xf numFmtId="0" fontId="82" fillId="0" borderId="0" applyNumberFormat="0" applyFont="0" applyFill="0" applyBorder="0" applyAlignment="0"/>
    <xf numFmtId="0" fontId="202" fillId="0" borderId="0" applyFill="0">
      <alignment horizontal="left" indent="6"/>
    </xf>
    <xf numFmtId="0" fontId="198" fillId="0" borderId="0" applyFill="0">
      <alignment horizontal="left" indent="6"/>
    </xf>
    <xf numFmtId="0" fontId="83" fillId="0" borderId="0" applyNumberFormat="0" applyBorder="0" applyAlignment="0">
      <alignment horizontal="right"/>
    </xf>
    <xf numFmtId="39" fontId="266" fillId="0" borderId="0" applyNumberFormat="0">
      <alignment horizontal="right"/>
    </xf>
    <xf numFmtId="0" fontId="267" fillId="97" borderId="0" applyNumberFormat="0" applyFont="0" applyBorder="0" applyAlignment="0">
      <alignment horizontal="center"/>
    </xf>
    <xf numFmtId="315" fontId="82" fillId="0" borderId="24" applyBorder="0">
      <alignment horizontal="right"/>
    </xf>
    <xf numFmtId="0" fontId="214" fillId="0" borderId="0"/>
    <xf numFmtId="0" fontId="215" fillId="0" borderId="0"/>
    <xf numFmtId="316" fontId="82" fillId="0" borderId="0" applyNumberFormat="0" applyFill="0" applyBorder="0" applyAlignment="0" applyProtection="0">
      <alignment horizontal="left"/>
    </xf>
    <xf numFmtId="0" fontId="85" fillId="0" borderId="0"/>
    <xf numFmtId="317" fontId="87" fillId="0" borderId="0" applyFont="0" applyFill="0" applyBorder="0" applyAlignment="0" applyProtection="0"/>
    <xf numFmtId="318" fontId="87" fillId="0" borderId="0" applyFont="0" applyFill="0" applyBorder="0" applyAlignment="0" applyProtection="0"/>
    <xf numFmtId="0" fontId="267" fillId="1" borderId="30" applyNumberFormat="0" applyFont="0" applyAlignment="0">
      <alignment horizontal="center"/>
    </xf>
    <xf numFmtId="0" fontId="171" fillId="0" borderId="176" applyNumberFormat="0" applyFill="0" applyAlignment="0" applyProtection="0"/>
    <xf numFmtId="0" fontId="171" fillId="0" borderId="176" applyNumberFormat="0" applyFill="0" applyAlignment="0" applyProtection="0"/>
    <xf numFmtId="0" fontId="268" fillId="0" borderId="0"/>
    <xf numFmtId="0" fontId="269" fillId="0" borderId="0" applyNumberFormat="0" applyFill="0" applyBorder="0" applyAlignment="0">
      <alignment horizontal="center"/>
    </xf>
    <xf numFmtId="0" fontId="105" fillId="0" borderId="0"/>
    <xf numFmtId="319" fontId="88" fillId="0" borderId="0">
      <alignment horizontal="center"/>
    </xf>
    <xf numFmtId="0" fontId="87" fillId="0" borderId="0">
      <alignment vertical="center"/>
    </xf>
    <xf numFmtId="0" fontId="270" fillId="0" borderId="0"/>
    <xf numFmtId="0" fontId="82" fillId="0" borderId="0"/>
    <xf numFmtId="0" fontId="82" fillId="0" borderId="0" applyFont="0" applyFill="0" applyBorder="0" applyAlignment="0" applyProtection="0"/>
    <xf numFmtId="0" fontId="271" fillId="0" borderId="0" applyNumberFormat="0" applyFill="0" applyBorder="0" applyProtection="0">
      <alignment vertical="top"/>
    </xf>
    <xf numFmtId="0" fontId="272" fillId="0" borderId="0" applyNumberFormat="0" applyFill="0" applyBorder="0" applyProtection="0">
      <alignment vertical="top"/>
    </xf>
    <xf numFmtId="0" fontId="273" fillId="98" borderId="0" applyNumberFormat="0" applyBorder="0" applyProtection="0">
      <alignment vertical="top"/>
    </xf>
    <xf numFmtId="0" fontId="274" fillId="99" borderId="0" applyNumberFormat="0" applyBorder="0" applyProtection="0">
      <alignment vertical="top"/>
    </xf>
    <xf numFmtId="0" fontId="275" fillId="100" borderId="0" applyNumberFormat="0" applyBorder="0" applyProtection="0">
      <alignment vertical="top"/>
    </xf>
    <xf numFmtId="0" fontId="276" fillId="101" borderId="0" applyNumberFormat="0" applyBorder="0" applyProtection="0"/>
    <xf numFmtId="49" fontId="277" fillId="0" borderId="0" applyFill="0" applyBorder="0" applyProtection="0">
      <alignment vertical="top"/>
    </xf>
    <xf numFmtId="0" fontId="278" fillId="0" borderId="0" applyNumberFormat="0" applyFill="0" applyBorder="0" applyProtection="0">
      <alignment vertical="top"/>
    </xf>
    <xf numFmtId="0" fontId="279" fillId="0" borderId="0" applyNumberFormat="0" applyFill="0" applyBorder="0" applyProtection="0">
      <alignment vertical="top"/>
    </xf>
    <xf numFmtId="0" fontId="280" fillId="0" borderId="0" applyNumberFormat="0" applyFill="0" applyBorder="0" applyProtection="0">
      <alignment vertical="top"/>
    </xf>
    <xf numFmtId="0" fontId="281" fillId="0" borderId="0" applyNumberFormat="0" applyFill="0" applyBorder="0" applyProtection="0">
      <alignment vertical="top"/>
    </xf>
    <xf numFmtId="0" fontId="280" fillId="0" borderId="0" applyNumberFormat="0" applyFill="0" applyBorder="0" applyProtection="0">
      <alignment vertical="top" wrapText="1"/>
    </xf>
    <xf numFmtId="0" fontId="282" fillId="0" borderId="0" applyNumberFormat="0" applyFill="0" applyBorder="0" applyProtection="0">
      <alignment vertical="top"/>
    </xf>
    <xf numFmtId="0" fontId="118" fillId="0" borderId="0" applyNumberFormat="0" applyFill="0" applyBorder="0" applyProtection="0">
      <alignment vertical="top"/>
    </xf>
    <xf numFmtId="0" fontId="111" fillId="0" borderId="0" applyNumberFormat="0" applyFill="0" applyBorder="0" applyProtection="0">
      <alignment horizontal="left" vertical="top" wrapText="1"/>
    </xf>
    <xf numFmtId="0" fontId="244" fillId="0" borderId="0"/>
    <xf numFmtId="40" fontId="283" fillId="0" borderId="0" applyBorder="0">
      <alignment horizontal="right"/>
    </xf>
    <xf numFmtId="0" fontId="85" fillId="0" borderId="0"/>
    <xf numFmtId="0" fontId="85" fillId="0" borderId="0"/>
    <xf numFmtId="0" fontId="82" fillId="0" borderId="198" applyAlignment="0"/>
    <xf numFmtId="0" fontId="214" fillId="0" borderId="186"/>
    <xf numFmtId="0" fontId="215" fillId="0" borderId="186"/>
    <xf numFmtId="0" fontId="284" fillId="0" borderId="0" applyBorder="0" applyProtection="0">
      <alignment vertical="center"/>
    </xf>
    <xf numFmtId="293" fontId="284" fillId="0" borderId="176" applyBorder="0" applyProtection="0">
      <alignment horizontal="right" vertical="center"/>
    </xf>
    <xf numFmtId="293" fontId="284" fillId="0" borderId="176" applyBorder="0" applyProtection="0">
      <alignment horizontal="right" vertical="center"/>
    </xf>
    <xf numFmtId="0" fontId="285" fillId="102" borderId="0" applyBorder="0" applyProtection="0">
      <alignment horizontal="centerContinuous" vertical="center"/>
    </xf>
    <xf numFmtId="0" fontId="285" fillId="103" borderId="176" applyBorder="0" applyProtection="0">
      <alignment horizontal="centerContinuous" vertical="center"/>
    </xf>
    <xf numFmtId="0" fontId="285" fillId="103" borderId="176" applyBorder="0" applyProtection="0">
      <alignment horizontal="centerContinuous" vertical="center"/>
    </xf>
    <xf numFmtId="3" fontId="110" fillId="0" borderId="0" applyNumberFormat="0"/>
    <xf numFmtId="0" fontId="286" fillId="0" borderId="0" applyFill="0" applyBorder="0" applyProtection="0">
      <alignment horizontal="left"/>
    </xf>
    <xf numFmtId="0" fontId="226" fillId="0" borderId="2" applyFill="0" applyBorder="0" applyProtection="0">
      <alignment horizontal="left" vertical="top"/>
    </xf>
    <xf numFmtId="0" fontId="226" fillId="0" borderId="2" applyFill="0" applyBorder="0" applyProtection="0">
      <alignment horizontal="left" vertical="top"/>
    </xf>
    <xf numFmtId="49" fontId="118" fillId="0" borderId="0" applyFill="0" applyBorder="0" applyAlignment="0"/>
    <xf numFmtId="320" fontId="82" fillId="0" borderId="0" applyFill="0" applyBorder="0" applyAlignment="0"/>
    <xf numFmtId="321" fontId="82" fillId="0" borderId="0" applyFill="0" applyBorder="0" applyAlignment="0"/>
    <xf numFmtId="0" fontId="129" fillId="0" borderId="0"/>
    <xf numFmtId="0" fontId="287" fillId="0" borderId="0" applyFill="0" applyBorder="0" applyProtection="0">
      <alignment horizontal="left" vertical="top"/>
    </xf>
    <xf numFmtId="0" fontId="288" fillId="0" borderId="0" applyNumberFormat="0" applyFill="0" applyBorder="0" applyAlignment="0" applyProtection="0">
      <alignment vertical="center"/>
    </xf>
    <xf numFmtId="0" fontId="289" fillId="93" borderId="0"/>
    <xf numFmtId="0" fontId="290" fillId="93" borderId="0"/>
    <xf numFmtId="0" fontId="291" fillId="0" borderId="0" applyFill="0" applyBorder="0" applyProtection="0">
      <alignment horizontal="centerContinuous" vertical="center"/>
    </xf>
    <xf numFmtId="0" fontId="87" fillId="89" borderId="0" applyFill="0" applyBorder="0" applyProtection="0">
      <alignment horizontal="center" vertical="center"/>
    </xf>
    <xf numFmtId="0" fontId="161" fillId="0" borderId="199" applyNumberFormat="0" applyFill="0" applyAlignment="0" applyProtection="0"/>
    <xf numFmtId="0" fontId="241" fillId="0" borderId="200"/>
    <xf numFmtId="0" fontId="244" fillId="0" borderId="200"/>
    <xf numFmtId="0" fontId="241" fillId="0" borderId="186"/>
    <xf numFmtId="0" fontId="244" fillId="0" borderId="186"/>
    <xf numFmtId="0" fontId="82" fillId="104" borderId="0"/>
    <xf numFmtId="0" fontId="292" fillId="104" borderId="0" applyFill="0"/>
    <xf numFmtId="9" fontId="293" fillId="0" borderId="0" applyNumberFormat="0" applyFill="0" applyBorder="0" applyAlignment="0">
      <protection locked="0"/>
    </xf>
    <xf numFmtId="0" fontId="294" fillId="0" borderId="0"/>
    <xf numFmtId="262" fontId="10" fillId="0" borderId="0" applyFont="0" applyFill="0" applyBorder="0" applyAlignment="0" applyProtection="0"/>
    <xf numFmtId="258" fontId="10" fillId="0" borderId="0" applyFont="0" applyFill="0" applyBorder="0" applyAlignment="0" applyProtection="0"/>
    <xf numFmtId="322" fontId="295" fillId="0" borderId="0" applyFont="0" applyFill="0" applyBorder="0" applyAlignment="0" applyProtection="0"/>
    <xf numFmtId="323" fontId="295" fillId="0" borderId="0" applyFont="0" applyFill="0" applyBorder="0" applyAlignment="0" applyProtection="0"/>
    <xf numFmtId="0" fontId="296" fillId="0" borderId="0" applyNumberFormat="0" applyFill="0" applyBorder="0" applyAlignment="0" applyProtection="0">
      <alignment vertical="center"/>
    </xf>
    <xf numFmtId="0" fontId="227" fillId="0" borderId="0" applyNumberFormat="0" applyFont="0" applyFill="0" applyBorder="0" applyProtection="0">
      <alignment horizontal="center" vertical="center" wrapText="1"/>
    </xf>
    <xf numFmtId="233" fontId="82" fillId="0" borderId="0" applyFont="0" applyFill="0" applyBorder="0" applyAlignment="0" applyProtection="0"/>
    <xf numFmtId="259" fontId="82" fillId="0" borderId="0" applyFont="0" applyFill="0" applyBorder="0" applyAlignment="0" applyProtection="0"/>
    <xf numFmtId="324" fontId="297" fillId="0" borderId="176" applyBorder="0" applyProtection="0">
      <alignment horizontal="right"/>
    </xf>
    <xf numFmtId="324" fontId="297" fillId="0" borderId="176" applyBorder="0" applyProtection="0">
      <alignment horizontal="right"/>
    </xf>
    <xf numFmtId="0" fontId="85" fillId="0" borderId="0" applyFont="0" applyFill="0" applyBorder="0" applyAlignment="0" applyProtection="0"/>
    <xf numFmtId="0" fontId="85" fillId="0" borderId="0" applyFont="0" applyFill="0" applyBorder="0" applyAlignment="0" applyProtection="0"/>
    <xf numFmtId="0" fontId="134" fillId="82" borderId="0" applyNumberFormat="0" applyBorder="0" applyAlignment="0" applyProtection="0">
      <alignment vertical="center"/>
    </xf>
    <xf numFmtId="0" fontId="134" fillId="83" borderId="0" applyNumberFormat="0" applyBorder="0" applyAlignment="0" applyProtection="0">
      <alignment vertical="center"/>
    </xf>
    <xf numFmtId="0" fontId="134" fillId="84" borderId="0" applyNumberFormat="0" applyBorder="0" applyAlignment="0" applyProtection="0">
      <alignment vertical="center"/>
    </xf>
    <xf numFmtId="0" fontId="134" fillId="79" borderId="0" applyNumberFormat="0" applyBorder="0" applyAlignment="0" applyProtection="0">
      <alignment vertical="center"/>
    </xf>
    <xf numFmtId="0" fontId="134" fillId="80" borderId="0" applyNumberFormat="0" applyBorder="0" applyAlignment="0" applyProtection="0">
      <alignment vertical="center"/>
    </xf>
    <xf numFmtId="0" fontId="134" fillId="85" borderId="0" applyNumberFormat="0" applyBorder="0" applyAlignment="0" applyProtection="0">
      <alignment vertical="center"/>
    </xf>
    <xf numFmtId="0" fontId="298" fillId="0" borderId="0" applyNumberFormat="0" applyFill="0" applyBorder="0" applyAlignment="0" applyProtection="0">
      <alignment vertical="center"/>
    </xf>
    <xf numFmtId="0" fontId="299" fillId="88" borderId="201" applyNumberFormat="0" applyAlignment="0" applyProtection="0">
      <alignment vertical="center"/>
    </xf>
    <xf numFmtId="0" fontId="82" fillId="0" borderId="0" applyFont="0" applyFill="0" applyBorder="0" applyAlignment="0" applyProtection="0"/>
    <xf numFmtId="0" fontId="82" fillId="0" borderId="0" applyFont="0" applyFill="0" applyBorder="0" applyAlignment="0" applyProtection="0"/>
    <xf numFmtId="0" fontId="300" fillId="67" borderId="0" applyNumberFormat="0" applyBorder="0" applyAlignment="0" applyProtection="0">
      <alignment vertical="center"/>
    </xf>
    <xf numFmtId="0" fontId="82" fillId="0" borderId="0" applyFont="0" applyFill="0" applyBorder="0" applyAlignment="0" applyProtection="0"/>
    <xf numFmtId="0" fontId="82" fillId="0" borderId="0" applyFont="0" applyFill="0" applyBorder="0" applyAlignment="0" applyProtection="0"/>
    <xf numFmtId="0" fontId="82" fillId="94" borderId="196" applyNumberFormat="0" applyFont="0" applyAlignment="0" applyProtection="0">
      <alignment vertical="center"/>
    </xf>
    <xf numFmtId="0" fontId="301" fillId="0" borderId="193" applyNumberFormat="0" applyFill="0" applyAlignment="0" applyProtection="0">
      <alignment vertical="center"/>
    </xf>
    <xf numFmtId="0" fontId="172" fillId="0" borderId="0"/>
    <xf numFmtId="0" fontId="85" fillId="0" borderId="0"/>
    <xf numFmtId="0" fontId="85" fillId="0" borderId="0"/>
    <xf numFmtId="0" fontId="85" fillId="0" borderId="0"/>
    <xf numFmtId="0" fontId="10" fillId="0" borderId="0" applyFont="0" applyFill="0" applyBorder="0" applyAlignment="0" applyProtection="0"/>
    <xf numFmtId="0" fontId="90" fillId="0" borderId="0"/>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38" fontId="87" fillId="0" borderId="0"/>
    <xf numFmtId="0" fontId="302" fillId="0" borderId="190" applyNumberFormat="0" applyFill="0" applyAlignment="0" applyProtection="0">
      <alignment vertical="center"/>
    </xf>
    <xf numFmtId="0" fontId="303" fillId="0" borderId="191" applyNumberFormat="0" applyFill="0" applyAlignment="0" applyProtection="0">
      <alignment vertical="center"/>
    </xf>
    <xf numFmtId="0" fontId="304" fillId="0" borderId="192" applyNumberFormat="0" applyFill="0" applyAlignment="0" applyProtection="0">
      <alignment vertical="center"/>
    </xf>
    <xf numFmtId="0" fontId="304" fillId="0" borderId="0" applyNumberFormat="0" applyFill="0" applyBorder="0" applyAlignment="0" applyProtection="0">
      <alignment vertical="center"/>
    </xf>
    <xf numFmtId="14" fontId="305" fillId="0" borderId="0">
      <alignment horizontal="center"/>
    </xf>
    <xf numFmtId="0" fontId="30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9"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3" fontId="312" fillId="0" borderId="0">
      <alignment horizontal="left" wrapText="1"/>
    </xf>
    <xf numFmtId="259" fontId="85" fillId="0" borderId="0">
      <protection locked="0"/>
    </xf>
    <xf numFmtId="0" fontId="313" fillId="0" borderId="0">
      <protection locked="0"/>
    </xf>
    <xf numFmtId="0" fontId="313" fillId="0" borderId="0">
      <protection locked="0"/>
    </xf>
    <xf numFmtId="325" fontId="312" fillId="0" borderId="0">
      <alignment horizontal="right"/>
    </xf>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0" fontId="314" fillId="0" borderId="0"/>
    <xf numFmtId="326" fontId="82" fillId="0" borderId="1">
      <alignment horizontal="right" vertical="center" shrinkToFit="1"/>
    </xf>
    <xf numFmtId="37" fontId="84" fillId="0" borderId="160"/>
    <xf numFmtId="38" fontId="172" fillId="0" borderId="0"/>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3" fontId="312" fillId="0" borderId="0">
      <alignment horizontal="left"/>
    </xf>
    <xf numFmtId="0" fontId="209" fillId="0" borderId="0">
      <protection locked="0"/>
    </xf>
    <xf numFmtId="327" fontId="317" fillId="0" borderId="0" applyFont="0" applyFill="0" applyBorder="0" applyAlignment="0" applyProtection="0">
      <alignment horizontal="center" vertical="center"/>
    </xf>
    <xf numFmtId="328" fontId="318" fillId="0" borderId="5" applyFill="0" applyBorder="0">
      <alignment horizontal="center" vertical="center" shrinkToFit="1"/>
    </xf>
    <xf numFmtId="0" fontId="319" fillId="0" borderId="0" applyFont="0" applyFill="0" applyBorder="0" applyAlignment="0" applyProtection="0"/>
    <xf numFmtId="329" fontId="320" fillId="0" borderId="0" applyFill="0" applyBorder="0" applyProtection="0">
      <alignment vertical="center"/>
    </xf>
    <xf numFmtId="330" fontId="83" fillId="0" borderId="0" applyBorder="0">
      <alignment vertical="center"/>
    </xf>
    <xf numFmtId="0" fontId="83" fillId="0" borderId="0" applyNumberFormat="0" applyFont="0" applyBorder="0" applyAlignment="0"/>
    <xf numFmtId="0" fontId="85" fillId="0" borderId="0" applyFont="0" applyFill="0" applyBorder="0" applyAlignment="0" applyProtection="0"/>
    <xf numFmtId="0" fontId="85" fillId="105" borderId="0">
      <alignment horizontal="left"/>
    </xf>
    <xf numFmtId="0" fontId="209" fillId="0" borderId="0">
      <protection locked="0"/>
    </xf>
    <xf numFmtId="0" fontId="321" fillId="0" borderId="0" applyNumberFormat="0" applyFill="0" applyBorder="0" applyAlignment="0" applyProtection="0">
      <alignment vertical="top"/>
      <protection locked="0"/>
    </xf>
    <xf numFmtId="40" fontId="322" fillId="0" borderId="0" applyFont="0" applyFill="0" applyBorder="0" applyAlignment="0" applyProtection="0"/>
    <xf numFmtId="38" fontId="322" fillId="0" borderId="0" applyFont="0" applyFill="0" applyBorder="0" applyAlignment="0" applyProtection="0"/>
    <xf numFmtId="0" fontId="82" fillId="0" borderId="0" applyFont="0" applyFill="0" applyBorder="0" applyAlignment="0" applyProtection="0"/>
    <xf numFmtId="0" fontId="323" fillId="0" borderId="0" applyFont="0" applyFill="0" applyBorder="0" applyAlignment="0" applyProtection="0"/>
    <xf numFmtId="0" fontId="324" fillId="71" borderId="0" applyNumberFormat="0" applyBorder="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2" fillId="0" borderId="0" applyFont="0" applyFill="0" applyBorder="0" applyAlignment="0" applyProtection="0"/>
    <xf numFmtId="0" fontId="322" fillId="0" borderId="0" applyFont="0" applyFill="0" applyBorder="0" applyAlignment="0" applyProtection="0"/>
    <xf numFmtId="49" fontId="172" fillId="0" borderId="0"/>
    <xf numFmtId="0" fontId="318" fillId="0" borderId="13" applyBorder="0">
      <alignment horizontal="center" vertical="center" wrapText="1" shrinkToFit="1"/>
    </xf>
    <xf numFmtId="0" fontId="323" fillId="0" borderId="0" applyFont="0" applyFill="0" applyBorder="0" applyAlignment="0" applyProtection="0"/>
    <xf numFmtId="0" fontId="323" fillId="0" borderId="0" applyFont="0" applyFill="0" applyBorder="0" applyAlignment="0" applyProtection="0"/>
    <xf numFmtId="0" fontId="326" fillId="0" borderId="0"/>
    <xf numFmtId="0" fontId="83" fillId="0" borderId="202" applyFont="0" applyFill="0" applyBorder="0" applyAlignment="0" applyProtection="0"/>
    <xf numFmtId="331" fontId="10" fillId="0" borderId="0"/>
    <xf numFmtId="9" fontId="172" fillId="89" borderId="0" applyFill="0" applyBorder="0" applyProtection="0">
      <alignment horizontal="right"/>
    </xf>
    <xf numFmtId="10" fontId="172" fillId="0" borderId="0" applyFill="0" applyBorder="0" applyProtection="0">
      <alignment horizontal="right"/>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10" fillId="0" borderId="0" applyFont="0" applyFill="0" applyBorder="0" applyAlignment="0" applyProtection="0">
      <alignment vertical="center"/>
    </xf>
    <xf numFmtId="9" fontId="90" fillId="0" borderId="0" applyFont="0" applyFill="0" applyBorder="0" applyAlignment="0" applyProtection="0"/>
    <xf numFmtId="9" fontId="80" fillId="0" borderId="0" applyFont="0" applyFill="0" applyBorder="0" applyAlignment="0" applyProtection="0">
      <alignment vertical="center"/>
    </xf>
    <xf numFmtId="9" fontId="82" fillId="0" borderId="0" applyFont="0" applyFill="0" applyBorder="0" applyAlignment="0" applyProtection="0"/>
    <xf numFmtId="9" fontId="28"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alignment vertical="center"/>
    </xf>
    <xf numFmtId="9" fontId="85" fillId="0" borderId="0" applyFont="0" applyFill="0" applyBorder="0" applyAlignment="0" applyProtection="0"/>
    <xf numFmtId="9" fontId="10" fillId="0" borderId="0" applyFont="0" applyFill="0" applyBorder="0" applyAlignment="0" applyProtection="0"/>
    <xf numFmtId="9" fontId="28"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82" fillId="0" borderId="0" applyFont="0" applyFill="0" applyBorder="0" applyAlignment="0" applyProtection="0">
      <alignment vertical="center"/>
    </xf>
    <xf numFmtId="9" fontId="28"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10" fontId="318" fillId="0" borderId="203" applyBorder="0">
      <alignment horizontal="center" vertical="center" shrinkToFit="1"/>
    </xf>
    <xf numFmtId="332" fontId="327" fillId="0" borderId="1" applyFont="0" applyBorder="0" applyAlignment="0">
      <alignment horizontal="center"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119" fillId="0" borderId="0"/>
    <xf numFmtId="0" fontId="330" fillId="0" borderId="0"/>
    <xf numFmtId="0" fontId="85" fillId="0" borderId="0" applyBorder="0"/>
    <xf numFmtId="0" fontId="83" fillId="106" borderId="1" applyNumberFormat="0">
      <alignment vertical="center"/>
    </xf>
    <xf numFmtId="0" fontId="83" fillId="0" borderId="1">
      <alignment vertical="center"/>
    </xf>
    <xf numFmtId="0" fontId="10" fillId="0" borderId="0"/>
    <xf numFmtId="0" fontId="331" fillId="0" borderId="0"/>
    <xf numFmtId="0" fontId="10" fillId="0" borderId="0" applyFont="0" applyFill="0" applyBorder="0" applyAlignment="0" applyProtection="0"/>
    <xf numFmtId="0" fontId="10" fillId="0" borderId="0" applyFont="0" applyFill="0" applyBorder="0" applyAlignment="0" applyProtection="0"/>
    <xf numFmtId="211" fontId="84" fillId="0" borderId="160">
      <alignment horizontal="left"/>
    </xf>
    <xf numFmtId="37" fontId="83" fillId="0" borderId="180" applyAlignment="0"/>
    <xf numFmtId="3" fontId="332" fillId="0" borderId="1"/>
    <xf numFmtId="0" fontId="332" fillId="0" borderId="1"/>
    <xf numFmtId="3" fontId="332" fillId="0" borderId="59"/>
    <xf numFmtId="3" fontId="332" fillId="0" borderId="29"/>
    <xf numFmtId="0" fontId="333" fillId="0" borderId="1"/>
    <xf numFmtId="0" fontId="334" fillId="0" borderId="0">
      <alignment horizontal="center"/>
    </xf>
    <xf numFmtId="0" fontId="104" fillId="0" borderId="161">
      <alignment horizont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182" fontId="318" fillId="0" borderId="13" applyFont="0" applyFill="0" applyBorder="0">
      <alignment horizontal="center" vertical="center"/>
    </xf>
    <xf numFmtId="333" fontId="85" fillId="0" borderId="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10" fillId="0" borderId="0" applyFont="0" applyFill="0" applyBorder="0" applyAlignment="0" applyProtection="0">
      <alignment vertical="center"/>
    </xf>
    <xf numFmtId="230" fontId="10" fillId="0" borderId="0" applyFont="0" applyFill="0" applyBorder="0" applyAlignment="0" applyProtection="0">
      <alignment vertical="center"/>
    </xf>
    <xf numFmtId="41" fontId="10" fillId="0" borderId="0" applyFont="0" applyFill="0" applyBorder="0" applyAlignment="0" applyProtection="0"/>
    <xf numFmtId="41" fontId="82" fillId="0" borderId="0" applyFont="0" applyFill="0" applyBorder="0" applyAlignment="0" applyProtection="0"/>
    <xf numFmtId="41" fontId="5" fillId="0" borderId="0" applyFont="0" applyFill="0" applyBorder="0" applyAlignment="0" applyProtection="0">
      <alignment vertical="center"/>
    </xf>
    <xf numFmtId="41" fontId="10" fillId="0" borderId="0" applyFont="0" applyFill="0" applyBorder="0" applyAlignment="0" applyProtection="0"/>
    <xf numFmtId="41" fontId="10" fillId="0" borderId="0" applyFont="0" applyFill="0" applyBorder="0" applyAlignment="0" applyProtection="0"/>
    <xf numFmtId="0" fontId="10" fillId="0" borderId="0" applyFont="0" applyFill="0" applyBorder="0" applyAlignment="0" applyProtection="0"/>
    <xf numFmtId="41" fontId="10" fillId="0" borderId="0" applyFont="0" applyFill="0" applyBorder="0" applyAlignment="0" applyProtection="0">
      <alignment vertical="center"/>
    </xf>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41" fontId="28" fillId="0" borderId="0" applyFont="0" applyFill="0" applyBorder="0" applyAlignment="0" applyProtection="0">
      <alignment vertical="center"/>
    </xf>
    <xf numFmtId="41" fontId="111" fillId="0" borderId="0" applyFont="0" applyFill="0" applyBorder="0" applyAlignment="0" applyProtection="0">
      <alignment vertical="center"/>
    </xf>
    <xf numFmtId="41" fontId="79" fillId="0" borderId="0" applyFont="0" applyFill="0" applyBorder="0" applyAlignment="0" applyProtection="0">
      <alignment vertical="center"/>
    </xf>
    <xf numFmtId="230" fontId="10" fillId="0" borderId="0" applyFont="0" applyFill="0" applyBorder="0" applyAlignment="0" applyProtection="0"/>
    <xf numFmtId="253" fontId="82" fillId="0" borderId="0" applyFont="0" applyFill="0" applyBorder="0" applyAlignment="0" applyProtection="0"/>
    <xf numFmtId="41" fontId="10" fillId="0" borderId="0" applyFont="0" applyFill="0" applyBorder="0" applyAlignment="0" applyProtection="0"/>
    <xf numFmtId="334" fontId="90" fillId="0" borderId="0" applyFont="0" applyFill="0" applyBorder="0" applyAlignment="0" applyProtection="0"/>
    <xf numFmtId="41" fontId="28" fillId="0" borderId="0" applyFont="0" applyFill="0" applyBorder="0" applyAlignment="0" applyProtection="0">
      <alignment vertical="center"/>
    </xf>
    <xf numFmtId="230" fontId="10" fillId="0" borderId="0" applyFont="0" applyFill="0" applyBorder="0" applyAlignment="0" applyProtection="0"/>
    <xf numFmtId="41" fontId="10" fillId="0" borderId="0" applyFont="0" applyFill="0" applyBorder="0" applyAlignment="0" applyProtection="0"/>
    <xf numFmtId="230" fontId="340" fillId="0" borderId="0" applyFont="0" applyFill="0" applyBorder="0" applyAlignment="0" applyProtection="0"/>
    <xf numFmtId="41" fontId="82" fillId="0" borderId="0" applyFont="0" applyFill="0" applyBorder="0" applyAlignment="0" applyProtection="0">
      <alignment vertical="center"/>
    </xf>
    <xf numFmtId="227" fontId="10" fillId="0" borderId="0" applyFont="0" applyFill="0" applyBorder="0" applyAlignment="0" applyProtection="0"/>
    <xf numFmtId="41" fontId="82" fillId="0" borderId="0" applyFont="0" applyFill="0" applyBorder="0" applyAlignment="0" applyProtection="0">
      <alignment vertical="center"/>
    </xf>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2" fillId="0" borderId="0" applyFont="0" applyFill="0" applyBorder="0" applyAlignment="0" applyProtection="0">
      <alignment vertical="center"/>
    </xf>
    <xf numFmtId="230" fontId="82" fillId="0" borderId="0" applyFont="0" applyFill="0" applyBorder="0" applyAlignment="0" applyProtection="0"/>
    <xf numFmtId="41" fontId="82" fillId="0" borderId="0" applyFont="0" applyFill="0" applyBorder="0" applyAlignment="0" applyProtection="0"/>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245" fontId="90" fillId="0" borderId="0" applyFont="0" applyFill="0" applyBorder="0" applyAlignment="0" applyProtection="0"/>
    <xf numFmtId="182" fontId="82" fillId="0" borderId="0" applyFont="0" applyFill="0" applyBorder="0" applyAlignment="0" applyProtection="0"/>
    <xf numFmtId="227" fontId="82" fillId="0" borderId="0" applyFont="0" applyFill="0" applyBorder="0" applyAlignment="0" applyProtection="0"/>
    <xf numFmtId="43" fontId="82" fillId="0" borderId="0" applyFont="0" applyFill="0" applyBorder="0" applyAlignment="0" applyProtection="0"/>
    <xf numFmtId="227" fontId="82" fillId="0" borderId="0" applyFont="0" applyFill="0" applyBorder="0" applyAlignment="0" applyProtection="0"/>
    <xf numFmtId="227" fontId="82" fillId="0" borderId="0" applyFont="0" applyFill="0" applyBorder="0" applyAlignment="0" applyProtection="0">
      <alignment vertical="center"/>
    </xf>
    <xf numFmtId="254" fontId="10" fillId="0" borderId="0" applyFont="0" applyFill="0" applyBorder="0" applyAlignment="0" applyProtection="0"/>
    <xf numFmtId="227" fontId="82" fillId="0" borderId="0" applyFont="0" applyFill="0" applyBorder="0" applyAlignment="0" applyProtection="0">
      <alignment vertical="center"/>
    </xf>
    <xf numFmtId="227" fontId="82" fillId="0" borderId="0" applyFont="0" applyFill="0" applyBorder="0" applyAlignment="0" applyProtection="0"/>
    <xf numFmtId="43" fontId="124" fillId="0" borderId="0" applyFont="0" applyFill="0" applyBorder="0" applyAlignment="0" applyProtection="0">
      <alignment vertical="center"/>
    </xf>
    <xf numFmtId="227" fontId="82" fillId="0" borderId="0" applyFont="0" applyFill="0" applyBorder="0" applyAlignment="0" applyProtection="0"/>
    <xf numFmtId="335" fontId="10" fillId="0" borderId="0" applyFont="0" applyFill="0" applyBorder="0" applyAlignment="0" applyProtection="0"/>
    <xf numFmtId="233" fontId="10" fillId="0" borderId="0" applyFont="0" applyFill="0" applyBorder="0" applyAlignment="0" applyProtection="0"/>
    <xf numFmtId="233" fontId="10" fillId="0" borderId="0" applyFont="0" applyFill="0" applyBorder="0" applyAlignment="0" applyProtection="0"/>
    <xf numFmtId="335" fontId="10" fillId="0" borderId="0" applyFont="0" applyFill="0" applyBorder="0" applyAlignment="0" applyProtection="0"/>
    <xf numFmtId="0" fontId="118" fillId="0" borderId="0">
      <alignment vertical="top"/>
    </xf>
    <xf numFmtId="0" fontId="103" fillId="0" borderId="0" applyFont="0" applyFill="0" applyBorder="0" applyAlignment="0" applyProtection="0"/>
    <xf numFmtId="0" fontId="103" fillId="0" borderId="0" applyFont="0" applyFill="0" applyBorder="0" applyAlignment="0" applyProtection="0"/>
    <xf numFmtId="0" fontId="17" fillId="0" borderId="0" applyNumberForma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xf numFmtId="230" fontId="82" fillId="0" borderId="0" applyFont="0" applyFill="0" applyBorder="0" applyAlignment="0" applyProtection="0"/>
    <xf numFmtId="0" fontId="82" fillId="0" borderId="0"/>
    <xf numFmtId="0" fontId="90" fillId="0" borderId="0"/>
    <xf numFmtId="0" fontId="10" fillId="0" borderId="0" applyFont="0" applyFill="0" applyBorder="0" applyAlignment="0" applyProtection="0"/>
    <xf numFmtId="0" fontId="85"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9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9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341" fillId="0" borderId="175"/>
    <xf numFmtId="0" fontId="342" fillId="70" borderId="0" applyNumberFormat="0" applyBorder="0" applyAlignment="0" applyProtection="0">
      <alignment vertical="center"/>
    </xf>
    <xf numFmtId="0" fontId="341" fillId="0" borderId="175"/>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5" fillId="0" borderId="0" applyNumberFormat="0" applyFill="0" applyBorder="0" applyAlignment="0" applyProtection="0">
      <alignment vertical="top"/>
      <protection locked="0"/>
    </xf>
    <xf numFmtId="0" fontId="84" fillId="0" borderId="0"/>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336" fontId="85" fillId="0" borderId="0" applyFont="0" applyFill="0" applyBorder="0" applyAlignment="0" applyProtection="0"/>
    <xf numFmtId="211" fontId="349" fillId="0" borderId="0" applyFont="0" applyFill="0" applyBorder="0" applyAlignment="0" applyProtection="0"/>
    <xf numFmtId="337" fontId="10" fillId="0" borderId="0" applyFont="0" applyFill="0" applyBorder="0" applyAlignment="0" applyProtection="0"/>
    <xf numFmtId="337" fontId="10"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8"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339"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36" fontId="85" fillId="0" borderId="0" applyFont="0" applyFill="0" applyBorder="0" applyAlignment="0" applyProtection="0"/>
    <xf numFmtId="188"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0" fontId="10" fillId="0" borderId="0" applyFont="0" applyFill="0" applyBorder="0" applyAlignment="0" applyProtection="0"/>
    <xf numFmtId="279" fontId="85" fillId="0" borderId="0" applyFont="0" applyFill="0" applyBorder="0" applyAlignment="0" applyProtection="0"/>
    <xf numFmtId="211" fontId="349" fillId="0" borderId="0" applyFont="0" applyFill="0" applyBorder="0" applyAlignment="0" applyProtection="0"/>
    <xf numFmtId="213" fontId="85" fillId="0" borderId="0" applyFont="0" applyFill="0" applyBorder="0" applyAlignment="0" applyProtection="0"/>
    <xf numFmtId="340"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41" fontId="10" fillId="0" borderId="0" applyFont="0" applyFill="0" applyBorder="0" applyAlignment="0" applyProtection="0"/>
    <xf numFmtId="341" fontId="10" fillId="0" borderId="0" applyFont="0" applyFill="0" applyBorder="0" applyAlignment="0" applyProtection="0"/>
    <xf numFmtId="342" fontId="10" fillId="0" borderId="0" applyFont="0" applyFill="0" applyBorder="0" applyAlignment="0" applyProtection="0"/>
    <xf numFmtId="245" fontId="10"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43" fontId="10" fillId="0" borderId="0" applyFont="0" applyFill="0" applyBorder="0" applyAlignment="0" applyProtection="0"/>
    <xf numFmtId="344" fontId="10" fillId="0" borderId="0" applyFont="0" applyFill="0" applyBorder="0" applyAlignment="0" applyProtection="0"/>
    <xf numFmtId="345"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46" fontId="10" fillId="0" borderId="0" applyFont="0" applyFill="0" applyBorder="0" applyAlignment="0" applyProtection="0"/>
    <xf numFmtId="346" fontId="10" fillId="0" borderId="0" applyFont="0" applyFill="0" applyBorder="0" applyAlignment="0" applyProtection="0"/>
    <xf numFmtId="343" fontId="10" fillId="0" borderId="0" applyFont="0" applyFill="0" applyBorder="0" applyAlignment="0" applyProtection="0"/>
    <xf numFmtId="336" fontId="85" fillId="0" borderId="0" applyFont="0" applyFill="0" applyBorder="0" applyAlignment="0" applyProtection="0"/>
    <xf numFmtId="34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279" fontId="10" fillId="0" borderId="0" applyFont="0" applyFill="0" applyBorder="0" applyAlignment="0" applyProtection="0"/>
    <xf numFmtId="279" fontId="10" fillId="0" borderId="0" applyFont="0" applyFill="0" applyBorder="0" applyAlignment="0" applyProtection="0"/>
    <xf numFmtId="35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35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279"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245"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245"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52"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8" fontId="10" fillId="0" borderId="0" applyFont="0" applyFill="0" applyBorder="0" applyAlignment="0" applyProtection="0"/>
    <xf numFmtId="338" fontId="10" fillId="0" borderId="0" applyFont="0" applyFill="0" applyBorder="0" applyAlignment="0" applyProtection="0"/>
    <xf numFmtId="188" fontId="10" fillId="0" borderId="0" applyFont="0" applyFill="0" applyBorder="0" applyAlignment="0" applyProtection="0"/>
    <xf numFmtId="336" fontId="85" fillId="0" borderId="0" applyFont="0" applyFill="0" applyBorder="0" applyAlignment="0" applyProtection="0"/>
    <xf numFmtId="353" fontId="10" fillId="0" borderId="0" applyFont="0" applyFill="0" applyBorder="0" applyAlignment="0" applyProtection="0"/>
    <xf numFmtId="0" fontId="10" fillId="0" borderId="0" applyFont="0" applyFill="0" applyBorder="0" applyAlignment="0" applyProtection="0"/>
    <xf numFmtId="253" fontId="10" fillId="0" borderId="0" applyFont="0" applyFill="0" applyBorder="0" applyAlignment="0" applyProtection="0"/>
    <xf numFmtId="346" fontId="10" fillId="0" borderId="0" applyFont="0" applyFill="0" applyBorder="0" applyAlignment="0" applyProtection="0"/>
    <xf numFmtId="354" fontId="85" fillId="0" borderId="0" applyFont="0" applyFill="0" applyBorder="0" applyAlignment="0" applyProtection="0"/>
    <xf numFmtId="355" fontId="85" fillId="0" borderId="0" applyFont="0" applyFill="0" applyBorder="0" applyAlignment="0" applyProtection="0"/>
    <xf numFmtId="346" fontId="10" fillId="0" borderId="0" applyFont="0" applyFill="0" applyBorder="0" applyAlignment="0" applyProtection="0"/>
    <xf numFmtId="346" fontId="10" fillId="0" borderId="0" applyFont="0" applyFill="0" applyBorder="0" applyAlignment="0" applyProtection="0"/>
    <xf numFmtId="279" fontId="85" fillId="0" borderId="0" applyFont="0" applyFill="0" applyBorder="0" applyAlignment="0" applyProtection="0"/>
    <xf numFmtId="279" fontId="85" fillId="0" borderId="0" applyFont="0" applyFill="0" applyBorder="0" applyAlignment="0" applyProtection="0"/>
    <xf numFmtId="279" fontId="85" fillId="0" borderId="0" applyFont="0" applyFill="0" applyBorder="0" applyAlignment="0" applyProtection="0"/>
    <xf numFmtId="346" fontId="10" fillId="0" borderId="0" applyFont="0" applyFill="0" applyBorder="0" applyAlignment="0" applyProtection="0"/>
    <xf numFmtId="343" fontId="10" fillId="0" borderId="0" applyFont="0" applyFill="0" applyBorder="0" applyAlignment="0" applyProtection="0"/>
    <xf numFmtId="337" fontId="10" fillId="0" borderId="0" applyFont="0" applyFill="0" applyBorder="0" applyAlignment="0" applyProtection="0"/>
    <xf numFmtId="343"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56" fontId="84" fillId="0" borderId="0" applyFont="0" applyFill="0" applyBorder="0" applyProtection="0">
      <alignment horizontal="right"/>
    </xf>
    <xf numFmtId="0" fontId="111" fillId="0" borderId="0" applyBorder="0" applyAlignment="0">
      <alignment horizontal="right"/>
    </xf>
    <xf numFmtId="211" fontId="84" fillId="0" borderId="160">
      <alignment horizontal="left"/>
    </xf>
    <xf numFmtId="0" fontId="119" fillId="0" borderId="0"/>
    <xf numFmtId="357" fontId="85" fillId="0" borderId="0" applyFill="0" applyBorder="0" applyAlignment="0" applyProtection="0"/>
    <xf numFmtId="0" fontId="350"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4" fontId="209" fillId="0" borderId="0">
      <protection locked="0"/>
    </xf>
    <xf numFmtId="0" fontId="353" fillId="0" borderId="0"/>
    <xf numFmtId="4" fontId="319" fillId="0" borderId="0" applyFont="0" applyFill="0" applyBorder="0" applyAlignment="0" applyProtection="0"/>
    <xf numFmtId="358" fontId="248" fillId="0" borderId="0">
      <protection locked="0"/>
    </xf>
    <xf numFmtId="0" fontId="85" fillId="0" borderId="0" applyFont="0" applyFill="0" applyBorder="0" applyAlignment="0" applyProtection="0"/>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61" fillId="0" borderId="0"/>
    <xf numFmtId="0" fontId="362" fillId="0" borderId="0"/>
    <xf numFmtId="359" fontId="82" fillId="0" borderId="0" applyFill="0" applyBorder="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85" fillId="0" borderId="0"/>
    <xf numFmtId="0" fontId="85" fillId="0" borderId="0"/>
    <xf numFmtId="0" fontId="85" fillId="0" borderId="0"/>
    <xf numFmtId="0" fontId="85" fillId="0" borderId="0" applyNumberFormat="0" applyFont="0" applyFill="0" applyBorder="0" applyProtection="0">
      <alignment vertical="center"/>
    </xf>
    <xf numFmtId="0" fontId="85" fillId="0" borderId="0"/>
    <xf numFmtId="360" fontId="16" fillId="0" borderId="205" applyFill="0" applyAlignment="0" applyProtection="0"/>
    <xf numFmtId="0" fontId="365" fillId="0" borderId="204" applyNumberFormat="0" applyFill="0" applyAlignment="0" applyProtection="0">
      <alignment vertical="center"/>
    </xf>
    <xf numFmtId="41" fontId="82" fillId="0" borderId="0" applyFont="0" applyFill="0" applyBorder="0" applyAlignment="0" applyProtection="0"/>
    <xf numFmtId="43" fontId="82" fillId="0" borderId="0" applyFont="0" applyFill="0" applyBorder="0" applyAlignment="0" applyProtection="0"/>
    <xf numFmtId="41" fontId="119" fillId="0" borderId="0" applyFont="0" applyFill="0" applyBorder="0" applyAlignment="0" applyProtection="0"/>
    <xf numFmtId="43" fontId="119" fillId="0" borderId="0" applyFont="0" applyFill="0" applyBorder="0" applyAlignment="0" applyProtection="0"/>
    <xf numFmtId="41" fontId="366" fillId="0" borderId="0" applyFont="0" applyFill="0" applyBorder="0" applyAlignment="0" applyProtection="0"/>
    <xf numFmtId="43" fontId="366" fillId="0" borderId="0" applyFont="0" applyFill="0" applyBorder="0" applyAlignment="0" applyProtection="0"/>
    <xf numFmtId="41" fontId="331" fillId="0" borderId="0" applyFont="0" applyFill="0" applyBorder="0" applyAlignment="0" applyProtection="0"/>
    <xf numFmtId="245" fontId="367" fillId="0" borderId="0" applyFont="0" applyFill="0" applyBorder="0" applyAlignment="0" applyProtection="0"/>
    <xf numFmtId="0" fontId="368"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361" fontId="82" fillId="0" borderId="0" applyFont="0" applyFill="0" applyBorder="0" applyAlignment="0" applyProtection="0"/>
    <xf numFmtId="287" fontId="85" fillId="0" borderId="0" applyFont="0" applyFill="0" applyBorder="0" applyAlignment="0" applyProtection="0"/>
    <xf numFmtId="40" fontId="84" fillId="0" borderId="0" applyFont="0" applyFill="0" applyBorder="0" applyAlignment="0" applyProtection="0"/>
    <xf numFmtId="287" fontId="85" fillId="0" borderId="0" applyFont="0" applyFill="0" applyBorder="0" applyAlignment="0" applyProtection="0"/>
    <xf numFmtId="361" fontId="82" fillId="0" borderId="0" applyFont="0" applyFill="0" applyBorder="0" applyAlignment="0" applyProtection="0"/>
    <xf numFmtId="362" fontId="85" fillId="0" borderId="0" applyFont="0" applyFill="0" applyBorder="0" applyAlignment="0" applyProtection="0"/>
    <xf numFmtId="4" fontId="88" fillId="0" borderId="0" applyFont="0" applyFill="0" applyBorder="0" applyAlignment="0" applyProtection="0"/>
    <xf numFmtId="363" fontId="82" fillId="0" borderId="0" applyFont="0" applyFill="0" applyBorder="0" applyAlignment="0" applyProtection="0"/>
    <xf numFmtId="38" fontId="84" fillId="0" borderId="0" applyFont="0" applyFill="0" applyBorder="0" applyAlignment="0" applyProtection="0"/>
    <xf numFmtId="245" fontId="10" fillId="0" borderId="0" applyFont="0" applyFill="0" applyBorder="0" applyAlignment="0" applyProtection="0"/>
    <xf numFmtId="362" fontId="85" fillId="0" borderId="0" applyFont="0" applyFill="0" applyBorder="0" applyAlignment="0" applyProtection="0"/>
    <xf numFmtId="40" fontId="84" fillId="0" borderId="0" applyFont="0" applyFill="0" applyBorder="0" applyAlignment="0" applyProtection="0"/>
    <xf numFmtId="287" fontId="85" fillId="0" borderId="0" applyFont="0" applyFill="0" applyBorder="0" applyAlignment="0" applyProtection="0"/>
    <xf numFmtId="253" fontId="129" fillId="0" borderId="0" applyFont="0" applyFill="0" applyBorder="0" applyAlignment="0" applyProtection="0"/>
    <xf numFmtId="0" fontId="85" fillId="0" borderId="0" applyFont="0" applyFill="0" applyBorder="0" applyAlignment="0" applyProtection="0"/>
    <xf numFmtId="364" fontId="82" fillId="0" borderId="0" applyFont="0" applyFill="0" applyBorder="0" applyAlignment="0" applyProtection="0"/>
    <xf numFmtId="253" fontId="85" fillId="0" borderId="0" applyFont="0" applyFill="0" applyBorder="0" applyAlignment="0" applyProtection="0"/>
    <xf numFmtId="365" fontId="168" fillId="0" borderId="199"/>
    <xf numFmtId="366" fontId="168" fillId="0" borderId="0"/>
    <xf numFmtId="365" fontId="168" fillId="0" borderId="0"/>
    <xf numFmtId="0" fontId="172" fillId="0" borderId="206" applyFont="0" applyFill="0" applyBorder="0" applyAlignment="0" applyProtection="0">
      <alignment horizontal="right"/>
    </xf>
    <xf numFmtId="335" fontId="172" fillId="89" borderId="0" applyFill="0" applyBorder="0" applyProtection="0">
      <alignment horizontal="right"/>
    </xf>
    <xf numFmtId="367" fontId="172" fillId="0" borderId="0" applyFont="0" applyFill="0" applyBorder="0" applyAlignment="0" applyProtection="0"/>
    <xf numFmtId="182" fontId="334" fillId="0" borderId="0" applyFont="0" applyFill="0" applyBorder="0" applyAlignment="0">
      <alignment vertical="center"/>
    </xf>
    <xf numFmtId="245" fontId="85" fillId="0" borderId="0" applyFont="0" applyFill="0" applyBorder="0" applyAlignment="0" applyProtection="0"/>
    <xf numFmtId="0" fontId="86" fillId="0" borderId="0" applyFont="0" applyFill="0" applyBorder="0" applyAlignment="0" applyProtection="0"/>
    <xf numFmtId="245" fontId="10" fillId="0" borderId="0" applyFont="0" applyFill="0" applyBorder="0" applyAlignment="0" applyProtection="0"/>
    <xf numFmtId="245" fontId="10" fillId="0" borderId="0" applyFont="0" applyFill="0" applyBorder="0" applyAlignment="0" applyProtection="0"/>
    <xf numFmtId="368" fontId="10" fillId="0" borderId="0" applyFont="0" applyFill="0" applyBorder="0" applyAlignment="0" applyProtection="0"/>
    <xf numFmtId="0" fontId="318" fillId="0" borderId="13" applyNumberFormat="0" applyFont="0" applyFill="0" applyAlignment="0" applyProtection="0">
      <alignment vertical="center"/>
    </xf>
    <xf numFmtId="369" fontId="10" fillId="0" borderId="0" applyFont="0" applyFill="0" applyBorder="0" applyAlignment="0" applyProtection="0"/>
    <xf numFmtId="0" fontId="10" fillId="0" borderId="0">
      <alignment vertical="center"/>
    </xf>
    <xf numFmtId="0" fontId="10" fillId="0" borderId="0">
      <alignment vertical="center"/>
    </xf>
    <xf numFmtId="0" fontId="10" fillId="0" borderId="0">
      <alignment vertical="center"/>
    </xf>
    <xf numFmtId="0" fontId="10" fillId="0" borderId="0" applyFont="0" applyFill="0" applyBorder="0" applyAlignment="0" applyProtection="0"/>
    <xf numFmtId="0" fontId="88" fillId="0" borderId="0" applyFont="0" applyFill="0" applyBorder="0" applyAlignment="0" applyProtection="0"/>
    <xf numFmtId="258" fontId="85" fillId="0" borderId="0"/>
    <xf numFmtId="0" fontId="10" fillId="0" borderId="0">
      <alignment vertical="center"/>
    </xf>
    <xf numFmtId="0" fontId="87" fillId="0" borderId="2">
      <protection locked="0"/>
    </xf>
    <xf numFmtId="0" fontId="87" fillId="0" borderId="2">
      <protection locked="0"/>
    </xf>
    <xf numFmtId="0" fontId="87" fillId="0" borderId="2">
      <protection locked="0"/>
    </xf>
    <xf numFmtId="0" fontId="87" fillId="0" borderId="2">
      <protection locked="0"/>
    </xf>
    <xf numFmtId="0" fontId="312" fillId="0" borderId="0">
      <alignment vertical="center"/>
      <protection locked="0"/>
    </xf>
    <xf numFmtId="208" fontId="85" fillId="0" borderId="0">
      <protection locked="0"/>
    </xf>
    <xf numFmtId="0" fontId="371" fillId="107" borderId="0">
      <alignment vertical="center"/>
    </xf>
    <xf numFmtId="0" fontId="372" fillId="108"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28" fillId="0" borderId="0">
      <alignment vertical="center"/>
    </xf>
    <xf numFmtId="0" fontId="80"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8"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xf numFmtId="0" fontId="82" fillId="0" borderId="0"/>
    <xf numFmtId="0" fontId="10" fillId="0" borderId="0"/>
    <xf numFmtId="0" fontId="373" fillId="0" borderId="0"/>
    <xf numFmtId="0" fontId="28" fillId="0" borderId="0">
      <alignment vertical="center"/>
    </xf>
    <xf numFmtId="0" fontId="5" fillId="0" borderId="0">
      <alignment vertical="center"/>
    </xf>
    <xf numFmtId="0" fontId="1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alignment vertical="center"/>
    </xf>
    <xf numFmtId="0" fontId="5" fillId="0" borderId="0">
      <alignment vertical="center"/>
    </xf>
    <xf numFmtId="0" fontId="5" fillId="0" borderId="0"/>
    <xf numFmtId="0" fontId="374" fillId="0" borderId="0">
      <alignment vertical="center"/>
    </xf>
    <xf numFmtId="0" fontId="375" fillId="0" borderId="0">
      <alignment vertical="center"/>
    </xf>
    <xf numFmtId="0" fontId="82" fillId="0" borderId="0"/>
    <xf numFmtId="0" fontId="5" fillId="0" borderId="0">
      <alignment vertical="center"/>
    </xf>
    <xf numFmtId="0" fontId="10" fillId="0" borderId="0"/>
    <xf numFmtId="0" fontId="10" fillId="0" borderId="0"/>
    <xf numFmtId="0" fontId="82" fillId="0" borderId="0"/>
    <xf numFmtId="0" fontId="82" fillId="0" borderId="0"/>
    <xf numFmtId="0" fontId="10" fillId="0" borderId="0"/>
    <xf numFmtId="0" fontId="82" fillId="0" borderId="0"/>
    <xf numFmtId="0" fontId="82" fillId="0" borderId="0"/>
    <xf numFmtId="0" fontId="82" fillId="0" borderId="0"/>
    <xf numFmtId="0" fontId="82" fillId="0" borderId="0"/>
    <xf numFmtId="0" fontId="376" fillId="0" borderId="0"/>
    <xf numFmtId="0" fontId="1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374"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41" fontId="86" fillId="0" borderId="63" applyBorder="0" applyAlignment="0"/>
    <xf numFmtId="0" fontId="87" fillId="0" borderId="0" applyNumberFormat="0" applyFont="0" applyFill="0" applyBorder="0" applyProtection="0">
      <alignment vertical="center"/>
    </xf>
    <xf numFmtId="0" fontId="10" fillId="0" borderId="0"/>
    <xf numFmtId="0" fontId="90" fillId="0" borderId="0"/>
    <xf numFmtId="41" fontId="86" fillId="0" borderId="63" applyBorder="0" applyAlignment="0"/>
    <xf numFmtId="330" fontId="318" fillId="0" borderId="0" applyFill="0" applyBorder="0">
      <alignment vertical="center"/>
    </xf>
    <xf numFmtId="0" fontId="209" fillId="0" borderId="207">
      <protection locked="0"/>
    </xf>
    <xf numFmtId="38" fontId="161" fillId="0" borderId="0" applyFont="0" applyFill="0" applyBorder="0" applyAlignment="0" applyProtection="0"/>
    <xf numFmtId="318" fontId="85" fillId="0" borderId="0">
      <protection locked="0"/>
    </xf>
    <xf numFmtId="370" fontId="248" fillId="0" borderId="0">
      <protection locked="0"/>
    </xf>
    <xf numFmtId="0" fontId="377" fillId="0" borderId="208" applyNumberFormat="0" applyFont="0" applyFill="0" applyProtection="0">
      <alignment horizontal="center" vertical="center" wrapText="1"/>
    </xf>
    <xf numFmtId="0" fontId="4" fillId="0" borderId="0">
      <alignment vertical="center"/>
    </xf>
    <xf numFmtId="9" fontId="4" fillId="0" borderId="0" applyFont="0" applyFill="0" applyBorder="0" applyAlignment="0" applyProtection="0">
      <alignment vertical="center"/>
    </xf>
    <xf numFmtId="0" fontId="82" fillId="0" borderId="0"/>
    <xf numFmtId="0" fontId="4" fillId="0" borderId="0">
      <alignment vertical="center"/>
    </xf>
    <xf numFmtId="0" fontId="10" fillId="0" borderId="0">
      <alignment vertical="center"/>
    </xf>
    <xf numFmtId="41" fontId="82" fillId="0" borderId="0" applyFont="0" applyFill="0" applyBorder="0" applyAlignment="0" applyProtection="0">
      <alignment vertical="center"/>
    </xf>
    <xf numFmtId="9" fontId="82"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cellStyleXfs>
  <cellXfs count="1429">
    <xf numFmtId="0" fontId="0" fillId="0" borderId="0" xfId="0"/>
    <xf numFmtId="0" fontId="16" fillId="0" borderId="0" xfId="0" applyFont="1" applyFill="1" applyAlignment="1">
      <alignment horizontal="center"/>
    </xf>
    <xf numFmtId="0" fontId="16" fillId="0" borderId="0" xfId="0" applyFont="1" applyFill="1"/>
    <xf numFmtId="41" fontId="16" fillId="0" borderId="0" xfId="3" applyFont="1" applyFill="1"/>
    <xf numFmtId="41" fontId="23" fillId="4" borderId="1" xfId="6" applyNumberFormat="1" applyFont="1" applyFill="1" applyBorder="1" applyAlignment="1">
      <alignment horizontal="right" vertical="center" wrapText="1"/>
    </xf>
    <xf numFmtId="0" fontId="32" fillId="0" borderId="18" xfId="6" applyFont="1" applyBorder="1" applyAlignment="1">
      <alignment vertical="center" wrapText="1"/>
    </xf>
    <xf numFmtId="0" fontId="29" fillId="4" borderId="1" xfId="6" applyFont="1" applyFill="1" applyBorder="1">
      <alignment vertical="center"/>
    </xf>
    <xf numFmtId="0" fontId="29" fillId="0" borderId="1" xfId="6" applyFont="1" applyBorder="1">
      <alignment vertical="center"/>
    </xf>
    <xf numFmtId="0" fontId="29" fillId="0" borderId="0" xfId="6" applyFont="1">
      <alignment vertical="center"/>
    </xf>
    <xf numFmtId="0" fontId="0" fillId="0" borderId="0" xfId="0" applyAlignment="1">
      <alignment vertical="center"/>
    </xf>
    <xf numFmtId="0" fontId="35" fillId="0" borderId="0" xfId="0" applyFont="1" applyAlignment="1">
      <alignment vertical="center"/>
    </xf>
    <xf numFmtId="41" fontId="23" fillId="12" borderId="1" xfId="6" applyNumberFormat="1" applyFont="1" applyFill="1" applyBorder="1" applyAlignment="1">
      <alignment horizontal="right" vertical="center" wrapText="1"/>
    </xf>
    <xf numFmtId="41" fontId="24" fillId="12" borderId="1" xfId="3" applyFont="1" applyFill="1" applyBorder="1" applyAlignment="1">
      <alignment horizontal="right" vertical="center" wrapText="1"/>
    </xf>
    <xf numFmtId="41" fontId="24" fillId="4" borderId="82" xfId="6" applyNumberFormat="1" applyFont="1" applyFill="1" applyBorder="1" applyAlignment="1">
      <alignment vertical="center" wrapText="1"/>
    </xf>
    <xf numFmtId="41" fontId="24" fillId="12" borderId="82" xfId="6" applyNumberFormat="1" applyFont="1" applyFill="1" applyBorder="1" applyAlignment="1">
      <alignment vertical="center" wrapText="1"/>
    </xf>
    <xf numFmtId="181" fontId="24" fillId="12" borderId="1" xfId="1" applyNumberFormat="1" applyFont="1" applyFill="1" applyBorder="1" applyAlignment="1">
      <alignment horizontal="right" vertical="center" wrapText="1"/>
    </xf>
    <xf numFmtId="0" fontId="8" fillId="0" borderId="0" xfId="8">
      <alignment vertical="center"/>
    </xf>
    <xf numFmtId="0" fontId="45" fillId="0" borderId="0" xfId="0" applyFont="1"/>
    <xf numFmtId="176" fontId="24" fillId="12" borderId="1" xfId="3" applyNumberFormat="1" applyFont="1" applyFill="1" applyBorder="1" applyAlignment="1">
      <alignment horizontal="right" vertical="center" wrapText="1"/>
    </xf>
    <xf numFmtId="0" fontId="24" fillId="12" borderId="82" xfId="6" applyFont="1" applyFill="1" applyBorder="1" applyAlignment="1">
      <alignment vertical="center" wrapText="1"/>
    </xf>
    <xf numFmtId="182" fontId="23" fillId="12" borderId="26" xfId="6" applyNumberFormat="1" applyFont="1" applyFill="1" applyBorder="1" applyAlignment="1">
      <alignment horizontal="right" vertical="center" wrapText="1"/>
    </xf>
    <xf numFmtId="41" fontId="24" fillId="12" borderId="56" xfId="6" applyNumberFormat="1" applyFont="1" applyFill="1" applyBorder="1" applyAlignment="1">
      <alignment vertical="center" wrapText="1"/>
    </xf>
    <xf numFmtId="49" fontId="16" fillId="0" borderId="0" xfId="0" applyNumberFormat="1" applyFont="1" applyFill="1"/>
    <xf numFmtId="0" fontId="48" fillId="0" borderId="0" xfId="0" applyFont="1"/>
    <xf numFmtId="0" fontId="42" fillId="20" borderId="22" xfId="6" applyFont="1" applyFill="1" applyBorder="1" applyAlignment="1">
      <alignment horizontal="center" vertical="center" wrapText="1"/>
    </xf>
    <xf numFmtId="0" fontId="48" fillId="0" borderId="0" xfId="0" applyFont="1" applyAlignment="1">
      <alignment vertical="center"/>
    </xf>
    <xf numFmtId="41" fontId="23" fillId="4" borderId="108" xfId="6" applyNumberFormat="1" applyFont="1" applyFill="1" applyBorder="1" applyAlignment="1">
      <alignment horizontal="right" vertical="center" wrapText="1"/>
    </xf>
    <xf numFmtId="41" fontId="24" fillId="4" borderId="109" xfId="6" applyNumberFormat="1" applyFont="1" applyFill="1" applyBorder="1" applyAlignment="1">
      <alignment vertical="center" wrapText="1"/>
    </xf>
    <xf numFmtId="41" fontId="24" fillId="12" borderId="111" xfId="3" applyFont="1" applyFill="1" applyBorder="1" applyAlignment="1">
      <alignment horizontal="right" vertical="center" wrapText="1"/>
    </xf>
    <xf numFmtId="41" fontId="24" fillId="12" borderId="112" xfId="6" applyNumberFormat="1" applyFont="1" applyFill="1" applyBorder="1" applyAlignment="1">
      <alignment vertical="center" wrapText="1"/>
    </xf>
    <xf numFmtId="181" fontId="24" fillId="12" borderId="111" xfId="1" applyNumberFormat="1" applyFont="1" applyFill="1" applyBorder="1" applyAlignment="1">
      <alignment horizontal="right" vertical="center" wrapText="1"/>
    </xf>
    <xf numFmtId="41" fontId="23" fillId="12" borderId="111" xfId="6" applyNumberFormat="1" applyFont="1" applyFill="1" applyBorder="1" applyAlignment="1">
      <alignment horizontal="right" vertical="center" wrapText="1"/>
    </xf>
    <xf numFmtId="41" fontId="26" fillId="12" borderId="111" xfId="6" applyNumberFormat="1" applyFont="1" applyFill="1" applyBorder="1" applyAlignment="1">
      <alignment horizontal="right" vertical="center" wrapText="1"/>
    </xf>
    <xf numFmtId="182" fontId="23" fillId="12" borderId="111" xfId="6" applyNumberFormat="1" applyFont="1" applyFill="1" applyBorder="1" applyAlignment="1">
      <alignment horizontal="right" vertical="center" wrapText="1"/>
    </xf>
    <xf numFmtId="176" fontId="24" fillId="12" borderId="111" xfId="3" applyNumberFormat="1" applyFont="1" applyFill="1" applyBorder="1" applyAlignment="1">
      <alignment horizontal="right" vertical="center" wrapText="1"/>
    </xf>
    <xf numFmtId="0" fontId="24" fillId="12" borderId="112" xfId="6" applyFont="1" applyFill="1" applyBorder="1" applyAlignment="1">
      <alignment vertical="center" wrapText="1"/>
    </xf>
    <xf numFmtId="183" fontId="25" fillId="0" borderId="0" xfId="6" applyNumberFormat="1" applyFont="1" applyBorder="1" applyAlignment="1">
      <alignment horizontal="center" vertical="center" wrapText="1"/>
    </xf>
    <xf numFmtId="10" fontId="25" fillId="0" borderId="0" xfId="6" applyNumberFormat="1" applyFont="1" applyBorder="1" applyAlignment="1">
      <alignment horizontal="center" vertical="center" wrapText="1"/>
    </xf>
    <xf numFmtId="0" fontId="46" fillId="0" borderId="0" xfId="0" applyFont="1"/>
    <xf numFmtId="0" fontId="7" fillId="0" borderId="0" xfId="19">
      <alignment vertical="center"/>
    </xf>
    <xf numFmtId="0" fontId="40" fillId="0" borderId="0" xfId="19" applyFont="1">
      <alignment vertical="center"/>
    </xf>
    <xf numFmtId="0" fontId="53" fillId="0" borderId="0" xfId="19" applyFont="1">
      <alignment vertical="center"/>
    </xf>
    <xf numFmtId="0" fontId="54" fillId="0" borderId="0" xfId="19" applyFont="1">
      <alignment vertical="center"/>
    </xf>
    <xf numFmtId="0" fontId="7" fillId="0" borderId="0" xfId="19" applyFont="1">
      <alignment vertical="center"/>
    </xf>
    <xf numFmtId="0" fontId="27" fillId="0" borderId="0" xfId="19" applyFont="1">
      <alignment vertical="center"/>
    </xf>
    <xf numFmtId="0" fontId="55" fillId="0" borderId="0" xfId="19" applyFont="1">
      <alignment vertical="center"/>
    </xf>
    <xf numFmtId="0" fontId="56" fillId="0" borderId="0" xfId="19" applyFont="1">
      <alignment vertical="center"/>
    </xf>
    <xf numFmtId="0" fontId="57" fillId="0" borderId="0" xfId="19" applyFont="1">
      <alignment vertical="center"/>
    </xf>
    <xf numFmtId="0" fontId="28" fillId="0" borderId="0" xfId="19" applyFont="1">
      <alignment vertical="center"/>
    </xf>
    <xf numFmtId="0" fontId="43" fillId="0" borderId="0" xfId="19" applyFont="1">
      <alignment vertical="center"/>
    </xf>
    <xf numFmtId="0" fontId="7" fillId="3" borderId="29" xfId="19" applyFont="1" applyFill="1" applyBorder="1">
      <alignment vertical="center"/>
    </xf>
    <xf numFmtId="0" fontId="7" fillId="4" borderId="29" xfId="19" applyFont="1" applyFill="1" applyBorder="1">
      <alignment vertical="center"/>
    </xf>
    <xf numFmtId="0" fontId="7" fillId="22" borderId="25" xfId="19" applyFont="1" applyFill="1" applyBorder="1">
      <alignment vertical="center"/>
    </xf>
    <xf numFmtId="0" fontId="43" fillId="0" borderId="82" xfId="19" applyFont="1" applyBorder="1">
      <alignment vertical="center"/>
    </xf>
    <xf numFmtId="0" fontId="43" fillId="0" borderId="56" xfId="19" applyFont="1" applyBorder="1">
      <alignment vertical="center"/>
    </xf>
    <xf numFmtId="0" fontId="28" fillId="0" borderId="8" xfId="19" applyFont="1" applyBorder="1" applyAlignment="1">
      <alignment horizontal="left" vertical="center" indent="1"/>
    </xf>
    <xf numFmtId="0" fontId="28" fillId="0" borderId="60" xfId="19" applyFont="1" applyBorder="1" applyAlignment="1">
      <alignment horizontal="left" vertical="center" indent="1"/>
    </xf>
    <xf numFmtId="0" fontId="7" fillId="26" borderId="147" xfId="19" applyFont="1" applyFill="1" applyBorder="1">
      <alignment vertical="center"/>
    </xf>
    <xf numFmtId="0" fontId="28" fillId="0" borderId="10" xfId="19" applyFont="1" applyBorder="1" applyAlignment="1">
      <alignment horizontal="left" vertical="center" indent="1"/>
    </xf>
    <xf numFmtId="0" fontId="43" fillId="0" borderId="148" xfId="19" applyFont="1" applyBorder="1">
      <alignment vertical="center"/>
    </xf>
    <xf numFmtId="0" fontId="60" fillId="0" borderId="95" xfId="19" applyFont="1" applyBorder="1" applyAlignment="1">
      <alignment horizontal="center" vertical="center"/>
    </xf>
    <xf numFmtId="0" fontId="60" fillId="0" borderId="96" xfId="19" applyFont="1" applyBorder="1" applyAlignment="1">
      <alignment horizontal="center" vertical="center"/>
    </xf>
    <xf numFmtId="0" fontId="43" fillId="0" borderId="32" xfId="19" applyFont="1" applyBorder="1" applyAlignment="1">
      <alignment horizontal="center" vertical="center"/>
    </xf>
    <xf numFmtId="0" fontId="43" fillId="0" borderId="1" xfId="19" applyFont="1" applyBorder="1" applyAlignment="1">
      <alignment horizontal="center" vertical="center"/>
    </xf>
    <xf numFmtId="0" fontId="43" fillId="0" borderId="26" xfId="19" applyFont="1" applyBorder="1" applyAlignment="1">
      <alignment horizontal="center" vertical="center"/>
    </xf>
    <xf numFmtId="0" fontId="40" fillId="0" borderId="0" xfId="19" applyFont="1" applyAlignment="1"/>
    <xf numFmtId="0" fontId="7" fillId="0" borderId="0" xfId="19" applyAlignment="1"/>
    <xf numFmtId="0" fontId="41" fillId="0" borderId="0" xfId="19" applyFont="1" applyAlignment="1">
      <alignment horizontal="right"/>
    </xf>
    <xf numFmtId="0" fontId="27" fillId="15" borderId="0" xfId="8" applyFont="1" applyFill="1">
      <alignment vertical="center"/>
    </xf>
    <xf numFmtId="9" fontId="22" fillId="29" borderId="19" xfId="18" applyNumberFormat="1" applyFont="1" applyFill="1" applyBorder="1" applyAlignment="1">
      <alignment horizontal="center" vertical="center" wrapText="1"/>
    </xf>
    <xf numFmtId="0" fontId="6" fillId="0" borderId="0" xfId="19" applyFont="1">
      <alignment vertical="center"/>
    </xf>
    <xf numFmtId="0" fontId="14" fillId="19" borderId="1" xfId="0" applyFont="1" applyFill="1" applyBorder="1" applyAlignment="1">
      <alignment horizontal="center" vertical="center"/>
    </xf>
    <xf numFmtId="0" fontId="78" fillId="0" borderId="0" xfId="0" applyFont="1" applyAlignment="1">
      <alignment vertical="center"/>
    </xf>
    <xf numFmtId="0" fontId="0" fillId="0" borderId="1" xfId="0" applyBorder="1" applyAlignment="1">
      <alignment horizontal="center" vertical="center"/>
    </xf>
    <xf numFmtId="14" fontId="0" fillId="0" borderId="1" xfId="0" applyNumberFormat="1" applyBorder="1" applyAlignment="1">
      <alignment vertical="center"/>
    </xf>
    <xf numFmtId="0" fontId="0" fillId="0" borderId="1" xfId="0" quotePrefix="1" applyBorder="1" applyAlignment="1">
      <alignment vertical="center"/>
    </xf>
    <xf numFmtId="0" fontId="0" fillId="0" borderId="1" xfId="0" applyBorder="1" applyAlignment="1">
      <alignment vertical="center"/>
    </xf>
    <xf numFmtId="0" fontId="0" fillId="0" borderId="31" xfId="0" applyBorder="1" applyAlignment="1">
      <alignment horizontal="center" vertical="center"/>
    </xf>
    <xf numFmtId="14" fontId="0" fillId="0" borderId="31" xfId="0" applyNumberFormat="1" applyBorder="1" applyAlignment="1">
      <alignment vertical="center"/>
    </xf>
    <xf numFmtId="0" fontId="0" fillId="0" borderId="31" xfId="0" quotePrefix="1" applyBorder="1" applyAlignment="1">
      <alignment vertical="center"/>
    </xf>
    <xf numFmtId="0" fontId="0" fillId="0" borderId="31" xfId="0" applyBorder="1" applyAlignment="1">
      <alignment vertical="center"/>
    </xf>
    <xf numFmtId="0" fontId="0" fillId="0" borderId="160" xfId="0" applyBorder="1" applyAlignment="1">
      <alignment horizontal="center" vertical="center"/>
    </xf>
    <xf numFmtId="0" fontId="0" fillId="0" borderId="160" xfId="0" applyBorder="1" applyAlignment="1">
      <alignment vertical="center"/>
    </xf>
    <xf numFmtId="0" fontId="0" fillId="0" borderId="160" xfId="0" quotePrefix="1" applyBorder="1" applyAlignment="1">
      <alignment vertical="center"/>
    </xf>
    <xf numFmtId="0" fontId="0" fillId="0" borderId="32" xfId="0" applyBorder="1" applyAlignment="1">
      <alignment horizontal="center" vertical="center"/>
    </xf>
    <xf numFmtId="0" fontId="0" fillId="0" borderId="32" xfId="0" applyBorder="1" applyAlignment="1">
      <alignment vertical="center"/>
    </xf>
    <xf numFmtId="0" fontId="0" fillId="0" borderId="32" xfId="0" quotePrefix="1" applyBorder="1" applyAlignment="1">
      <alignment vertical="center"/>
    </xf>
    <xf numFmtId="14" fontId="0" fillId="0" borderId="1" xfId="0" applyNumberFormat="1" applyBorder="1" applyAlignment="1">
      <alignment horizontal="center" vertical="center"/>
    </xf>
    <xf numFmtId="0" fontId="14" fillId="19" borderId="31" xfId="0" applyFont="1" applyFill="1" applyBorder="1" applyAlignment="1">
      <alignment horizontal="center" vertical="center"/>
    </xf>
    <xf numFmtId="0" fontId="79" fillId="0" borderId="0" xfId="21" applyFont="1">
      <alignment vertical="center"/>
    </xf>
    <xf numFmtId="182" fontId="81" fillId="63" borderId="1" xfId="22" applyNumberFormat="1" applyFont="1" applyBorder="1">
      <alignment vertical="center"/>
    </xf>
    <xf numFmtId="0" fontId="15" fillId="2" borderId="1" xfId="23" applyFont="1" applyFill="1" applyBorder="1" applyAlignment="1">
      <alignment horizontal="center" vertical="center"/>
    </xf>
    <xf numFmtId="182" fontId="15" fillId="2" borderId="1" xfId="23" applyNumberFormat="1" applyFont="1" applyFill="1" applyBorder="1" applyAlignment="1">
      <alignment horizontal="center" vertical="center"/>
    </xf>
    <xf numFmtId="49" fontId="13" fillId="0" borderId="1" xfId="24" applyNumberFormat="1" applyFont="1" applyFill="1" applyBorder="1">
      <alignment vertical="center"/>
    </xf>
    <xf numFmtId="182" fontId="79" fillId="0" borderId="1" xfId="21" applyNumberFormat="1" applyFont="1" applyBorder="1">
      <alignment vertical="center"/>
    </xf>
    <xf numFmtId="182" fontId="79" fillId="0" borderId="0" xfId="21" applyNumberFormat="1" applyFont="1">
      <alignment vertical="center"/>
    </xf>
    <xf numFmtId="182" fontId="378" fillId="4" borderId="1" xfId="23" applyNumberFormat="1" applyFont="1" applyFill="1" applyBorder="1" applyAlignment="1">
      <alignment horizontal="center" vertical="center"/>
    </xf>
    <xf numFmtId="0" fontId="4" fillId="0" borderId="0" xfId="6603" applyAlignment="1">
      <alignment horizontal="center" vertical="center"/>
    </xf>
    <xf numFmtId="0" fontId="4" fillId="0" borderId="0" xfId="6605">
      <alignment vertical="center"/>
    </xf>
    <xf numFmtId="0" fontId="4" fillId="0" borderId="0" xfId="6605" applyAlignment="1">
      <alignment horizontal="center" vertical="center"/>
    </xf>
    <xf numFmtId="0" fontId="4" fillId="0" borderId="0" xfId="6607">
      <alignment vertical="center"/>
    </xf>
    <xf numFmtId="0" fontId="4" fillId="0" borderId="0" xfId="6610">
      <alignment vertical="center"/>
    </xf>
    <xf numFmtId="0" fontId="4" fillId="0" borderId="0" xfId="6610" applyAlignment="1">
      <alignment horizontal="center" vertical="center"/>
    </xf>
    <xf numFmtId="0" fontId="4" fillId="0" borderId="0" xfId="6612">
      <alignment vertical="center"/>
    </xf>
    <xf numFmtId="0" fontId="4" fillId="0" borderId="0" xfId="6612" applyAlignment="1">
      <alignment horizontal="center" vertical="center"/>
    </xf>
    <xf numFmtId="0" fontId="4" fillId="0" borderId="0" xfId="6613">
      <alignment vertical="center"/>
    </xf>
    <xf numFmtId="0" fontId="4" fillId="0" borderId="0" xfId="6613" applyAlignment="1">
      <alignment horizontal="center" vertical="center"/>
    </xf>
    <xf numFmtId="0" fontId="4" fillId="109" borderId="0" xfId="6603" applyFill="1" applyAlignment="1">
      <alignment horizontal="center" vertical="center"/>
    </xf>
    <xf numFmtId="0" fontId="7" fillId="0" borderId="0" xfId="19" applyFont="1" applyFill="1">
      <alignment vertical="center"/>
    </xf>
    <xf numFmtId="0" fontId="40" fillId="0" borderId="0" xfId="19" applyFont="1" applyFill="1">
      <alignment vertical="center"/>
    </xf>
    <xf numFmtId="0" fontId="28" fillId="0" borderId="0" xfId="19" applyFont="1" applyFill="1">
      <alignment vertical="center"/>
    </xf>
    <xf numFmtId="0" fontId="62" fillId="0" borderId="0" xfId="19" applyFont="1" applyFill="1">
      <alignment vertical="center"/>
    </xf>
    <xf numFmtId="0" fontId="382" fillId="0" borderId="0" xfId="0" applyFont="1"/>
    <xf numFmtId="0" fontId="383" fillId="0" borderId="0" xfId="0" applyFont="1" applyAlignment="1">
      <alignment horizontal="right" vertical="center"/>
    </xf>
    <xf numFmtId="0" fontId="381" fillId="0" borderId="19"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0" xfId="0" applyFont="1" applyBorder="1" applyAlignment="1">
      <alignment horizontal="left" vertical="center" wrapText="1"/>
    </xf>
    <xf numFmtId="0" fontId="34" fillId="0" borderId="0" xfId="0" applyFont="1" applyBorder="1" applyAlignment="1">
      <alignment horizontal="center" vertical="center" wrapText="1"/>
    </xf>
    <xf numFmtId="0" fontId="381" fillId="0" borderId="20" xfId="0" applyFont="1" applyBorder="1" applyAlignment="1">
      <alignment horizontal="center" vertical="center" wrapText="1"/>
    </xf>
    <xf numFmtId="0" fontId="381" fillId="0" borderId="0" xfId="0" applyFont="1" applyBorder="1" applyAlignment="1">
      <alignment horizontal="center" vertical="center" wrapText="1"/>
    </xf>
    <xf numFmtId="0" fontId="384" fillId="0" borderId="0" xfId="0" applyFont="1" applyBorder="1" applyAlignment="1">
      <alignment horizontal="center" vertical="center" wrapText="1"/>
    </xf>
    <xf numFmtId="0" fontId="381" fillId="112" borderId="14" xfId="0" applyFont="1" applyFill="1" applyBorder="1" applyAlignment="1">
      <alignment horizontal="center" vertical="center" wrapText="1"/>
    </xf>
    <xf numFmtId="14" fontId="0" fillId="0" borderId="160" xfId="0" applyNumberFormat="1" applyBorder="1" applyAlignment="1">
      <alignment vertical="center"/>
    </xf>
    <xf numFmtId="0" fontId="0" fillId="0" borderId="160" xfId="0" quotePrefix="1" applyBorder="1" applyAlignment="1">
      <alignment horizontal="left" vertical="center" indent="1"/>
    </xf>
    <xf numFmtId="0" fontId="0" fillId="0" borderId="160" xfId="0" applyBorder="1"/>
    <xf numFmtId="0" fontId="0" fillId="0" borderId="160" xfId="0" applyBorder="1" applyAlignment="1">
      <alignment horizontal="left" indent="1"/>
    </xf>
    <xf numFmtId="0" fontId="0" fillId="0" borderId="160" xfId="0" applyBorder="1" applyAlignment="1">
      <alignment horizontal="left" wrapText="1" indent="1"/>
    </xf>
    <xf numFmtId="0" fontId="0" fillId="0" borderId="32" xfId="0" applyBorder="1"/>
    <xf numFmtId="0" fontId="14" fillId="0" borderId="31" xfId="0" applyFont="1" applyBorder="1" applyAlignment="1">
      <alignment horizontal="left" vertical="center"/>
    </xf>
    <xf numFmtId="0" fontId="0" fillId="12" borderId="31" xfId="0" applyFill="1" applyBorder="1" applyAlignment="1">
      <alignment vertical="center"/>
    </xf>
    <xf numFmtId="0" fontId="0" fillId="12" borderId="32" xfId="0" applyFill="1" applyBorder="1"/>
    <xf numFmtId="0" fontId="0" fillId="0" borderId="31" xfId="0" applyBorder="1" applyAlignment="1">
      <alignment vertical="center" wrapText="1"/>
    </xf>
    <xf numFmtId="0" fontId="0" fillId="0" borderId="1" xfId="0" applyBorder="1" applyAlignment="1">
      <alignment vertical="center" wrapText="1"/>
    </xf>
    <xf numFmtId="0" fontId="0" fillId="12" borderId="31" xfId="0" applyFill="1" applyBorder="1" applyAlignment="1">
      <alignment horizontal="center" vertical="center"/>
    </xf>
    <xf numFmtId="14" fontId="0" fillId="0" borderId="32" xfId="0" applyNumberFormat="1" applyBorder="1" applyAlignment="1">
      <alignment vertical="center"/>
    </xf>
    <xf numFmtId="0" fontId="0" fillId="0" borderId="32" xfId="0" applyBorder="1" applyAlignment="1">
      <alignment vertical="center" wrapText="1"/>
    </xf>
    <xf numFmtId="0" fontId="13" fillId="0" borderId="160" xfId="0" applyFont="1" applyBorder="1" applyAlignment="1">
      <alignment vertical="center" wrapText="1"/>
    </xf>
    <xf numFmtId="0" fontId="4" fillId="0" borderId="0" xfId="6605" applyNumberFormat="1">
      <alignment vertical="center"/>
    </xf>
    <xf numFmtId="0" fontId="4" fillId="0" borderId="0" xfId="6607" applyNumberFormat="1">
      <alignment vertical="center"/>
    </xf>
    <xf numFmtId="0" fontId="4" fillId="0" borderId="0" xfId="6613" applyNumberFormat="1">
      <alignment vertical="center"/>
    </xf>
    <xf numFmtId="0" fontId="13" fillId="0" borderId="1" xfId="24" applyNumberFormat="1" applyFont="1" applyFill="1" applyBorder="1">
      <alignment vertical="center"/>
    </xf>
    <xf numFmtId="0" fontId="4" fillId="0" borderId="0" xfId="6612" applyNumberFormat="1">
      <alignment vertical="center"/>
    </xf>
    <xf numFmtId="0" fontId="4" fillId="0" borderId="0" xfId="6610" applyNumberFormat="1">
      <alignment vertical="center"/>
    </xf>
    <xf numFmtId="0" fontId="388" fillId="0" borderId="1" xfId="0" applyFont="1" applyBorder="1" applyAlignment="1">
      <alignment horizontal="center" vertical="center"/>
    </xf>
    <xf numFmtId="0" fontId="389" fillId="0" borderId="0" xfId="0" applyFont="1" applyAlignment="1">
      <alignment horizontal="center"/>
    </xf>
    <xf numFmtId="0" fontId="388" fillId="0" borderId="1" xfId="0" applyFont="1" applyBorder="1" applyAlignment="1">
      <alignment horizontal="center" vertical="center" wrapText="1"/>
    </xf>
    <xf numFmtId="10" fontId="388" fillId="0" borderId="1" xfId="0" applyNumberFormat="1" applyFont="1" applyBorder="1" applyAlignment="1">
      <alignment horizontal="center" vertical="center" wrapText="1"/>
    </xf>
    <xf numFmtId="0" fontId="388" fillId="0" borderId="1" xfId="0" applyFont="1" applyFill="1" applyBorder="1" applyAlignment="1">
      <alignment horizontal="center" vertical="center" wrapText="1"/>
    </xf>
    <xf numFmtId="0" fontId="388" fillId="0" borderId="1" xfId="0" applyFont="1" applyFill="1" applyBorder="1" applyAlignment="1">
      <alignment horizontal="center" vertical="center"/>
    </xf>
    <xf numFmtId="10" fontId="388" fillId="0" borderId="1" xfId="0" applyNumberFormat="1" applyFont="1" applyFill="1" applyBorder="1" applyAlignment="1">
      <alignment horizontal="center" vertical="center" wrapText="1"/>
    </xf>
    <xf numFmtId="0" fontId="388" fillId="11" borderId="1" xfId="0" applyFont="1" applyFill="1" applyBorder="1" applyAlignment="1">
      <alignment horizontal="center" vertical="center" wrapText="1"/>
    </xf>
    <xf numFmtId="10" fontId="388" fillId="11" borderId="1" xfId="0" applyNumberFormat="1" applyFont="1" applyFill="1" applyBorder="1" applyAlignment="1">
      <alignment horizontal="center" vertical="center" wrapText="1"/>
    </xf>
    <xf numFmtId="0" fontId="388" fillId="3" borderId="1" xfId="0" applyFont="1" applyFill="1" applyBorder="1" applyAlignment="1">
      <alignment horizontal="center" vertical="center" wrapText="1"/>
    </xf>
    <xf numFmtId="0" fontId="388" fillId="3" borderId="1" xfId="0" applyFont="1" applyFill="1" applyBorder="1" applyAlignment="1">
      <alignment horizontal="center" vertical="center"/>
    </xf>
    <xf numFmtId="10" fontId="388" fillId="3" borderId="1" xfId="0" applyNumberFormat="1" applyFont="1" applyFill="1" applyBorder="1" applyAlignment="1">
      <alignment horizontal="center" vertical="center" wrapText="1"/>
    </xf>
    <xf numFmtId="185" fontId="388" fillId="0" borderId="1" xfId="0" applyNumberFormat="1" applyFont="1" applyBorder="1" applyAlignment="1">
      <alignment horizontal="center" vertical="center"/>
    </xf>
    <xf numFmtId="185" fontId="389" fillId="0" borderId="0" xfId="0" applyNumberFormat="1" applyFont="1" applyAlignment="1">
      <alignment horizontal="center"/>
    </xf>
    <xf numFmtId="0" fontId="389" fillId="0" borderId="0" xfId="0" applyFont="1" applyAlignment="1">
      <alignment horizontal="left"/>
    </xf>
    <xf numFmtId="0" fontId="4" fillId="4" borderId="0" xfId="6610" applyFill="1">
      <alignment vertical="center"/>
    </xf>
    <xf numFmtId="0" fontId="4" fillId="4" borderId="0" xfId="6612" applyFill="1">
      <alignment vertical="center"/>
    </xf>
    <xf numFmtId="0" fontId="4" fillId="4" borderId="0" xfId="6613" applyFill="1">
      <alignment vertical="center"/>
    </xf>
    <xf numFmtId="0" fontId="4" fillId="4" borderId="0" xfId="6603" applyFill="1">
      <alignment vertical="center"/>
    </xf>
    <xf numFmtId="0" fontId="4" fillId="4" borderId="0" xfId="6605" applyFill="1">
      <alignment vertical="center"/>
    </xf>
    <xf numFmtId="0" fontId="4" fillId="4" borderId="0" xfId="6607" applyFill="1">
      <alignment vertical="center"/>
    </xf>
    <xf numFmtId="0" fontId="391" fillId="5" borderId="280" xfId="0" applyFont="1" applyFill="1" applyBorder="1" applyAlignment="1">
      <alignment horizontal="center" vertical="center" wrapText="1"/>
    </xf>
    <xf numFmtId="0" fontId="391" fillId="5" borderId="41" xfId="0" applyFont="1" applyFill="1" applyBorder="1" applyAlignment="1">
      <alignment horizontal="center" vertical="center" wrapText="1"/>
    </xf>
    <xf numFmtId="0" fontId="391" fillId="5" borderId="42" xfId="0" applyFont="1" applyFill="1" applyBorder="1" applyAlignment="1">
      <alignment horizontal="center" vertical="center" wrapText="1"/>
    </xf>
    <xf numFmtId="0" fontId="391" fillId="5" borderId="285" xfId="0" applyFont="1" applyFill="1" applyBorder="1" applyAlignment="1">
      <alignment horizontal="center" vertical="center" wrapText="1"/>
    </xf>
    <xf numFmtId="0" fontId="391" fillId="5" borderId="129" xfId="0" applyFont="1" applyFill="1" applyBorder="1" applyAlignment="1">
      <alignment horizontal="center" vertical="center" wrapText="1"/>
    </xf>
    <xf numFmtId="0" fontId="391" fillId="5" borderId="131" xfId="0" applyFont="1" applyFill="1" applyBorder="1" applyAlignment="1">
      <alignment horizontal="center" vertical="center" wrapText="1"/>
    </xf>
    <xf numFmtId="0" fontId="391" fillId="5" borderId="286" xfId="0" applyFont="1" applyFill="1" applyBorder="1" applyAlignment="1">
      <alignment horizontal="center" vertical="center" wrapText="1"/>
    </xf>
    <xf numFmtId="0" fontId="391" fillId="5" borderId="288" xfId="0" applyFont="1" applyFill="1" applyBorder="1" applyAlignment="1">
      <alignment horizontal="center" vertical="center" wrapText="1"/>
    </xf>
    <xf numFmtId="0" fontId="391" fillId="5" borderId="130" xfId="0" applyFont="1" applyFill="1" applyBorder="1" applyAlignment="1">
      <alignment horizontal="center" vertical="center" wrapText="1"/>
    </xf>
    <xf numFmtId="0" fontId="391" fillId="5" borderId="132" xfId="0" applyFont="1" applyFill="1" applyBorder="1" applyAlignment="1">
      <alignment horizontal="center" vertical="center" wrapText="1"/>
    </xf>
    <xf numFmtId="0" fontId="391" fillId="5" borderId="133" xfId="0" applyFont="1" applyFill="1" applyBorder="1" applyAlignment="1">
      <alignment horizontal="center" vertical="center" wrapText="1"/>
    </xf>
    <xf numFmtId="0" fontId="0" fillId="4" borderId="0" xfId="0" applyFill="1"/>
    <xf numFmtId="0" fontId="0" fillId="0" borderId="1" xfId="0" applyBorder="1"/>
    <xf numFmtId="0" fontId="0" fillId="0" borderId="1" xfId="0" applyBorder="1" applyAlignment="1">
      <alignment wrapText="1"/>
    </xf>
    <xf numFmtId="0" fontId="0" fillId="4" borderId="1" xfId="0" applyFill="1" applyBorder="1"/>
    <xf numFmtId="0" fontId="391" fillId="5" borderId="296" xfId="0" applyFont="1" applyFill="1" applyBorder="1" applyAlignment="1">
      <alignment horizontal="center" vertical="center" wrapText="1"/>
    </xf>
    <xf numFmtId="0" fontId="391" fillId="5" borderId="297" xfId="0" applyFont="1" applyFill="1" applyBorder="1" applyAlignment="1">
      <alignment horizontal="center" vertical="center" wrapText="1"/>
    </xf>
    <xf numFmtId="0" fontId="393" fillId="4" borderId="19" xfId="0" applyFont="1" applyFill="1" applyBorder="1" applyAlignment="1">
      <alignment horizontal="center" vertical="center" wrapText="1"/>
    </xf>
    <xf numFmtId="0" fontId="393" fillId="4" borderId="295" xfId="0" applyFont="1" applyFill="1" applyBorder="1" applyAlignment="1">
      <alignment horizontal="center" vertical="center" wrapText="1"/>
    </xf>
    <xf numFmtId="375" fontId="391" fillId="5" borderId="286" xfId="0" applyNumberFormat="1" applyFont="1" applyFill="1" applyBorder="1" applyAlignment="1">
      <alignment horizontal="center" vertical="center" wrapText="1"/>
    </xf>
    <xf numFmtId="375" fontId="391" fillId="5" borderId="287" xfId="0" applyNumberFormat="1" applyFont="1" applyFill="1" applyBorder="1" applyAlignment="1">
      <alignment horizontal="center" vertical="center" wrapText="1"/>
    </xf>
    <xf numFmtId="375" fontId="391" fillId="5" borderId="134" xfId="0" applyNumberFormat="1" applyFont="1" applyFill="1" applyBorder="1" applyAlignment="1">
      <alignment horizontal="center" vertical="center" wrapText="1"/>
    </xf>
    <xf numFmtId="375" fontId="393" fillId="0" borderId="295" xfId="0" applyNumberFormat="1" applyFont="1" applyBorder="1" applyAlignment="1">
      <alignment horizontal="center" vertical="center" wrapText="1"/>
    </xf>
    <xf numFmtId="375" fontId="392" fillId="0" borderId="19" xfId="0" applyNumberFormat="1" applyFont="1" applyBorder="1" applyAlignment="1">
      <alignment horizontal="center" vertical="center" wrapText="1"/>
    </xf>
    <xf numFmtId="375" fontId="393" fillId="0" borderId="19" xfId="0" applyNumberFormat="1" applyFont="1" applyBorder="1" applyAlignment="1">
      <alignment horizontal="center" vertical="center" wrapText="1"/>
    </xf>
    <xf numFmtId="375" fontId="392" fillId="0" borderId="45" xfId="0" applyNumberFormat="1" applyFont="1" applyBorder="1" applyAlignment="1">
      <alignment horizontal="center" vertical="center" wrapText="1"/>
    </xf>
    <xf numFmtId="375" fontId="393" fillId="0" borderId="18" xfId="0" applyNumberFormat="1" applyFont="1" applyBorder="1" applyAlignment="1">
      <alignment horizontal="center" vertical="center" wrapText="1"/>
    </xf>
    <xf numFmtId="375" fontId="391" fillId="5" borderId="42" xfId="0" applyNumberFormat="1" applyFont="1" applyFill="1" applyBorder="1" applyAlignment="1">
      <alignment horizontal="center" vertical="center" wrapText="1"/>
    </xf>
    <xf numFmtId="375" fontId="391" fillId="5" borderId="43" xfId="0" applyNumberFormat="1" applyFont="1" applyFill="1" applyBorder="1" applyAlignment="1">
      <alignment horizontal="center" vertical="center" wrapText="1"/>
    </xf>
    <xf numFmtId="375" fontId="391" fillId="5" borderId="280" xfId="0" applyNumberFormat="1" applyFont="1" applyFill="1" applyBorder="1" applyAlignment="1">
      <alignment horizontal="center" vertical="center" wrapText="1"/>
    </xf>
    <xf numFmtId="375" fontId="391" fillId="5" borderId="281" xfId="0" applyNumberFormat="1" applyFont="1" applyFill="1" applyBorder="1" applyAlignment="1">
      <alignment horizontal="center" vertical="center" wrapText="1"/>
    </xf>
    <xf numFmtId="375" fontId="393" fillId="0" borderId="19" xfId="0" applyNumberFormat="1" applyFont="1" applyFill="1" applyBorder="1" applyAlignment="1">
      <alignment horizontal="center" vertical="center" wrapText="1"/>
    </xf>
    <xf numFmtId="375" fontId="397" fillId="0" borderId="19" xfId="0" applyNumberFormat="1" applyFont="1" applyFill="1" applyBorder="1" applyAlignment="1">
      <alignment horizontal="center" vertical="center" wrapText="1"/>
    </xf>
    <xf numFmtId="0" fontId="0" fillId="16" borderId="1" xfId="0" applyFill="1" applyBorder="1" applyAlignment="1">
      <alignment horizontal="center" vertical="center"/>
    </xf>
    <xf numFmtId="0" fontId="0" fillId="114" borderId="1" xfId="0" applyFill="1" applyBorder="1" applyAlignment="1">
      <alignment horizontal="center" vertical="center"/>
    </xf>
    <xf numFmtId="376" fontId="0" fillId="0" borderId="1" xfId="0" applyNumberFormat="1" applyBorder="1" applyAlignment="1">
      <alignment vertical="center"/>
    </xf>
    <xf numFmtId="3" fontId="0" fillId="0" borderId="0" xfId="0" applyNumberFormat="1"/>
    <xf numFmtId="180" fontId="22" fillId="29" borderId="19" xfId="6592" applyNumberFormat="1" applyFont="1" applyFill="1" applyBorder="1" applyAlignment="1">
      <alignment horizontal="center" vertical="center" wrapText="1"/>
    </xf>
    <xf numFmtId="49" fontId="398" fillId="115" borderId="19" xfId="8" applyNumberFormat="1" applyFont="1" applyFill="1" applyBorder="1" applyAlignment="1">
      <alignment horizontal="center" vertical="center" wrapText="1"/>
    </xf>
    <xf numFmtId="49" fontId="399" fillId="115" borderId="19" xfId="8" applyNumberFormat="1" applyFont="1" applyFill="1" applyBorder="1" applyAlignment="1">
      <alignment horizontal="center" vertical="center" wrapText="1"/>
    </xf>
    <xf numFmtId="49" fontId="398" fillId="115" borderId="20" xfId="8" applyNumberFormat="1" applyFont="1" applyFill="1" applyBorder="1" applyAlignment="1">
      <alignment horizontal="center" vertical="center" wrapText="1"/>
    </xf>
    <xf numFmtId="0" fontId="3" fillId="4" borderId="0" xfId="8" applyFont="1" applyFill="1">
      <alignment vertical="center"/>
    </xf>
    <xf numFmtId="49" fontId="3" fillId="0" borderId="0" xfId="8" applyNumberFormat="1" applyFont="1">
      <alignment vertical="center"/>
    </xf>
    <xf numFmtId="49" fontId="8" fillId="0" borderId="0" xfId="8" applyNumberFormat="1">
      <alignment vertical="center"/>
    </xf>
    <xf numFmtId="10" fontId="3" fillId="0" borderId="0" xfId="5" applyNumberFormat="1" applyFont="1">
      <alignment vertical="center"/>
    </xf>
    <xf numFmtId="10" fontId="8" fillId="0" borderId="0" xfId="8" applyNumberFormat="1">
      <alignment vertical="center"/>
    </xf>
    <xf numFmtId="0" fontId="3" fillId="0" borderId="0" xfId="8" applyFont="1" applyAlignment="1">
      <alignment horizontal="left" vertical="center"/>
    </xf>
    <xf numFmtId="49" fontId="398" fillId="115" borderId="0" xfId="8" applyNumberFormat="1" applyFont="1" applyFill="1" applyBorder="1" applyAlignment="1">
      <alignment horizontal="center" vertical="center" wrapText="1"/>
    </xf>
    <xf numFmtId="0" fontId="0" fillId="4" borderId="0" xfId="0" applyFill="1" applyAlignment="1">
      <alignment vertical="center"/>
    </xf>
    <xf numFmtId="0" fontId="28" fillId="0" borderId="0" xfId="8" applyFont="1">
      <alignment vertical="center"/>
    </xf>
    <xf numFmtId="0" fontId="25" fillId="0" borderId="0" xfId="0" applyFont="1" applyAlignment="1">
      <alignment horizontal="justify" vertical="center"/>
    </xf>
    <xf numFmtId="0" fontId="3" fillId="0" borderId="0" xfId="8" applyFont="1">
      <alignment vertical="center"/>
    </xf>
    <xf numFmtId="0" fontId="0" fillId="3" borderId="0" xfId="0" applyFill="1" applyAlignment="1">
      <alignment horizontal="center" vertical="center"/>
    </xf>
    <xf numFmtId="0" fontId="0" fillId="0" borderId="0" xfId="0" applyFill="1" applyAlignment="1">
      <alignment horizontal="center" vertical="center"/>
    </xf>
    <xf numFmtId="0" fontId="0" fillId="4" borderId="0" xfId="0" applyFill="1" applyAlignment="1">
      <alignment horizontal="center" vertical="center"/>
    </xf>
    <xf numFmtId="0" fontId="401" fillId="0" borderId="1" xfId="0" applyFont="1" applyBorder="1" applyAlignment="1">
      <alignment vertical="center" wrapText="1"/>
    </xf>
    <xf numFmtId="0" fontId="20" fillId="0" borderId="0" xfId="0" applyFont="1" applyAlignment="1">
      <alignment vertical="center"/>
    </xf>
    <xf numFmtId="0" fontId="28" fillId="0" borderId="0" xfId="0" applyFont="1" applyProtection="1">
      <protection locked="0"/>
    </xf>
    <xf numFmtId="0" fontId="20" fillId="0" borderId="0" xfId="0" applyFont="1"/>
    <xf numFmtId="0" fontId="28" fillId="0" borderId="0" xfId="0" applyFont="1" applyProtection="1"/>
    <xf numFmtId="9" fontId="28" fillId="0" borderId="161" xfId="5" applyFont="1" applyFill="1" applyBorder="1" applyAlignment="1" applyProtection="1">
      <alignment horizontal="center" vertical="center"/>
    </xf>
    <xf numFmtId="0" fontId="63" fillId="0" borderId="0" xfId="0" applyFont="1" applyAlignment="1">
      <alignment vertical="center"/>
    </xf>
    <xf numFmtId="0" fontId="19" fillId="18" borderId="21" xfId="0" applyFont="1" applyFill="1" applyBorder="1" applyAlignment="1">
      <alignment horizontal="center" vertical="center"/>
    </xf>
    <xf numFmtId="0" fontId="19" fillId="18" borderId="22" xfId="0" applyFont="1" applyFill="1" applyBorder="1" applyAlignment="1">
      <alignment horizontal="center" vertical="center"/>
    </xf>
    <xf numFmtId="0" fontId="20" fillId="0" borderId="25" xfId="0" applyFont="1" applyBorder="1" applyAlignment="1">
      <alignment horizontal="center" vertical="center"/>
    </xf>
    <xf numFmtId="0" fontId="20" fillId="0" borderId="26" xfId="0" applyFont="1" applyBorder="1" applyAlignment="1">
      <alignment horizontal="center" vertical="center"/>
    </xf>
    <xf numFmtId="0" fontId="20" fillId="0" borderId="26" xfId="0" applyFont="1" applyBorder="1" applyAlignment="1">
      <alignment horizontal="center" vertical="center" wrapText="1"/>
    </xf>
    <xf numFmtId="0" fontId="20" fillId="0" borderId="0" xfId="0" applyFont="1" applyBorder="1" applyAlignment="1">
      <alignment vertical="center"/>
    </xf>
    <xf numFmtId="0" fontId="20" fillId="0" borderId="0" xfId="0" applyFont="1" applyBorder="1" applyAlignment="1">
      <alignment horizontal="center" vertical="center"/>
    </xf>
    <xf numFmtId="0" fontId="36" fillId="0" borderId="0" xfId="0" applyFont="1" applyAlignment="1">
      <alignment vertical="center"/>
    </xf>
    <xf numFmtId="0" fontId="19" fillId="18" borderId="22" xfId="0" applyFont="1" applyFill="1" applyBorder="1" applyAlignment="1">
      <alignment horizontal="center" vertical="center" wrapText="1"/>
    </xf>
    <xf numFmtId="0" fontId="19" fillId="18" borderId="23" xfId="0" applyFont="1" applyFill="1" applyBorder="1" applyAlignment="1">
      <alignment horizontal="center" vertical="center" wrapText="1"/>
    </xf>
    <xf numFmtId="0" fontId="20" fillId="0" borderId="101" xfId="0" applyFont="1" applyBorder="1" applyAlignment="1">
      <alignment horizontal="center" vertical="center"/>
    </xf>
    <xf numFmtId="14" fontId="20" fillId="0" borderId="31" xfId="0" applyNumberFormat="1" applyFont="1" applyBorder="1" applyAlignment="1">
      <alignment horizontal="center" vertical="center"/>
    </xf>
    <xf numFmtId="14" fontId="59" fillId="0" borderId="121" xfId="0" applyNumberFormat="1" applyFont="1" applyBorder="1" applyAlignment="1">
      <alignment horizontal="center" vertical="center"/>
    </xf>
    <xf numFmtId="14" fontId="20" fillId="0" borderId="101" xfId="0" applyNumberFormat="1" applyFont="1" applyBorder="1" applyAlignment="1">
      <alignment horizontal="center" vertical="center"/>
    </xf>
    <xf numFmtId="0" fontId="20" fillId="0" borderId="31" xfId="0" applyFont="1" applyBorder="1" applyAlignment="1">
      <alignment horizontal="center" vertical="center"/>
    </xf>
    <xf numFmtId="0" fontId="20" fillId="0" borderId="121" xfId="0" applyFont="1" applyBorder="1" applyAlignment="1">
      <alignment horizontal="center" vertical="center"/>
    </xf>
    <xf numFmtId="0" fontId="19" fillId="18" borderId="209" xfId="0" applyFont="1" applyFill="1" applyBorder="1" applyAlignment="1">
      <alignment horizontal="center" vertical="center"/>
    </xf>
    <xf numFmtId="180" fontId="20" fillId="0" borderId="124" xfId="5" applyNumberFormat="1" applyFont="1" applyBorder="1" applyAlignment="1">
      <alignment horizontal="right" vertical="center"/>
    </xf>
    <xf numFmtId="14" fontId="20" fillId="23" borderId="123" xfId="0" applyNumberFormat="1" applyFont="1" applyFill="1" applyBorder="1" applyAlignment="1">
      <alignment horizontal="center" vertical="center"/>
    </xf>
    <xf numFmtId="0" fontId="20" fillId="23" borderId="124" xfId="0" applyFont="1" applyFill="1" applyBorder="1" applyAlignment="1">
      <alignment horizontal="center" vertical="center"/>
    </xf>
    <xf numFmtId="14" fontId="20" fillId="0" borderId="0" xfId="0" applyNumberFormat="1" applyFont="1" applyBorder="1" applyAlignment="1">
      <alignment horizontal="center" vertical="center"/>
    </xf>
    <xf numFmtId="14" fontId="20" fillId="0" borderId="0" xfId="0" applyNumberFormat="1" applyFont="1" applyBorder="1" applyAlignment="1">
      <alignment vertical="center"/>
    </xf>
    <xf numFmtId="0" fontId="65" fillId="18" borderId="21" xfId="0" applyFont="1" applyFill="1" applyBorder="1" applyAlignment="1">
      <alignment horizontal="center" vertical="center"/>
    </xf>
    <xf numFmtId="0" fontId="36" fillId="18" borderId="22" xfId="0" applyFont="1" applyFill="1" applyBorder="1" applyAlignment="1">
      <alignment horizontal="center" vertical="center"/>
    </xf>
    <xf numFmtId="0" fontId="404" fillId="18" borderId="29" xfId="0" applyFont="1" applyFill="1" applyBorder="1" applyAlignment="1">
      <alignment horizontal="center" vertical="center" wrapText="1"/>
    </xf>
    <xf numFmtId="0" fontId="37" fillId="0" borderId="1" xfId="0" applyFont="1" applyFill="1" applyBorder="1" applyAlignment="1">
      <alignment horizontal="center" vertical="center" wrapText="1"/>
    </xf>
    <xf numFmtId="0" fontId="404" fillId="18" borderId="29" xfId="0" applyFont="1" applyFill="1" applyBorder="1" applyAlignment="1">
      <alignment horizontal="center" vertical="center"/>
    </xf>
    <xf numFmtId="0" fontId="404" fillId="18" borderId="25" xfId="0" applyFont="1" applyFill="1" applyBorder="1" applyAlignment="1">
      <alignment horizontal="center" vertical="center" wrapText="1"/>
    </xf>
    <xf numFmtId="0" fontId="37" fillId="0" borderId="26" xfId="0" applyFont="1" applyFill="1" applyBorder="1" applyAlignment="1">
      <alignment horizontal="center" vertical="center" wrapText="1"/>
    </xf>
    <xf numFmtId="0" fontId="20" fillId="19" borderId="0" xfId="0" applyFont="1" applyFill="1" applyAlignment="1">
      <alignment vertical="center"/>
    </xf>
    <xf numFmtId="0" fontId="36" fillId="18" borderId="41" xfId="0" applyFont="1" applyFill="1" applyBorder="1" applyAlignment="1">
      <alignment horizontal="center" vertical="center" shrinkToFit="1"/>
    </xf>
    <xf numFmtId="0" fontId="36" fillId="18" borderId="87" xfId="0" applyFont="1" applyFill="1" applyBorder="1" applyAlignment="1">
      <alignment horizontal="center" vertical="center"/>
    </xf>
    <xf numFmtId="0" fontId="19" fillId="18" borderId="87" xfId="0" applyFont="1" applyFill="1" applyBorder="1" applyAlignment="1">
      <alignment horizontal="center" vertical="center"/>
    </xf>
    <xf numFmtId="0" fontId="20" fillId="0" borderId="118" xfId="0" applyFont="1" applyBorder="1" applyAlignment="1">
      <alignment horizontal="center"/>
    </xf>
    <xf numFmtId="0" fontId="19" fillId="18" borderId="43" xfId="6" applyFont="1" applyFill="1" applyBorder="1" applyAlignment="1">
      <alignment horizontal="center" vertical="center"/>
    </xf>
    <xf numFmtId="0" fontId="28" fillId="0" borderId="0" xfId="0" applyFont="1" applyAlignment="1" applyProtection="1">
      <alignment vertical="center"/>
      <protection locked="0"/>
    </xf>
    <xf numFmtId="0" fontId="64" fillId="0" borderId="0" xfId="0" applyFont="1" applyAlignment="1">
      <alignment vertical="center"/>
    </xf>
    <xf numFmtId="0" fontId="64" fillId="0" borderId="0" xfId="0" applyFont="1" applyAlignment="1">
      <alignment horizontal="center" wrapText="1"/>
    </xf>
    <xf numFmtId="0" fontId="75" fillId="0" borderId="0" xfId="0" applyFont="1" applyAlignment="1">
      <alignment vertical="center"/>
    </xf>
    <xf numFmtId="0" fontId="28" fillId="17" borderId="161" xfId="0" applyFont="1" applyFill="1" applyBorder="1" applyAlignment="1" applyProtection="1">
      <alignment horizontal="center" vertical="center"/>
    </xf>
    <xf numFmtId="0" fontId="28" fillId="17" borderId="161" xfId="0" applyFont="1" applyFill="1" applyBorder="1" applyAlignment="1" applyProtection="1">
      <alignment vertical="center"/>
      <protection locked="0"/>
    </xf>
    <xf numFmtId="0" fontId="20" fillId="0" borderId="189" xfId="0" applyFont="1" applyFill="1" applyBorder="1" applyAlignment="1" applyProtection="1">
      <alignment horizontal="center" vertical="center"/>
    </xf>
    <xf numFmtId="41" fontId="51" fillId="12" borderId="111" xfId="6" applyNumberFormat="1" applyFont="1" applyFill="1" applyBorder="1" applyAlignment="1">
      <alignment horizontal="right" vertical="center" wrapText="1"/>
    </xf>
    <xf numFmtId="0" fontId="59" fillId="0" borderId="124" xfId="0" applyFont="1" applyFill="1" applyBorder="1" applyAlignment="1">
      <alignment horizontal="center" vertical="center"/>
    </xf>
    <xf numFmtId="0" fontId="58" fillId="18" borderId="23" xfId="0" applyFont="1" applyFill="1" applyBorder="1" applyAlignment="1">
      <alignment horizontal="center" vertical="center"/>
    </xf>
    <xf numFmtId="0" fontId="389" fillId="4" borderId="0" xfId="0" applyFont="1" applyFill="1" applyAlignment="1">
      <alignment horizontal="center"/>
    </xf>
    <xf numFmtId="10" fontId="389" fillId="0" borderId="0" xfId="0" applyNumberFormat="1" applyFont="1" applyAlignment="1">
      <alignment horizontal="center"/>
    </xf>
    <xf numFmtId="0" fontId="388" fillId="4" borderId="1" xfId="0" applyFont="1" applyFill="1" applyBorder="1" applyAlignment="1">
      <alignment horizontal="center" vertical="center" wrapText="1"/>
    </xf>
    <xf numFmtId="0" fontId="389" fillId="4" borderId="0" xfId="0" applyFont="1" applyFill="1" applyAlignment="1">
      <alignment horizontal="left"/>
    </xf>
    <xf numFmtId="0" fontId="388" fillId="4" borderId="1" xfId="0" applyFont="1" applyFill="1" applyBorder="1" applyAlignment="1">
      <alignment horizontal="center" vertical="center"/>
    </xf>
    <xf numFmtId="10" fontId="388" fillId="4" borderId="1" xfId="0" applyNumberFormat="1" applyFont="1" applyFill="1" applyBorder="1" applyAlignment="1">
      <alignment horizontal="center" vertical="center" wrapText="1"/>
    </xf>
    <xf numFmtId="10" fontId="389" fillId="4" borderId="0" xfId="0" applyNumberFormat="1" applyFont="1" applyFill="1" applyAlignment="1">
      <alignment horizontal="center"/>
    </xf>
    <xf numFmtId="185" fontId="388" fillId="4" borderId="1" xfId="0" applyNumberFormat="1" applyFont="1" applyFill="1" applyBorder="1" applyAlignment="1">
      <alignment horizontal="center" vertical="center"/>
    </xf>
    <xf numFmtId="10" fontId="388" fillId="0" borderId="1" xfId="0" applyNumberFormat="1" applyFont="1" applyBorder="1" applyAlignment="1">
      <alignment horizontal="center" vertical="center"/>
    </xf>
    <xf numFmtId="377" fontId="388" fillId="4" borderId="1" xfId="0" applyNumberFormat="1" applyFont="1" applyFill="1" applyBorder="1" applyAlignment="1">
      <alignment horizontal="center" vertical="center" wrapText="1"/>
    </xf>
    <xf numFmtId="377" fontId="389" fillId="4" borderId="0" xfId="0" applyNumberFormat="1" applyFont="1" applyFill="1" applyAlignment="1">
      <alignment horizontal="center"/>
    </xf>
    <xf numFmtId="0" fontId="389" fillId="113" borderId="0" xfId="0" applyFont="1" applyFill="1" applyAlignment="1">
      <alignment horizontal="center"/>
    </xf>
    <xf numFmtId="0" fontId="388" fillId="113" borderId="1" xfId="0" applyFont="1" applyFill="1" applyBorder="1" applyAlignment="1">
      <alignment horizontal="center" vertical="center" wrapText="1"/>
    </xf>
    <xf numFmtId="377" fontId="387" fillId="4" borderId="29" xfId="12" quotePrefix="1" applyNumberFormat="1" applyFont="1" applyFill="1" applyBorder="1" applyAlignment="1">
      <alignment horizontal="center" vertical="top" wrapText="1"/>
    </xf>
    <xf numFmtId="0" fontId="389" fillId="113" borderId="0" xfId="0" applyFont="1" applyFill="1" applyAlignment="1">
      <alignment horizontal="left"/>
    </xf>
    <xf numFmtId="377" fontId="388" fillId="113" borderId="1" xfId="0" applyNumberFormat="1" applyFont="1" applyFill="1" applyBorder="1" applyAlignment="1">
      <alignment horizontal="center" vertical="center" wrapText="1"/>
    </xf>
    <xf numFmtId="0" fontId="389" fillId="116" borderId="0" xfId="0" applyFont="1" applyFill="1" applyAlignment="1">
      <alignment horizontal="center"/>
    </xf>
    <xf numFmtId="378" fontId="389" fillId="113" borderId="0" xfId="0" applyNumberFormat="1" applyFont="1" applyFill="1" applyAlignment="1">
      <alignment horizontal="center"/>
    </xf>
    <xf numFmtId="378" fontId="412" fillId="113" borderId="0" xfId="0" applyNumberFormat="1" applyFont="1" applyFill="1" applyAlignment="1">
      <alignment horizontal="center"/>
    </xf>
    <xf numFmtId="378" fontId="389" fillId="4" borderId="0" xfId="0" applyNumberFormat="1" applyFont="1" applyFill="1" applyAlignment="1">
      <alignment horizontal="center"/>
    </xf>
    <xf numFmtId="378" fontId="412" fillId="4" borderId="0" xfId="0" applyNumberFormat="1" applyFont="1" applyFill="1" applyAlignment="1">
      <alignment horizontal="center"/>
    </xf>
    <xf numFmtId="377" fontId="47" fillId="15" borderId="0" xfId="8" applyNumberFormat="1" applyFont="1" applyFill="1">
      <alignment vertical="center"/>
    </xf>
    <xf numFmtId="377" fontId="36" fillId="0" borderId="1" xfId="0" applyNumberFormat="1" applyFont="1" applyFill="1" applyBorder="1" applyAlignment="1">
      <alignment horizontal="center" vertical="center"/>
    </xf>
    <xf numFmtId="377" fontId="388" fillId="0" borderId="1" xfId="0" applyNumberFormat="1" applyFont="1" applyBorder="1" applyAlignment="1">
      <alignment horizontal="center" vertical="center"/>
    </xf>
    <xf numFmtId="377" fontId="388" fillId="0" borderId="1" xfId="0" applyNumberFormat="1" applyFont="1" applyBorder="1" applyAlignment="1">
      <alignment horizontal="center" vertical="center" wrapText="1"/>
    </xf>
    <xf numFmtId="377" fontId="388" fillId="3" borderId="1" xfId="0" applyNumberFormat="1" applyFont="1" applyFill="1" applyBorder="1" applyAlignment="1">
      <alignment horizontal="center" vertical="center" wrapText="1"/>
    </xf>
    <xf numFmtId="377" fontId="388" fillId="0" borderId="1" xfId="0" applyNumberFormat="1" applyFont="1" applyFill="1" applyBorder="1" applyAlignment="1">
      <alignment horizontal="center" vertical="center" wrapText="1"/>
    </xf>
    <xf numFmtId="377" fontId="388" fillId="11" borderId="1" xfId="0" applyNumberFormat="1" applyFont="1" applyFill="1" applyBorder="1" applyAlignment="1">
      <alignment horizontal="center" vertical="center" wrapText="1"/>
    </xf>
    <xf numFmtId="377" fontId="389" fillId="0" borderId="0" xfId="0" applyNumberFormat="1" applyFont="1" applyAlignment="1">
      <alignment horizontal="center"/>
    </xf>
    <xf numFmtId="377" fontId="389" fillId="0" borderId="0" xfId="0" applyNumberFormat="1" applyFont="1" applyFill="1" applyAlignment="1">
      <alignment horizontal="center"/>
    </xf>
    <xf numFmtId="377" fontId="389" fillId="3" borderId="0" xfId="0" applyNumberFormat="1" applyFont="1" applyFill="1" applyAlignment="1">
      <alignment horizontal="center"/>
    </xf>
    <xf numFmtId="0" fontId="392" fillId="0" borderId="19" xfId="0" applyFont="1" applyBorder="1" applyAlignment="1">
      <alignment horizontal="center" vertical="center" wrapText="1"/>
    </xf>
    <xf numFmtId="0" fontId="393" fillId="31" borderId="19" xfId="0" applyFont="1" applyFill="1" applyBorder="1" applyAlignment="1">
      <alignment horizontal="center" vertical="center" wrapText="1"/>
    </xf>
    <xf numFmtId="0" fontId="392" fillId="31" borderId="19" xfId="0" applyFont="1" applyFill="1" applyBorder="1" applyAlignment="1">
      <alignment horizontal="center" vertical="center" wrapText="1"/>
    </xf>
    <xf numFmtId="0" fontId="392" fillId="0" borderId="295" xfId="0" applyFont="1" applyBorder="1" applyAlignment="1">
      <alignment horizontal="center" vertical="center" wrapText="1"/>
    </xf>
    <xf numFmtId="0" fontId="392" fillId="0" borderId="298" xfId="0" applyFont="1" applyBorder="1" applyAlignment="1">
      <alignment horizontal="center" vertical="center" wrapText="1"/>
    </xf>
    <xf numFmtId="0" fontId="392" fillId="0" borderId="289" xfId="0" applyFont="1" applyBorder="1" applyAlignment="1">
      <alignment horizontal="center" vertical="center" wrapText="1"/>
    </xf>
    <xf numFmtId="0" fontId="392" fillId="0" borderId="294" xfId="0" applyFont="1" applyBorder="1" applyAlignment="1">
      <alignment horizontal="center" vertical="center" wrapText="1"/>
    </xf>
    <xf numFmtId="0" fontId="392" fillId="0" borderId="41" xfId="0" applyFont="1" applyBorder="1" applyAlignment="1">
      <alignment horizontal="center" vertical="center" wrapText="1"/>
    </xf>
    <xf numFmtId="0" fontId="392" fillId="0" borderId="42" xfId="0" applyFont="1" applyBorder="1" applyAlignment="1">
      <alignment horizontal="center" vertical="center" wrapText="1"/>
    </xf>
    <xf numFmtId="375" fontId="392" fillId="0" borderId="42" xfId="0" applyNumberFormat="1" applyFont="1" applyBorder="1" applyAlignment="1">
      <alignment horizontal="center" vertical="center" wrapText="1"/>
    </xf>
    <xf numFmtId="375" fontId="392" fillId="0" borderId="43" xfId="0" applyNumberFormat="1" applyFont="1" applyBorder="1" applyAlignment="1">
      <alignment horizontal="center" vertical="center" wrapText="1"/>
    </xf>
    <xf numFmtId="0" fontId="392" fillId="0" borderId="44" xfId="0" applyFont="1" applyBorder="1" applyAlignment="1">
      <alignment horizontal="center" vertical="center" wrapText="1"/>
    </xf>
    <xf numFmtId="0" fontId="392" fillId="0" borderId="46" xfId="0" applyFont="1" applyBorder="1" applyAlignment="1">
      <alignment horizontal="center" vertical="center" wrapText="1"/>
    </xf>
    <xf numFmtId="0" fontId="392" fillId="0" borderId="47" xfId="0" applyFont="1" applyBorder="1" applyAlignment="1">
      <alignment horizontal="center" vertical="center" wrapText="1"/>
    </xf>
    <xf numFmtId="375" fontId="392" fillId="0" borderId="47" xfId="0" applyNumberFormat="1" applyFont="1" applyBorder="1" applyAlignment="1">
      <alignment horizontal="center" vertical="center" wrapText="1"/>
    </xf>
    <xf numFmtId="375" fontId="392" fillId="0" borderId="48" xfId="0" applyNumberFormat="1" applyFont="1" applyBorder="1" applyAlignment="1">
      <alignment horizontal="center" vertical="center" wrapText="1"/>
    </xf>
    <xf numFmtId="0" fontId="392" fillId="0" borderId="0" xfId="0" applyFont="1" applyBorder="1" applyAlignment="1">
      <alignment horizontal="center" vertical="center" wrapText="1"/>
    </xf>
    <xf numFmtId="375" fontId="392" fillId="0" borderId="0" xfId="0" applyNumberFormat="1" applyFont="1" applyBorder="1" applyAlignment="1">
      <alignment horizontal="center" vertical="center" wrapText="1"/>
    </xf>
    <xf numFmtId="0" fontId="392" fillId="0" borderId="18" xfId="0" applyFont="1" applyBorder="1" applyAlignment="1">
      <alignment horizontal="center" vertical="center" wrapText="1"/>
    </xf>
    <xf numFmtId="375" fontId="392" fillId="0" borderId="18" xfId="0" applyNumberFormat="1" applyFont="1" applyBorder="1" applyAlignment="1">
      <alignment horizontal="center" vertical="center" wrapText="1"/>
    </xf>
    <xf numFmtId="375" fontId="392" fillId="0" borderId="283" xfId="0" applyNumberFormat="1" applyFont="1" applyBorder="1" applyAlignment="1">
      <alignment horizontal="center" vertical="center" wrapText="1"/>
    </xf>
    <xf numFmtId="377" fontId="391" fillId="5" borderId="129" xfId="0" applyNumberFormat="1" applyFont="1" applyFill="1" applyBorder="1" applyAlignment="1">
      <alignment horizontal="center" vertical="center" wrapText="1"/>
    </xf>
    <xf numFmtId="377" fontId="391" fillId="5" borderId="130" xfId="0" applyNumberFormat="1" applyFont="1" applyFill="1" applyBorder="1" applyAlignment="1">
      <alignment horizontal="center" vertical="center" wrapText="1"/>
    </xf>
    <xf numFmtId="377" fontId="392" fillId="0" borderId="295" xfId="0" applyNumberFormat="1" applyFont="1" applyBorder="1" applyAlignment="1">
      <alignment horizontal="center" vertical="center" wrapText="1"/>
    </xf>
    <xf numFmtId="377" fontId="392" fillId="0" borderId="19" xfId="0" applyNumberFormat="1" applyFont="1" applyBorder="1" applyAlignment="1">
      <alignment horizontal="center" vertical="center" wrapText="1"/>
    </xf>
    <xf numFmtId="377" fontId="392" fillId="0" borderId="289" xfId="0" applyNumberFormat="1" applyFont="1" applyBorder="1" applyAlignment="1">
      <alignment horizontal="center" vertical="center" wrapText="1"/>
    </xf>
    <xf numFmtId="378" fontId="392" fillId="0" borderId="295" xfId="0" applyNumberFormat="1" applyFont="1" applyBorder="1" applyAlignment="1">
      <alignment horizontal="center" vertical="center" wrapText="1"/>
    </xf>
    <xf numFmtId="378" fontId="392" fillId="0" borderId="19" xfId="0" applyNumberFormat="1" applyFont="1" applyBorder="1" applyAlignment="1">
      <alignment horizontal="center" vertical="center" wrapText="1"/>
    </xf>
    <xf numFmtId="375" fontId="391" fillId="5" borderId="299" xfId="0" applyNumberFormat="1" applyFont="1" applyFill="1" applyBorder="1" applyAlignment="1">
      <alignment horizontal="center" vertical="center" wrapText="1"/>
    </xf>
    <xf numFmtId="0" fontId="392" fillId="113" borderId="19" xfId="0" applyFont="1" applyFill="1" applyBorder="1" applyAlignment="1">
      <alignment horizontal="center" vertical="center" wrapText="1"/>
    </xf>
    <xf numFmtId="378" fontId="392" fillId="113" borderId="19" xfId="0" applyNumberFormat="1" applyFont="1" applyFill="1" applyBorder="1" applyAlignment="1">
      <alignment horizontal="center" vertical="center" wrapText="1"/>
    </xf>
    <xf numFmtId="0" fontId="388" fillId="113" borderId="1" xfId="0" applyFont="1" applyFill="1" applyBorder="1" applyAlignment="1">
      <alignment horizontal="center" vertical="center"/>
    </xf>
    <xf numFmtId="377" fontId="389" fillId="113" borderId="0" xfId="0" applyNumberFormat="1" applyFont="1" applyFill="1" applyAlignment="1">
      <alignment horizontal="center"/>
    </xf>
    <xf numFmtId="0" fontId="393" fillId="113" borderId="19" xfId="0" applyFont="1" applyFill="1" applyBorder="1" applyAlignment="1">
      <alignment horizontal="center" vertical="center" wrapText="1"/>
    </xf>
    <xf numFmtId="378" fontId="393" fillId="113" borderId="19" xfId="0" applyNumberFormat="1" applyFont="1" applyFill="1" applyBorder="1" applyAlignment="1">
      <alignment horizontal="center" vertical="center" wrapText="1"/>
    </xf>
    <xf numFmtId="10" fontId="389" fillId="0" borderId="0" xfId="0" applyNumberFormat="1" applyFont="1" applyFill="1" applyAlignment="1">
      <alignment horizontal="center"/>
    </xf>
    <xf numFmtId="375" fontId="393" fillId="4" borderId="19" xfId="0" applyNumberFormat="1" applyFont="1" applyFill="1" applyBorder="1" applyAlignment="1">
      <alignment horizontal="center" vertical="center" wrapText="1"/>
    </xf>
    <xf numFmtId="177" fontId="0" fillId="0" borderId="0" xfId="0" applyNumberFormat="1"/>
    <xf numFmtId="177" fontId="0" fillId="0" borderId="1" xfId="0" applyNumberFormat="1" applyBorder="1"/>
    <xf numFmtId="177" fontId="0" fillId="4" borderId="1" xfId="0" applyNumberFormat="1" applyFill="1" applyBorder="1"/>
    <xf numFmtId="10" fontId="0" fillId="0" borderId="0" xfId="0" applyNumberFormat="1"/>
    <xf numFmtId="0" fontId="403" fillId="18" borderId="209" xfId="0" applyFont="1" applyFill="1" applyBorder="1" applyAlignment="1">
      <alignment horizontal="center" vertical="center"/>
    </xf>
    <xf numFmtId="0" fontId="64" fillId="21" borderId="122" xfId="0" applyFont="1" applyFill="1" applyBorder="1" applyAlignment="1">
      <alignment horizontal="center" vertical="center" wrapText="1"/>
    </xf>
    <xf numFmtId="0" fontId="19" fillId="21" borderId="123" xfId="0" applyFont="1" applyFill="1" applyBorder="1" applyAlignment="1">
      <alignment horizontal="center" vertical="center"/>
    </xf>
    <xf numFmtId="186" fontId="391" fillId="5" borderId="287" xfId="0" applyNumberFormat="1" applyFont="1" applyFill="1" applyBorder="1" applyAlignment="1">
      <alignment horizontal="center" vertical="center" wrapText="1"/>
    </xf>
    <xf numFmtId="186" fontId="391" fillId="5" borderId="299" xfId="0" applyNumberFormat="1" applyFont="1" applyFill="1" applyBorder="1" applyAlignment="1">
      <alignment horizontal="center" vertical="center" wrapText="1"/>
    </xf>
    <xf numFmtId="186" fontId="392" fillId="0" borderId="45" xfId="0" applyNumberFormat="1" applyFont="1" applyBorder="1" applyAlignment="1">
      <alignment horizontal="center" vertical="center" wrapText="1"/>
    </xf>
    <xf numFmtId="186" fontId="392" fillId="0" borderId="300" xfId="0" applyNumberFormat="1" applyFont="1" applyBorder="1" applyAlignment="1">
      <alignment horizontal="center" vertical="center" wrapText="1"/>
    </xf>
    <xf numFmtId="0" fontId="391" fillId="5" borderId="281" xfId="0" applyFont="1" applyFill="1" applyBorder="1" applyAlignment="1">
      <alignment horizontal="center" vertical="center" wrapText="1"/>
    </xf>
    <xf numFmtId="0" fontId="392" fillId="0" borderId="283" xfId="0" applyFont="1" applyBorder="1" applyAlignment="1">
      <alignment horizontal="right" vertical="center" wrapText="1"/>
    </xf>
    <xf numFmtId="0" fontId="392" fillId="0" borderId="45" xfId="0" applyFont="1" applyBorder="1" applyAlignment="1">
      <alignment horizontal="right" vertical="center" wrapText="1"/>
    </xf>
    <xf numFmtId="0" fontId="392" fillId="0" borderId="48" xfId="0" applyFont="1" applyBorder="1" applyAlignment="1">
      <alignment horizontal="right" vertical="center" wrapText="1"/>
    </xf>
    <xf numFmtId="3" fontId="392" fillId="0" borderId="283" xfId="0" applyNumberFormat="1" applyFont="1" applyBorder="1" applyAlignment="1">
      <alignment horizontal="right" vertical="center" wrapText="1"/>
    </xf>
    <xf numFmtId="3" fontId="392" fillId="0" borderId="45" xfId="0" applyNumberFormat="1" applyFont="1" applyBorder="1" applyAlignment="1">
      <alignment horizontal="right" vertical="center" wrapText="1"/>
    </xf>
    <xf numFmtId="3" fontId="392" fillId="0" borderId="48" xfId="0" applyNumberFormat="1" applyFont="1" applyBorder="1" applyAlignment="1">
      <alignment horizontal="right" vertical="center" wrapText="1"/>
    </xf>
    <xf numFmtId="375" fontId="393" fillId="0" borderId="45" xfId="0" applyNumberFormat="1" applyFont="1" applyBorder="1" applyAlignment="1">
      <alignment horizontal="center" vertical="center" wrapText="1"/>
    </xf>
    <xf numFmtId="375" fontId="418" fillId="0" borderId="19" xfId="0" applyNumberFormat="1" applyFont="1" applyBorder="1" applyAlignment="1">
      <alignment horizontal="center" vertical="center" wrapText="1"/>
    </xf>
    <xf numFmtId="375" fontId="418" fillId="0" borderId="45" xfId="0" applyNumberFormat="1" applyFont="1" applyBorder="1" applyAlignment="1">
      <alignment horizontal="center" vertical="center" wrapText="1"/>
    </xf>
    <xf numFmtId="375" fontId="419" fillId="0" borderId="19" xfId="0" applyNumberFormat="1" applyFont="1" applyBorder="1" applyAlignment="1">
      <alignment horizontal="center" vertical="center" wrapText="1"/>
    </xf>
    <xf numFmtId="375" fontId="419" fillId="0" borderId="45" xfId="0" applyNumberFormat="1" applyFont="1" applyBorder="1" applyAlignment="1">
      <alignment horizontal="center" vertical="center" wrapText="1"/>
    </xf>
    <xf numFmtId="375" fontId="393" fillId="0" borderId="45" xfId="0" applyNumberFormat="1" applyFont="1" applyFill="1" applyBorder="1" applyAlignment="1">
      <alignment horizontal="center" vertical="center" wrapText="1"/>
    </xf>
    <xf numFmtId="375" fontId="397" fillId="0" borderId="19" xfId="0" applyNumberFormat="1" applyFont="1" applyBorder="1" applyAlignment="1">
      <alignment horizontal="center" vertical="center" wrapText="1"/>
    </xf>
    <xf numFmtId="375" fontId="418" fillId="0" borderId="47" xfId="0" applyNumberFormat="1" applyFont="1" applyBorder="1" applyAlignment="1">
      <alignment horizontal="center" vertical="center" wrapText="1"/>
    </xf>
    <xf numFmtId="375" fontId="418" fillId="0" borderId="48" xfId="0" applyNumberFormat="1" applyFont="1" applyBorder="1" applyAlignment="1">
      <alignment horizontal="center" vertical="center" wrapText="1"/>
    </xf>
    <xf numFmtId="0" fontId="423" fillId="0" borderId="19" xfId="6" applyFont="1" applyBorder="1" applyAlignment="1">
      <alignment horizontal="justify" vertical="center" wrapText="1"/>
    </xf>
    <xf numFmtId="0" fontId="423" fillId="0" borderId="14" xfId="6" applyFont="1" applyBorder="1" applyAlignment="1">
      <alignment horizontal="justify" vertical="center" wrapText="1"/>
    </xf>
    <xf numFmtId="0" fontId="423" fillId="0" borderId="18" xfId="6" applyFont="1" applyBorder="1" applyAlignment="1">
      <alignment vertical="center" wrapText="1"/>
    </xf>
    <xf numFmtId="0" fontId="424" fillId="5" borderId="1" xfId="6" applyFont="1" applyFill="1" applyBorder="1" applyAlignment="1">
      <alignment horizontal="center" vertical="center" wrapText="1"/>
    </xf>
    <xf numFmtId="0" fontId="20" fillId="0" borderId="310" xfId="0" applyFont="1" applyBorder="1" applyAlignment="1">
      <alignment horizontal="center"/>
    </xf>
    <xf numFmtId="0" fontId="20" fillId="0" borderId="312" xfId="0" applyFont="1" applyBorder="1" applyAlignment="1">
      <alignment horizontal="center"/>
    </xf>
    <xf numFmtId="0" fontId="20" fillId="0" borderId="306" xfId="0" applyFont="1" applyBorder="1" applyAlignment="1">
      <alignment horizontal="center"/>
    </xf>
    <xf numFmtId="0" fontId="20" fillId="0" borderId="315" xfId="0" applyFont="1" applyBorder="1" applyAlignment="1">
      <alignment horizontal="center"/>
    </xf>
    <xf numFmtId="0" fontId="424" fillId="5" borderId="34" xfId="6" applyFont="1" applyFill="1" applyBorder="1" applyAlignment="1">
      <alignment horizontal="center" vertical="center" wrapText="1"/>
    </xf>
    <xf numFmtId="0" fontId="50" fillId="6" borderId="176" xfId="6" applyFont="1" applyFill="1" applyBorder="1" applyAlignment="1">
      <alignment horizontal="center" vertical="center"/>
    </xf>
    <xf numFmtId="0" fontId="380" fillId="6" borderId="31" xfId="6" applyFont="1" applyFill="1" applyBorder="1" applyAlignment="1">
      <alignment horizontal="center" vertical="center"/>
    </xf>
    <xf numFmtId="0" fontId="424" fillId="5" borderId="14" xfId="6" applyFont="1" applyFill="1" applyBorder="1" applyAlignment="1">
      <alignment horizontal="center" vertical="center" wrapText="1"/>
    </xf>
    <xf numFmtId="0" fontId="20" fillId="0" borderId="0" xfId="0" applyFont="1" applyFill="1" applyBorder="1" applyAlignment="1">
      <alignment vertical="center"/>
    </xf>
    <xf numFmtId="0" fontId="20" fillId="0" borderId="0" xfId="0" applyFont="1" applyFill="1" applyBorder="1" applyAlignment="1">
      <alignment horizontal="center" vertical="center"/>
    </xf>
    <xf numFmtId="182" fontId="75" fillId="0" borderId="0" xfId="1" applyNumberFormat="1" applyFont="1" applyFill="1" applyBorder="1" applyAlignment="1">
      <alignment horizontal="center" vertical="center"/>
    </xf>
    <xf numFmtId="9" fontId="43" fillId="0" borderId="0" xfId="5" applyFont="1" applyFill="1" applyBorder="1" applyAlignment="1">
      <alignment horizontal="center" vertical="center"/>
    </xf>
    <xf numFmtId="41" fontId="28" fillId="0" borderId="0" xfId="1" applyFont="1" applyFill="1" applyBorder="1" applyAlignment="1">
      <alignment horizontal="center" vertical="center"/>
    </xf>
    <xf numFmtId="0" fontId="28" fillId="0" borderId="0" xfId="0" applyFont="1" applyFill="1" applyBorder="1" applyAlignment="1">
      <alignment vertical="center"/>
    </xf>
    <xf numFmtId="0" fontId="28" fillId="0" borderId="0" xfId="0" applyFont="1" applyFill="1" applyBorder="1" applyAlignment="1" applyProtection="1">
      <alignment horizontal="center" vertical="center"/>
      <protection locked="0"/>
    </xf>
    <xf numFmtId="371" fontId="43" fillId="0" borderId="0" xfId="1" applyNumberFormat="1" applyFont="1" applyFill="1" applyBorder="1" applyAlignment="1" applyProtection="1">
      <alignment vertical="center"/>
      <protection locked="0"/>
    </xf>
    <xf numFmtId="9" fontId="43" fillId="0" borderId="0" xfId="5" applyFont="1" applyFill="1" applyBorder="1" applyAlignment="1" applyProtection="1">
      <alignment horizontal="center" vertical="center"/>
    </xf>
    <xf numFmtId="41" fontId="28" fillId="0" borderId="0" xfId="1" applyFont="1" applyFill="1" applyBorder="1" applyAlignment="1" applyProtection="1">
      <alignment horizontal="center" vertical="center"/>
    </xf>
    <xf numFmtId="0" fontId="28" fillId="0" borderId="0" xfId="0" applyFont="1" applyFill="1" applyBorder="1" applyAlignment="1" applyProtection="1">
      <alignment vertical="center"/>
    </xf>
    <xf numFmtId="0" fontId="36" fillId="18" borderId="1" xfId="0" applyFont="1" applyFill="1" applyBorder="1" applyAlignment="1">
      <alignment horizontal="center" vertical="center"/>
    </xf>
    <xf numFmtId="41" fontId="43" fillId="19" borderId="1" xfId="1" applyFont="1" applyFill="1" applyBorder="1" applyAlignment="1">
      <alignment horizontal="center" vertical="center"/>
    </xf>
    <xf numFmtId="41" fontId="43" fillId="19" borderId="1" xfId="1" applyFont="1" applyFill="1" applyBorder="1" applyAlignment="1" applyProtection="1">
      <alignment horizontal="center" vertical="center"/>
    </xf>
    <xf numFmtId="0" fontId="423" fillId="0" borderId="328" xfId="6" applyFont="1" applyBorder="1" applyAlignment="1">
      <alignment vertical="center" wrapText="1"/>
    </xf>
    <xf numFmtId="0" fontId="423" fillId="0" borderId="327" xfId="6" applyFont="1" applyBorder="1" applyAlignment="1">
      <alignment vertical="center" wrapText="1"/>
    </xf>
    <xf numFmtId="0" fontId="423" fillId="0" borderId="20" xfId="6" applyFont="1" applyBorder="1" applyAlignment="1">
      <alignment vertical="center" wrapText="1"/>
    </xf>
    <xf numFmtId="0" fontId="423" fillId="0" borderId="329" xfId="6" applyFont="1" applyBorder="1" applyAlignment="1">
      <alignment vertical="center" wrapText="1"/>
    </xf>
    <xf numFmtId="0" fontId="423" fillId="0" borderId="38" xfId="6" applyFont="1" applyBorder="1" applyAlignment="1">
      <alignment vertical="center" wrapText="1"/>
    </xf>
    <xf numFmtId="0" fontId="423" fillId="0" borderId="40" xfId="6" applyFont="1" applyBorder="1" applyAlignment="1">
      <alignment vertical="center" wrapText="1"/>
    </xf>
    <xf numFmtId="0" fontId="423" fillId="0" borderId="245" xfId="6" applyFont="1" applyBorder="1" applyAlignment="1">
      <alignment vertical="center" wrapText="1"/>
    </xf>
    <xf numFmtId="0" fontId="423" fillId="0" borderId="330" xfId="6" applyFont="1" applyBorder="1" applyAlignment="1">
      <alignment vertical="center" wrapText="1"/>
    </xf>
    <xf numFmtId="0" fontId="20" fillId="0" borderId="116" xfId="6" applyFont="1" applyFill="1" applyBorder="1" applyAlignment="1">
      <alignment horizontal="center" vertical="center"/>
    </xf>
    <xf numFmtId="0" fontId="20" fillId="0" borderId="118" xfId="6" applyFont="1" applyFill="1" applyBorder="1" applyAlignment="1">
      <alignment horizontal="center" vertical="center"/>
    </xf>
    <xf numFmtId="0" fontId="20" fillId="0" borderId="306" xfId="6" applyFont="1" applyFill="1" applyBorder="1" applyAlignment="1">
      <alignment horizontal="center" vertical="center"/>
    </xf>
    <xf numFmtId="0" fontId="20" fillId="0" borderId="305" xfId="6" applyFont="1" applyFill="1" applyBorder="1" applyAlignment="1">
      <alignment horizontal="center" vertical="center"/>
    </xf>
    <xf numFmtId="0" fontId="20" fillId="4" borderId="311" xfId="0" applyFont="1" applyFill="1" applyBorder="1" applyAlignment="1">
      <alignment horizontal="center"/>
    </xf>
    <xf numFmtId="0" fontId="20" fillId="4" borderId="312" xfId="0" applyFont="1" applyFill="1" applyBorder="1" applyAlignment="1">
      <alignment horizontal="center"/>
    </xf>
    <xf numFmtId="0" fontId="20" fillId="4" borderId="313" xfId="0" applyFont="1" applyFill="1" applyBorder="1" applyAlignment="1">
      <alignment horizontal="center"/>
    </xf>
    <xf numFmtId="0" fontId="20" fillId="4" borderId="309" xfId="0" applyFont="1" applyFill="1" applyBorder="1" applyAlignment="1">
      <alignment horizontal="center"/>
    </xf>
    <xf numFmtId="0" fontId="20" fillId="4" borderId="308" xfId="0" applyFont="1" applyFill="1" applyBorder="1" applyAlignment="1">
      <alignment horizontal="center"/>
    </xf>
    <xf numFmtId="0" fontId="20" fillId="4" borderId="314" xfId="0" applyFont="1" applyFill="1" applyBorder="1" applyAlignment="1">
      <alignment horizontal="center"/>
    </xf>
    <xf numFmtId="0" fontId="20" fillId="4" borderId="118" xfId="0" applyFont="1" applyFill="1" applyBorder="1" applyAlignment="1">
      <alignment horizontal="center"/>
    </xf>
    <xf numFmtId="0" fontId="20" fillId="4" borderId="118" xfId="6" applyFont="1" applyFill="1" applyBorder="1" applyAlignment="1">
      <alignment horizontal="center" vertical="center"/>
    </xf>
    <xf numFmtId="0" fontId="20" fillId="4" borderId="307" xfId="6" applyFont="1" applyFill="1" applyBorder="1" applyAlignment="1">
      <alignment horizontal="center" vertical="center"/>
    </xf>
    <xf numFmtId="0" fontId="20" fillId="4" borderId="116" xfId="6" applyFont="1" applyFill="1" applyBorder="1" applyAlignment="1">
      <alignment horizontal="center" vertical="center"/>
    </xf>
    <xf numFmtId="176" fontId="24" fillId="12" borderId="177" xfId="3" applyNumberFormat="1" applyFont="1" applyFill="1" applyBorder="1" applyAlignment="1">
      <alignment horizontal="right" vertical="center" wrapText="1"/>
    </xf>
    <xf numFmtId="9" fontId="24" fillId="12" borderId="333" xfId="3" applyNumberFormat="1" applyFont="1" applyFill="1" applyBorder="1" applyAlignment="1">
      <alignment horizontal="right" vertical="center" wrapText="1"/>
    </xf>
    <xf numFmtId="182" fontId="24" fillId="12" borderId="112" xfId="6" applyNumberFormat="1" applyFont="1" applyFill="1" applyBorder="1" applyAlignment="1">
      <alignment vertical="center" wrapText="1"/>
    </xf>
    <xf numFmtId="176" fontId="24" fillId="4" borderId="114" xfId="3" applyNumberFormat="1" applyFont="1" applyFill="1" applyBorder="1" applyAlignment="1">
      <alignment horizontal="right" vertical="center" wrapText="1"/>
    </xf>
    <xf numFmtId="176" fontId="23" fillId="4" borderId="332" xfId="3" applyNumberFormat="1" applyFont="1" applyFill="1" applyBorder="1" applyAlignment="1">
      <alignment horizontal="right" vertical="center" wrapText="1"/>
    </xf>
    <xf numFmtId="0" fontId="22" fillId="0" borderId="1" xfId="6" applyFont="1" applyFill="1" applyBorder="1" applyAlignment="1">
      <alignment vertical="center" wrapText="1"/>
    </xf>
    <xf numFmtId="0" fontId="28" fillId="17" borderId="161" xfId="0" applyFont="1" applyFill="1" applyBorder="1" applyAlignment="1" applyProtection="1">
      <alignment vertical="center" wrapText="1"/>
      <protection locked="0"/>
    </xf>
    <xf numFmtId="0" fontId="20" fillId="0" borderId="0" xfId="6" applyFont="1" applyFill="1" applyBorder="1" applyAlignment="1">
      <alignment horizontal="center" vertical="center"/>
    </xf>
    <xf numFmtId="0" fontId="20" fillId="0" borderId="0" xfId="0" applyFont="1" applyFill="1" applyAlignment="1">
      <alignment vertical="center"/>
    </xf>
    <xf numFmtId="0" fontId="63" fillId="0" borderId="0" xfId="0" applyFont="1" applyFill="1" applyBorder="1" applyAlignment="1">
      <alignment horizontal="center" vertical="center"/>
    </xf>
    <xf numFmtId="0" fontId="20" fillId="0" borderId="0" xfId="0" applyFont="1" applyFill="1" applyBorder="1" applyAlignment="1">
      <alignment horizontal="left" vertical="center" shrinkToFit="1"/>
    </xf>
    <xf numFmtId="0" fontId="48" fillId="19" borderId="0" xfId="0" applyFont="1" applyFill="1" applyAlignment="1">
      <alignment vertical="center"/>
    </xf>
    <xf numFmtId="0" fontId="19" fillId="18" borderId="349" xfId="6" applyFont="1" applyFill="1" applyBorder="1" applyAlignment="1">
      <alignment horizontal="center" vertical="center"/>
    </xf>
    <xf numFmtId="41" fontId="20" fillId="17" borderId="103" xfId="1" applyFont="1" applyFill="1" applyBorder="1" applyAlignment="1">
      <alignment vertical="center"/>
    </xf>
    <xf numFmtId="0" fontId="20" fillId="17" borderId="105" xfId="0" applyFont="1" applyFill="1" applyBorder="1" applyAlignment="1">
      <alignment horizontal="center" vertical="center"/>
    </xf>
    <xf numFmtId="0" fontId="65" fillId="3" borderId="22" xfId="0" applyFont="1" applyFill="1" applyBorder="1" applyAlignment="1">
      <alignment horizontal="center" vertical="center" wrapText="1"/>
    </xf>
    <xf numFmtId="0" fontId="67" fillId="3" borderId="22" xfId="0" applyFont="1" applyFill="1" applyBorder="1" applyAlignment="1">
      <alignment horizontal="center" vertical="center" wrapText="1"/>
    </xf>
    <xf numFmtId="0" fontId="381" fillId="0" borderId="1" xfId="0" applyFont="1" applyBorder="1" applyAlignment="1">
      <alignment horizontal="center" vertical="center" wrapText="1"/>
    </xf>
    <xf numFmtId="0" fontId="381" fillId="0" borderId="34" xfId="0" applyFont="1" applyBorder="1" applyAlignment="1">
      <alignment horizontal="center" vertical="center" wrapText="1"/>
    </xf>
    <xf numFmtId="0" fontId="381" fillId="0" borderId="8" xfId="0" applyFont="1" applyBorder="1" applyAlignment="1">
      <alignment horizontal="center" vertical="center" wrapText="1"/>
    </xf>
    <xf numFmtId="0" fontId="381" fillId="0" borderId="14"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15" xfId="0" applyFont="1" applyBorder="1" applyAlignment="1">
      <alignment horizontal="center" vertical="center" wrapText="1"/>
    </xf>
    <xf numFmtId="0" fontId="22" fillId="10" borderId="1" xfId="6" applyFont="1" applyFill="1" applyBorder="1" applyAlignment="1">
      <alignment horizontal="center" vertical="center" wrapText="1"/>
    </xf>
    <xf numFmtId="0" fontId="29" fillId="0" borderId="0" xfId="6" applyFont="1" applyAlignment="1">
      <alignment horizontal="center" vertical="center"/>
    </xf>
    <xf numFmtId="0" fontId="53" fillId="0" borderId="0" xfId="0" applyFont="1" applyAlignment="1">
      <alignment horizontal="center" vertical="center"/>
    </xf>
    <xf numFmtId="0" fontId="36" fillId="18" borderId="32" xfId="0" applyFont="1" applyFill="1" applyBorder="1" applyAlignment="1">
      <alignment horizontal="center" vertical="center"/>
    </xf>
    <xf numFmtId="9" fontId="43" fillId="0" borderId="32" xfId="5" applyFont="1" applyBorder="1" applyAlignment="1">
      <alignment horizontal="center" vertical="center"/>
    </xf>
    <xf numFmtId="0" fontId="0" fillId="0" borderId="0" xfId="0" applyFont="1"/>
    <xf numFmtId="0" fontId="432" fillId="0" borderId="0" xfId="0" applyFont="1"/>
    <xf numFmtId="0" fontId="39" fillId="0" borderId="0" xfId="0" applyFont="1" applyAlignment="1">
      <alignment horizontal="right" vertical="center"/>
    </xf>
    <xf numFmtId="0" fontId="433" fillId="0" borderId="0" xfId="0" applyFont="1"/>
    <xf numFmtId="0" fontId="0" fillId="0" borderId="0" xfId="0" applyFont="1" applyAlignment="1">
      <alignment horizontal="center" vertical="center"/>
    </xf>
    <xf numFmtId="0" fontId="436" fillId="0" borderId="0" xfId="0" applyFont="1"/>
    <xf numFmtId="14" fontId="437" fillId="0" borderId="0" xfId="0" applyNumberFormat="1" applyFont="1" applyAlignment="1">
      <alignment horizontal="center" vertical="center"/>
    </xf>
    <xf numFmtId="0" fontId="433" fillId="0" borderId="0" xfId="0" applyFont="1" applyBorder="1" applyAlignment="1">
      <alignment horizontal="center" vertical="center"/>
    </xf>
    <xf numFmtId="0" fontId="438" fillId="9" borderId="8" xfId="6" applyFont="1" applyFill="1" applyBorder="1" applyAlignment="1">
      <alignment horizontal="center" vertical="center" wrapText="1"/>
    </xf>
    <xf numFmtId="0" fontId="46" fillId="0" borderId="1" xfId="5" applyNumberFormat="1" applyFont="1" applyBorder="1" applyAlignment="1">
      <alignment vertical="center"/>
    </xf>
    <xf numFmtId="0" fontId="50" fillId="6" borderId="356" xfId="0" applyFont="1" applyFill="1" applyBorder="1" applyAlignment="1">
      <alignment horizontal="center" vertical="center"/>
    </xf>
    <xf numFmtId="0" fontId="50" fillId="6" borderId="303" xfId="0" applyFont="1" applyFill="1" applyBorder="1" applyAlignment="1">
      <alignment horizontal="center" vertical="center"/>
    </xf>
    <xf numFmtId="0" fontId="438" fillId="6" borderId="303" xfId="5" applyNumberFormat="1" applyFont="1" applyFill="1" applyBorder="1" applyAlignment="1">
      <alignment horizontal="center" vertical="center"/>
    </xf>
    <xf numFmtId="9" fontId="50" fillId="6" borderId="303" xfId="0" applyNumberFormat="1" applyFont="1" applyFill="1" applyBorder="1" applyAlignment="1">
      <alignment horizontal="center" vertical="center"/>
    </xf>
    <xf numFmtId="0" fontId="423" fillId="0" borderId="1" xfId="0" quotePrefix="1" applyFont="1" applyFill="1" applyBorder="1" applyAlignment="1">
      <alignment horizontal="center" vertical="center"/>
    </xf>
    <xf numFmtId="335" fontId="423" fillId="0" borderId="304" xfId="5" applyNumberFormat="1" applyFont="1" applyFill="1" applyBorder="1">
      <alignment vertical="center"/>
    </xf>
    <xf numFmtId="335" fontId="423" fillId="0" borderId="303" xfId="5" applyNumberFormat="1" applyFont="1" applyFill="1" applyBorder="1">
      <alignment vertical="center"/>
    </xf>
    <xf numFmtId="0" fontId="439" fillId="0" borderId="1" xfId="0" applyFont="1" applyBorder="1" applyAlignment="1">
      <alignment horizontal="center" vertical="center"/>
    </xf>
    <xf numFmtId="0" fontId="423" fillId="0" borderId="304" xfId="0" applyFont="1" applyBorder="1" applyAlignment="1">
      <alignment vertical="center"/>
    </xf>
    <xf numFmtId="0" fontId="423" fillId="0" borderId="303" xfId="0" applyFont="1" applyBorder="1" applyAlignment="1">
      <alignment vertical="center"/>
    </xf>
    <xf numFmtId="0" fontId="439" fillId="0" borderId="0" xfId="0" applyFont="1" applyAlignment="1">
      <alignment vertical="center"/>
    </xf>
    <xf numFmtId="10" fontId="439" fillId="0" borderId="0" xfId="5" applyNumberFormat="1" applyFont="1">
      <alignment vertical="center"/>
    </xf>
    <xf numFmtId="0" fontId="426" fillId="119" borderId="1" xfId="0" applyFont="1" applyFill="1" applyBorder="1" applyAlignment="1">
      <alignment horizontal="left" vertical="center"/>
    </xf>
    <xf numFmtId="0" fontId="63" fillId="4" borderId="21" xfId="0" applyFont="1" applyFill="1" applyBorder="1" applyAlignment="1">
      <alignment horizontal="center" vertical="center"/>
    </xf>
    <xf numFmtId="10" fontId="63" fillId="12" borderId="23" xfId="5" applyNumberFormat="1" applyFont="1" applyFill="1" applyBorder="1" applyAlignment="1">
      <alignment horizontal="center" vertical="center"/>
    </xf>
    <xf numFmtId="0" fontId="63" fillId="4" borderId="25" xfId="0" applyFont="1" applyFill="1" applyBorder="1" applyAlignment="1">
      <alignment horizontal="center" vertical="center"/>
    </xf>
    <xf numFmtId="10" fontId="63" fillId="12" borderId="27" xfId="5" applyNumberFormat="1" applyFont="1" applyFill="1" applyBorder="1" applyAlignment="1">
      <alignment horizontal="center" vertical="center"/>
    </xf>
    <xf numFmtId="377" fontId="20" fillId="0" borderId="0" xfId="0" applyNumberFormat="1" applyFont="1" applyAlignment="1">
      <alignment horizontal="center" vertical="center"/>
    </xf>
    <xf numFmtId="0" fontId="20" fillId="0" borderId="0" xfId="0" applyFont="1" applyAlignment="1">
      <alignment horizontal="center" vertical="center"/>
    </xf>
    <xf numFmtId="10" fontId="20" fillId="0" borderId="0" xfId="0" applyNumberFormat="1" applyFont="1" applyAlignment="1">
      <alignment horizontal="center" vertical="center"/>
    </xf>
    <xf numFmtId="377" fontId="35" fillId="3" borderId="135" xfId="0" applyNumberFormat="1" applyFont="1" applyFill="1" applyBorder="1" applyAlignment="1">
      <alignment horizontal="center" vertical="center" wrapText="1"/>
    </xf>
    <xf numFmtId="0" fontId="35" fillId="4" borderId="21" xfId="0" applyFont="1" applyFill="1" applyBorder="1" applyAlignment="1">
      <alignment horizontal="center" vertical="center" wrapText="1"/>
    </xf>
    <xf numFmtId="377" fontId="35" fillId="3" borderId="64" xfId="0" applyNumberFormat="1" applyFont="1" applyFill="1" applyBorder="1" applyAlignment="1">
      <alignment horizontal="center" vertical="center" wrapText="1"/>
    </xf>
    <xf numFmtId="0" fontId="35" fillId="4" borderId="25" xfId="0" applyFont="1" applyFill="1" applyBorder="1" applyAlignment="1">
      <alignment horizontal="center" vertical="center"/>
    </xf>
    <xf numFmtId="377" fontId="440" fillId="0" borderId="0" xfId="0" applyNumberFormat="1" applyFont="1" applyAlignment="1">
      <alignment horizontal="center" vertical="center"/>
    </xf>
    <xf numFmtId="9" fontId="441" fillId="4" borderId="0" xfId="5" applyFont="1" applyFill="1" applyAlignment="1">
      <alignment horizontal="center" vertical="center"/>
    </xf>
    <xf numFmtId="375" fontId="20" fillId="4" borderId="0" xfId="0" applyNumberFormat="1" applyFont="1" applyFill="1" applyAlignment="1">
      <alignment horizontal="center" vertical="center"/>
    </xf>
    <xf numFmtId="186" fontId="20" fillId="4" borderId="0" xfId="0" applyNumberFormat="1" applyFont="1" applyFill="1" applyAlignment="1">
      <alignment horizontal="center" vertical="center"/>
    </xf>
    <xf numFmtId="0" fontId="20" fillId="4" borderId="0" xfId="0" applyFont="1" applyFill="1"/>
    <xf numFmtId="0" fontId="20" fillId="0" borderId="1" xfId="0" applyFont="1" applyFill="1" applyBorder="1" applyAlignment="1">
      <alignment horizontal="center" vertical="center" shrinkToFit="1"/>
    </xf>
    <xf numFmtId="9" fontId="20" fillId="0" borderId="1" xfId="5" applyFont="1" applyFill="1" applyBorder="1" applyAlignment="1">
      <alignment horizontal="center" vertical="center" shrinkToFit="1"/>
    </xf>
    <xf numFmtId="0" fontId="19" fillId="120" borderId="1" xfId="0" applyFont="1" applyFill="1" applyBorder="1" applyAlignment="1">
      <alignment horizontal="center" vertical="center" shrinkToFit="1"/>
    </xf>
    <xf numFmtId="0" fontId="19" fillId="120" borderId="1" xfId="6" applyFont="1" applyFill="1" applyBorder="1" applyAlignment="1">
      <alignment horizontal="center" vertical="center"/>
    </xf>
    <xf numFmtId="9" fontId="20" fillId="0" borderId="0" xfId="6" applyNumberFormat="1" applyFont="1" applyFill="1" applyBorder="1" applyAlignment="1">
      <alignment horizontal="center" vertical="center"/>
    </xf>
    <xf numFmtId="10" fontId="445" fillId="0" borderId="1" xfId="6" applyNumberFormat="1" applyFont="1" applyFill="1" applyBorder="1" applyAlignment="1" applyProtection="1">
      <alignment horizontal="center" vertical="center"/>
    </xf>
    <xf numFmtId="9" fontId="445" fillId="0" borderId="1" xfId="6" applyNumberFormat="1" applyFont="1" applyFill="1" applyBorder="1" applyAlignment="1" applyProtection="1">
      <alignment horizontal="center" vertical="center"/>
    </xf>
    <xf numFmtId="0" fontId="63" fillId="0" borderId="346" xfId="0" applyFont="1" applyBorder="1" applyAlignment="1">
      <alignment horizontal="center" vertical="center"/>
    </xf>
    <xf numFmtId="0" fontId="63" fillId="0" borderId="0" xfId="0" applyFont="1" applyAlignment="1">
      <alignment horizontal="center" vertical="center"/>
    </xf>
    <xf numFmtId="0" fontId="20" fillId="0" borderId="354" xfId="6" applyFont="1" applyBorder="1" applyAlignment="1">
      <alignment horizontal="center" vertical="center"/>
    </xf>
    <xf numFmtId="0" fontId="20" fillId="0" borderId="350" xfId="6" applyFont="1" applyBorder="1" applyAlignment="1">
      <alignment horizontal="center" vertical="center"/>
    </xf>
    <xf numFmtId="0" fontId="20" fillId="0" borderId="351" xfId="6" applyFont="1" applyBorder="1" applyAlignment="1">
      <alignment horizontal="center" vertical="center"/>
    </xf>
    <xf numFmtId="0" fontId="20" fillId="0" borderId="352" xfId="6" applyFont="1" applyBorder="1" applyAlignment="1">
      <alignment horizontal="center" vertical="center"/>
    </xf>
    <xf numFmtId="0" fontId="20" fillId="0" borderId="355" xfId="6" applyFont="1" applyBorder="1" applyAlignment="1">
      <alignment horizontal="center" vertical="center"/>
    </xf>
    <xf numFmtId="0" fontId="63" fillId="0" borderId="175" xfId="0" applyFont="1" applyBorder="1" applyAlignment="1">
      <alignment horizontal="center" vertical="center"/>
    </xf>
    <xf numFmtId="0" fontId="20" fillId="0" borderId="353" xfId="6" applyFont="1" applyBorder="1" applyAlignment="1">
      <alignment horizontal="center" vertical="center"/>
    </xf>
    <xf numFmtId="177" fontId="29" fillId="0" borderId="1" xfId="5" applyNumberFormat="1" applyFont="1" applyBorder="1" applyAlignment="1">
      <alignment horizontal="center" vertical="center"/>
    </xf>
    <xf numFmtId="0" fontId="423" fillId="0" borderId="1" xfId="0" applyFont="1" applyFill="1" applyBorder="1" applyAlignment="1">
      <alignment horizontal="center" vertical="center" wrapText="1"/>
    </xf>
    <xf numFmtId="9" fontId="43" fillId="0" borderId="32" xfId="5" applyFont="1" applyBorder="1" applyAlignment="1" applyProtection="1">
      <alignment horizontal="center" vertical="center"/>
    </xf>
    <xf numFmtId="0" fontId="36" fillId="18" borderId="21" xfId="0" applyFont="1" applyFill="1" applyBorder="1" applyAlignment="1">
      <alignment horizontal="center" vertical="center"/>
    </xf>
    <xf numFmtId="0" fontId="425" fillId="19" borderId="22" xfId="0" applyFont="1" applyFill="1" applyBorder="1" applyAlignment="1" applyProtection="1">
      <alignment horizontal="center" vertical="center"/>
      <protection locked="0"/>
    </xf>
    <xf numFmtId="0" fontId="425" fillId="19" borderId="23" xfId="0" applyFont="1" applyFill="1" applyBorder="1" applyAlignment="1" applyProtection="1">
      <alignment horizontal="center" vertical="center"/>
      <protection locked="0"/>
    </xf>
    <xf numFmtId="0" fontId="36" fillId="18" borderId="25" xfId="0" applyFont="1" applyFill="1" applyBorder="1" applyAlignment="1">
      <alignment horizontal="center" vertical="center"/>
    </xf>
    <xf numFmtId="371" fontId="43" fillId="0" borderId="26" xfId="1" applyNumberFormat="1" applyFont="1" applyBorder="1" applyAlignment="1" applyProtection="1">
      <alignment vertical="center"/>
      <protection locked="0"/>
    </xf>
    <xf numFmtId="371" fontId="43" fillId="0" borderId="27" xfId="1" applyNumberFormat="1" applyFont="1" applyBorder="1" applyAlignment="1" applyProtection="1">
      <alignment vertical="center"/>
      <protection locked="0"/>
    </xf>
    <xf numFmtId="0" fontId="36" fillId="18" borderId="21" xfId="0" applyFont="1" applyFill="1" applyBorder="1" applyAlignment="1" applyProtection="1">
      <alignment horizontal="center" vertical="center"/>
    </xf>
    <xf numFmtId="0" fontId="64" fillId="19" borderId="22" xfId="0" applyFont="1" applyFill="1" applyBorder="1" applyAlignment="1" applyProtection="1">
      <alignment horizontal="center" vertical="center"/>
    </xf>
    <xf numFmtId="0" fontId="64" fillId="19" borderId="23" xfId="0" applyFont="1" applyFill="1" applyBorder="1" applyAlignment="1" applyProtection="1">
      <alignment horizontal="center" vertical="center"/>
    </xf>
    <xf numFmtId="0" fontId="36" fillId="18" borderId="25" xfId="0" applyFont="1" applyFill="1" applyBorder="1" applyAlignment="1" applyProtection="1">
      <alignment horizontal="center" vertical="center"/>
    </xf>
    <xf numFmtId="182" fontId="75" fillId="0" borderId="26" xfId="1" applyNumberFormat="1" applyFont="1" applyBorder="1" applyAlignment="1" applyProtection="1">
      <alignment horizontal="center" vertical="center"/>
    </xf>
    <xf numFmtId="182" fontId="75" fillId="0" borderId="27" xfId="1" applyNumberFormat="1" applyFont="1" applyBorder="1" applyAlignment="1" applyProtection="1">
      <alignment horizontal="center" vertical="center"/>
    </xf>
    <xf numFmtId="0" fontId="427" fillId="0" borderId="0" xfId="0" applyFont="1"/>
    <xf numFmtId="0" fontId="446" fillId="0" borderId="0" xfId="0" applyFont="1"/>
    <xf numFmtId="0" fontId="402" fillId="0" borderId="0" xfId="0" applyFont="1" applyFill="1" applyBorder="1" applyAlignment="1">
      <alignment horizontal="center" vertical="center"/>
    </xf>
    <xf numFmtId="0" fontId="19" fillId="0" borderId="0" xfId="0" applyFont="1" applyAlignment="1">
      <alignment vertical="center"/>
    </xf>
    <xf numFmtId="9" fontId="20" fillId="0" borderId="0" xfId="0" applyNumberFormat="1" applyFont="1" applyAlignment="1">
      <alignment vertical="center"/>
    </xf>
    <xf numFmtId="9" fontId="20" fillId="0" borderId="0" xfId="0" applyNumberFormat="1" applyFont="1"/>
    <xf numFmtId="0" fontId="20" fillId="0" borderId="0" xfId="0" applyFont="1" applyFill="1"/>
    <xf numFmtId="0" fontId="36" fillId="0" borderId="0" xfId="6" applyFont="1" applyFill="1" applyBorder="1" applyAlignment="1">
      <alignment horizontal="center" vertical="center"/>
    </xf>
    <xf numFmtId="0" fontId="19" fillId="120" borderId="1" xfId="0" applyFont="1" applyFill="1" applyBorder="1" applyAlignment="1">
      <alignment horizontal="center" vertical="center"/>
    </xf>
    <xf numFmtId="0" fontId="28" fillId="0" borderId="0" xfId="0" applyFont="1" applyAlignment="1" applyProtection="1">
      <alignment vertical="center"/>
    </xf>
    <xf numFmtId="0" fontId="449" fillId="0" borderId="0" xfId="0" applyFont="1" applyBorder="1" applyAlignment="1">
      <alignment horizontal="center" vertical="center"/>
    </xf>
    <xf numFmtId="0" fontId="450" fillId="0" borderId="0" xfId="0" applyFont="1" applyAlignment="1">
      <alignment vertical="center"/>
    </xf>
    <xf numFmtId="0" fontId="451" fillId="3" borderId="254" xfId="0" applyFont="1" applyFill="1" applyBorder="1" applyAlignment="1">
      <alignment horizontal="center" vertical="center"/>
    </xf>
    <xf numFmtId="0" fontId="451" fillId="3" borderId="255" xfId="0" applyFont="1" applyFill="1" applyBorder="1" applyAlignment="1">
      <alignment horizontal="center" vertical="center"/>
    </xf>
    <xf numFmtId="0" fontId="66" fillId="3" borderId="1" xfId="6" applyFont="1" applyFill="1" applyBorder="1" applyAlignment="1">
      <alignment horizontal="center" vertical="center" wrapText="1"/>
    </xf>
    <xf numFmtId="0" fontId="63" fillId="29" borderId="25" xfId="0" applyFont="1" applyFill="1" applyBorder="1" applyAlignment="1">
      <alignment horizontal="center" vertical="center"/>
    </xf>
    <xf numFmtId="0" fontId="63" fillId="29" borderId="26" xfId="0" applyFont="1" applyFill="1" applyBorder="1" applyAlignment="1">
      <alignment horizontal="center" vertical="center"/>
    </xf>
    <xf numFmtId="0" fontId="37" fillId="10" borderId="108" xfId="6" applyFont="1" applyFill="1" applyBorder="1" applyAlignment="1">
      <alignment vertical="center" wrapText="1"/>
    </xf>
    <xf numFmtId="373" fontId="452" fillId="29" borderId="108" xfId="6" applyNumberFormat="1" applyFont="1" applyFill="1" applyBorder="1" applyAlignment="1">
      <alignment horizontal="right" vertical="center" wrapText="1"/>
    </xf>
    <xf numFmtId="0" fontId="38" fillId="10" borderId="111" xfId="6" quotePrefix="1" applyFont="1" applyFill="1" applyBorder="1" applyAlignment="1">
      <alignment horizontal="left" vertical="center" wrapText="1" indent="1"/>
    </xf>
    <xf numFmtId="373" fontId="453" fillId="29" borderId="111" xfId="3" applyNumberFormat="1" applyFont="1" applyFill="1" applyBorder="1" applyAlignment="1">
      <alignment horizontal="right" vertical="center" wrapText="1"/>
    </xf>
    <xf numFmtId="0" fontId="451" fillId="3" borderId="21" xfId="0" applyFont="1" applyFill="1" applyBorder="1" applyAlignment="1">
      <alignment horizontal="center" vertical="center"/>
    </xf>
    <xf numFmtId="373" fontId="453" fillId="29" borderId="111" xfId="1" applyNumberFormat="1" applyFont="1" applyFill="1" applyBorder="1" applyAlignment="1">
      <alignment horizontal="right" vertical="center" wrapText="1"/>
    </xf>
    <xf numFmtId="0" fontId="66" fillId="3" borderId="29" xfId="0" applyFont="1" applyFill="1" applyBorder="1" applyAlignment="1">
      <alignment horizontal="center" vertical="center" wrapText="1"/>
    </xf>
    <xf numFmtId="0" fontId="48" fillId="29" borderId="1" xfId="0" applyFont="1" applyFill="1" applyBorder="1" applyAlignment="1">
      <alignment horizontal="center" vertical="center" wrapText="1"/>
    </xf>
    <xf numFmtId="0" fontId="37" fillId="10" borderId="111" xfId="6" quotePrefix="1" applyFont="1" applyFill="1" applyBorder="1" applyAlignment="1">
      <alignment horizontal="left" vertical="center" wrapText="1"/>
    </xf>
    <xf numFmtId="373" fontId="452" fillId="29" borderId="111" xfId="6" applyNumberFormat="1" applyFont="1" applyFill="1" applyBorder="1" applyAlignment="1">
      <alignment horizontal="right" vertical="center" wrapText="1"/>
    </xf>
    <xf numFmtId="0" fontId="66" fillId="3" borderId="101" xfId="0" applyFont="1" applyFill="1" applyBorder="1" applyAlignment="1">
      <alignment horizontal="center" vertical="center" wrapText="1"/>
    </xf>
    <xf numFmtId="0" fontId="35" fillId="10" borderId="111" xfId="6" quotePrefix="1" applyFont="1" applyFill="1" applyBorder="1" applyAlignment="1">
      <alignment horizontal="left" vertical="center" wrapText="1" indent="1"/>
    </xf>
    <xf numFmtId="373" fontId="454" fillId="29" borderId="111" xfId="6" applyNumberFormat="1" applyFont="1" applyFill="1" applyBorder="1" applyAlignment="1">
      <alignment horizontal="right" vertical="center" wrapText="1"/>
    </xf>
    <xf numFmtId="0" fontId="66" fillId="3" borderId="25" xfId="0" applyFont="1" applyFill="1" applyBorder="1" applyAlignment="1">
      <alignment horizontal="center" vertical="center"/>
    </xf>
    <xf numFmtId="377" fontId="48" fillId="29" borderId="26" xfId="0" applyNumberFormat="1" applyFont="1" applyFill="1" applyBorder="1" applyAlignment="1">
      <alignment horizontal="center" vertical="center" wrapText="1"/>
    </xf>
    <xf numFmtId="373" fontId="454" fillId="29" borderId="111" xfId="1" applyNumberFormat="1" applyFont="1" applyFill="1" applyBorder="1" applyAlignment="1">
      <alignment vertical="center"/>
    </xf>
    <xf numFmtId="0" fontId="451" fillId="3" borderId="22" xfId="0" applyFont="1" applyFill="1" applyBorder="1" applyAlignment="1">
      <alignment horizontal="center" vertical="center"/>
    </xf>
    <xf numFmtId="0" fontId="451" fillId="3" borderId="23" xfId="0" applyFont="1" applyFill="1" applyBorder="1" applyAlignment="1">
      <alignment horizontal="center" vertical="center" wrapText="1"/>
    </xf>
    <xf numFmtId="0" fontId="37" fillId="10" borderId="111" xfId="6" applyFont="1" applyFill="1" applyBorder="1" applyAlignment="1">
      <alignment vertical="center" wrapText="1"/>
    </xf>
    <xf numFmtId="372" fontId="452" fillId="29" borderId="111" xfId="6" applyNumberFormat="1" applyFont="1" applyFill="1" applyBorder="1" applyAlignment="1">
      <alignment horizontal="right" vertical="center" wrapText="1"/>
    </xf>
    <xf numFmtId="14" fontId="63" fillId="29" borderId="26" xfId="0" applyNumberFormat="1" applyFont="1" applyFill="1" applyBorder="1" applyAlignment="1">
      <alignment horizontal="center" vertical="center" wrapText="1"/>
    </xf>
    <xf numFmtId="14" fontId="35" fillId="29" borderId="26" xfId="0" applyNumberFormat="1" applyFont="1" applyFill="1" applyBorder="1" applyAlignment="1">
      <alignment horizontal="center" vertical="center" wrapText="1"/>
    </xf>
    <xf numFmtId="0" fontId="63" fillId="29" borderId="27" xfId="0" applyFont="1" applyFill="1" applyBorder="1" applyAlignment="1">
      <alignment horizontal="center" vertical="center"/>
    </xf>
    <xf numFmtId="0" fontId="38" fillId="10" borderId="111" xfId="6" applyFont="1" applyFill="1" applyBorder="1" applyAlignment="1">
      <alignment vertical="center" wrapText="1"/>
    </xf>
    <xf numFmtId="2" fontId="453" fillId="29" borderId="111" xfId="3" applyNumberFormat="1" applyFont="1" applyFill="1" applyBorder="1" applyAlignment="1">
      <alignment horizontal="right" vertical="center" wrapText="1"/>
    </xf>
    <xf numFmtId="0" fontId="37" fillId="10" borderId="335" xfId="6" applyFont="1" applyFill="1" applyBorder="1" applyAlignment="1">
      <alignment vertical="center" wrapText="1"/>
    </xf>
    <xf numFmtId="372" fontId="452" fillId="29" borderId="335" xfId="6" applyNumberFormat="1" applyFont="1" applyFill="1" applyBorder="1" applyAlignment="1">
      <alignment horizontal="right" vertical="center" wrapText="1"/>
    </xf>
    <xf numFmtId="0" fontId="20" fillId="0" borderId="0" xfId="0" applyFont="1" applyBorder="1"/>
    <xf numFmtId="0" fontId="20" fillId="0" borderId="2" xfId="0" applyFont="1" applyBorder="1"/>
    <xf numFmtId="0" fontId="20" fillId="0" borderId="195" xfId="0" applyFont="1" applyBorder="1"/>
    <xf numFmtId="0" fontId="37" fillId="10" borderId="128" xfId="6" applyFont="1" applyFill="1" applyBorder="1" applyAlignment="1">
      <alignment vertical="center" wrapText="1"/>
    </xf>
    <xf numFmtId="0" fontId="20" fillId="0" borderId="2" xfId="0" applyFont="1" applyBorder="1" applyAlignment="1">
      <alignment vertical="center"/>
    </xf>
    <xf numFmtId="184" fontId="63" fillId="29" borderId="26" xfId="0" applyNumberFormat="1" applyFont="1" applyFill="1" applyBorder="1" applyAlignment="1">
      <alignment horizontal="center" vertical="center"/>
    </xf>
    <xf numFmtId="0" fontId="37" fillId="15" borderId="0" xfId="6" applyFont="1" applyFill="1" applyBorder="1" applyAlignment="1">
      <alignment vertical="center" wrapText="1"/>
    </xf>
    <xf numFmtId="182" fontId="37" fillId="0" borderId="0" xfId="6" applyNumberFormat="1" applyFont="1" applyFill="1" applyBorder="1" applyAlignment="1">
      <alignment horizontal="right" vertical="center" wrapText="1"/>
    </xf>
    <xf numFmtId="0" fontId="457" fillId="30" borderId="256" xfId="6" applyFont="1" applyFill="1" applyBorder="1" applyAlignment="1">
      <alignment horizontal="center" vertical="center" wrapText="1"/>
    </xf>
    <xf numFmtId="182" fontId="36" fillId="29" borderId="262" xfId="1" applyNumberFormat="1" applyFont="1" applyFill="1" applyBorder="1" applyAlignment="1">
      <alignment horizontal="center" vertical="center"/>
    </xf>
    <xf numFmtId="180" fontId="36" fillId="29" borderId="262" xfId="0" applyNumberFormat="1" applyFont="1" applyFill="1" applyBorder="1" applyAlignment="1">
      <alignment horizontal="center" vertical="center"/>
    </xf>
    <xf numFmtId="0" fontId="49" fillId="0" borderId="0" xfId="0" applyFont="1" applyBorder="1" applyAlignment="1">
      <alignment horizontal="center"/>
    </xf>
    <xf numFmtId="41" fontId="20" fillId="0" borderId="0" xfId="1" applyFont="1" applyBorder="1"/>
    <xf numFmtId="180" fontId="20" fillId="0" borderId="0" xfId="0" applyNumberFormat="1" applyFont="1" applyBorder="1"/>
    <xf numFmtId="181" fontId="20" fillId="0" borderId="0" xfId="1" applyNumberFormat="1" applyFont="1" applyBorder="1"/>
    <xf numFmtId="41" fontId="452" fillId="29" borderId="108" xfId="6" applyNumberFormat="1" applyFont="1" applyFill="1" applyBorder="1" applyAlignment="1">
      <alignment horizontal="right" vertical="center" wrapText="1"/>
    </xf>
    <xf numFmtId="41" fontId="453" fillId="29" borderId="111" xfId="3" applyFont="1" applyFill="1" applyBorder="1" applyAlignment="1">
      <alignment horizontal="right" vertical="center" wrapText="1"/>
    </xf>
    <xf numFmtId="0" fontId="67" fillId="3" borderId="125" xfId="6" applyFont="1" applyFill="1" applyBorder="1" applyAlignment="1">
      <alignment horizontal="right" vertical="center" wrapText="1"/>
    </xf>
    <xf numFmtId="0" fontId="67" fillId="3" borderId="74" xfId="6" applyFont="1" applyFill="1" applyBorder="1" applyAlignment="1">
      <alignment vertical="center" wrapText="1"/>
    </xf>
    <xf numFmtId="0" fontId="67" fillId="3" borderId="22" xfId="6" applyFont="1" applyFill="1" applyBorder="1" applyAlignment="1">
      <alignment horizontal="center" vertical="center" wrapText="1"/>
    </xf>
    <xf numFmtId="0" fontId="67" fillId="3" borderId="23" xfId="6" applyFont="1" applyFill="1" applyBorder="1" applyAlignment="1">
      <alignment horizontal="center" vertical="center" wrapText="1"/>
    </xf>
    <xf numFmtId="0" fontId="22" fillId="10" borderId="32" xfId="6" applyFont="1" applyFill="1" applyBorder="1" applyAlignment="1">
      <alignment horizontal="center" vertical="center" wrapText="1"/>
    </xf>
    <xf numFmtId="10" fontId="37" fillId="29" borderId="152" xfId="6" applyNumberFormat="1" applyFont="1" applyFill="1" applyBorder="1" applyAlignment="1">
      <alignment horizontal="center" vertical="center"/>
    </xf>
    <xf numFmtId="0" fontId="37" fillId="10" borderId="126" xfId="6" applyFont="1" applyFill="1" applyBorder="1" applyAlignment="1">
      <alignment horizontal="left" vertical="center" indent="1"/>
    </xf>
    <xf numFmtId="0" fontId="22" fillId="10" borderId="24" xfId="6" applyFont="1" applyFill="1" applyBorder="1" applyAlignment="1">
      <alignment vertical="center" wrapText="1"/>
    </xf>
    <xf numFmtId="0" fontId="38" fillId="29" borderId="1" xfId="6" applyNumberFormat="1" applyFont="1" applyFill="1" applyBorder="1" applyAlignment="1">
      <alignment horizontal="center" vertical="center" wrapText="1"/>
    </xf>
    <xf numFmtId="0" fontId="38" fillId="29" borderId="59" xfId="6" applyNumberFormat="1" applyFont="1" applyFill="1" applyBorder="1" applyAlignment="1">
      <alignment horizontal="center" vertical="center" wrapText="1"/>
    </xf>
    <xf numFmtId="0" fontId="37" fillId="10" borderId="111" xfId="6" quotePrefix="1" applyFont="1" applyFill="1" applyBorder="1" applyAlignment="1">
      <alignment vertical="center" wrapText="1"/>
    </xf>
    <xf numFmtId="371" fontId="453" fillId="29" borderId="111" xfId="3" applyNumberFormat="1" applyFont="1" applyFill="1" applyBorder="1" applyAlignment="1">
      <alignment horizontal="right" vertical="center" wrapText="1"/>
    </xf>
    <xf numFmtId="10" fontId="37" fillId="29" borderId="59" xfId="6" applyNumberFormat="1" applyFont="1" applyFill="1" applyBorder="1" applyAlignment="1">
      <alignment horizontal="center" vertical="center"/>
    </xf>
    <xf numFmtId="0" fontId="37" fillId="10" borderId="127" xfId="6" applyFont="1" applyFill="1" applyBorder="1" applyAlignment="1">
      <alignment horizontal="left" vertical="center" indent="1"/>
    </xf>
    <xf numFmtId="0" fontId="22" fillId="10" borderId="61" xfId="6" applyFont="1" applyFill="1" applyBorder="1" applyAlignment="1">
      <alignment vertical="center" wrapText="1"/>
    </xf>
    <xf numFmtId="180" fontId="38" fillId="29" borderId="60" xfId="6" applyNumberFormat="1" applyFont="1" applyFill="1" applyBorder="1" applyAlignment="1">
      <alignment horizontal="center" vertical="center" wrapText="1"/>
    </xf>
    <xf numFmtId="2" fontId="38" fillId="29" borderId="56" xfId="1" applyNumberFormat="1" applyFont="1" applyFill="1" applyBorder="1" applyAlignment="1">
      <alignment horizontal="center" vertical="center" wrapText="1"/>
    </xf>
    <xf numFmtId="176" fontId="453" fillId="29" borderId="111" xfId="3" applyNumberFormat="1" applyFont="1" applyFill="1" applyBorder="1" applyAlignment="1">
      <alignment horizontal="right" vertical="center" wrapText="1"/>
    </xf>
    <xf numFmtId="371" fontId="453" fillId="29" borderId="128" xfId="3" applyNumberFormat="1" applyFont="1" applyFill="1" applyBorder="1" applyAlignment="1">
      <alignment horizontal="right" vertical="center" wrapText="1"/>
    </xf>
    <xf numFmtId="10" fontId="459" fillId="29" borderId="27" xfId="7" applyNumberFormat="1" applyFont="1" applyFill="1" applyBorder="1" applyAlignment="1">
      <alignment horizontal="center" vertical="center" wrapText="1"/>
    </xf>
    <xf numFmtId="0" fontId="49" fillId="0" borderId="0" xfId="0" applyFont="1" applyAlignment="1">
      <alignment vertical="center"/>
    </xf>
    <xf numFmtId="0" fontId="66" fillId="3" borderId="57" xfId="0" applyFont="1" applyFill="1" applyBorder="1" applyAlignment="1">
      <alignment horizontal="center" vertical="center"/>
    </xf>
    <xf numFmtId="180" fontId="47" fillId="29" borderId="58" xfId="5" applyNumberFormat="1" applyFont="1" applyFill="1" applyBorder="1" applyAlignment="1">
      <alignment horizontal="center" vertical="center"/>
    </xf>
    <xf numFmtId="0" fontId="22" fillId="10" borderId="24" xfId="6" applyFont="1" applyFill="1" applyBorder="1" applyAlignment="1">
      <alignment vertical="center"/>
    </xf>
    <xf numFmtId="180" fontId="37" fillId="29" borderId="1" xfId="6" applyNumberFormat="1" applyFont="1" applyFill="1" applyBorder="1" applyAlignment="1">
      <alignment horizontal="center" vertical="center" wrapText="1"/>
    </xf>
    <xf numFmtId="180" fontId="37" fillId="29" borderId="59" xfId="6" applyNumberFormat="1" applyFont="1" applyFill="1" applyBorder="1" applyAlignment="1">
      <alignment horizontal="center" vertical="center" wrapText="1"/>
    </xf>
    <xf numFmtId="0" fontId="22" fillId="10" borderId="154" xfId="6" applyFont="1" applyFill="1" applyBorder="1" applyAlignment="1">
      <alignment horizontal="left" vertical="top" wrapText="1" indent="1"/>
    </xf>
    <xf numFmtId="0" fontId="22" fillId="10" borderId="155" xfId="6" applyFont="1" applyFill="1" applyBorder="1" applyAlignment="1">
      <alignment vertical="center" wrapText="1"/>
    </xf>
    <xf numFmtId="180" fontId="37" fillId="29" borderId="156" xfId="6" applyNumberFormat="1" applyFont="1" applyFill="1" applyBorder="1" applyAlignment="1">
      <alignment vertical="center" wrapText="1"/>
    </xf>
    <xf numFmtId="180" fontId="37" fillId="29" borderId="157" xfId="6" applyNumberFormat="1" applyFont="1" applyFill="1" applyBorder="1" applyAlignment="1">
      <alignment horizontal="center" vertical="center" wrapText="1"/>
    </xf>
    <xf numFmtId="0" fontId="37" fillId="10" borderId="153" xfId="6" applyFont="1" applyFill="1" applyBorder="1" applyAlignment="1">
      <alignment horizontal="left" vertical="center" indent="1"/>
    </xf>
    <xf numFmtId="0" fontId="22" fillId="10" borderId="11" xfId="6" applyFont="1" applyFill="1" applyBorder="1" applyAlignment="1">
      <alignment vertical="center"/>
    </xf>
    <xf numFmtId="180" fontId="37" fillId="29" borderId="10" xfId="6" applyNumberFormat="1" applyFont="1" applyFill="1" applyBorder="1" applyAlignment="1">
      <alignment vertical="center" wrapText="1"/>
    </xf>
    <xf numFmtId="180" fontId="37" fillId="29" borderId="148" xfId="6" applyNumberFormat="1" applyFont="1" applyFill="1" applyBorder="1" applyAlignment="1">
      <alignment horizontal="center" vertical="center" wrapText="1"/>
    </xf>
    <xf numFmtId="0" fontId="20" fillId="0" borderId="30" xfId="0" applyFont="1" applyBorder="1"/>
    <xf numFmtId="0" fontId="20" fillId="0" borderId="8" xfId="0" applyFont="1" applyBorder="1"/>
    <xf numFmtId="0" fontId="22" fillId="10" borderId="61" xfId="6" applyFont="1" applyFill="1" applyBorder="1" applyAlignment="1">
      <alignment vertical="center"/>
    </xf>
    <xf numFmtId="180" fontId="37" fillId="29" borderId="60" xfId="6" applyNumberFormat="1" applyFont="1" applyFill="1" applyBorder="1" applyAlignment="1">
      <alignment vertical="center" wrapText="1"/>
    </xf>
    <xf numFmtId="9" fontId="37" fillId="29" borderId="56" xfId="6" applyNumberFormat="1" applyFont="1" applyFill="1" applyBorder="1" applyAlignment="1">
      <alignment horizontal="center" vertical="center" wrapText="1"/>
    </xf>
    <xf numFmtId="180" fontId="37" fillId="0" borderId="336" xfId="5" applyNumberFormat="1" applyFont="1" applyFill="1" applyBorder="1" applyAlignment="1">
      <alignment vertical="center" wrapText="1"/>
    </xf>
    <xf numFmtId="180" fontId="430" fillId="0" borderId="337" xfId="5" applyNumberFormat="1" applyFont="1" applyFill="1" applyBorder="1" applyAlignment="1">
      <alignment vertical="center" wrapText="1"/>
    </xf>
    <xf numFmtId="0" fontId="36" fillId="3" borderId="1" xfId="0" applyFont="1" applyFill="1" applyBorder="1" applyAlignment="1">
      <alignment horizontal="center" vertical="center" wrapText="1"/>
    </xf>
    <xf numFmtId="0" fontId="20" fillId="0" borderId="0" xfId="0" applyFont="1" applyAlignment="1">
      <alignment wrapText="1"/>
    </xf>
    <xf numFmtId="0" fontId="20" fillId="12" borderId="1" xfId="0" applyFont="1" applyFill="1" applyBorder="1" applyAlignment="1">
      <alignment horizontal="center" vertical="center" wrapText="1"/>
    </xf>
    <xf numFmtId="373" fontId="20" fillId="12" borderId="1" xfId="0" applyNumberFormat="1" applyFont="1" applyFill="1" applyBorder="1" applyAlignment="1">
      <alignment horizontal="center" vertical="center" wrapText="1"/>
    </xf>
    <xf numFmtId="14" fontId="20" fillId="12" borderId="1" xfId="0" applyNumberFormat="1" applyFont="1" applyFill="1" applyBorder="1" applyAlignment="1">
      <alignment horizontal="center" vertical="center" wrapText="1"/>
    </xf>
    <xf numFmtId="9" fontId="20" fillId="12" borderId="1" xfId="0" applyNumberFormat="1" applyFont="1" applyFill="1" applyBorder="1" applyAlignment="1">
      <alignment horizontal="center" vertical="center" wrapText="1"/>
    </xf>
    <xf numFmtId="0" fontId="29" fillId="0" borderId="0" xfId="6" applyFont="1" applyAlignment="1">
      <alignment horizontal="center" vertical="center"/>
    </xf>
    <xf numFmtId="9" fontId="25" fillId="0" borderId="19" xfId="0" applyNumberFormat="1" applyFont="1" applyBorder="1" applyAlignment="1">
      <alignment horizontal="right" vertical="center" wrapText="1"/>
    </xf>
    <xf numFmtId="0" fontId="25" fillId="0" borderId="19" xfId="0" applyFont="1" applyBorder="1" applyAlignment="1">
      <alignment horizontal="center" vertical="center" wrapText="1"/>
    </xf>
    <xf numFmtId="10" fontId="25" fillId="0" borderId="15" xfId="0" applyNumberFormat="1" applyFont="1" applyBorder="1" applyAlignment="1">
      <alignment horizontal="right" vertical="center" wrapText="1"/>
    </xf>
    <xf numFmtId="9" fontId="25" fillId="0" borderId="15" xfId="0" applyNumberFormat="1" applyFont="1" applyBorder="1" applyAlignment="1">
      <alignment horizontal="right" vertical="center" wrapText="1"/>
    </xf>
    <xf numFmtId="0" fontId="463" fillId="0" borderId="0" xfId="0" applyFont="1"/>
    <xf numFmtId="0" fontId="29" fillId="0" borderId="0" xfId="6" applyFont="1" applyFill="1">
      <alignment vertical="center"/>
    </xf>
    <xf numFmtId="0" fontId="379" fillId="9" borderId="1" xfId="6" applyFont="1" applyFill="1" applyBorder="1" applyAlignment="1">
      <alignment horizontal="center" vertical="center" wrapText="1"/>
    </xf>
    <xf numFmtId="183" fontId="33" fillId="0" borderId="1" xfId="6" applyNumberFormat="1" applyFont="1" applyBorder="1" applyAlignment="1">
      <alignment horizontal="center" vertical="center" wrapText="1"/>
    </xf>
    <xf numFmtId="180" fontId="33" fillId="7" borderId="1" xfId="5" applyNumberFormat="1" applyFont="1" applyFill="1" applyBorder="1" applyAlignment="1">
      <alignment horizontal="center" vertical="center" wrapText="1"/>
    </xf>
    <xf numFmtId="0" fontId="33" fillId="7" borderId="1" xfId="6" applyFont="1" applyFill="1" applyBorder="1" applyAlignment="1">
      <alignment horizontal="center" vertical="center" wrapText="1"/>
    </xf>
    <xf numFmtId="0" fontId="50" fillId="0" borderId="0" xfId="6" applyFont="1" applyFill="1" applyAlignment="1">
      <alignment horizontal="center" vertical="center"/>
    </xf>
    <xf numFmtId="0" fontId="50" fillId="0" borderId="0" xfId="6" applyFont="1" applyFill="1">
      <alignment vertical="center"/>
    </xf>
    <xf numFmtId="0" fontId="466" fillId="0" borderId="0" xfId="0" applyFont="1" applyAlignment="1">
      <alignment vertical="center"/>
    </xf>
    <xf numFmtId="0" fontId="467" fillId="0" borderId="0" xfId="0" applyFont="1" applyAlignment="1">
      <alignment vertical="center"/>
    </xf>
    <xf numFmtId="0" fontId="390" fillId="117" borderId="176" xfId="0" applyFont="1" applyFill="1" applyBorder="1" applyAlignment="1">
      <alignment horizontal="center" vertical="center"/>
    </xf>
    <xf numFmtId="0" fontId="426" fillId="119" borderId="0" xfId="0" applyFont="1" applyFill="1" applyBorder="1" applyAlignment="1">
      <alignment horizontal="left" vertical="center"/>
    </xf>
    <xf numFmtId="0" fontId="461" fillId="6" borderId="1" xfId="0" applyFont="1" applyFill="1" applyBorder="1" applyAlignment="1">
      <alignment horizontal="center" vertical="center"/>
    </xf>
    <xf numFmtId="0" fontId="423" fillId="0" borderId="0" xfId="0" applyFont="1" applyBorder="1" applyAlignment="1">
      <alignment vertical="center"/>
    </xf>
    <xf numFmtId="176" fontId="439" fillId="0" borderId="0" xfId="1" applyNumberFormat="1" applyFont="1" applyAlignment="1">
      <alignment vertical="center"/>
    </xf>
    <xf numFmtId="0" fontId="468" fillId="0" borderId="0" xfId="0" applyFont="1" applyAlignment="1">
      <alignment vertical="center"/>
    </xf>
    <xf numFmtId="176" fontId="423" fillId="0" borderId="0" xfId="1" applyNumberFormat="1" applyFont="1" applyAlignment="1">
      <alignment vertical="center"/>
    </xf>
    <xf numFmtId="0" fontId="423" fillId="0" borderId="0" xfId="0" applyFont="1" applyAlignment="1">
      <alignment vertical="center"/>
    </xf>
    <xf numFmtId="9" fontId="423" fillId="0" borderId="0" xfId="0" applyNumberFormat="1" applyFont="1" applyAlignment="1">
      <alignment vertical="center"/>
    </xf>
    <xf numFmtId="0" fontId="390" fillId="0" borderId="176" xfId="0" applyFont="1" applyFill="1" applyBorder="1" applyAlignment="1">
      <alignment vertical="center"/>
    </xf>
    <xf numFmtId="10" fontId="424" fillId="0" borderId="0" xfId="5" applyNumberFormat="1" applyFont="1" applyFill="1">
      <alignment vertical="center"/>
    </xf>
    <xf numFmtId="10" fontId="439" fillId="0" borderId="1" xfId="5" applyNumberFormat="1" applyFont="1" applyBorder="1" applyAlignment="1">
      <alignment horizontal="center" vertical="center"/>
    </xf>
    <xf numFmtId="10" fontId="469" fillId="0" borderId="1" xfId="5" applyNumberFormat="1" applyFont="1" applyBorder="1" applyAlignment="1">
      <alignment horizontal="center" vertical="center"/>
    </xf>
    <xf numFmtId="10" fontId="466" fillId="0" borderId="0" xfId="5" applyNumberFormat="1" applyFont="1">
      <alignment vertical="center"/>
    </xf>
    <xf numFmtId="41" fontId="466" fillId="0" borderId="0" xfId="1" applyFont="1" applyAlignment="1">
      <alignment vertical="center"/>
    </xf>
    <xf numFmtId="0" fontId="46" fillId="0" borderId="0" xfId="0" applyFont="1" applyAlignment="1">
      <alignment vertical="center"/>
    </xf>
    <xf numFmtId="180" fontId="439" fillId="118" borderId="1" xfId="5" applyNumberFormat="1" applyFont="1" applyFill="1" applyBorder="1" applyAlignment="1">
      <alignment horizontal="center" vertical="center"/>
    </xf>
    <xf numFmtId="0" fontId="31" fillId="10" borderId="22" xfId="6" applyFont="1" applyFill="1" applyBorder="1" applyAlignment="1">
      <alignment horizontal="center" vertical="center" wrapText="1"/>
    </xf>
    <xf numFmtId="10" fontId="31" fillId="4" borderId="1" xfId="6" applyNumberFormat="1" applyFont="1" applyFill="1" applyBorder="1" applyAlignment="1">
      <alignment horizontal="center" vertical="center"/>
    </xf>
    <xf numFmtId="41" fontId="29" fillId="0" borderId="0" xfId="6" applyNumberFormat="1" applyFont="1">
      <alignment vertical="center"/>
    </xf>
    <xf numFmtId="0" fontId="31" fillId="10" borderId="1" xfId="6" applyFont="1" applyFill="1" applyBorder="1" applyAlignment="1">
      <alignment horizontal="center" vertical="center" wrapText="1"/>
    </xf>
    <xf numFmtId="0" fontId="390" fillId="10" borderId="1" xfId="6" applyFont="1" applyFill="1" applyBorder="1" applyAlignment="1">
      <alignment horizontal="center" vertical="center" wrapText="1"/>
    </xf>
    <xf numFmtId="10" fontId="390" fillId="4" borderId="1" xfId="6" applyNumberFormat="1" applyFont="1" applyFill="1" applyBorder="1" applyAlignment="1">
      <alignment horizontal="center" vertical="center"/>
    </xf>
    <xf numFmtId="10" fontId="470" fillId="4" borderId="1" xfId="7" applyNumberFormat="1" applyFont="1" applyFill="1" applyBorder="1" applyAlignment="1">
      <alignment horizontal="center" vertical="center" wrapText="1"/>
    </xf>
    <xf numFmtId="10" fontId="471" fillId="7" borderId="27" xfId="7" applyNumberFormat="1" applyFont="1" applyFill="1" applyBorder="1" applyAlignment="1">
      <alignment horizontal="center" vertical="center" wrapText="1"/>
    </xf>
    <xf numFmtId="0" fontId="50" fillId="0" borderId="0" xfId="6" applyFont="1">
      <alignment vertical="center"/>
    </xf>
    <xf numFmtId="0" fontId="33" fillId="0" borderId="41" xfId="6" applyFont="1" applyBorder="1" applyAlignment="1">
      <alignment horizontal="center" vertical="center" wrapText="1"/>
    </xf>
    <xf numFmtId="0" fontId="33" fillId="0" borderId="43" xfId="6" applyFont="1" applyBorder="1" applyAlignment="1">
      <alignment horizontal="center" vertical="center" wrapText="1"/>
    </xf>
    <xf numFmtId="0" fontId="33" fillId="0" borderId="44" xfId="6" applyFont="1" applyBorder="1" applyAlignment="1">
      <alignment horizontal="center" vertical="center" wrapText="1"/>
    </xf>
    <xf numFmtId="10" fontId="33" fillId="0" borderId="45" xfId="6" applyNumberFormat="1" applyFont="1" applyBorder="1" applyAlignment="1">
      <alignment horizontal="center" vertical="center" wrapText="1"/>
    </xf>
    <xf numFmtId="0" fontId="33" fillId="0" borderId="19" xfId="6" applyFont="1" applyBorder="1" applyAlignment="1">
      <alignment horizontal="center" vertical="center" wrapText="1"/>
    </xf>
    <xf numFmtId="0" fontId="33" fillId="0" borderId="15" xfId="6" applyFont="1" applyBorder="1" applyAlignment="1">
      <alignment horizontal="center" vertical="center" wrapText="1"/>
    </xf>
    <xf numFmtId="0" fontId="46" fillId="0" borderId="19" xfId="6" applyFont="1" applyBorder="1" applyAlignment="1">
      <alignment horizontal="center" vertical="center" wrapText="1"/>
    </xf>
    <xf numFmtId="0" fontId="472" fillId="4" borderId="1" xfId="6" applyFont="1" applyFill="1" applyBorder="1" applyAlignment="1">
      <alignment horizontal="center" vertical="center"/>
    </xf>
    <xf numFmtId="0" fontId="390" fillId="4" borderId="19" xfId="6" applyFont="1" applyFill="1" applyBorder="1" applyAlignment="1">
      <alignment horizontal="center" vertical="center" wrapText="1"/>
    </xf>
    <xf numFmtId="0" fontId="31" fillId="0" borderId="19" xfId="6" applyFont="1" applyBorder="1" applyAlignment="1">
      <alignment horizontal="center" vertical="center" wrapText="1"/>
    </xf>
    <xf numFmtId="9" fontId="390" fillId="4" borderId="19" xfId="6" applyNumberFormat="1" applyFont="1" applyFill="1" applyBorder="1" applyAlignment="1">
      <alignment horizontal="center" vertical="center" wrapText="1"/>
    </xf>
    <xf numFmtId="180" fontId="31" fillId="0" borderId="19" xfId="6" applyNumberFormat="1" applyFont="1" applyBorder="1" applyAlignment="1">
      <alignment horizontal="center" vertical="center" wrapText="1"/>
    </xf>
    <xf numFmtId="0" fontId="33" fillId="0" borderId="46" xfId="6" applyFont="1" applyBorder="1" applyAlignment="1">
      <alignment horizontal="center" vertical="center" wrapText="1"/>
    </xf>
    <xf numFmtId="0" fontId="33" fillId="0" borderId="48" xfId="6" applyFont="1" applyBorder="1" applyAlignment="1">
      <alignment horizontal="center" vertical="center" wrapText="1"/>
    </xf>
    <xf numFmtId="375" fontId="20" fillId="0" borderId="0" xfId="0" applyNumberFormat="1" applyFont="1" applyAlignment="1">
      <alignment horizontal="center" vertical="center"/>
    </xf>
    <xf numFmtId="186" fontId="20" fillId="0" borderId="0" xfId="0" applyNumberFormat="1" applyFont="1" applyAlignment="1">
      <alignment horizontal="center" vertical="center"/>
    </xf>
    <xf numFmtId="0" fontId="35" fillId="0" borderId="0" xfId="0" applyFont="1" applyAlignment="1">
      <alignment horizontal="center" vertical="center"/>
    </xf>
    <xf numFmtId="9" fontId="35" fillId="0" borderId="0" xfId="5" applyFont="1" applyAlignment="1">
      <alignment horizontal="center" vertical="center"/>
    </xf>
    <xf numFmtId="375" fontId="35" fillId="0" borderId="0" xfId="0" applyNumberFormat="1" applyFont="1" applyAlignment="1">
      <alignment horizontal="center" vertical="center"/>
    </xf>
    <xf numFmtId="186" fontId="35" fillId="0" borderId="0" xfId="0" applyNumberFormat="1" applyFont="1" applyAlignment="1">
      <alignment horizontal="center" vertical="center"/>
    </xf>
    <xf numFmtId="10" fontId="443" fillId="12" borderId="0" xfId="5" applyNumberFormat="1" applyFont="1" applyFill="1" applyBorder="1" applyAlignment="1">
      <alignment horizontal="center" vertical="center"/>
    </xf>
    <xf numFmtId="0" fontId="20" fillId="22" borderId="0" xfId="0" applyFont="1" applyFill="1" applyAlignment="1">
      <alignment horizontal="center" vertical="center"/>
    </xf>
    <xf numFmtId="377" fontId="20" fillId="22" borderId="0" xfId="0" applyNumberFormat="1" applyFont="1" applyFill="1" applyAlignment="1">
      <alignment horizontal="center" vertical="center"/>
    </xf>
    <xf numFmtId="375" fontId="20" fillId="22" borderId="0" xfId="0" applyNumberFormat="1" applyFont="1" applyFill="1" applyAlignment="1">
      <alignment horizontal="center" vertical="center"/>
    </xf>
    <xf numFmtId="186" fontId="20" fillId="22" borderId="0" xfId="0" applyNumberFormat="1" applyFont="1" applyFill="1" applyAlignment="1">
      <alignment horizontal="center" vertical="center"/>
    </xf>
    <xf numFmtId="375" fontId="20" fillId="0" borderId="0" xfId="0" applyNumberFormat="1" applyFont="1" applyBorder="1" applyAlignment="1">
      <alignment horizontal="center" vertical="center"/>
    </xf>
    <xf numFmtId="0" fontId="75" fillId="0" borderId="0" xfId="2" applyFont="1" applyBorder="1" applyAlignment="1">
      <alignment horizontal="center" vertical="center"/>
    </xf>
    <xf numFmtId="41" fontId="75" fillId="0" borderId="0" xfId="1" applyFont="1" applyBorder="1" applyAlignment="1">
      <alignment vertical="center"/>
    </xf>
    <xf numFmtId="0" fontId="75" fillId="0" borderId="0" xfId="2" applyFont="1" applyBorder="1">
      <alignment vertical="center"/>
    </xf>
    <xf numFmtId="0" fontId="19" fillId="0" borderId="0" xfId="2" applyFont="1" applyBorder="1" applyAlignment="1">
      <alignment horizontal="center" vertical="center"/>
    </xf>
    <xf numFmtId="41" fontId="473" fillId="0" borderId="0" xfId="1" applyFont="1" applyBorder="1" applyAlignment="1">
      <alignment vertical="center"/>
    </xf>
    <xf numFmtId="0" fontId="474" fillId="0" borderId="0" xfId="2" applyFont="1" applyBorder="1" applyAlignment="1">
      <alignment horizontal="center" vertical="center"/>
    </xf>
    <xf numFmtId="0" fontId="475" fillId="7" borderId="0" xfId="1" applyNumberFormat="1" applyFont="1" applyFill="1" applyBorder="1" applyAlignment="1">
      <alignment horizontal="center" vertical="center"/>
    </xf>
    <xf numFmtId="41" fontId="475" fillId="7" borderId="0" xfId="1" applyFont="1" applyFill="1" applyBorder="1" applyAlignment="1">
      <alignment horizontal="center" vertical="center"/>
    </xf>
    <xf numFmtId="0" fontId="422" fillId="0" borderId="0" xfId="2" applyFont="1" applyBorder="1">
      <alignment vertical="center"/>
    </xf>
    <xf numFmtId="0" fontId="473" fillId="0" borderId="222" xfId="2" applyFont="1" applyFill="1" applyBorder="1" applyAlignment="1">
      <alignment horizontal="center" vertical="center"/>
    </xf>
    <xf numFmtId="0" fontId="473" fillId="0" borderId="0" xfId="2" applyFont="1" applyBorder="1">
      <alignment vertical="center"/>
    </xf>
    <xf numFmtId="0" fontId="473" fillId="0" borderId="227" xfId="2" applyFont="1" applyFill="1" applyBorder="1" applyAlignment="1">
      <alignment horizontal="center" vertical="center"/>
    </xf>
    <xf numFmtId="0" fontId="473" fillId="0" borderId="5" xfId="2" applyFont="1" applyFill="1" applyBorder="1" applyAlignment="1">
      <alignment horizontal="center" vertical="center"/>
    </xf>
    <xf numFmtId="0" fontId="473" fillId="0" borderId="70" xfId="2" applyFont="1" applyFill="1" applyBorder="1" applyAlignment="1">
      <alignment horizontal="center" vertical="center"/>
    </xf>
    <xf numFmtId="0" fontId="473" fillId="0" borderId="228" xfId="2" applyFont="1" applyFill="1" applyBorder="1" applyAlignment="1">
      <alignment horizontal="center" vertical="center" shrinkToFit="1"/>
    </xf>
    <xf numFmtId="180" fontId="473" fillId="4" borderId="9" xfId="5" applyNumberFormat="1" applyFont="1" applyFill="1" applyBorder="1" applyAlignment="1">
      <alignment vertical="center"/>
    </xf>
    <xf numFmtId="180" fontId="473" fillId="4" borderId="229" xfId="5" applyNumberFormat="1" applyFont="1" applyFill="1" applyBorder="1" applyAlignment="1">
      <alignment vertical="center"/>
    </xf>
    <xf numFmtId="0" fontId="427" fillId="0" borderId="0" xfId="2" applyFont="1" applyBorder="1">
      <alignment vertical="center"/>
    </xf>
    <xf numFmtId="0" fontId="473" fillId="0" borderId="29" xfId="2" applyFont="1" applyFill="1" applyBorder="1" applyAlignment="1">
      <alignment horizontal="center" vertical="center" shrinkToFit="1"/>
    </xf>
    <xf numFmtId="180" fontId="473" fillId="4" borderId="1" xfId="5" applyNumberFormat="1" applyFont="1" applyFill="1" applyBorder="1" applyAlignment="1">
      <alignment vertical="center"/>
    </xf>
    <xf numFmtId="180" fontId="473" fillId="4" borderId="59" xfId="5" applyNumberFormat="1" applyFont="1" applyFill="1" applyBorder="1" applyAlignment="1">
      <alignment vertical="center"/>
    </xf>
    <xf numFmtId="0" fontId="473" fillId="0" borderId="25" xfId="2" applyFont="1" applyFill="1" applyBorder="1" applyAlignment="1">
      <alignment horizontal="center" vertical="center" shrinkToFit="1"/>
    </xf>
    <xf numFmtId="180" fontId="473" fillId="4" borderId="26" xfId="5" applyNumberFormat="1" applyFont="1" applyFill="1" applyBorder="1" applyAlignment="1">
      <alignment vertical="center"/>
    </xf>
    <xf numFmtId="180" fontId="473" fillId="4" borderId="27" xfId="5" applyNumberFormat="1" applyFont="1" applyFill="1" applyBorder="1" applyAlignment="1">
      <alignment vertical="center"/>
    </xf>
    <xf numFmtId="0" fontId="427" fillId="0" borderId="0" xfId="2" applyFont="1" applyBorder="1" applyAlignment="1">
      <alignment horizontal="center" vertical="center"/>
    </xf>
    <xf numFmtId="41" fontId="427" fillId="0" borderId="0" xfId="1" applyFont="1" applyBorder="1" applyAlignment="1">
      <alignment vertical="center"/>
    </xf>
    <xf numFmtId="177" fontId="427" fillId="0" borderId="0" xfId="2" applyNumberFormat="1" applyFont="1" applyBorder="1">
      <alignment vertical="center"/>
    </xf>
    <xf numFmtId="0" fontId="476" fillId="0" borderId="0" xfId="2" applyFont="1" applyBorder="1" applyAlignment="1">
      <alignment horizontal="center" vertical="center"/>
    </xf>
    <xf numFmtId="41" fontId="477" fillId="0" borderId="0" xfId="1" applyFont="1" applyBorder="1" applyAlignment="1">
      <alignment vertical="center"/>
    </xf>
    <xf numFmtId="0" fontId="477" fillId="0" borderId="268" xfId="2" applyFont="1" applyFill="1" applyBorder="1" applyAlignment="1">
      <alignment horizontal="center" vertical="center" shrinkToFit="1"/>
    </xf>
    <xf numFmtId="180" fontId="473" fillId="4" borderId="4" xfId="5" applyNumberFormat="1" applyFont="1" applyFill="1" applyBorder="1" applyAlignment="1">
      <alignment vertical="center"/>
    </xf>
    <xf numFmtId="180" fontId="473" fillId="4" borderId="94" xfId="5" applyNumberFormat="1" applyFont="1" applyFill="1" applyBorder="1" applyAlignment="1">
      <alignment vertical="center"/>
    </xf>
    <xf numFmtId="0" fontId="473" fillId="0" borderId="269" xfId="2" applyFont="1" applyFill="1" applyBorder="1" applyAlignment="1">
      <alignment horizontal="center" vertical="center" shrinkToFit="1"/>
    </xf>
    <xf numFmtId="180" fontId="473" fillId="4" borderId="270" xfId="5" applyNumberFormat="1" applyFont="1" applyFill="1" applyBorder="1" applyAlignment="1">
      <alignment vertical="center"/>
    </xf>
    <xf numFmtId="180" fontId="473" fillId="4" borderId="271" xfId="5" applyNumberFormat="1" applyFont="1" applyFill="1" applyBorder="1" applyAlignment="1">
      <alignment vertical="center"/>
    </xf>
    <xf numFmtId="0" fontId="473" fillId="0" borderId="0" xfId="2" applyFont="1" applyFill="1" applyBorder="1" applyAlignment="1">
      <alignment horizontal="center" vertical="center" shrinkToFit="1"/>
    </xf>
    <xf numFmtId="0" fontId="473" fillId="0" borderId="228" xfId="2" applyFont="1" applyFill="1" applyBorder="1" applyAlignment="1">
      <alignment horizontal="center" vertical="center"/>
    </xf>
    <xf numFmtId="0" fontId="473" fillId="0" borderId="212" xfId="2" applyFont="1" applyFill="1" applyBorder="1" applyAlignment="1">
      <alignment horizontal="center" vertical="center"/>
    </xf>
    <xf numFmtId="0" fontId="473" fillId="0" borderId="274" xfId="2" applyFont="1" applyFill="1" applyBorder="1" applyAlignment="1">
      <alignment horizontal="center" vertical="center"/>
    </xf>
    <xf numFmtId="0" fontId="473" fillId="0" borderId="275" xfId="2" applyFont="1" applyFill="1" applyBorder="1" applyAlignment="1">
      <alignment horizontal="center" vertical="center" shrinkToFit="1"/>
    </xf>
    <xf numFmtId="375" fontId="473" fillId="4" borderId="3" xfId="5" applyNumberFormat="1" applyFont="1" applyFill="1" applyBorder="1" applyAlignment="1">
      <alignment vertical="center"/>
    </xf>
    <xf numFmtId="375" fontId="473" fillId="4" borderId="67" xfId="5" applyNumberFormat="1" applyFont="1" applyFill="1" applyBorder="1" applyAlignment="1">
      <alignment vertical="center"/>
    </xf>
    <xf numFmtId="0" fontId="473" fillId="0" borderId="268" xfId="2" applyFont="1" applyFill="1" applyBorder="1" applyAlignment="1">
      <alignment horizontal="center" vertical="center" shrinkToFit="1"/>
    </xf>
    <xf numFmtId="335" fontId="473" fillId="4" borderId="4" xfId="1" applyNumberFormat="1" applyFont="1" applyFill="1" applyBorder="1" applyAlignment="1">
      <alignment vertical="center"/>
    </xf>
    <xf numFmtId="335" fontId="473" fillId="4" borderId="94" xfId="1" applyNumberFormat="1" applyFont="1" applyFill="1" applyBorder="1" applyAlignment="1">
      <alignment vertical="center"/>
    </xf>
    <xf numFmtId="335" fontId="473" fillId="4" borderId="270" xfId="1" applyNumberFormat="1" applyFont="1" applyFill="1" applyBorder="1" applyAlignment="1">
      <alignment vertical="center"/>
    </xf>
    <xf numFmtId="335" fontId="473" fillId="4" borderId="271" xfId="1" applyNumberFormat="1" applyFont="1" applyFill="1" applyBorder="1" applyAlignment="1">
      <alignment vertical="center"/>
    </xf>
    <xf numFmtId="377" fontId="20" fillId="0" borderId="0" xfId="0" applyNumberFormat="1" applyFont="1"/>
    <xf numFmtId="0" fontId="28" fillId="0" borderId="0" xfId="0" applyFont="1" applyFill="1"/>
    <xf numFmtId="0" fontId="28" fillId="0" borderId="0" xfId="0" applyFont="1" applyFill="1" applyAlignment="1">
      <alignment vertical="center"/>
    </xf>
    <xf numFmtId="0" fontId="59" fillId="15" borderId="0" xfId="8" applyFont="1" applyFill="1">
      <alignment vertical="center"/>
    </xf>
    <xf numFmtId="0" fontId="59" fillId="0" borderId="0" xfId="8" applyFont="1">
      <alignment vertical="center"/>
    </xf>
    <xf numFmtId="0" fontId="59" fillId="0" borderId="0" xfId="8" applyFont="1" applyFill="1">
      <alignment vertical="center"/>
    </xf>
    <xf numFmtId="377" fontId="58" fillId="3" borderId="14" xfId="8" applyNumberFormat="1" applyFont="1" applyFill="1" applyBorder="1" applyAlignment="1">
      <alignment horizontal="center" vertical="center" wrapText="1"/>
    </xf>
    <xf numFmtId="0" fontId="58" fillId="3" borderId="14" xfId="8" applyFont="1" applyFill="1" applyBorder="1" applyAlignment="1">
      <alignment horizontal="center" vertical="center" wrapText="1"/>
    </xf>
    <xf numFmtId="0" fontId="58" fillId="3" borderId="159" xfId="6" applyFont="1" applyFill="1" applyBorder="1" applyAlignment="1">
      <alignment horizontal="center" vertical="center" wrapText="1"/>
    </xf>
    <xf numFmtId="0" fontId="58" fillId="3" borderId="19" xfId="8" applyFont="1" applyFill="1" applyBorder="1" applyAlignment="1">
      <alignment vertical="center" wrapText="1"/>
    </xf>
    <xf numFmtId="0" fontId="58" fillId="3" borderId="19" xfId="8" applyFont="1" applyFill="1" applyBorder="1" applyAlignment="1">
      <alignment horizontal="center" vertical="center" wrapText="1"/>
    </xf>
    <xf numFmtId="0" fontId="58" fillId="4" borderId="14" xfId="8" applyFont="1" applyFill="1" applyBorder="1" applyAlignment="1">
      <alignment horizontal="center" vertical="center" wrapText="1"/>
    </xf>
    <xf numFmtId="0" fontId="58" fillId="0" borderId="19" xfId="8" applyFont="1" applyFill="1" applyBorder="1" applyAlignment="1">
      <alignment horizontal="center" vertical="center" wrapText="1"/>
    </xf>
    <xf numFmtId="0" fontId="58" fillId="3" borderId="14" xfId="6590" applyFont="1" applyFill="1" applyBorder="1" applyAlignment="1">
      <alignment horizontal="center" vertical="center" wrapText="1"/>
    </xf>
    <xf numFmtId="0" fontId="58" fillId="0" borderId="0" xfId="6590" applyFont="1" applyFill="1" applyBorder="1" applyAlignment="1">
      <alignment horizontal="center" vertical="center" wrapText="1"/>
    </xf>
    <xf numFmtId="377" fontId="478" fillId="3" borderId="18" xfId="8" applyNumberFormat="1" applyFont="1" applyFill="1" applyBorder="1" applyAlignment="1">
      <alignment vertical="center" wrapText="1"/>
    </xf>
    <xf numFmtId="0" fontId="478" fillId="3" borderId="18" xfId="8" applyFont="1" applyFill="1" applyBorder="1" applyAlignment="1">
      <alignment vertical="center" wrapText="1"/>
    </xf>
    <xf numFmtId="0" fontId="478" fillId="3" borderId="18" xfId="8" applyFont="1" applyFill="1" applyBorder="1" applyAlignment="1">
      <alignment horizontal="center" vertical="center" wrapText="1"/>
    </xf>
    <xf numFmtId="0" fontId="478" fillId="4" borderId="18" xfId="8" applyFont="1" applyFill="1" applyBorder="1" applyAlignment="1">
      <alignment horizontal="center" vertical="center" wrapText="1"/>
    </xf>
    <xf numFmtId="0" fontId="478" fillId="0" borderId="19" xfId="8" applyFont="1" applyFill="1" applyBorder="1" applyAlignment="1">
      <alignment horizontal="center" vertical="center" wrapText="1"/>
    </xf>
    <xf numFmtId="0" fontId="478" fillId="3" borderId="18" xfId="6590" applyFont="1" applyFill="1" applyBorder="1" applyAlignment="1">
      <alignment horizontal="center" vertical="center" wrapText="1"/>
    </xf>
    <xf numFmtId="0" fontId="478" fillId="0" borderId="0" xfId="6590" applyFont="1" applyFill="1" applyBorder="1" applyAlignment="1">
      <alignment horizontal="center" vertical="center" wrapText="1"/>
    </xf>
    <xf numFmtId="0" fontId="27" fillId="3" borderId="19" xfId="8" applyFont="1" applyFill="1" applyBorder="1" applyAlignment="1">
      <alignment horizontal="center" vertical="center" wrapText="1"/>
    </xf>
    <xf numFmtId="0" fontId="27" fillId="3" borderId="19" xfId="8" applyFont="1" applyFill="1" applyBorder="1" applyAlignment="1">
      <alignment horizontal="center" vertical="center"/>
    </xf>
    <xf numFmtId="377" fontId="59" fillId="3" borderId="19" xfId="6590" applyNumberFormat="1" applyFont="1" applyFill="1" applyBorder="1" applyAlignment="1">
      <alignment horizontal="center" vertical="center" wrapText="1"/>
    </xf>
    <xf numFmtId="10" fontId="59" fillId="10" borderId="19" xfId="6590" applyNumberFormat="1" applyFont="1" applyFill="1" applyBorder="1" applyAlignment="1">
      <alignment horizontal="center" vertical="center" wrapText="1"/>
    </xf>
    <xf numFmtId="49" fontId="59" fillId="29" borderId="19" xfId="6590" applyNumberFormat="1" applyFont="1" applyFill="1" applyBorder="1" applyAlignment="1">
      <alignment horizontal="left" vertical="center" wrapText="1"/>
    </xf>
    <xf numFmtId="49" fontId="59" fillId="10" borderId="19" xfId="6590" applyNumberFormat="1" applyFont="1" applyFill="1" applyBorder="1" applyAlignment="1">
      <alignment horizontal="center" vertical="center"/>
    </xf>
    <xf numFmtId="180" fontId="59" fillId="10" borderId="19" xfId="6589" applyNumberFormat="1" applyFont="1" applyFill="1" applyBorder="1" applyAlignment="1">
      <alignment vertical="center"/>
    </xf>
    <xf numFmtId="10" fontId="59" fillId="10" borderId="19" xfId="4843" applyNumberFormat="1" applyFont="1" applyFill="1" applyBorder="1">
      <alignment vertical="center"/>
    </xf>
    <xf numFmtId="10" fontId="59" fillId="0" borderId="0" xfId="4843" applyNumberFormat="1" applyFont="1" applyFill="1" applyBorder="1">
      <alignment vertical="center"/>
    </xf>
    <xf numFmtId="0" fontId="53" fillId="3" borderId="19" xfId="8" applyFont="1" applyFill="1" applyBorder="1" applyAlignment="1">
      <alignment horizontal="center" vertical="center"/>
    </xf>
    <xf numFmtId="0" fontId="22" fillId="3" borderId="19" xfId="18" applyFont="1" applyFill="1" applyBorder="1" applyAlignment="1">
      <alignment horizontal="center" vertical="center" wrapText="1"/>
    </xf>
    <xf numFmtId="0" fontId="22" fillId="3" borderId="19" xfId="6592" applyFont="1" applyFill="1" applyBorder="1" applyAlignment="1">
      <alignment horizontal="center" vertical="center" wrapText="1"/>
    </xf>
    <xf numFmtId="377" fontId="59" fillId="3" borderId="85" xfId="6590" applyNumberFormat="1" applyFont="1" applyFill="1" applyBorder="1" applyAlignment="1">
      <alignment horizontal="center" vertical="center" wrapText="1"/>
    </xf>
    <xf numFmtId="41" fontId="25" fillId="3" borderId="19" xfId="9" applyFont="1" applyFill="1" applyBorder="1" applyAlignment="1">
      <alignment horizontal="center" vertical="center" wrapText="1"/>
    </xf>
    <xf numFmtId="10" fontId="28" fillId="29" borderId="19" xfId="6594" applyNumberFormat="1" applyFont="1" applyFill="1" applyBorder="1">
      <alignment vertical="center"/>
    </xf>
    <xf numFmtId="0" fontId="28" fillId="10" borderId="19" xfId="8" applyFont="1" applyFill="1" applyBorder="1">
      <alignment vertical="center"/>
    </xf>
    <xf numFmtId="0" fontId="75" fillId="0" borderId="0" xfId="6590" applyFont="1" applyAlignment="1">
      <alignment vertical="center"/>
    </xf>
    <xf numFmtId="0" fontId="28" fillId="0" borderId="0" xfId="6598" applyFont="1" applyAlignment="1"/>
    <xf numFmtId="377" fontId="59" fillId="3" borderId="18" xfId="6590" applyNumberFormat="1" applyFont="1" applyFill="1" applyBorder="1" applyAlignment="1">
      <alignment horizontal="center" vertical="center" wrapText="1"/>
    </xf>
    <xf numFmtId="377" fontId="59" fillId="3" borderId="20" xfId="6590" applyNumberFormat="1" applyFont="1" applyFill="1" applyBorder="1" applyAlignment="1">
      <alignment horizontal="center" vertical="center" wrapText="1"/>
    </xf>
    <xf numFmtId="377" fontId="59" fillId="3" borderId="14" xfId="6590" applyNumberFormat="1" applyFont="1" applyFill="1" applyBorder="1" applyAlignment="1">
      <alignment horizontal="center" vertical="center" wrapText="1"/>
    </xf>
    <xf numFmtId="377" fontId="59" fillId="31" borderId="19" xfId="6590" applyNumberFormat="1" applyFont="1" applyFill="1" applyBorder="1" applyAlignment="1">
      <alignment horizontal="center" vertical="center" wrapText="1"/>
    </xf>
    <xf numFmtId="10" fontId="59" fillId="31" borderId="19" xfId="6590" applyNumberFormat="1" applyFont="1" applyFill="1" applyBorder="1" applyAlignment="1">
      <alignment horizontal="center" vertical="center" wrapText="1"/>
    </xf>
    <xf numFmtId="49" fontId="59" fillId="31" borderId="19" xfId="6590" applyNumberFormat="1" applyFont="1" applyFill="1" applyBorder="1" applyAlignment="1">
      <alignment horizontal="left" vertical="center" wrapText="1"/>
    </xf>
    <xf numFmtId="49" fontId="59" fillId="4" borderId="19" xfId="6590" applyNumberFormat="1" applyFont="1" applyFill="1" applyBorder="1" applyAlignment="1">
      <alignment horizontal="center" vertical="center"/>
    </xf>
    <xf numFmtId="180" fontId="59" fillId="31" borderId="19" xfId="6589" applyNumberFormat="1" applyFont="1" applyFill="1" applyBorder="1" applyAlignment="1">
      <alignment vertical="center"/>
    </xf>
    <xf numFmtId="10" fontId="59" fillId="31" borderId="19" xfId="4843" applyNumberFormat="1" applyFont="1" applyFill="1" applyBorder="1">
      <alignment vertical="center"/>
    </xf>
    <xf numFmtId="49" fontId="59" fillId="4" borderId="19" xfId="6590" applyNumberFormat="1" applyFont="1" applyFill="1" applyBorder="1" applyAlignment="1">
      <alignment horizontal="left" vertical="center" wrapText="1"/>
    </xf>
    <xf numFmtId="10" fontId="59" fillId="0" borderId="19" xfId="6590" applyNumberFormat="1" applyFont="1" applyFill="1" applyBorder="1" applyAlignment="1">
      <alignment horizontal="center" vertical="center" wrapText="1"/>
    </xf>
    <xf numFmtId="49" fontId="59" fillId="0" borderId="19" xfId="6590" applyNumberFormat="1" applyFont="1" applyFill="1" applyBorder="1" applyAlignment="1">
      <alignment horizontal="left" vertical="center" wrapText="1"/>
    </xf>
    <xf numFmtId="377" fontId="59" fillId="4" borderId="19" xfId="6590" applyNumberFormat="1" applyFont="1" applyFill="1" applyBorder="1" applyAlignment="1">
      <alignment horizontal="center" vertical="center" wrapText="1"/>
    </xf>
    <xf numFmtId="10" fontId="59" fillId="4" borderId="19" xfId="6590" applyNumberFormat="1" applyFont="1" applyFill="1" applyBorder="1" applyAlignment="1">
      <alignment horizontal="center" vertical="center" wrapText="1"/>
    </xf>
    <xf numFmtId="180" fontId="59" fillId="4" borderId="19" xfId="6589" applyNumberFormat="1" applyFont="1" applyFill="1" applyBorder="1" applyAlignment="1">
      <alignment vertical="center"/>
    </xf>
    <xf numFmtId="10" fontId="59" fillId="4" borderId="19" xfId="4843" applyNumberFormat="1" applyFont="1" applyFill="1" applyBorder="1">
      <alignment vertical="center"/>
    </xf>
    <xf numFmtId="0" fontId="58" fillId="3" borderId="21" xfId="12" applyFont="1" applyFill="1" applyBorder="1" applyAlignment="1">
      <alignment horizontal="center" vertical="center" wrapText="1"/>
    </xf>
    <xf numFmtId="0" fontId="58" fillId="3" borderId="23" xfId="12" applyFont="1" applyFill="1" applyBorder="1" applyAlignment="1">
      <alignment horizontal="center" vertical="center" wrapText="1"/>
    </xf>
    <xf numFmtId="0" fontId="59" fillId="0" borderId="0" xfId="0" applyFont="1" applyAlignment="1">
      <alignment horizontal="center" vertical="center"/>
    </xf>
    <xf numFmtId="378" fontId="59" fillId="4" borderId="29" xfId="12" quotePrefix="1" applyNumberFormat="1" applyFont="1" applyFill="1" applyBorder="1" applyAlignment="1">
      <alignment horizontal="left" vertical="top" wrapText="1"/>
    </xf>
    <xf numFmtId="0" fontId="59" fillId="29" borderId="59" xfId="12" applyFont="1" applyFill="1" applyBorder="1" applyAlignment="1">
      <alignment vertical="top" wrapText="1"/>
    </xf>
    <xf numFmtId="377" fontId="59" fillId="4" borderId="29" xfId="12" quotePrefix="1" applyNumberFormat="1" applyFont="1" applyFill="1" applyBorder="1" applyAlignment="1">
      <alignment horizontal="left" vertical="top" wrapText="1"/>
    </xf>
    <xf numFmtId="0" fontId="59" fillId="3" borderId="29" xfId="12" applyNumberFormat="1" applyFont="1" applyFill="1" applyBorder="1" applyAlignment="1">
      <alignment horizontal="left" vertical="top" wrapText="1"/>
    </xf>
    <xf numFmtId="0" fontId="59" fillId="3" borderId="29" xfId="12" quotePrefix="1" applyNumberFormat="1" applyFont="1" applyFill="1" applyBorder="1" applyAlignment="1">
      <alignment horizontal="left" vertical="top" wrapText="1"/>
    </xf>
    <xf numFmtId="0" fontId="59" fillId="4" borderId="29" xfId="12" quotePrefix="1" applyNumberFormat="1" applyFont="1" applyFill="1" applyBorder="1" applyAlignment="1">
      <alignment horizontal="left" vertical="top"/>
    </xf>
    <xf numFmtId="0" fontId="59" fillId="4" borderId="59" xfId="12" applyFont="1" applyFill="1" applyBorder="1" applyAlignment="1">
      <alignment vertical="top" wrapText="1"/>
    </xf>
    <xf numFmtId="0" fontId="59" fillId="3" borderId="29" xfId="12" quotePrefix="1" applyNumberFormat="1" applyFont="1" applyFill="1" applyBorder="1" applyAlignment="1">
      <alignment horizontal="left" vertical="top"/>
    </xf>
    <xf numFmtId="0" fontId="59" fillId="29" borderId="59" xfId="12" applyFont="1" applyFill="1" applyBorder="1" applyAlignment="1">
      <alignment vertical="top"/>
    </xf>
    <xf numFmtId="0" fontId="59" fillId="4" borderId="29" xfId="12" quotePrefix="1" applyNumberFormat="1" applyFont="1" applyFill="1" applyBorder="1" applyAlignment="1">
      <alignment horizontal="left" vertical="top" wrapText="1"/>
    </xf>
    <xf numFmtId="0" fontId="59" fillId="4" borderId="59" xfId="12" applyFont="1" applyFill="1" applyBorder="1" applyAlignment="1">
      <alignment vertical="top"/>
    </xf>
    <xf numFmtId="377" fontId="59" fillId="113" borderId="29" xfId="12" quotePrefix="1" applyNumberFormat="1" applyFont="1" applyFill="1" applyBorder="1" applyAlignment="1">
      <alignment horizontal="left" vertical="top" wrapText="1"/>
    </xf>
    <xf numFmtId="378" fontId="59" fillId="113" borderId="29" xfId="12" quotePrefix="1" applyNumberFormat="1" applyFont="1" applyFill="1" applyBorder="1" applyAlignment="1">
      <alignment horizontal="left" vertical="top" wrapText="1"/>
    </xf>
    <xf numFmtId="0" fontId="59" fillId="113" borderId="29" xfId="12" quotePrefix="1" applyNumberFormat="1" applyFont="1" applyFill="1" applyBorder="1" applyAlignment="1">
      <alignment horizontal="left" vertical="top" wrapText="1"/>
    </xf>
    <xf numFmtId="0" fontId="59" fillId="113" borderId="29" xfId="12" quotePrefix="1" applyNumberFormat="1" applyFont="1" applyFill="1" applyBorder="1" applyAlignment="1">
      <alignment horizontal="left" vertical="top"/>
    </xf>
    <xf numFmtId="0" fontId="59" fillId="113" borderId="59" xfId="12" applyFont="1" applyFill="1" applyBorder="1" applyAlignment="1">
      <alignment vertical="top" wrapText="1"/>
    </xf>
    <xf numFmtId="0" fontId="59" fillId="113" borderId="59" xfId="12" applyFont="1" applyFill="1" applyBorder="1" applyAlignment="1">
      <alignment vertical="top"/>
    </xf>
    <xf numFmtId="0" fontId="20" fillId="0" borderId="0" xfId="0" applyFont="1" applyAlignment="1"/>
    <xf numFmtId="378" fontId="59" fillId="113" borderId="29" xfId="12" quotePrefix="1" applyNumberFormat="1" applyFont="1" applyFill="1" applyBorder="1" applyAlignment="1">
      <alignment horizontal="left" vertical="top"/>
    </xf>
    <xf numFmtId="0" fontId="19" fillId="0" borderId="0" xfId="0" applyFont="1"/>
    <xf numFmtId="0" fontId="479" fillId="0" borderId="0" xfId="0" applyFont="1"/>
    <xf numFmtId="0" fontId="59" fillId="4" borderId="0" xfId="0" applyFont="1" applyFill="1"/>
    <xf numFmtId="0" fontId="480" fillId="110" borderId="19" xfId="0" applyFont="1" applyFill="1" applyBorder="1" applyAlignment="1">
      <alignment horizontal="center" vertical="center" wrapText="1"/>
    </xf>
    <xf numFmtId="182" fontId="480" fillId="110" borderId="17" xfId="0" applyNumberFormat="1" applyFont="1" applyFill="1" applyBorder="1" applyAlignment="1">
      <alignment horizontal="center" vertical="center" wrapText="1"/>
    </xf>
    <xf numFmtId="0" fontId="480" fillId="110" borderId="17" xfId="0" applyFont="1" applyFill="1" applyBorder="1" applyAlignment="1">
      <alignment horizontal="center" vertical="center" wrapText="1"/>
    </xf>
    <xf numFmtId="182" fontId="20" fillId="0" borderId="0" xfId="0" applyNumberFormat="1" applyFont="1"/>
    <xf numFmtId="0" fontId="59" fillId="0" borderId="0" xfId="0" applyFont="1"/>
    <xf numFmtId="0" fontId="393" fillId="0" borderId="19" xfId="0" applyFont="1" applyBorder="1" applyAlignment="1">
      <alignment horizontal="center" vertical="center" wrapText="1"/>
    </xf>
    <xf numFmtId="182" fontId="393" fillId="0" borderId="17" xfId="0" applyNumberFormat="1" applyFont="1" applyBorder="1" applyAlignment="1">
      <alignment horizontal="center" vertical="center" wrapText="1"/>
    </xf>
    <xf numFmtId="3" fontId="392" fillId="0" borderId="17" xfId="0" applyNumberFormat="1" applyFont="1" applyBorder="1" applyAlignment="1">
      <alignment horizontal="center" vertical="center" wrapText="1"/>
    </xf>
    <xf numFmtId="0" fontId="393" fillId="0" borderId="17" xfId="0" applyNumberFormat="1" applyFont="1" applyBorder="1" applyAlignment="1">
      <alignment horizontal="center" vertical="center" wrapText="1"/>
    </xf>
    <xf numFmtId="0" fontId="20" fillId="0" borderId="0" xfId="0" applyNumberFormat="1" applyFont="1"/>
    <xf numFmtId="0" fontId="393" fillId="0" borderId="18" xfId="0" applyFont="1" applyBorder="1" applyAlignment="1">
      <alignment horizontal="center" vertical="center" wrapText="1"/>
    </xf>
    <xf numFmtId="182" fontId="393" fillId="0" borderId="38" xfId="0" applyNumberFormat="1" applyFont="1" applyBorder="1" applyAlignment="1">
      <alignment horizontal="center" vertical="center" wrapText="1"/>
    </xf>
    <xf numFmtId="3" fontId="392" fillId="0" borderId="38" xfId="0" applyNumberFormat="1" applyFont="1" applyBorder="1" applyAlignment="1">
      <alignment horizontal="center" vertical="center" wrapText="1"/>
    </xf>
    <xf numFmtId="0" fontId="393" fillId="0" borderId="38" xfId="0" applyNumberFormat="1" applyFont="1" applyBorder="1" applyAlignment="1">
      <alignment horizontal="center" vertical="center" wrapText="1"/>
    </xf>
    <xf numFmtId="0" fontId="392" fillId="0" borderId="38" xfId="0" applyFont="1" applyBorder="1" applyAlignment="1">
      <alignment horizontal="center" vertical="center" wrapText="1"/>
    </xf>
    <xf numFmtId="0" fontId="393" fillId="0" borderId="38" xfId="0" applyFont="1" applyBorder="1" applyAlignment="1">
      <alignment horizontal="center" vertical="center" wrapText="1"/>
    </xf>
    <xf numFmtId="0" fontId="393" fillId="0" borderId="20" xfId="0" applyFont="1" applyBorder="1" applyAlignment="1">
      <alignment horizontal="center" vertical="center" wrapText="1"/>
    </xf>
    <xf numFmtId="182" fontId="393" fillId="0" borderId="40" xfId="0" applyNumberFormat="1" applyFont="1" applyBorder="1" applyAlignment="1">
      <alignment horizontal="center" vertical="center" wrapText="1"/>
    </xf>
    <xf numFmtId="3" fontId="392" fillId="0" borderId="40" xfId="0" applyNumberFormat="1" applyFont="1" applyBorder="1" applyAlignment="1">
      <alignment horizontal="center" vertical="center" wrapText="1"/>
    </xf>
    <xf numFmtId="0" fontId="393" fillId="0" borderId="40" xfId="0" applyNumberFormat="1" applyFont="1" applyBorder="1" applyAlignment="1">
      <alignment horizontal="center" vertical="center" wrapText="1"/>
    </xf>
    <xf numFmtId="0" fontId="481" fillId="0" borderId="0" xfId="20" applyFont="1" applyAlignment="1">
      <alignment horizontal="center" vertical="center"/>
    </xf>
    <xf numFmtId="0" fontId="59" fillId="3" borderId="21" xfId="0" applyFont="1" applyFill="1" applyBorder="1" applyAlignment="1">
      <alignment horizontal="center" vertical="center"/>
    </xf>
    <xf numFmtId="0" fontId="59" fillId="3" borderId="23" xfId="0" applyFont="1" applyFill="1" applyBorder="1" applyAlignment="1">
      <alignment horizontal="center" vertical="center"/>
    </xf>
    <xf numFmtId="0" fontId="59" fillId="3" borderId="29" xfId="0" applyFont="1" applyFill="1" applyBorder="1" applyAlignment="1">
      <alignment horizontal="center" vertical="center" wrapText="1"/>
    </xf>
    <xf numFmtId="0" fontId="59" fillId="29" borderId="59" xfId="0" applyFont="1" applyFill="1" applyBorder="1" applyAlignment="1">
      <alignment vertical="center"/>
    </xf>
    <xf numFmtId="0" fontId="20" fillId="4" borderId="0" xfId="0" applyFont="1" applyFill="1" applyAlignment="1">
      <alignment wrapText="1"/>
    </xf>
    <xf numFmtId="0" fontId="2" fillId="0" borderId="0" xfId="19" applyFont="1">
      <alignment vertical="center"/>
    </xf>
    <xf numFmtId="9" fontId="28" fillId="29" borderId="161" xfId="5" applyFont="1" applyFill="1" applyBorder="1" applyAlignment="1" applyProtection="1">
      <alignment horizontal="center" vertical="center"/>
    </xf>
    <xf numFmtId="41" fontId="46" fillId="0" borderId="0" xfId="1" applyFont="1" applyAlignment="1">
      <alignment horizontal="center" vertical="center"/>
    </xf>
    <xf numFmtId="0" fontId="46" fillId="0" borderId="0" xfId="6" applyFont="1">
      <alignment vertical="center"/>
    </xf>
    <xf numFmtId="0" fontId="26" fillId="0" borderId="0" xfId="0" applyFont="1"/>
    <xf numFmtId="176" fontId="46" fillId="0" borderId="0" xfId="1" applyNumberFormat="1" applyFont="1" applyAlignment="1">
      <alignment horizontal="center" vertical="center"/>
    </xf>
    <xf numFmtId="181" fontId="46" fillId="0" borderId="0" xfId="6" applyNumberFormat="1" applyFont="1" applyAlignment="1">
      <alignment horizontal="center" vertical="center"/>
    </xf>
    <xf numFmtId="181" fontId="46" fillId="0" borderId="0" xfId="6" applyNumberFormat="1" applyFont="1" applyFill="1" applyAlignment="1">
      <alignment horizontal="center" vertical="center"/>
    </xf>
    <xf numFmtId="0" fontId="462" fillId="0" borderId="0" xfId="0" applyFont="1"/>
    <xf numFmtId="186" fontId="26" fillId="0" borderId="0" xfId="0" applyNumberFormat="1" applyFont="1"/>
    <xf numFmtId="0" fontId="26" fillId="0" borderId="0" xfId="0" applyFont="1" applyAlignment="1">
      <alignment vertical="center"/>
    </xf>
    <xf numFmtId="0" fontId="482" fillId="20" borderId="21" xfId="0" applyFont="1" applyFill="1" applyBorder="1" applyAlignment="1">
      <alignment horizontal="center" vertical="center"/>
    </xf>
    <xf numFmtId="186" fontId="482" fillId="20" borderId="22" xfId="0" applyNumberFormat="1" applyFont="1" applyFill="1" applyBorder="1" applyAlignment="1">
      <alignment horizontal="center" vertical="center"/>
    </xf>
    <xf numFmtId="0" fontId="26" fillId="15" borderId="29" xfId="0" applyFont="1" applyFill="1" applyBorder="1" applyAlignment="1">
      <alignment horizontal="center" vertical="center"/>
    </xf>
    <xf numFmtId="41" fontId="46" fillId="12" borderId="1" xfId="1" applyFont="1" applyFill="1" applyBorder="1" applyAlignment="1">
      <alignment vertical="center"/>
    </xf>
    <xf numFmtId="180" fontId="46" fillId="12" borderId="1" xfId="5" applyNumberFormat="1" applyFont="1" applyFill="1" applyBorder="1" applyAlignment="1">
      <alignment vertical="center"/>
    </xf>
    <xf numFmtId="0" fontId="26" fillId="15" borderId="101" xfId="0" applyFont="1" applyFill="1" applyBorder="1" applyAlignment="1">
      <alignment horizontal="center" vertical="center"/>
    </xf>
    <xf numFmtId="180" fontId="46" fillId="12" borderId="31" xfId="5" applyNumberFormat="1" applyFont="1" applyFill="1" applyBorder="1" applyAlignment="1">
      <alignment vertical="center"/>
    </xf>
    <xf numFmtId="180" fontId="46" fillId="12" borderId="121" xfId="5" applyNumberFormat="1" applyFont="1" applyFill="1" applyBorder="1" applyAlignment="1">
      <alignment vertical="center"/>
    </xf>
    <xf numFmtId="0" fontId="26" fillId="15" borderId="25" xfId="0" applyFont="1" applyFill="1" applyBorder="1" applyAlignment="1">
      <alignment horizontal="center" vertical="center"/>
    </xf>
    <xf numFmtId="41" fontId="46" fillId="12" borderId="26" xfId="1" applyFont="1" applyFill="1" applyBorder="1" applyAlignment="1">
      <alignment vertical="center"/>
    </xf>
    <xf numFmtId="180" fontId="26" fillId="0" borderId="0" xfId="5" applyNumberFormat="1" applyFont="1" applyAlignment="1"/>
    <xf numFmtId="0" fontId="483" fillId="0" borderId="0" xfId="0" applyFont="1" applyAlignment="1">
      <alignment vertical="center"/>
    </xf>
    <xf numFmtId="180" fontId="484" fillId="12" borderId="103" xfId="5" applyNumberFormat="1" applyFont="1" applyFill="1" applyBorder="1" applyAlignment="1">
      <alignment horizontal="center" vertical="center"/>
    </xf>
    <xf numFmtId="0" fontId="23" fillId="10" borderId="0" xfId="0" applyFont="1" applyFill="1" applyAlignment="1">
      <alignment vertical="center"/>
    </xf>
    <xf numFmtId="180" fontId="485" fillId="10" borderId="0" xfId="0" applyNumberFormat="1" applyFont="1" applyFill="1"/>
    <xf numFmtId="0" fontId="26" fillId="10" borderId="0" xfId="0" applyFont="1" applyFill="1"/>
    <xf numFmtId="2" fontId="26" fillId="0" borderId="0" xfId="0" applyNumberFormat="1" applyFont="1" applyAlignment="1">
      <alignment vertical="center"/>
    </xf>
    <xf numFmtId="0" fontId="486" fillId="10" borderId="0" xfId="6" quotePrefix="1" applyFont="1" applyFill="1">
      <alignment vertical="center"/>
    </xf>
    <xf numFmtId="0" fontId="29" fillId="10" borderId="0" xfId="6" applyFont="1" applyFill="1">
      <alignment vertical="center"/>
    </xf>
    <xf numFmtId="9" fontId="29" fillId="0" borderId="0" xfId="6" applyNumberFormat="1" applyFont="1">
      <alignment vertical="center"/>
    </xf>
    <xf numFmtId="0" fontId="487" fillId="0" borderId="0" xfId="6" applyFont="1" applyAlignment="1">
      <alignment horizontal="left" vertical="center"/>
    </xf>
    <xf numFmtId="180" fontId="29" fillId="0" borderId="0" xfId="6" applyNumberFormat="1" applyFont="1">
      <alignment vertical="center"/>
    </xf>
    <xf numFmtId="374" fontId="29" fillId="0" borderId="0" xfId="1" applyNumberFormat="1" applyFont="1" applyAlignment="1">
      <alignment vertical="center"/>
    </xf>
    <xf numFmtId="0" fontId="488" fillId="20" borderId="76" xfId="6" applyFont="1" applyFill="1" applyBorder="1" applyAlignment="1">
      <alignment horizontal="center" vertical="center"/>
    </xf>
    <xf numFmtId="0" fontId="488" fillId="20" borderId="22" xfId="6" applyFont="1" applyFill="1" applyBorder="1" applyAlignment="1">
      <alignment horizontal="center" vertical="center"/>
    </xf>
    <xf numFmtId="0" fontId="483" fillId="0" borderId="0" xfId="0" applyFont="1"/>
    <xf numFmtId="43" fontId="29" fillId="0" borderId="0" xfId="6" applyNumberFormat="1" applyFont="1">
      <alignment vertical="center"/>
    </xf>
    <xf numFmtId="180" fontId="46" fillId="12" borderId="81" xfId="5" applyNumberFormat="1" applyFont="1" applyFill="1" applyBorder="1">
      <alignment vertical="center"/>
    </xf>
    <xf numFmtId="0" fontId="489" fillId="20" borderId="21" xfId="6" applyFont="1" applyFill="1" applyBorder="1" applyAlignment="1">
      <alignment horizontal="center" vertical="center"/>
    </xf>
    <xf numFmtId="0" fontId="488" fillId="20" borderId="22" xfId="6" applyFont="1" applyFill="1" applyBorder="1" applyAlignment="1">
      <alignment horizontal="center" vertical="center" wrapText="1"/>
    </xf>
    <xf numFmtId="0" fontId="490" fillId="13" borderId="22" xfId="6" applyFont="1" applyFill="1" applyBorder="1" applyAlignment="1">
      <alignment horizontal="center" vertical="center"/>
    </xf>
    <xf numFmtId="0" fontId="490" fillId="13" borderId="89" xfId="6" applyFont="1" applyFill="1" applyBorder="1" applyAlignment="1">
      <alignment horizontal="center" vertical="center"/>
    </xf>
    <xf numFmtId="0" fontId="463" fillId="20" borderId="1" xfId="6" applyFont="1" applyFill="1" applyBorder="1" applyAlignment="1">
      <alignment horizontal="center" vertical="center"/>
    </xf>
    <xf numFmtId="368" fontId="491" fillId="12" borderId="106" xfId="1" applyNumberFormat="1" applyFont="1" applyFill="1" applyBorder="1" applyAlignment="1">
      <alignment horizontal="center" vertical="center"/>
    </xf>
    <xf numFmtId="180" fontId="46" fillId="12" borderId="26" xfId="5" applyNumberFormat="1" applyFont="1" applyFill="1" applyBorder="1">
      <alignment vertical="center"/>
    </xf>
    <xf numFmtId="10" fontId="46" fillId="12" borderId="26" xfId="6" applyNumberFormat="1" applyFont="1" applyFill="1" applyBorder="1">
      <alignment vertical="center"/>
    </xf>
    <xf numFmtId="43" fontId="46" fillId="12" borderId="26" xfId="6" applyNumberFormat="1" applyFont="1" applyFill="1" applyBorder="1">
      <alignment vertical="center"/>
    </xf>
    <xf numFmtId="180" fontId="46" fillId="12" borderId="56" xfId="5" applyNumberFormat="1" applyFont="1" applyFill="1" applyBorder="1" applyAlignment="1">
      <alignment horizontal="center" vertical="center"/>
    </xf>
    <xf numFmtId="0" fontId="46" fillId="0" borderId="1" xfId="6" applyFont="1" applyFill="1" applyBorder="1">
      <alignment vertical="center"/>
    </xf>
    <xf numFmtId="0" fontId="46" fillId="0" borderId="1" xfId="6" applyFont="1" applyBorder="1">
      <alignment vertical="center"/>
    </xf>
    <xf numFmtId="43" fontId="46" fillId="0" borderId="0" xfId="6" applyNumberFormat="1" applyFont="1">
      <alignment vertical="center"/>
    </xf>
    <xf numFmtId="43" fontId="50" fillId="0" borderId="0" xfId="6" applyNumberFormat="1" applyFont="1">
      <alignment vertical="center"/>
    </xf>
    <xf numFmtId="0" fontId="492" fillId="0" borderId="0" xfId="0" applyFont="1"/>
    <xf numFmtId="41" fontId="26" fillId="0" borderId="0" xfId="1" applyFont="1" applyAlignment="1"/>
    <xf numFmtId="180" fontId="46" fillId="0" borderId="0" xfId="5" applyNumberFormat="1" applyFont="1">
      <alignment vertical="center"/>
    </xf>
    <xf numFmtId="0" fontId="438" fillId="20" borderId="21" xfId="6" applyFont="1" applyFill="1" applyBorder="1" applyAlignment="1">
      <alignment vertical="center" wrapText="1"/>
    </xf>
    <xf numFmtId="0" fontId="379" fillId="20" borderId="22" xfId="6" applyFont="1" applyFill="1" applyBorder="1" applyAlignment="1">
      <alignment horizontal="center" vertical="center" wrapText="1"/>
    </xf>
    <xf numFmtId="0" fontId="379" fillId="20" borderId="28" xfId="6" applyFont="1" applyFill="1" applyBorder="1" applyAlignment="1">
      <alignment horizontal="center" vertical="center" wrapText="1"/>
    </xf>
    <xf numFmtId="0" fontId="31" fillId="15" borderId="107" xfId="6" applyFont="1" applyFill="1" applyBorder="1" applyAlignment="1">
      <alignment vertical="center" wrapText="1"/>
    </xf>
    <xf numFmtId="0" fontId="33" fillId="15" borderId="110" xfId="6" quotePrefix="1" applyFont="1" applyFill="1" applyBorder="1" applyAlignment="1">
      <alignment horizontal="left" vertical="center" wrapText="1" indent="1"/>
    </xf>
    <xf numFmtId="0" fontId="31" fillId="15" borderId="110" xfId="6" quotePrefix="1" applyFont="1" applyFill="1" applyBorder="1" applyAlignment="1">
      <alignment vertical="center" wrapText="1"/>
    </xf>
    <xf numFmtId="0" fontId="464" fillId="15" borderId="110" xfId="6" quotePrefix="1" applyFont="1" applyFill="1" applyBorder="1" applyAlignment="1">
      <alignment horizontal="left" vertical="center" wrapText="1" indent="1"/>
    </xf>
    <xf numFmtId="0" fontId="46" fillId="0" borderId="0" xfId="6" applyFont="1" applyFill="1">
      <alignment vertical="center"/>
    </xf>
    <xf numFmtId="0" fontId="46" fillId="15" borderId="110" xfId="6" quotePrefix="1" applyFont="1" applyFill="1" applyBorder="1" applyAlignment="1">
      <alignment horizontal="left" vertical="center" wrapText="1" indent="1"/>
    </xf>
    <xf numFmtId="41" fontId="26" fillId="12" borderId="111" xfId="1" applyFont="1" applyFill="1" applyBorder="1" applyAlignment="1">
      <alignment vertical="center"/>
    </xf>
    <xf numFmtId="0" fontId="31" fillId="15" borderId="110" xfId="6" applyFont="1" applyFill="1" applyBorder="1" applyAlignment="1">
      <alignment vertical="center" wrapText="1"/>
    </xf>
    <xf numFmtId="0" fontId="33" fillId="15" borderId="110" xfId="6" applyFont="1" applyFill="1" applyBorder="1" applyAlignment="1">
      <alignment vertical="center" wrapText="1"/>
    </xf>
    <xf numFmtId="0" fontId="33" fillId="15" borderId="334" xfId="6" applyFont="1" applyFill="1" applyBorder="1" applyAlignment="1">
      <alignment vertical="center" wrapText="1"/>
    </xf>
    <xf numFmtId="0" fontId="31" fillId="15" borderId="113" xfId="6" applyFont="1" applyFill="1" applyBorder="1" applyAlignment="1">
      <alignment vertical="center" wrapText="1"/>
    </xf>
    <xf numFmtId="0" fontId="493" fillId="0" borderId="0" xfId="6" applyFont="1" applyFill="1">
      <alignment vertical="center"/>
    </xf>
    <xf numFmtId="14" fontId="483" fillId="0" borderId="0" xfId="0" applyNumberFormat="1" applyFont="1"/>
    <xf numFmtId="0" fontId="490" fillId="13" borderId="22" xfId="6" applyFont="1" applyFill="1" applyBorder="1" applyAlignment="1">
      <alignment horizontal="center" vertical="center" wrapText="1"/>
    </xf>
    <xf numFmtId="0" fontId="490" fillId="13" borderId="23" xfId="6" applyFont="1" applyFill="1" applyBorder="1" applyAlignment="1">
      <alignment horizontal="center" vertical="center"/>
    </xf>
    <xf numFmtId="181" fontId="491" fillId="12" borderId="25" xfId="1" applyNumberFormat="1" applyFont="1" applyFill="1" applyBorder="1" applyAlignment="1">
      <alignment horizontal="center" vertical="center"/>
    </xf>
    <xf numFmtId="180" fontId="493" fillId="12" borderId="26" xfId="5" applyNumberFormat="1" applyFont="1" applyFill="1" applyBorder="1">
      <alignment vertical="center"/>
    </xf>
    <xf numFmtId="0" fontId="493" fillId="12" borderId="26" xfId="5" applyNumberFormat="1" applyFont="1" applyFill="1" applyBorder="1">
      <alignment vertical="center"/>
    </xf>
    <xf numFmtId="180" fontId="493" fillId="12" borderId="26" xfId="6" applyNumberFormat="1" applyFont="1" applyFill="1" applyBorder="1">
      <alignment vertical="center"/>
    </xf>
    <xf numFmtId="41" fontId="493" fillId="12" borderId="27" xfId="6" applyNumberFormat="1" applyFont="1" applyFill="1" applyBorder="1">
      <alignment vertical="center"/>
    </xf>
    <xf numFmtId="9" fontId="493" fillId="12" borderId="27" xfId="6" applyNumberFormat="1" applyFont="1" applyFill="1" applyBorder="1">
      <alignment vertical="center"/>
    </xf>
    <xf numFmtId="176" fontId="29" fillId="0" borderId="0" xfId="1" applyNumberFormat="1" applyFont="1" applyAlignment="1">
      <alignment vertical="center"/>
    </xf>
    <xf numFmtId="176" fontId="493" fillId="0" borderId="0" xfId="1" applyNumberFormat="1" applyFont="1" applyFill="1" applyAlignment="1">
      <alignment vertical="center"/>
    </xf>
    <xf numFmtId="43" fontId="493" fillId="0" borderId="0" xfId="6" applyNumberFormat="1" applyFont="1" applyFill="1">
      <alignment vertical="center"/>
    </xf>
    <xf numFmtId="9" fontId="493" fillId="0" borderId="0" xfId="6" applyNumberFormat="1" applyFont="1" applyFill="1" applyBorder="1">
      <alignment vertical="center"/>
    </xf>
    <xf numFmtId="0" fontId="31" fillId="15" borderId="29" xfId="6" applyFont="1" applyFill="1" applyBorder="1" applyAlignment="1">
      <alignment vertical="center" wrapText="1"/>
    </xf>
    <xf numFmtId="0" fontId="33" fillId="15" borderId="29" xfId="6" quotePrefix="1" applyFont="1" applyFill="1" applyBorder="1" applyAlignment="1">
      <alignment horizontal="left" vertical="center" wrapText="1" indent="1"/>
    </xf>
    <xf numFmtId="0" fontId="31" fillId="15" borderId="29" xfId="6" quotePrefix="1" applyFont="1" applyFill="1" applyBorder="1" applyAlignment="1">
      <alignment vertical="center" wrapText="1"/>
    </xf>
    <xf numFmtId="0" fontId="33" fillId="15" borderId="29" xfId="6" applyFont="1" applyFill="1" applyBorder="1" applyAlignment="1">
      <alignment vertical="center" wrapText="1"/>
    </xf>
    <xf numFmtId="0" fontId="31" fillId="15" borderId="25" xfId="6" applyFont="1" applyFill="1" applyBorder="1" applyAlignment="1">
      <alignment vertical="center" wrapText="1"/>
    </xf>
    <xf numFmtId="0" fontId="464" fillId="0" borderId="0" xfId="6" applyFont="1">
      <alignment vertical="center"/>
    </xf>
    <xf numFmtId="0" fontId="438" fillId="20" borderId="125" xfId="6" applyFont="1" applyFill="1" applyBorder="1" applyAlignment="1">
      <alignment horizontal="center" vertical="center"/>
    </xf>
    <xf numFmtId="0" fontId="29" fillId="15" borderId="29" xfId="6" applyFont="1" applyFill="1" applyBorder="1" applyAlignment="1">
      <alignment horizontal="center" vertical="center" wrapText="1"/>
    </xf>
    <xf numFmtId="0" fontId="423" fillId="15" borderId="79" xfId="6" applyFont="1" applyFill="1" applyBorder="1" applyAlignment="1">
      <alignment horizontal="center" vertical="center" wrapText="1"/>
    </xf>
    <xf numFmtId="0" fontId="423" fillId="15" borderId="80" xfId="6" applyFont="1" applyFill="1" applyBorder="1" applyAlignment="1">
      <alignment horizontal="center" vertical="center" wrapText="1"/>
    </xf>
    <xf numFmtId="0" fontId="423" fillId="15" borderId="24" xfId="6" applyFont="1" applyFill="1" applyBorder="1" applyAlignment="1">
      <alignment horizontal="center" vertical="center" wrapText="1"/>
    </xf>
    <xf numFmtId="0" fontId="423" fillId="15" borderId="1" xfId="6" applyFont="1" applyFill="1" applyBorder="1" applyAlignment="1">
      <alignment horizontal="center" vertical="center" wrapText="1"/>
    </xf>
    <xf numFmtId="0" fontId="423" fillId="15" borderId="59" xfId="6" applyFont="1" applyFill="1" applyBorder="1" applyAlignment="1">
      <alignment horizontal="center" vertical="center" wrapText="1"/>
    </xf>
    <xf numFmtId="0" fontId="494" fillId="20" borderId="214" xfId="6" applyFont="1" applyFill="1" applyBorder="1" applyAlignment="1">
      <alignment horizontal="center" vertical="center"/>
    </xf>
    <xf numFmtId="10" fontId="493" fillId="29" borderId="154" xfId="5" applyNumberFormat="1" applyFont="1" applyFill="1" applyBorder="1">
      <alignment vertical="center"/>
    </xf>
    <xf numFmtId="10" fontId="493" fillId="29" borderId="219" xfId="5" applyNumberFormat="1" applyFont="1" applyFill="1" applyBorder="1">
      <alignment vertical="center"/>
    </xf>
    <xf numFmtId="10" fontId="493" fillId="29" borderId="220" xfId="5" applyNumberFormat="1" applyFont="1" applyFill="1" applyBorder="1" applyAlignment="1">
      <alignment vertical="center"/>
    </xf>
    <xf numFmtId="176" fontId="493" fillId="29" borderId="155" xfId="1" applyNumberFormat="1" applyFont="1" applyFill="1" applyBorder="1" applyAlignment="1">
      <alignment vertical="center"/>
    </xf>
    <xf numFmtId="176" fontId="493" fillId="29" borderId="217" xfId="1" applyNumberFormat="1" applyFont="1" applyFill="1" applyBorder="1" applyAlignment="1">
      <alignment vertical="center"/>
    </xf>
    <xf numFmtId="176" fontId="493" fillId="29" borderId="218" xfId="1" applyNumberFormat="1" applyFont="1" applyFill="1" applyBorder="1" applyAlignment="1">
      <alignment vertical="center"/>
    </xf>
    <xf numFmtId="0" fontId="493" fillId="0" borderId="0" xfId="6" applyFont="1">
      <alignment vertical="center"/>
    </xf>
    <xf numFmtId="0" fontId="494" fillId="20" borderId="213" xfId="6" applyFont="1" applyFill="1" applyBorder="1" applyAlignment="1">
      <alignment horizontal="center" vertical="center"/>
    </xf>
    <xf numFmtId="180" fontId="493" fillId="0" borderId="122" xfId="5" applyNumberFormat="1" applyFont="1" applyFill="1" applyBorder="1">
      <alignment vertical="center"/>
    </xf>
    <xf numFmtId="180" fontId="493" fillId="0" borderId="210" xfId="5" applyNumberFormat="1" applyFont="1" applyFill="1" applyBorder="1">
      <alignment vertical="center"/>
    </xf>
    <xf numFmtId="180" fontId="493" fillId="0" borderId="211" xfId="5" applyNumberFormat="1" applyFont="1" applyFill="1" applyBorder="1">
      <alignment vertical="center"/>
    </xf>
    <xf numFmtId="41" fontId="493" fillId="12" borderId="71" xfId="1" applyFont="1" applyFill="1" applyBorder="1" applyAlignment="1">
      <alignment vertical="center"/>
    </xf>
    <xf numFmtId="41" fontId="493" fillId="12" borderId="72" xfId="1" applyFont="1" applyFill="1" applyBorder="1" applyAlignment="1">
      <alignment vertical="center"/>
    </xf>
    <xf numFmtId="41" fontId="493" fillId="12" borderId="73" xfId="1" applyFont="1" applyFill="1" applyBorder="1" applyAlignment="1">
      <alignment vertical="center"/>
    </xf>
    <xf numFmtId="41" fontId="493" fillId="12" borderId="215" xfId="1" applyFont="1" applyFill="1" applyBorder="1" applyAlignment="1">
      <alignment vertical="center"/>
    </xf>
    <xf numFmtId="0" fontId="379" fillId="20" borderId="21" xfId="6" applyFont="1" applyFill="1" applyBorder="1" applyAlignment="1">
      <alignment horizontal="center" vertical="center" wrapText="1"/>
    </xf>
    <xf numFmtId="0" fontId="438" fillId="20" borderId="22" xfId="6" applyFont="1" applyFill="1" applyBorder="1" applyAlignment="1">
      <alignment horizontal="center" vertical="center" wrapText="1"/>
    </xf>
    <xf numFmtId="0" fontId="438" fillId="20" borderId="78" xfId="6" applyFont="1" applyFill="1" applyBorder="1" applyAlignment="1">
      <alignment horizontal="center" vertical="center" wrapText="1"/>
    </xf>
    <xf numFmtId="0" fontId="438" fillId="20" borderId="76" xfId="6" applyFont="1" applyFill="1" applyBorder="1" applyAlignment="1">
      <alignment horizontal="center" vertical="center" wrapText="1"/>
    </xf>
    <xf numFmtId="0" fontId="438" fillId="20" borderId="23" xfId="6" applyFont="1" applyFill="1" applyBorder="1" applyAlignment="1">
      <alignment horizontal="center" vertical="center" wrapText="1"/>
    </xf>
    <xf numFmtId="0" fontId="379" fillId="20" borderId="21" xfId="6" applyFont="1" applyFill="1" applyBorder="1" applyAlignment="1">
      <alignment horizontal="center" vertical="center" shrinkToFit="1"/>
    </xf>
    <xf numFmtId="0" fontId="438" fillId="20" borderId="22" xfId="6" applyFont="1" applyFill="1" applyBorder="1" applyAlignment="1">
      <alignment horizontal="center" vertical="center" shrinkToFit="1"/>
    </xf>
    <xf numFmtId="0" fontId="438" fillId="20" borderId="22" xfId="6" applyFont="1" applyFill="1" applyBorder="1" applyAlignment="1">
      <alignment horizontal="center" vertical="top" shrinkToFit="1"/>
    </xf>
    <xf numFmtId="0" fontId="438" fillId="20" borderId="23" xfId="6" applyFont="1" applyFill="1" applyBorder="1" applyAlignment="1">
      <alignment horizontal="center" vertical="center" shrinkToFit="1"/>
    </xf>
    <xf numFmtId="0" fontId="472" fillId="15" borderId="65" xfId="6" applyFont="1" applyFill="1" applyBorder="1" applyAlignment="1">
      <alignment horizontal="center" vertical="center" wrapText="1"/>
    </xf>
    <xf numFmtId="41" fontId="493" fillId="12" borderId="66" xfId="1" applyFont="1" applyFill="1" applyBorder="1" applyAlignment="1">
      <alignment vertical="center"/>
    </xf>
    <xf numFmtId="41" fontId="493" fillId="12" borderId="91" xfId="1" applyFont="1" applyFill="1" applyBorder="1" applyAlignment="1">
      <alignment vertical="center"/>
    </xf>
    <xf numFmtId="41" fontId="493" fillId="12" borderId="69" xfId="1" applyFont="1" applyFill="1" applyBorder="1" applyAlignment="1">
      <alignment vertical="center"/>
    </xf>
    <xf numFmtId="184" fontId="493" fillId="12" borderId="69" xfId="1" applyNumberFormat="1" applyFont="1" applyFill="1" applyBorder="1" applyAlignment="1">
      <alignment vertical="center"/>
    </xf>
    <xf numFmtId="41" fontId="493" fillId="12" borderId="77" xfId="1" applyFont="1" applyFill="1" applyBorder="1" applyAlignment="1">
      <alignment vertical="center"/>
    </xf>
    <xf numFmtId="0" fontId="472" fillId="15" borderId="68" xfId="6" applyFont="1" applyFill="1" applyBorder="1" applyAlignment="1">
      <alignment horizontal="center" vertical="center" wrapText="1"/>
    </xf>
    <xf numFmtId="41" fontId="493" fillId="12" borderId="92" xfId="1" applyFont="1" applyFill="1" applyBorder="1" applyAlignment="1">
      <alignment vertical="center"/>
    </xf>
    <xf numFmtId="41" fontId="493" fillId="12" borderId="70" xfId="1" applyFont="1" applyFill="1" applyBorder="1" applyAlignment="1">
      <alignment vertical="center"/>
    </xf>
    <xf numFmtId="0" fontId="472" fillId="15" borderId="71" xfId="6" applyFont="1" applyFill="1" applyBorder="1" applyAlignment="1">
      <alignment horizontal="center" vertical="center" wrapText="1"/>
    </xf>
    <xf numFmtId="41" fontId="493" fillId="12" borderId="93" xfId="1" applyFont="1" applyFill="1" applyBorder="1" applyAlignment="1">
      <alignment vertical="center"/>
    </xf>
    <xf numFmtId="184" fontId="493" fillId="12" borderId="72" xfId="1" applyNumberFormat="1" applyFont="1" applyFill="1" applyBorder="1" applyAlignment="1">
      <alignment vertical="center"/>
    </xf>
    <xf numFmtId="41" fontId="493" fillId="12" borderId="216" xfId="1" applyFont="1" applyFill="1" applyBorder="1" applyAlignment="1">
      <alignment vertical="center"/>
    </xf>
    <xf numFmtId="41" fontId="29" fillId="0" borderId="0" xfId="1" applyFont="1" applyAlignment="1">
      <alignment vertical="center"/>
    </xf>
    <xf numFmtId="0" fontId="29" fillId="22" borderId="0" xfId="6" applyFont="1" applyFill="1">
      <alignment vertical="center"/>
    </xf>
    <xf numFmtId="41" fontId="29" fillId="22" borderId="0" xfId="1" applyFont="1" applyFill="1" applyAlignment="1">
      <alignment vertical="center"/>
    </xf>
    <xf numFmtId="0" fontId="29" fillId="0" borderId="0" xfId="6" applyFont="1" applyFill="1" applyBorder="1">
      <alignment vertical="center"/>
    </xf>
    <xf numFmtId="0" fontId="493" fillId="0" borderId="0" xfId="0" applyFont="1"/>
    <xf numFmtId="0" fontId="496" fillId="0" borderId="0" xfId="0" applyFont="1"/>
    <xf numFmtId="0" fontId="497" fillId="16" borderId="57" xfId="0" applyFont="1" applyFill="1" applyBorder="1" applyAlignment="1">
      <alignment horizontal="center" vertical="center"/>
    </xf>
    <xf numFmtId="0" fontId="26" fillId="10" borderId="58" xfId="0" applyFont="1" applyFill="1" applyBorder="1" applyAlignment="1">
      <alignment horizontal="center" vertical="center"/>
    </xf>
    <xf numFmtId="0" fontId="498" fillId="0" borderId="0" xfId="0" applyFont="1"/>
    <xf numFmtId="187" fontId="26" fillId="0" borderId="0" xfId="0" applyNumberFormat="1" applyFont="1"/>
    <xf numFmtId="0" fontId="499" fillId="14" borderId="19" xfId="0" applyFont="1" applyFill="1" applyBorder="1" applyAlignment="1">
      <alignment horizontal="center" vertical="center" wrapText="1"/>
    </xf>
    <xf numFmtId="0" fontId="499" fillId="14" borderId="45" xfId="0" applyFont="1" applyFill="1" applyBorder="1" applyAlignment="1">
      <alignment horizontal="center" vertical="center" wrapText="1"/>
    </xf>
    <xf numFmtId="0" fontId="23" fillId="12" borderId="46" xfId="0" applyFont="1" applyFill="1" applyBorder="1" applyAlignment="1">
      <alignment horizontal="center" vertical="center" wrapText="1"/>
    </xf>
    <xf numFmtId="0" fontId="24" fillId="12" borderId="47" xfId="0" applyFont="1" applyFill="1" applyBorder="1" applyAlignment="1">
      <alignment horizontal="center" vertical="center" wrapText="1"/>
    </xf>
    <xf numFmtId="1" fontId="499" fillId="12" borderId="47" xfId="0" applyNumberFormat="1" applyFont="1" applyFill="1" applyBorder="1" applyAlignment="1">
      <alignment horizontal="center" vertical="center" wrapText="1"/>
    </xf>
    <xf numFmtId="0" fontId="23" fillId="12" borderId="47" xfId="0" applyFont="1" applyFill="1" applyBorder="1" applyAlignment="1">
      <alignment horizontal="center" vertical="center" wrapText="1"/>
    </xf>
    <xf numFmtId="0" fontId="499" fillId="12" borderId="47" xfId="0" applyFont="1" applyFill="1" applyBorder="1" applyAlignment="1">
      <alignment horizontal="center" vertical="center" wrapText="1"/>
    </xf>
    <xf numFmtId="0" fontId="23" fillId="12" borderId="48" xfId="0" applyFont="1" applyFill="1" applyBorder="1" applyAlignment="1">
      <alignment horizontal="center" vertical="center" wrapText="1"/>
    </xf>
    <xf numFmtId="14" fontId="26" fillId="0" borderId="0" xfId="0" applyNumberFormat="1" applyFont="1"/>
    <xf numFmtId="184" fontId="26" fillId="0" borderId="0" xfId="0" applyNumberFormat="1" applyFont="1"/>
    <xf numFmtId="178" fontId="26" fillId="0" borderId="0" xfId="0" applyNumberFormat="1" applyFont="1"/>
    <xf numFmtId="14" fontId="492" fillId="0" borderId="0" xfId="0" applyNumberFormat="1" applyFont="1"/>
    <xf numFmtId="0" fontId="23" fillId="14" borderId="19" xfId="0" applyFont="1" applyFill="1" applyBorder="1" applyAlignment="1">
      <alignment horizontal="center" wrapText="1"/>
    </xf>
    <xf numFmtId="0" fontId="23" fillId="14" borderId="45" xfId="0" applyFont="1" applyFill="1" applyBorder="1" applyAlignment="1">
      <alignment horizontal="center" wrapText="1"/>
    </xf>
    <xf numFmtId="0" fontId="24" fillId="0" borderId="19" xfId="0" applyFont="1" applyBorder="1" applyAlignment="1">
      <alignment horizontal="center" vertical="center" wrapText="1"/>
    </xf>
    <xf numFmtId="0" fontId="24" fillId="0" borderId="326" xfId="0" applyFont="1" applyBorder="1" applyAlignment="1">
      <alignment horizontal="center" vertical="center" wrapText="1"/>
    </xf>
    <xf numFmtId="0" fontId="493" fillId="0" borderId="0" xfId="0" applyFont="1" applyAlignment="1">
      <alignment vertical="center"/>
    </xf>
    <xf numFmtId="179" fontId="499" fillId="0" borderId="0" xfId="0" applyNumberFormat="1" applyFont="1" applyBorder="1"/>
    <xf numFmtId="0" fontId="472" fillId="14" borderId="21" xfId="0" applyFont="1" applyFill="1" applyBorder="1" applyAlignment="1">
      <alignment horizontal="center" vertical="center"/>
    </xf>
    <xf numFmtId="0" fontId="472" fillId="14" borderId="22" xfId="0" applyFont="1" applyFill="1" applyBorder="1" applyAlignment="1">
      <alignment horizontal="center" vertical="center"/>
    </xf>
    <xf numFmtId="0" fontId="472" fillId="14" borderId="22" xfId="0" applyFont="1" applyFill="1" applyBorder="1" applyAlignment="1">
      <alignment horizontal="center" vertical="center" wrapText="1"/>
    </xf>
    <xf numFmtId="0" fontId="500" fillId="14" borderId="23" xfId="0" applyFont="1" applyFill="1" applyBorder="1" applyAlignment="1">
      <alignment horizontal="center" vertical="center" wrapText="1"/>
    </xf>
    <xf numFmtId="178" fontId="26" fillId="12" borderId="1" xfId="0" applyNumberFormat="1" applyFont="1" applyFill="1" applyBorder="1" applyAlignment="1">
      <alignment vertical="center"/>
    </xf>
    <xf numFmtId="0" fontId="26" fillId="12" borderId="26" xfId="0" applyFont="1" applyFill="1" applyBorder="1" applyAlignment="1">
      <alignment horizontal="right"/>
    </xf>
    <xf numFmtId="180" fontId="26" fillId="0" borderId="0" xfId="0" applyNumberFormat="1" applyFont="1"/>
    <xf numFmtId="0" fontId="25" fillId="0" borderId="19" xfId="0" applyNumberFormat="1" applyFont="1" applyBorder="1" applyAlignment="1">
      <alignment horizontal="center" vertical="center" wrapText="1"/>
    </xf>
    <xf numFmtId="41" fontId="501" fillId="12" borderId="66" xfId="1" applyFont="1" applyFill="1" applyBorder="1" applyAlignment="1">
      <alignment vertical="center"/>
    </xf>
    <xf numFmtId="41" fontId="501" fillId="12" borderId="67" xfId="1" applyFont="1" applyFill="1" applyBorder="1" applyAlignment="1">
      <alignment vertical="center"/>
    </xf>
    <xf numFmtId="41" fontId="501" fillId="12" borderId="69" xfId="1" applyFont="1" applyFill="1" applyBorder="1" applyAlignment="1">
      <alignment vertical="center"/>
    </xf>
    <xf numFmtId="41" fontId="501" fillId="12" borderId="70" xfId="1" applyFont="1" applyFill="1" applyBorder="1" applyAlignment="1">
      <alignment vertical="center"/>
    </xf>
    <xf numFmtId="0" fontId="502" fillId="0" borderId="0" xfId="6" applyFont="1">
      <alignment vertical="center"/>
    </xf>
    <xf numFmtId="0" fontId="438" fillId="20" borderId="0" xfId="6" applyFont="1" applyFill="1" applyBorder="1" applyAlignment="1">
      <alignment vertical="center" shrinkToFit="1"/>
    </xf>
    <xf numFmtId="41" fontId="501" fillId="12" borderId="77" xfId="1" applyFont="1" applyFill="1" applyBorder="1" applyAlignment="1">
      <alignment vertical="center"/>
    </xf>
    <xf numFmtId="41" fontId="501" fillId="12" borderId="215" xfId="1" applyFont="1" applyFill="1" applyBorder="1" applyAlignment="1">
      <alignment vertical="center"/>
    </xf>
    <xf numFmtId="41" fontId="501" fillId="12" borderId="216" xfId="1" applyFont="1" applyFill="1" applyBorder="1" applyAlignment="1">
      <alignment vertical="center"/>
    </xf>
    <xf numFmtId="0" fontId="52" fillId="3" borderId="0" xfId="19" applyFont="1" applyFill="1" applyAlignment="1">
      <alignment horizontal="center" vertical="center"/>
    </xf>
    <xf numFmtId="0" fontId="60" fillId="0" borderId="96" xfId="19" applyFont="1" applyBorder="1" applyAlignment="1">
      <alignment horizontal="center" vertical="center"/>
    </xf>
    <xf numFmtId="0" fontId="60" fillId="0" borderId="97" xfId="19" applyFont="1" applyBorder="1" applyAlignment="1">
      <alignment horizontal="center" vertical="center"/>
    </xf>
    <xf numFmtId="0" fontId="77" fillId="0" borderId="0" xfId="19" applyFont="1" applyAlignment="1">
      <alignment horizontal="center" vertical="center" shrinkToFit="1"/>
    </xf>
    <xf numFmtId="0" fontId="75" fillId="18" borderId="347" xfId="0" applyFont="1" applyFill="1" applyBorder="1" applyAlignment="1">
      <alignment horizontal="center" vertical="center"/>
    </xf>
    <xf numFmtId="0" fontId="75" fillId="18" borderId="348" xfId="0" applyFont="1" applyFill="1" applyBorder="1" applyAlignment="1">
      <alignment horizontal="center" vertical="center"/>
    </xf>
    <xf numFmtId="0" fontId="20" fillId="19" borderId="227" xfId="0" applyFont="1" applyFill="1" applyBorder="1" applyAlignment="1">
      <alignment horizontal="center" vertical="center" shrinkToFit="1"/>
    </xf>
    <xf numFmtId="0" fontId="20" fillId="19" borderId="40" xfId="0" applyFont="1" applyFill="1" applyBorder="1" applyAlignment="1">
      <alignment horizontal="center" vertical="center" shrinkToFit="1"/>
    </xf>
    <xf numFmtId="0" fontId="20" fillId="19" borderId="228" xfId="0" applyFont="1" applyFill="1" applyBorder="1" applyAlignment="1">
      <alignment horizontal="center" vertical="center" shrinkToFit="1"/>
    </xf>
    <xf numFmtId="0" fontId="20" fillId="19" borderId="340" xfId="0" applyFont="1" applyFill="1" applyBorder="1" applyAlignment="1">
      <alignment horizontal="center" vertical="center" shrinkToFit="1"/>
    </xf>
    <xf numFmtId="0" fontId="20" fillId="19" borderId="269" xfId="0" applyFont="1" applyFill="1" applyBorder="1" applyAlignment="1">
      <alignment horizontal="center" vertical="center" shrinkToFit="1"/>
    </xf>
    <xf numFmtId="0" fontId="20" fillId="19" borderId="342" xfId="0" applyFont="1" applyFill="1" applyBorder="1" applyAlignment="1">
      <alignment horizontal="center" vertical="center" shrinkToFit="1"/>
    </xf>
    <xf numFmtId="0" fontId="48" fillId="19" borderId="343" xfId="0" applyFont="1" applyFill="1" applyBorder="1" applyAlignment="1">
      <alignment horizontal="center" vertical="center"/>
    </xf>
    <xf numFmtId="0" fontId="48" fillId="19" borderId="344" xfId="0" applyFont="1" applyFill="1" applyBorder="1" applyAlignment="1">
      <alignment horizontal="center" vertical="center"/>
    </xf>
    <xf numFmtId="0" fontId="48" fillId="19" borderId="345" xfId="0" applyFont="1" applyFill="1" applyBorder="1" applyAlignment="1">
      <alignment horizontal="center" vertical="center"/>
    </xf>
    <xf numFmtId="0" fontId="36" fillId="18" borderId="42" xfId="0" applyFont="1" applyFill="1" applyBorder="1" applyAlignment="1">
      <alignment horizontal="center" vertical="center" shrinkToFit="1"/>
    </xf>
    <xf numFmtId="0" fontId="75" fillId="18" borderId="194" xfId="0" applyFont="1" applyFill="1" applyBorder="1" applyAlignment="1">
      <alignment horizontal="center" vertical="center"/>
    </xf>
    <xf numFmtId="0" fontId="75" fillId="18" borderId="227" xfId="0" applyFont="1" applyFill="1" applyBorder="1" applyAlignment="1">
      <alignment horizontal="center" vertical="center"/>
    </xf>
    <xf numFmtId="0" fontId="20" fillId="19" borderId="268" xfId="0" applyFont="1" applyFill="1" applyBorder="1" applyAlignment="1">
      <alignment horizontal="center" vertical="center" shrinkToFit="1"/>
    </xf>
    <xf numFmtId="0" fontId="20" fillId="19" borderId="341" xfId="0" applyFont="1" applyFill="1" applyBorder="1" applyAlignment="1">
      <alignment horizontal="center" vertical="center" shrinkToFit="1"/>
    </xf>
    <xf numFmtId="0" fontId="20" fillId="0" borderId="1" xfId="0" applyNumberFormat="1" applyFont="1" applyBorder="1" applyAlignment="1">
      <alignment horizontal="center" vertical="center"/>
    </xf>
    <xf numFmtId="0" fontId="20" fillId="0" borderId="8" xfId="0" applyFont="1" applyBorder="1" applyAlignment="1">
      <alignment horizontal="center" vertical="center"/>
    </xf>
    <xf numFmtId="0" fontId="20" fillId="0" borderId="30" xfId="0" applyFont="1" applyBorder="1" applyAlignment="1">
      <alignment horizontal="center" vertical="center"/>
    </xf>
    <xf numFmtId="0" fontId="20" fillId="0" borderId="24" xfId="0" applyFont="1" applyBorder="1" applyAlignment="1">
      <alignment horizontal="center" vertical="center"/>
    </xf>
    <xf numFmtId="0" fontId="19" fillId="0" borderId="1" xfId="0" applyFont="1" applyFill="1" applyBorder="1" applyAlignment="1">
      <alignment horizontal="center" vertical="center"/>
    </xf>
    <xf numFmtId="9" fontId="20" fillId="0" borderId="1" xfId="5" applyFont="1" applyBorder="1" applyAlignment="1">
      <alignment horizontal="center" vertical="center"/>
    </xf>
    <xf numFmtId="0" fontId="20" fillId="0" borderId="90" xfId="0" applyFont="1" applyBorder="1" applyAlignment="1">
      <alignment horizontal="left" vertical="center" wrapText="1"/>
    </xf>
    <xf numFmtId="0" fontId="20" fillId="0" borderId="56" xfId="0" applyFont="1" applyBorder="1" applyAlignment="1">
      <alignment horizontal="left" vertical="center" wrapText="1"/>
    </xf>
    <xf numFmtId="0" fontId="36" fillId="18" borderId="75" xfId="0" applyFont="1" applyFill="1" applyBorder="1" applyAlignment="1">
      <alignment horizontal="center" vertical="center"/>
    </xf>
    <xf numFmtId="0" fontId="36" fillId="18" borderId="88" xfId="0" applyFont="1" applyFill="1" applyBorder="1" applyAlignment="1">
      <alignment horizontal="center" vertical="center"/>
    </xf>
    <xf numFmtId="0" fontId="36" fillId="18" borderId="89" xfId="0" applyFont="1" applyFill="1" applyBorder="1" applyAlignment="1">
      <alignment horizontal="center" vertical="center"/>
    </xf>
    <xf numFmtId="0" fontId="20" fillId="19" borderId="60" xfId="0" applyFont="1" applyFill="1" applyBorder="1" applyAlignment="1">
      <alignment horizontal="left" vertical="center" wrapText="1"/>
    </xf>
    <xf numFmtId="0" fontId="20" fillId="19" borderId="90" xfId="0" applyFont="1" applyFill="1" applyBorder="1" applyAlignment="1">
      <alignment horizontal="left" vertical="center" wrapText="1"/>
    </xf>
    <xf numFmtId="0" fontId="20" fillId="19" borderId="56" xfId="0" applyFont="1" applyFill="1" applyBorder="1" applyAlignment="1">
      <alignment horizontal="left" vertical="center" wrapText="1"/>
    </xf>
    <xf numFmtId="0" fontId="20" fillId="19" borderId="1" xfId="0" applyFont="1" applyFill="1" applyBorder="1" applyAlignment="1">
      <alignment horizontal="left" vertical="center" wrapText="1"/>
    </xf>
    <xf numFmtId="0" fontId="20" fillId="19" borderId="59" xfId="0" applyFont="1" applyFill="1" applyBorder="1" applyAlignment="1">
      <alignment horizontal="left" vertical="center" wrapText="1"/>
    </xf>
    <xf numFmtId="0" fontId="20" fillId="19" borderId="338" xfId="0" applyFont="1" applyFill="1" applyBorder="1" applyAlignment="1">
      <alignment horizontal="left" vertical="center" wrapText="1"/>
    </xf>
    <xf numFmtId="0" fontId="20" fillId="19" borderId="180" xfId="0" applyFont="1" applyFill="1" applyBorder="1" applyAlignment="1">
      <alignment horizontal="left" vertical="center" wrapText="1"/>
    </xf>
    <xf numFmtId="0" fontId="20" fillId="19" borderId="339" xfId="0" applyFont="1" applyFill="1" applyBorder="1" applyAlignment="1">
      <alignment horizontal="left" vertical="center" wrapText="1"/>
    </xf>
    <xf numFmtId="0" fontId="20" fillId="19" borderId="117" xfId="0" applyFont="1" applyFill="1" applyBorder="1" applyAlignment="1">
      <alignment horizontal="center" vertical="center" shrinkToFit="1"/>
    </xf>
    <xf numFmtId="0" fontId="20" fillId="19" borderId="357" xfId="0" applyFont="1" applyFill="1" applyBorder="1" applyAlignment="1">
      <alignment horizontal="center" vertical="center" shrinkToFit="1"/>
    </xf>
    <xf numFmtId="0" fontId="20" fillId="19" borderId="358" xfId="0" applyFont="1" applyFill="1" applyBorder="1" applyAlignment="1">
      <alignment horizontal="center" vertical="center" shrinkToFit="1"/>
    </xf>
    <xf numFmtId="0" fontId="19" fillId="19" borderId="117" xfId="0" applyFont="1" applyFill="1" applyBorder="1" applyAlignment="1">
      <alignment horizontal="center" vertical="center" shrinkToFit="1"/>
    </xf>
    <xf numFmtId="0" fontId="20" fillId="19" borderId="119" xfId="0" applyFont="1" applyFill="1" applyBorder="1" applyAlignment="1">
      <alignment horizontal="center" vertical="center" shrinkToFit="1"/>
    </xf>
    <xf numFmtId="0" fontId="35" fillId="18" borderId="44" xfId="0" applyFont="1" applyFill="1" applyBorder="1" applyAlignment="1">
      <alignment horizontal="center" vertical="center" wrapText="1"/>
    </xf>
    <xf numFmtId="0" fontId="35" fillId="18" borderId="46" xfId="0" applyFont="1" applyFill="1" applyBorder="1" applyAlignment="1">
      <alignment horizontal="center" vertical="center" wrapText="1"/>
    </xf>
    <xf numFmtId="0" fontId="20" fillId="19" borderId="360" xfId="0" applyFont="1" applyFill="1" applyBorder="1" applyAlignment="1">
      <alignment horizontal="center" vertical="center" shrinkToFit="1"/>
    </xf>
    <xf numFmtId="0" fontId="20" fillId="19" borderId="361" xfId="0" applyFont="1" applyFill="1" applyBorder="1" applyAlignment="1">
      <alignment horizontal="center" vertical="center" shrinkToFit="1"/>
    </xf>
    <xf numFmtId="0" fontId="20" fillId="19" borderId="359" xfId="0" applyFont="1" applyFill="1" applyBorder="1" applyAlignment="1">
      <alignment horizontal="center" vertical="center" shrinkToFit="1"/>
    </xf>
    <xf numFmtId="0" fontId="402" fillId="27" borderId="149" xfId="0" applyFont="1" applyFill="1" applyBorder="1" applyAlignment="1">
      <alignment horizontal="center" vertical="center"/>
    </xf>
    <xf numFmtId="0" fontId="402" fillId="27" borderId="150" xfId="0" applyFont="1" applyFill="1" applyBorder="1" applyAlignment="1">
      <alignment horizontal="center" vertical="center"/>
    </xf>
    <xf numFmtId="0" fontId="402" fillId="27" borderId="151" xfId="0" applyFont="1" applyFill="1" applyBorder="1" applyAlignment="1">
      <alignment horizontal="center" vertical="center"/>
    </xf>
    <xf numFmtId="0" fontId="63" fillId="18" borderId="98" xfId="0" applyFont="1" applyFill="1" applyBorder="1" applyAlignment="1">
      <alignment horizontal="center" vertical="center"/>
    </xf>
    <xf numFmtId="0" fontId="63" fillId="18" borderId="99" xfId="0" applyFont="1" applyFill="1" applyBorder="1" applyAlignment="1">
      <alignment horizontal="center" vertical="center"/>
    </xf>
    <xf numFmtId="0" fontId="63" fillId="18" borderId="100" xfId="0" applyFont="1" applyFill="1" applyBorder="1" applyAlignment="1">
      <alignment horizontal="center" vertical="center"/>
    </xf>
    <xf numFmtId="0" fontId="20" fillId="19" borderId="115" xfId="0" applyFont="1" applyFill="1" applyBorder="1" applyAlignment="1">
      <alignment horizontal="center" vertical="center" shrinkToFit="1"/>
    </xf>
    <xf numFmtId="0" fontId="20" fillId="19" borderId="120" xfId="0" applyFont="1" applyFill="1" applyBorder="1" applyAlignment="1">
      <alignment horizontal="center" vertical="center" shrinkToFit="1"/>
    </xf>
    <xf numFmtId="0" fontId="20" fillId="19" borderId="317" xfId="0" applyFont="1" applyFill="1" applyBorder="1" applyAlignment="1">
      <alignment horizontal="center" vertical="center" shrinkToFit="1"/>
    </xf>
    <xf numFmtId="0" fontId="20" fillId="19" borderId="301" xfId="0" applyFont="1" applyFill="1" applyBorder="1" applyAlignment="1">
      <alignment horizontal="center" vertical="center" shrinkToFit="1"/>
    </xf>
    <xf numFmtId="0" fontId="20" fillId="19" borderId="324" xfId="0" applyFont="1" applyFill="1" applyBorder="1" applyAlignment="1">
      <alignment horizontal="center" vertical="center" shrinkToFit="1"/>
    </xf>
    <xf numFmtId="0" fontId="20" fillId="19" borderId="325" xfId="0" applyFont="1" applyFill="1" applyBorder="1" applyAlignment="1">
      <alignment horizontal="center" vertical="center" shrinkToFit="1"/>
    </xf>
    <xf numFmtId="0" fontId="48" fillId="19" borderId="0" xfId="0" applyFont="1" applyFill="1" applyAlignment="1">
      <alignment horizontal="center" vertical="center"/>
    </xf>
    <xf numFmtId="0" fontId="20" fillId="19" borderId="322" xfId="0" applyFont="1" applyFill="1" applyBorder="1" applyAlignment="1">
      <alignment horizontal="center" vertical="center" shrinkToFit="1"/>
    </xf>
    <xf numFmtId="0" fontId="20" fillId="19" borderId="323" xfId="0" applyFont="1" applyFill="1" applyBorder="1" applyAlignment="1">
      <alignment horizontal="center" vertical="center" shrinkToFit="1"/>
    </xf>
    <xf numFmtId="0" fontId="20" fillId="19" borderId="320" xfId="0" applyFont="1" applyFill="1" applyBorder="1" applyAlignment="1">
      <alignment horizontal="center" vertical="center" shrinkToFit="1"/>
    </xf>
    <xf numFmtId="0" fontId="20" fillId="19" borderId="321" xfId="0" applyFont="1" applyFill="1" applyBorder="1" applyAlignment="1">
      <alignment horizontal="center" vertical="center" shrinkToFit="1"/>
    </xf>
    <xf numFmtId="0" fontId="20" fillId="19" borderId="318" xfId="0" applyFont="1" applyFill="1" applyBorder="1" applyAlignment="1">
      <alignment horizontal="center" vertical="center" shrinkToFit="1"/>
    </xf>
    <xf numFmtId="0" fontId="20" fillId="19" borderId="319" xfId="0" applyFont="1" applyFill="1" applyBorder="1" applyAlignment="1">
      <alignment horizontal="center" vertical="center" shrinkToFit="1"/>
    </xf>
    <xf numFmtId="0" fontId="19" fillId="18" borderId="88" xfId="0" applyFont="1" applyFill="1" applyBorder="1" applyAlignment="1">
      <alignment horizontal="center" vertical="center"/>
    </xf>
    <xf numFmtId="0" fontId="19" fillId="18" borderId="89" xfId="0" applyFont="1" applyFill="1" applyBorder="1" applyAlignment="1">
      <alignment horizontal="center" vertical="center"/>
    </xf>
    <xf numFmtId="0" fontId="20" fillId="17" borderId="105" xfId="0" applyFont="1" applyFill="1" applyBorder="1" applyAlignment="1">
      <alignment horizontal="center" vertical="center"/>
    </xf>
    <xf numFmtId="0" fontId="20" fillId="17" borderId="103" xfId="0" applyFont="1" applyFill="1" applyBorder="1" applyAlignment="1">
      <alignment horizontal="center" vertical="center"/>
    </xf>
    <xf numFmtId="0" fontId="20" fillId="0" borderId="105" xfId="0" applyFont="1" applyFill="1" applyBorder="1" applyAlignment="1">
      <alignment horizontal="center" vertical="center"/>
    </xf>
    <xf numFmtId="0" fontId="20" fillId="0" borderId="103" xfId="0" applyFont="1" applyFill="1" applyBorder="1" applyAlignment="1">
      <alignment horizontal="center" vertical="center"/>
    </xf>
    <xf numFmtId="0" fontId="20" fillId="19" borderId="331" xfId="0" applyFont="1" applyFill="1" applyBorder="1" applyAlignment="1">
      <alignment horizontal="center" vertical="center" shrinkToFit="1"/>
    </xf>
    <xf numFmtId="0" fontId="20" fillId="0" borderId="0" xfId="0" applyFont="1" applyBorder="1" applyAlignment="1">
      <alignment horizontal="center" vertical="center"/>
    </xf>
    <xf numFmtId="0" fontId="19" fillId="0" borderId="1" xfId="0" applyFont="1" applyBorder="1" applyAlignment="1">
      <alignment horizontal="center" vertical="center"/>
    </xf>
    <xf numFmtId="0" fontId="19" fillId="120" borderId="1" xfId="0" applyFont="1" applyFill="1" applyBorder="1" applyAlignment="1">
      <alignment horizontal="center" vertical="center"/>
    </xf>
    <xf numFmtId="9" fontId="19" fillId="120" borderId="1" xfId="0" applyNumberFormat="1" applyFont="1" applyFill="1" applyBorder="1" applyAlignment="1">
      <alignment horizontal="center" vertical="center"/>
    </xf>
    <xf numFmtId="0" fontId="451" fillId="3" borderId="21" xfId="0" applyFont="1" applyFill="1" applyBorder="1" applyAlignment="1">
      <alignment horizontal="center" vertical="center"/>
    </xf>
    <xf numFmtId="0" fontId="451" fillId="3" borderId="22" xfId="0" applyFont="1" applyFill="1" applyBorder="1" applyAlignment="1">
      <alignment horizontal="center" vertical="center"/>
    </xf>
    <xf numFmtId="0" fontId="63" fillId="29" borderId="25" xfId="0" applyFont="1" applyFill="1" applyBorder="1" applyAlignment="1">
      <alignment horizontal="center" vertical="center"/>
    </xf>
    <xf numFmtId="0" fontId="63" fillId="29" borderId="26" xfId="0" applyFont="1" applyFill="1" applyBorder="1" applyAlignment="1">
      <alignment horizontal="center" vertical="center"/>
    </xf>
    <xf numFmtId="184" fontId="47" fillId="29" borderId="263" xfId="0" applyNumberFormat="1" applyFont="1" applyFill="1" applyBorder="1" applyAlignment="1">
      <alignment horizontal="center" vertical="center"/>
    </xf>
    <xf numFmtId="184" fontId="47" fillId="29" borderId="267" xfId="0" applyNumberFormat="1" applyFont="1" applyFill="1" applyBorder="1" applyAlignment="1">
      <alignment horizontal="center" vertical="center"/>
    </xf>
    <xf numFmtId="0" fontId="454" fillId="30" borderId="260" xfId="6" applyFont="1" applyFill="1" applyBorder="1" applyAlignment="1">
      <alignment horizontal="center" vertical="center" wrapText="1"/>
    </xf>
    <xf numFmtId="0" fontId="454" fillId="30" borderId="261" xfId="6" applyFont="1" applyFill="1" applyBorder="1" applyAlignment="1">
      <alignment horizontal="center" vertical="center" wrapText="1"/>
    </xf>
    <xf numFmtId="180" fontId="36" fillId="29" borderId="266" xfId="0" applyNumberFormat="1" applyFont="1" applyFill="1" applyBorder="1" applyAlignment="1">
      <alignment horizontal="center" vertical="center"/>
    </xf>
    <xf numFmtId="180" fontId="36" fillId="29" borderId="265" xfId="0" applyNumberFormat="1" applyFont="1" applyFill="1" applyBorder="1" applyAlignment="1">
      <alignment horizontal="center" vertical="center"/>
    </xf>
    <xf numFmtId="0" fontId="458" fillId="3" borderId="259" xfId="6" applyFont="1" applyFill="1" applyBorder="1" applyAlignment="1">
      <alignment horizontal="center" vertical="center" wrapText="1"/>
    </xf>
    <xf numFmtId="0" fontId="458" fillId="3" borderId="258" xfId="6" applyFont="1" applyFill="1" applyBorder="1" applyAlignment="1">
      <alignment horizontal="center" vertical="center" wrapText="1"/>
    </xf>
    <xf numFmtId="368" fontId="36" fillId="29" borderId="264" xfId="1" applyNumberFormat="1" applyFont="1" applyFill="1" applyBorder="1" applyAlignment="1">
      <alignment horizontal="center" vertical="center"/>
    </xf>
    <xf numFmtId="368" fontId="36" fillId="29" borderId="265" xfId="1" applyNumberFormat="1" applyFont="1" applyFill="1" applyBorder="1" applyAlignment="1">
      <alignment horizontal="center" vertical="center"/>
    </xf>
    <xf numFmtId="0" fontId="458" fillId="30" borderId="257" xfId="6" applyFont="1" applyFill="1" applyBorder="1" applyAlignment="1">
      <alignment horizontal="center" vertical="center" wrapText="1"/>
    </xf>
    <xf numFmtId="0" fontId="458" fillId="30" borderId="258" xfId="6" applyFont="1" applyFill="1" applyBorder="1" applyAlignment="1">
      <alignment horizontal="center" vertical="center" wrapText="1"/>
    </xf>
    <xf numFmtId="0" fontId="456" fillId="30" borderId="145" xfId="0" applyFont="1" applyFill="1" applyBorder="1" applyAlignment="1">
      <alignment horizontal="center" vertical="center"/>
    </xf>
    <xf numFmtId="0" fontId="456" fillId="30" borderId="146" xfId="0" applyFont="1" applyFill="1" applyBorder="1" applyAlignment="1">
      <alignment horizontal="center" vertical="center"/>
    </xf>
    <xf numFmtId="0" fontId="454" fillId="31" borderId="276" xfId="6" applyFont="1" applyFill="1" applyBorder="1" applyAlignment="1">
      <alignment horizontal="center" vertical="center" wrapText="1"/>
    </xf>
    <xf numFmtId="0" fontId="454" fillId="31" borderId="74" xfId="6" applyFont="1" applyFill="1" applyBorder="1" applyAlignment="1">
      <alignment horizontal="center" vertical="center" wrapText="1"/>
    </xf>
    <xf numFmtId="180" fontId="36" fillId="29" borderId="277" xfId="0" applyNumberFormat="1" applyFont="1" applyFill="1" applyBorder="1" applyAlignment="1">
      <alignment horizontal="center" vertical="center"/>
    </xf>
    <xf numFmtId="180" fontId="36" fillId="29" borderId="61" xfId="0" applyNumberFormat="1" applyFont="1" applyFill="1" applyBorder="1" applyAlignment="1">
      <alignment horizontal="center" vertical="center"/>
    </xf>
    <xf numFmtId="0" fontId="66" fillId="3" borderId="125" xfId="0" applyFont="1" applyFill="1" applyBorder="1" applyAlignment="1">
      <alignment horizontal="center" vertical="center"/>
    </xf>
    <xf numFmtId="0" fontId="66" fillId="3" borderId="88" xfId="0" applyFont="1" applyFill="1" applyBorder="1" applyAlignment="1">
      <alignment horizontal="center" vertical="center"/>
    </xf>
    <xf numFmtId="0" fontId="66" fillId="3" borderId="74" xfId="0" applyFont="1" applyFill="1" applyBorder="1" applyAlignment="1">
      <alignment horizontal="center" vertical="center"/>
    </xf>
    <xf numFmtId="0" fontId="63" fillId="29" borderId="127" xfId="0" applyNumberFormat="1" applyFont="1" applyFill="1" applyBorder="1" applyAlignment="1">
      <alignment horizontal="center" vertical="center"/>
    </xf>
    <xf numFmtId="0" fontId="63" fillId="29" borderId="90" xfId="0" applyNumberFormat="1" applyFont="1" applyFill="1" applyBorder="1" applyAlignment="1">
      <alignment horizontal="center" vertical="center"/>
    </xf>
    <xf numFmtId="0" fontId="63" fillId="29" borderId="61" xfId="0" applyNumberFormat="1" applyFont="1" applyFill="1" applyBorder="1" applyAlignment="1">
      <alignment horizontal="center" vertical="center"/>
    </xf>
    <xf numFmtId="178" fontId="455" fillId="29" borderId="26" xfId="0" applyNumberFormat="1" applyFont="1" applyFill="1" applyBorder="1" applyAlignment="1">
      <alignment horizontal="center" vertical="center"/>
    </xf>
    <xf numFmtId="0" fontId="65" fillId="3" borderId="22" xfId="0" applyFont="1" applyFill="1" applyBorder="1" applyAlignment="1">
      <alignment horizontal="center" vertical="center" wrapText="1"/>
    </xf>
    <xf numFmtId="0" fontId="65" fillId="3" borderId="23" xfId="0" applyFont="1" applyFill="1" applyBorder="1" applyAlignment="1">
      <alignment horizontal="center" vertical="center" wrapText="1"/>
    </xf>
    <xf numFmtId="185" fontId="455" fillId="29" borderId="26" xfId="0" applyNumberFormat="1" applyFont="1" applyFill="1" applyBorder="1" applyAlignment="1">
      <alignment horizontal="center" vertical="center"/>
    </xf>
    <xf numFmtId="185" fontId="455" fillId="29" borderId="27" xfId="0" applyNumberFormat="1" applyFont="1" applyFill="1" applyBorder="1" applyAlignment="1">
      <alignment horizontal="center" vertical="center"/>
    </xf>
    <xf numFmtId="0" fontId="451" fillId="3" borderId="252" xfId="0" applyFont="1" applyFill="1" applyBorder="1" applyAlignment="1">
      <alignment horizontal="center" vertical="center"/>
    </xf>
    <xf numFmtId="0" fontId="451" fillId="3" borderId="185" xfId="0" applyFont="1" applyFill="1" applyBorder="1" applyAlignment="1">
      <alignment horizontal="center" vertical="center"/>
    </xf>
    <xf numFmtId="0" fontId="451" fillId="3" borderId="28" xfId="0" applyFont="1" applyFill="1" applyBorder="1" applyAlignment="1">
      <alignment horizontal="center" vertical="center"/>
    </xf>
    <xf numFmtId="0" fontId="63" fillId="29" borderId="60" xfId="0" applyFont="1" applyFill="1" applyBorder="1" applyAlignment="1">
      <alignment horizontal="left" vertical="center" wrapText="1"/>
    </xf>
    <xf numFmtId="0" fontId="63" fillId="29" borderId="90" xfId="0" applyFont="1" applyFill="1" applyBorder="1" applyAlignment="1">
      <alignment horizontal="left" vertical="center" wrapText="1"/>
    </xf>
    <xf numFmtId="0" fontId="63" fillId="29" borderId="56" xfId="0" applyFont="1" applyFill="1" applyBorder="1" applyAlignment="1">
      <alignment horizontal="left" vertical="center" wrapText="1"/>
    </xf>
    <xf numFmtId="0" fontId="63" fillId="29" borderId="8" xfId="0" applyFont="1" applyFill="1" applyBorder="1" applyAlignment="1">
      <alignment horizontal="left" vertical="center" wrapText="1"/>
    </xf>
    <xf numFmtId="0" fontId="63" fillId="29" borderId="30" xfId="0" applyFont="1" applyFill="1" applyBorder="1" applyAlignment="1">
      <alignment horizontal="left" vertical="center" wrapText="1"/>
    </xf>
    <xf numFmtId="0" fontId="63" fillId="29" borderId="82" xfId="0" applyFont="1" applyFill="1" applyBorder="1" applyAlignment="1">
      <alignment horizontal="left" vertical="center" wrapText="1"/>
    </xf>
    <xf numFmtId="0" fontId="67" fillId="3" borderId="22" xfId="0" applyFont="1" applyFill="1" applyBorder="1" applyAlignment="1">
      <alignment horizontal="center" vertical="center" wrapText="1"/>
    </xf>
    <xf numFmtId="14" fontId="63" fillId="29" borderId="26" xfId="0" applyNumberFormat="1" applyFont="1" applyFill="1" applyBorder="1" applyAlignment="1">
      <alignment horizontal="center" vertical="center"/>
    </xf>
    <xf numFmtId="0" fontId="66" fillId="3" borderId="105" xfId="6" applyFont="1" applyFill="1" applyBorder="1" applyAlignment="1">
      <alignment horizontal="center" vertical="center" wrapText="1"/>
    </xf>
    <xf numFmtId="0" fontId="66" fillId="3" borderId="102" xfId="6" applyFont="1" applyFill="1" applyBorder="1" applyAlignment="1">
      <alignment horizontal="center" vertical="center"/>
    </xf>
    <xf numFmtId="0" fontId="66" fillId="3" borderId="103" xfId="6" applyFont="1" applyFill="1" applyBorder="1" applyAlignment="1">
      <alignment horizontal="center" vertical="center"/>
    </xf>
    <xf numFmtId="0" fontId="37" fillId="10" borderId="147" xfId="6" applyFont="1" applyFill="1" applyBorder="1" applyAlignment="1">
      <alignment horizontal="center" vertical="center" wrapText="1"/>
    </xf>
    <xf numFmtId="0" fontId="37" fillId="10" borderId="29" xfId="6" applyFont="1" applyFill="1" applyBorder="1" applyAlignment="1">
      <alignment horizontal="center" vertical="center" wrapText="1"/>
    </xf>
    <xf numFmtId="0" fontId="37" fillId="10" borderId="1" xfId="6" applyFont="1" applyFill="1" applyBorder="1" applyAlignment="1">
      <alignment horizontal="center" vertical="center" wrapText="1"/>
    </xf>
    <xf numFmtId="0" fontId="53" fillId="10" borderId="29" xfId="6" applyFont="1" applyFill="1" applyBorder="1" applyAlignment="1">
      <alignment horizontal="center" vertical="center" wrapText="1"/>
    </xf>
    <xf numFmtId="0" fontId="53" fillId="10" borderId="1" xfId="6" applyFont="1" applyFill="1" applyBorder="1" applyAlignment="1">
      <alignment horizontal="center" vertical="center" wrapText="1"/>
    </xf>
    <xf numFmtId="0" fontId="37" fillId="10" borderId="25" xfId="6" applyFont="1" applyFill="1" applyBorder="1" applyAlignment="1">
      <alignment horizontal="center" vertical="center" wrapText="1"/>
    </xf>
    <xf numFmtId="0" fontId="37" fillId="10" borderId="26" xfId="6" applyFont="1" applyFill="1" applyBorder="1" applyAlignment="1">
      <alignment horizontal="center" vertical="center" wrapText="1"/>
    </xf>
    <xf numFmtId="0" fontId="448" fillId="12" borderId="251" xfId="0" applyFont="1" applyFill="1" applyBorder="1" applyAlignment="1">
      <alignment horizontal="center" vertical="center"/>
    </xf>
    <xf numFmtId="0" fontId="448" fillId="12" borderId="30" xfId="0" applyFont="1" applyFill="1" applyBorder="1" applyAlignment="1">
      <alignment horizontal="center" vertical="center"/>
    </xf>
    <xf numFmtId="0" fontId="448" fillId="12" borderId="24" xfId="0" applyFont="1" applyFill="1" applyBorder="1" applyAlignment="1">
      <alignment horizontal="center" vertical="center"/>
    </xf>
    <xf numFmtId="0" fontId="447" fillId="3" borderId="8" xfId="0" applyFont="1" applyFill="1" applyBorder="1" applyAlignment="1">
      <alignment horizontal="center" vertical="center"/>
    </xf>
    <xf numFmtId="0" fontId="447" fillId="3" borderId="30" xfId="0" applyFont="1" applyFill="1" applyBorder="1" applyAlignment="1">
      <alignment horizontal="center" vertical="center"/>
    </xf>
    <xf numFmtId="0" fontId="447" fillId="3" borderId="250" xfId="0" applyFont="1" applyFill="1" applyBorder="1" applyAlignment="1">
      <alignment horizontal="center" vertical="center"/>
    </xf>
    <xf numFmtId="0" fontId="444" fillId="28" borderId="251" xfId="0" applyFont="1" applyFill="1" applyBorder="1" applyAlignment="1">
      <alignment horizontal="center" vertical="center" wrapText="1"/>
    </xf>
    <xf numFmtId="0" fontId="444" fillId="28" borderId="250" xfId="0" applyFont="1" applyFill="1" applyBorder="1" applyAlignment="1">
      <alignment horizontal="center" vertical="center" wrapText="1"/>
    </xf>
    <xf numFmtId="0" fontId="63" fillId="29" borderId="60" xfId="0" applyFont="1" applyFill="1" applyBorder="1" applyAlignment="1">
      <alignment horizontal="center" vertical="center" wrapText="1"/>
    </xf>
    <xf numFmtId="0" fontId="63" fillId="29" borderId="90" xfId="0" applyFont="1" applyFill="1" applyBorder="1" applyAlignment="1">
      <alignment horizontal="center" vertical="center" wrapText="1"/>
    </xf>
    <xf numFmtId="0" fontId="63" fillId="29" borderId="56" xfId="0" applyFont="1" applyFill="1" applyBorder="1" applyAlignment="1">
      <alignment horizontal="center" vertical="center" wrapText="1"/>
    </xf>
    <xf numFmtId="0" fontId="451" fillId="3" borderId="253" xfId="0" applyFont="1" applyFill="1" applyBorder="1" applyAlignment="1">
      <alignment horizontal="center" vertical="center"/>
    </xf>
    <xf numFmtId="0" fontId="63" fillId="29" borderId="60" xfId="0" applyFont="1" applyFill="1" applyBorder="1" applyAlignment="1">
      <alignment horizontal="center" vertical="center"/>
    </xf>
    <xf numFmtId="0" fontId="63" fillId="29" borderId="61" xfId="0" applyFont="1" applyFill="1" applyBorder="1" applyAlignment="1">
      <alignment horizontal="center" vertical="center"/>
    </xf>
    <xf numFmtId="0" fontId="381" fillId="0" borderId="1" xfId="0" applyFont="1" applyBorder="1" applyAlignment="1">
      <alignment horizontal="center" vertical="center" wrapText="1"/>
    </xf>
    <xf numFmtId="0" fontId="381" fillId="0" borderId="8" xfId="0" applyFont="1" applyBorder="1" applyAlignment="1">
      <alignment horizontal="center" vertical="center" wrapText="1"/>
    </xf>
    <xf numFmtId="0" fontId="381" fillId="0" borderId="24" xfId="0" applyFont="1" applyBorder="1" applyAlignment="1">
      <alignment horizontal="center" vertical="center" wrapText="1"/>
    </xf>
    <xf numFmtId="14" fontId="381" fillId="0" borderId="1" xfId="0" applyNumberFormat="1" applyFont="1" applyBorder="1" applyAlignment="1">
      <alignment horizontal="center" vertical="center" wrapText="1"/>
    </xf>
    <xf numFmtId="0" fontId="431" fillId="30" borderId="105" xfId="0" applyFont="1" applyFill="1" applyBorder="1" applyAlignment="1">
      <alignment horizontal="center" vertical="center"/>
    </xf>
    <xf numFmtId="0" fontId="431" fillId="30" borderId="102" xfId="0" applyFont="1" applyFill="1" applyBorder="1" applyAlignment="1">
      <alignment horizontal="center" vertical="center"/>
    </xf>
    <xf numFmtId="0" fontId="431" fillId="30" borderId="103" xfId="0" applyFont="1" applyFill="1" applyBorder="1" applyAlignment="1">
      <alignment horizontal="center" vertical="center"/>
    </xf>
    <xf numFmtId="0" fontId="433" fillId="0" borderId="1" xfId="0" applyFont="1" applyBorder="1" applyAlignment="1">
      <alignment horizontal="center" vertical="center"/>
    </xf>
    <xf numFmtId="0" fontId="434" fillId="111" borderId="1" xfId="0" applyFont="1" applyFill="1" applyBorder="1" applyAlignment="1">
      <alignment horizontal="center" vertical="center"/>
    </xf>
    <xf numFmtId="0" fontId="381" fillId="0" borderId="34" xfId="0" applyFont="1" applyBorder="1" applyAlignment="1">
      <alignment horizontal="center" vertical="center" wrapText="1"/>
    </xf>
    <xf numFmtId="0" fontId="381" fillId="0" borderId="39" xfId="0" applyFont="1" applyBorder="1" applyAlignment="1">
      <alignment horizontal="center" vertical="center" wrapText="1"/>
    </xf>
    <xf numFmtId="0" fontId="381" fillId="0" borderId="230" xfId="0" applyFont="1" applyBorder="1" applyAlignment="1">
      <alignment horizontal="center" vertical="center" wrapText="1"/>
    </xf>
    <xf numFmtId="0" fontId="381" fillId="0" borderId="15" xfId="0" applyFont="1" applyBorder="1" applyAlignment="1">
      <alignment horizontal="left" vertical="center" wrapText="1"/>
    </xf>
    <xf numFmtId="0" fontId="381" fillId="0" borderId="16" xfId="0" applyFont="1" applyBorder="1" applyAlignment="1">
      <alignment horizontal="left" vertical="center" wrapText="1"/>
    </xf>
    <xf numFmtId="0" fontId="381" fillId="0" borderId="17" xfId="0" applyFont="1" applyBorder="1" applyAlignment="1">
      <alignment horizontal="left" vertical="center" wrapText="1"/>
    </xf>
    <xf numFmtId="0" fontId="381" fillId="0" borderId="15" xfId="0" applyFont="1" applyBorder="1" applyAlignment="1">
      <alignment horizontal="center" vertical="center" wrapText="1"/>
    </xf>
    <xf numFmtId="0" fontId="381" fillId="0" borderId="17" xfId="0" applyFont="1" applyBorder="1" applyAlignment="1">
      <alignment horizontal="center" vertical="center" wrapText="1"/>
    </xf>
    <xf numFmtId="0" fontId="384" fillId="0" borderId="15" xfId="0" applyFont="1" applyBorder="1" applyAlignment="1">
      <alignment horizontal="center" vertical="center" wrapText="1"/>
    </xf>
    <xf numFmtId="0" fontId="384" fillId="0" borderId="16" xfId="0" applyFont="1" applyBorder="1" applyAlignment="1">
      <alignment horizontal="center" vertical="center" wrapText="1"/>
    </xf>
    <xf numFmtId="0" fontId="384" fillId="0" borderId="17" xfId="0" applyFont="1" applyBorder="1" applyAlignment="1">
      <alignment horizontal="center" vertical="center" wrapText="1"/>
    </xf>
    <xf numFmtId="0" fontId="0" fillId="0" borderId="35" xfId="0" applyFont="1" applyBorder="1" applyAlignment="1">
      <alignment horizontal="center" vertical="center" wrapText="1"/>
    </xf>
    <xf numFmtId="0" fontId="0" fillId="0" borderId="86" xfId="0" applyFont="1" applyBorder="1" applyAlignment="1">
      <alignment horizontal="center" vertical="center" wrapText="1"/>
    </xf>
    <xf numFmtId="0" fontId="0" fillId="0" borderId="38" xfId="0" applyFont="1" applyBorder="1" applyAlignment="1">
      <alignment horizontal="center" vertical="center" wrapText="1"/>
    </xf>
    <xf numFmtId="0" fontId="381" fillId="0" borderId="14" xfId="0" applyFont="1" applyBorder="1" applyAlignment="1">
      <alignment horizontal="center" vertical="center" wrapText="1"/>
    </xf>
    <xf numFmtId="0" fontId="381" fillId="0" borderId="18" xfId="0" applyFont="1" applyBorder="1" applyAlignment="1">
      <alignment horizontal="center" vertical="center" wrapText="1"/>
    </xf>
    <xf numFmtId="0" fontId="381" fillId="0" borderId="35" xfId="0" applyFont="1" applyBorder="1" applyAlignment="1">
      <alignment horizontal="center" vertical="center" wrapText="1"/>
    </xf>
    <xf numFmtId="0" fontId="381" fillId="0" borderId="86" xfId="0" applyFont="1" applyBorder="1" applyAlignment="1">
      <alignment horizontal="center" vertical="center" wrapText="1"/>
    </xf>
    <xf numFmtId="0" fontId="381" fillId="0" borderId="38" xfId="0" applyFont="1" applyBorder="1" applyAlignment="1">
      <alignment horizontal="center" vertical="center" wrapText="1"/>
    </xf>
    <xf numFmtId="0" fontId="0" fillId="0" borderId="1" xfId="0" applyFont="1" applyBorder="1" applyAlignment="1">
      <alignment horizontal="center" vertical="center" wrapText="1"/>
    </xf>
    <xf numFmtId="0" fontId="381" fillId="0" borderId="231"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40" xfId="0" applyFont="1" applyBorder="1" applyAlignment="1">
      <alignment horizontal="center" vertical="center" wrapText="1"/>
    </xf>
    <xf numFmtId="0" fontId="381" fillId="0" borderId="232" xfId="0" applyFont="1" applyBorder="1" applyAlignment="1">
      <alignment horizontal="center" vertical="center" wrapText="1"/>
    </xf>
    <xf numFmtId="0" fontId="381" fillId="0" borderId="233" xfId="0" applyFont="1" applyBorder="1" applyAlignment="1">
      <alignment horizontal="center" vertical="center" wrapText="1"/>
    </xf>
    <xf numFmtId="0" fontId="381" fillId="0" borderId="1" xfId="0" applyFont="1" applyBorder="1" applyAlignment="1">
      <alignment horizontal="left" vertical="center" wrapText="1"/>
    </xf>
    <xf numFmtId="0" fontId="384" fillId="0" borderId="8" xfId="0" applyFont="1" applyBorder="1" applyAlignment="1">
      <alignment horizontal="center" vertical="center" wrapText="1"/>
    </xf>
    <xf numFmtId="0" fontId="384" fillId="0" borderId="30" xfId="0" applyFont="1" applyBorder="1" applyAlignment="1">
      <alignment horizontal="center" vertical="center" wrapText="1"/>
    </xf>
    <xf numFmtId="0" fontId="384" fillId="0" borderId="24" xfId="0" applyFont="1" applyBorder="1" applyAlignment="1">
      <alignment horizontal="center" vertical="center" wrapText="1"/>
    </xf>
    <xf numFmtId="0" fontId="381" fillId="0" borderId="234" xfId="0" applyFont="1" applyBorder="1" applyAlignment="1">
      <alignment horizontal="center" vertical="center" wrapText="1"/>
    </xf>
    <xf numFmtId="0" fontId="381" fillId="0" borderId="235" xfId="0" applyFont="1" applyBorder="1" applyAlignment="1">
      <alignment horizontal="center" vertical="center" wrapText="1"/>
    </xf>
    <xf numFmtId="0" fontId="381" fillId="0" borderId="236" xfId="0" applyFont="1" applyBorder="1" applyAlignment="1">
      <alignment horizontal="center" vertical="center" wrapText="1"/>
    </xf>
    <xf numFmtId="0" fontId="381" fillId="0" borderId="237" xfId="0" applyFont="1" applyBorder="1" applyAlignment="1">
      <alignment horizontal="center" vertical="center" wrapText="1"/>
    </xf>
    <xf numFmtId="0" fontId="381" fillId="0" borderId="238" xfId="0" applyFont="1" applyBorder="1" applyAlignment="1">
      <alignment horizontal="center" vertical="center" wrapText="1"/>
    </xf>
    <xf numFmtId="0" fontId="381" fillId="0" borderId="239" xfId="0" applyFont="1" applyBorder="1" applyAlignment="1">
      <alignment horizontal="center" vertical="center" wrapText="1"/>
    </xf>
    <xf numFmtId="0" fontId="381" fillId="0" borderId="240" xfId="0" applyFont="1" applyBorder="1" applyAlignment="1">
      <alignment horizontal="center" vertical="center" wrapText="1"/>
    </xf>
    <xf numFmtId="0" fontId="381" fillId="0" borderId="244" xfId="0" applyFont="1" applyBorder="1" applyAlignment="1">
      <alignment horizontal="center" vertical="center" wrapText="1"/>
    </xf>
    <xf numFmtId="0" fontId="384" fillId="0" borderId="10" xfId="0" applyFont="1" applyBorder="1" applyAlignment="1">
      <alignment horizontal="center" vertical="center" wrapText="1"/>
    </xf>
    <xf numFmtId="0" fontId="381" fillId="0" borderId="176" xfId="0" applyFont="1" applyBorder="1" applyAlignment="1">
      <alignment horizontal="center" vertical="center" wrapText="1"/>
    </xf>
    <xf numFmtId="0" fontId="381" fillId="0" borderId="11" xfId="0" applyFont="1" applyBorder="1" applyAlignment="1">
      <alignment horizontal="center" vertical="center" wrapText="1"/>
    </xf>
    <xf numFmtId="0" fontId="381" fillId="0" borderId="246" xfId="0" applyFont="1" applyBorder="1" applyAlignment="1">
      <alignment horizontal="center" vertical="center" wrapText="1"/>
    </xf>
    <xf numFmtId="0" fontId="381" fillId="0" borderId="248" xfId="0" applyFont="1" applyBorder="1" applyAlignment="1">
      <alignment horizontal="center" vertical="center" wrapText="1"/>
    </xf>
    <xf numFmtId="0" fontId="381" fillId="0" borderId="180" xfId="0" applyFont="1" applyBorder="1" applyAlignment="1">
      <alignment horizontal="center" vertical="center" wrapText="1"/>
    </xf>
    <xf numFmtId="0" fontId="381" fillId="0" borderId="247" xfId="0" applyFont="1" applyBorder="1" applyAlignment="1">
      <alignment horizontal="center" vertical="center" wrapText="1"/>
    </xf>
    <xf numFmtId="0" fontId="381" fillId="0" borderId="249" xfId="0" applyFont="1" applyBorder="1" applyAlignment="1">
      <alignment horizontal="center" vertical="center" wrapText="1"/>
    </xf>
    <xf numFmtId="0" fontId="381" fillId="0" borderId="241" xfId="0" applyFont="1" applyBorder="1" applyAlignment="1">
      <alignment horizontal="center" vertical="center" wrapText="1"/>
    </xf>
    <xf numFmtId="0" fontId="381" fillId="0" borderId="242" xfId="0" applyFont="1" applyBorder="1" applyAlignment="1">
      <alignment horizontal="center" vertical="center" wrapText="1"/>
    </xf>
    <xf numFmtId="0" fontId="381" fillId="0" borderId="243" xfId="0" applyFont="1" applyBorder="1" applyAlignment="1">
      <alignment horizontal="center" vertical="center" wrapText="1"/>
    </xf>
    <xf numFmtId="0" fontId="381" fillId="0" borderId="245" xfId="0" applyFont="1" applyBorder="1" applyAlignment="1">
      <alignment horizontal="center" vertical="center" wrapText="1"/>
    </xf>
    <xf numFmtId="0" fontId="381" fillId="112" borderId="34" xfId="0" applyFont="1" applyFill="1" applyBorder="1" applyAlignment="1">
      <alignment horizontal="left" vertical="center" wrapText="1"/>
    </xf>
    <xf numFmtId="0" fontId="381" fillId="112" borderId="230" xfId="0" applyFont="1" applyFill="1" applyBorder="1" applyAlignment="1">
      <alignment horizontal="left" vertical="center" wrapText="1"/>
    </xf>
    <xf numFmtId="0" fontId="381" fillId="112" borderId="39" xfId="0" applyFont="1" applyFill="1" applyBorder="1" applyAlignment="1">
      <alignment horizontal="left" vertical="center" wrapText="1"/>
    </xf>
    <xf numFmtId="0" fontId="381" fillId="112" borderId="34" xfId="0" applyFont="1" applyFill="1" applyBorder="1" applyAlignment="1">
      <alignment horizontal="center" vertical="center" wrapText="1"/>
    </xf>
    <xf numFmtId="0" fontId="381" fillId="112" borderId="39" xfId="0" applyFont="1" applyFill="1" applyBorder="1" applyAlignment="1">
      <alignment horizontal="center" vertical="center" wrapText="1"/>
    </xf>
    <xf numFmtId="0" fontId="381" fillId="0" borderId="34" xfId="0" applyFont="1" applyBorder="1" applyAlignment="1">
      <alignment horizontal="left" vertical="center" wrapText="1"/>
    </xf>
    <xf numFmtId="0" fontId="381" fillId="0" borderId="230" xfId="0" applyFont="1" applyBorder="1" applyAlignment="1">
      <alignment horizontal="left" vertical="center" wrapText="1"/>
    </xf>
    <xf numFmtId="0" fontId="381" fillId="0" borderId="39" xfId="0" applyFont="1" applyBorder="1" applyAlignment="1">
      <alignment horizontal="left" vertical="center" wrapText="1"/>
    </xf>
    <xf numFmtId="0" fontId="385" fillId="0" borderId="8" xfId="0" applyFont="1" applyBorder="1" applyAlignment="1">
      <alignment horizontal="center" vertical="center" wrapText="1"/>
    </xf>
    <xf numFmtId="0" fontId="385" fillId="0" borderId="30" xfId="0" applyFont="1" applyBorder="1" applyAlignment="1">
      <alignment horizontal="center" vertical="center" wrapText="1"/>
    </xf>
    <xf numFmtId="0" fontId="385" fillId="0" borderId="24" xfId="0" applyFont="1" applyBorder="1" applyAlignment="1">
      <alignment horizontal="center" vertical="center" wrapText="1"/>
    </xf>
    <xf numFmtId="185" fontId="26" fillId="12" borderId="59" xfId="0" applyNumberFormat="1" applyFont="1" applyFill="1" applyBorder="1" applyAlignment="1">
      <alignment horizontal="center" vertical="center"/>
    </xf>
    <xf numFmtId="185" fontId="26" fillId="12" borderId="27" xfId="0" applyNumberFormat="1" applyFont="1" applyFill="1" applyBorder="1" applyAlignment="1">
      <alignment horizontal="center" vertical="center"/>
    </xf>
    <xf numFmtId="0" fontId="26" fillId="12" borderId="1" xfId="0" applyFont="1" applyFill="1" applyBorder="1" applyAlignment="1">
      <alignment horizontal="center" vertical="center"/>
    </xf>
    <xf numFmtId="0" fontId="26" fillId="12" borderId="26" xfId="0" applyFont="1" applyFill="1" applyBorder="1" applyAlignment="1">
      <alignment horizontal="center" vertical="center"/>
    </xf>
    <xf numFmtId="184" fontId="26" fillId="12" borderId="31" xfId="0" applyNumberFormat="1" applyFont="1" applyFill="1" applyBorder="1" applyAlignment="1">
      <alignment horizontal="center" vertical="center"/>
    </xf>
    <xf numFmtId="184" fontId="26" fillId="12" borderId="104" xfId="0" applyNumberFormat="1" applyFont="1" applyFill="1" applyBorder="1" applyAlignment="1">
      <alignment horizontal="center" vertical="center"/>
    </xf>
    <xf numFmtId="0" fontId="26" fillId="12" borderId="1" xfId="0" applyNumberFormat="1" applyFont="1" applyFill="1" applyBorder="1" applyAlignment="1">
      <alignment horizontal="center" vertical="center"/>
    </xf>
    <xf numFmtId="0" fontId="26" fillId="12" borderId="26" xfId="0" applyNumberFormat="1" applyFont="1" applyFill="1" applyBorder="1" applyAlignment="1">
      <alignment horizontal="center" vertical="center"/>
    </xf>
    <xf numFmtId="0" fontId="24" fillId="16" borderId="19" xfId="0" applyFont="1" applyFill="1" applyBorder="1" applyAlignment="1">
      <alignment horizontal="center" vertical="center" shrinkToFit="1"/>
    </xf>
    <xf numFmtId="14" fontId="26" fillId="12" borderId="1" xfId="0" applyNumberFormat="1" applyFont="1" applyFill="1" applyBorder="1" applyAlignment="1">
      <alignment horizontal="center" vertical="center"/>
    </xf>
    <xf numFmtId="14" fontId="26" fillId="12" borderId="26" xfId="0" applyNumberFormat="1" applyFont="1" applyFill="1" applyBorder="1" applyAlignment="1">
      <alignment horizontal="center" vertical="center"/>
    </xf>
    <xf numFmtId="14" fontId="26" fillId="12" borderId="29" xfId="0" applyNumberFormat="1" applyFont="1" applyFill="1" applyBorder="1" applyAlignment="1">
      <alignment horizontal="center" vertical="center"/>
    </xf>
    <xf numFmtId="14" fontId="26" fillId="12" borderId="25" xfId="0" applyNumberFormat="1" applyFont="1" applyFill="1" applyBorder="1" applyAlignment="1">
      <alignment horizontal="center" vertical="center"/>
    </xf>
    <xf numFmtId="0" fontId="472" fillId="14" borderId="83" xfId="0" applyFont="1" applyFill="1" applyBorder="1" applyAlignment="1">
      <alignment horizontal="center" vertical="center" wrapText="1"/>
    </xf>
    <xf numFmtId="0" fontId="472" fillId="14" borderId="84" xfId="0" applyFont="1" applyFill="1" applyBorder="1" applyAlignment="1">
      <alignment horizontal="center" vertical="center" wrapText="1"/>
    </xf>
    <xf numFmtId="0" fontId="499" fillId="14" borderId="42" xfId="0" applyFont="1" applyFill="1" applyBorder="1" applyAlignment="1">
      <alignment horizontal="center" vertical="center" wrapText="1"/>
    </xf>
    <xf numFmtId="0" fontId="499" fillId="14" borderId="19" xfId="0" applyFont="1" applyFill="1" applyBorder="1" applyAlignment="1">
      <alignment horizontal="center" vertical="center" wrapText="1"/>
    </xf>
    <xf numFmtId="0" fontId="23" fillId="14" borderId="41" xfId="0" applyFont="1" applyFill="1" applyBorder="1" applyAlignment="1">
      <alignment horizontal="center" vertical="center" shrinkToFit="1"/>
    </xf>
    <xf numFmtId="0" fontId="23" fillId="14" borderId="44" xfId="0" applyFont="1" applyFill="1" applyBorder="1" applyAlignment="1">
      <alignment horizontal="center" vertical="center" shrinkToFit="1"/>
    </xf>
    <xf numFmtId="0" fontId="24" fillId="16" borderId="44" xfId="0" applyFont="1" applyFill="1" applyBorder="1" applyAlignment="1">
      <alignment horizontal="center" vertical="center" wrapText="1"/>
    </xf>
    <xf numFmtId="0" fontId="495" fillId="16" borderId="0" xfId="0" applyFont="1" applyFill="1" applyAlignment="1">
      <alignment horizontal="center" vertical="center"/>
    </xf>
    <xf numFmtId="0" fontId="499" fillId="14" borderId="43" xfId="0" applyFont="1" applyFill="1" applyBorder="1" applyAlignment="1">
      <alignment horizontal="center" vertical="center" wrapText="1"/>
    </xf>
    <xf numFmtId="0" fontId="24" fillId="16" borderId="49" xfId="0" applyFont="1" applyFill="1" applyBorder="1" applyAlignment="1">
      <alignment horizontal="center" vertical="center" wrapText="1"/>
    </xf>
    <xf numFmtId="0" fontId="24" fillId="16" borderId="51" xfId="0" applyFont="1" applyFill="1" applyBorder="1" applyAlignment="1">
      <alignment horizontal="center" vertical="center" wrapText="1"/>
    </xf>
    <xf numFmtId="0" fontId="24" fillId="16" borderId="50" xfId="0" applyFont="1" applyFill="1" applyBorder="1" applyAlignment="1">
      <alignment horizontal="center" vertical="center" wrapText="1"/>
    </xf>
    <xf numFmtId="0" fontId="23" fillId="14" borderId="52" xfId="0" applyFont="1" applyFill="1" applyBorder="1" applyAlignment="1">
      <alignment horizontal="center" wrapText="1"/>
    </xf>
    <xf numFmtId="0" fontId="23" fillId="14" borderId="53" xfId="0" applyFont="1" applyFill="1" applyBorder="1" applyAlignment="1">
      <alignment horizontal="center" wrapText="1"/>
    </xf>
    <xf numFmtId="0" fontId="23" fillId="14" borderId="54" xfId="0" applyFont="1" applyFill="1" applyBorder="1" applyAlignment="1">
      <alignment horizontal="center" wrapText="1"/>
    </xf>
    <xf numFmtId="0" fontId="26" fillId="12" borderId="12" xfId="0" applyFont="1" applyFill="1" applyBorder="1" applyAlignment="1">
      <alignment horizontal="left" vertical="center" wrapText="1"/>
    </xf>
    <xf numFmtId="0" fontId="26" fillId="12" borderId="55" xfId="0" applyFont="1" applyFill="1" applyBorder="1" applyAlignment="1">
      <alignment horizontal="left" vertical="center" wrapText="1"/>
    </xf>
    <xf numFmtId="0" fontId="26" fillId="12" borderId="7" xfId="0" applyFont="1" applyFill="1" applyBorder="1" applyAlignment="1">
      <alignment horizontal="left" vertical="center" wrapText="1"/>
    </xf>
    <xf numFmtId="0" fontId="23" fillId="0" borderId="47" xfId="0" applyFont="1" applyBorder="1" applyAlignment="1">
      <alignment horizontal="center" vertical="center" wrapText="1"/>
    </xf>
    <xf numFmtId="0" fontId="23" fillId="0" borderId="48" xfId="0" applyFont="1" applyBorder="1" applyAlignment="1">
      <alignment horizontal="center" vertical="center" wrapText="1"/>
    </xf>
    <xf numFmtId="0" fontId="23" fillId="14" borderId="42" xfId="0" applyFont="1" applyFill="1" applyBorder="1" applyAlignment="1">
      <alignment horizontal="center" vertical="center" shrinkToFit="1"/>
    </xf>
    <xf numFmtId="0" fontId="23" fillId="14" borderId="19" xfId="0" applyFont="1" applyFill="1" applyBorder="1" applyAlignment="1">
      <alignment horizontal="center" vertical="center" shrinkToFit="1"/>
    </xf>
    <xf numFmtId="0" fontId="29" fillId="17" borderId="180" xfId="6" applyFont="1" applyFill="1" applyBorder="1" applyAlignment="1">
      <alignment horizontal="center" vertical="center" wrapText="1"/>
    </xf>
    <xf numFmtId="0" fontId="29" fillId="17" borderId="0" xfId="6" applyFont="1" applyFill="1" applyBorder="1" applyAlignment="1">
      <alignment horizontal="center" vertical="center" wrapText="1"/>
    </xf>
    <xf numFmtId="0" fontId="30" fillId="20" borderId="62" xfId="6" applyFont="1" applyFill="1" applyBorder="1" applyAlignment="1">
      <alignment horizontal="center" vertical="center" wrapText="1"/>
    </xf>
    <xf numFmtId="0" fontId="30" fillId="20" borderId="63" xfId="6" applyFont="1" applyFill="1" applyBorder="1" applyAlignment="1">
      <alignment horizontal="center" vertical="center" wrapText="1"/>
    </xf>
    <xf numFmtId="0" fontId="463" fillId="20" borderId="1" xfId="6" applyFont="1" applyFill="1" applyBorder="1" applyAlignment="1">
      <alignment horizontal="center" vertical="center"/>
    </xf>
    <xf numFmtId="0" fontId="379" fillId="20" borderId="105" xfId="0" applyFont="1" applyFill="1" applyBorder="1" applyAlignment="1">
      <alignment horizontal="center" vertical="center"/>
    </xf>
    <xf numFmtId="0" fontId="379" fillId="20" borderId="103" xfId="0" applyFont="1" applyFill="1" applyBorder="1" applyAlignment="1">
      <alignment horizontal="center" vertical="center"/>
    </xf>
    <xf numFmtId="0" fontId="438" fillId="20" borderId="76" xfId="6" applyFont="1" applyFill="1" applyBorder="1" applyAlignment="1">
      <alignment horizontal="center" vertical="center"/>
    </xf>
    <xf numFmtId="0" fontId="438" fillId="20" borderId="78" xfId="6" applyFont="1" applyFill="1" applyBorder="1" applyAlignment="1">
      <alignment horizontal="center" vertical="center"/>
    </xf>
    <xf numFmtId="0" fontId="438" fillId="20" borderId="74" xfId="6" applyFont="1" applyFill="1" applyBorder="1" applyAlignment="1">
      <alignment horizontal="center" vertical="center"/>
    </xf>
    <xf numFmtId="0" fontId="438" fillId="20" borderId="22" xfId="6" applyFont="1" applyFill="1" applyBorder="1" applyAlignment="1">
      <alignment horizontal="center" vertical="center"/>
    </xf>
    <xf numFmtId="0" fontId="438" fillId="20" borderId="23" xfId="6" applyFont="1" applyFill="1" applyBorder="1" applyAlignment="1">
      <alignment horizontal="center" vertical="center"/>
    </xf>
    <xf numFmtId="0" fontId="438" fillId="20" borderId="362" xfId="6" applyFont="1" applyFill="1" applyBorder="1" applyAlignment="1">
      <alignment horizontal="center" vertical="center" shrinkToFit="1"/>
    </xf>
    <xf numFmtId="0" fontId="438" fillId="20" borderId="175" xfId="6" applyFont="1" applyFill="1" applyBorder="1" applyAlignment="1">
      <alignment horizontal="center" vertical="center" shrinkToFit="1"/>
    </xf>
    <xf numFmtId="0" fontId="25" fillId="0" borderId="39" xfId="0" applyFont="1" applyBorder="1" applyAlignment="1">
      <alignment horizontal="center" vertical="center" wrapText="1"/>
    </xf>
    <xf numFmtId="0" fontId="25" fillId="0" borderId="40" xfId="0" applyFont="1" applyBorder="1" applyAlignment="1">
      <alignment horizontal="center" vertical="center" wrapText="1"/>
    </xf>
    <xf numFmtId="0" fontId="25" fillId="0" borderId="38" xfId="0" applyFont="1" applyBorder="1" applyAlignment="1">
      <alignment horizontal="center" vertical="center" wrapText="1"/>
    </xf>
    <xf numFmtId="9" fontId="25" fillId="0" borderId="14" xfId="0" applyNumberFormat="1" applyFont="1" applyBorder="1" applyAlignment="1">
      <alignment horizontal="center" vertical="center" wrapText="1"/>
    </xf>
    <xf numFmtId="9" fontId="25" fillId="0" borderId="20" xfId="0" applyNumberFormat="1" applyFont="1" applyBorder="1" applyAlignment="1">
      <alignment horizontal="center" vertical="center" wrapText="1"/>
    </xf>
    <xf numFmtId="9" fontId="25" fillId="0" borderId="18" xfId="0" applyNumberFormat="1" applyFont="1" applyBorder="1" applyAlignment="1">
      <alignment horizontal="center" vertical="center" wrapText="1"/>
    </xf>
    <xf numFmtId="0" fontId="25" fillId="0" borderId="16" xfId="0" applyFont="1" applyBorder="1" applyAlignment="1">
      <alignment horizontal="center" vertical="center" wrapText="1"/>
    </xf>
    <xf numFmtId="0" fontId="25" fillId="0" borderId="17" xfId="0" applyFont="1" applyBorder="1" applyAlignment="1">
      <alignment horizontal="center" vertical="center" wrapText="1"/>
    </xf>
    <xf numFmtId="0" fontId="25" fillId="0" borderId="233" xfId="0" applyFont="1" applyBorder="1" applyAlignment="1">
      <alignment horizontal="center" vertical="center" wrapText="1"/>
    </xf>
    <xf numFmtId="9" fontId="25" fillId="0" borderId="302" xfId="0" applyNumberFormat="1" applyFont="1" applyBorder="1" applyAlignment="1">
      <alignment horizontal="center" vertical="center" wrapText="1"/>
    </xf>
    <xf numFmtId="0" fontId="33" fillId="5" borderId="1" xfId="6" applyFont="1" applyFill="1" applyBorder="1" applyAlignment="1">
      <alignment horizontal="center" vertical="center" wrapText="1"/>
    </xf>
    <xf numFmtId="10" fontId="33" fillId="0" borderId="8" xfId="6" applyNumberFormat="1" applyFont="1" applyBorder="1" applyAlignment="1">
      <alignment horizontal="center" vertical="center" wrapText="1"/>
    </xf>
    <xf numFmtId="10" fontId="33" fillId="0" borderId="24" xfId="6" applyNumberFormat="1" applyFont="1" applyBorder="1" applyAlignment="1">
      <alignment horizontal="center" vertical="center" wrapText="1"/>
    </xf>
    <xf numFmtId="0" fontId="379" fillId="9" borderId="1" xfId="6" applyFont="1" applyFill="1" applyBorder="1" applyAlignment="1">
      <alignment horizontal="center" vertical="center" wrapText="1"/>
    </xf>
    <xf numFmtId="0" fontId="379" fillId="9" borderId="8" xfId="6" applyFont="1" applyFill="1" applyBorder="1" applyAlignment="1">
      <alignment horizontal="center" vertical="center" wrapText="1"/>
    </xf>
    <xf numFmtId="0" fontId="379" fillId="9" borderId="30" xfId="6" applyFont="1" applyFill="1" applyBorder="1" applyAlignment="1">
      <alignment horizontal="center" vertical="center" wrapText="1"/>
    </xf>
    <xf numFmtId="0" fontId="379" fillId="9" borderId="24" xfId="6" applyFont="1" applyFill="1" applyBorder="1" applyAlignment="1">
      <alignment horizontal="center" vertical="center" wrapText="1"/>
    </xf>
    <xf numFmtId="10" fontId="464" fillId="4" borderId="8" xfId="6" applyNumberFormat="1" applyFont="1" applyFill="1" applyBorder="1" applyAlignment="1">
      <alignment horizontal="center" vertical="center" wrapText="1"/>
    </xf>
    <xf numFmtId="10" fontId="464" fillId="4" borderId="24" xfId="6" applyNumberFormat="1" applyFont="1" applyFill="1" applyBorder="1" applyAlignment="1">
      <alignment horizontal="center" vertical="center" wrapText="1"/>
    </xf>
    <xf numFmtId="0" fontId="33" fillId="0" borderId="10" xfId="6" applyFont="1" applyBorder="1" applyAlignment="1">
      <alignment horizontal="center" vertical="center" wrapText="1"/>
    </xf>
    <xf numFmtId="0" fontId="33" fillId="0" borderId="176" xfId="6" applyFont="1" applyBorder="1" applyAlignment="1">
      <alignment horizontal="center" vertical="center" wrapText="1"/>
    </xf>
    <xf numFmtId="0" fontId="33" fillId="0" borderId="11" xfId="6" applyFont="1" applyBorder="1" applyAlignment="1">
      <alignment horizontal="center" vertical="center" wrapText="1"/>
    </xf>
    <xf numFmtId="0" fontId="29" fillId="0" borderId="0" xfId="6" applyFont="1" applyAlignment="1">
      <alignment horizontal="center" vertical="center"/>
    </xf>
    <xf numFmtId="0" fontId="423" fillId="4" borderId="14" xfId="6" applyFont="1" applyFill="1" applyBorder="1" applyAlignment="1">
      <alignment horizontal="center" vertical="center" wrapText="1"/>
    </xf>
    <xf numFmtId="0" fontId="423" fillId="4" borderId="20" xfId="6" applyFont="1" applyFill="1" applyBorder="1" applyAlignment="1">
      <alignment horizontal="center" vertical="center" wrapText="1"/>
    </xf>
    <xf numFmtId="0" fontId="29" fillId="0" borderId="1" xfId="6" applyFont="1" applyBorder="1" applyAlignment="1">
      <alignment horizontal="center" vertical="center" wrapText="1"/>
    </xf>
    <xf numFmtId="0" fontId="462" fillId="0" borderId="0" xfId="0" applyFont="1" applyFill="1" applyAlignment="1">
      <alignment horizontal="left" vertical="center"/>
    </xf>
    <xf numFmtId="0" fontId="423" fillId="4" borderId="316" xfId="6" applyFont="1" applyFill="1" applyBorder="1" applyAlignment="1">
      <alignment horizontal="center" vertical="center" wrapText="1"/>
    </xf>
    <xf numFmtId="10" fontId="439" fillId="0" borderId="0" xfId="5" applyNumberFormat="1" applyFont="1" applyAlignment="1">
      <alignment horizontal="left" vertical="top" wrapText="1"/>
    </xf>
    <xf numFmtId="0" fontId="50" fillId="6" borderId="31" xfId="0" applyFont="1" applyFill="1" applyBorder="1" applyAlignment="1">
      <alignment horizontal="center" vertical="center"/>
    </xf>
    <xf numFmtId="0" fontId="50" fillId="6" borderId="160" xfId="0" applyFont="1" applyFill="1" applyBorder="1" applyAlignment="1">
      <alignment horizontal="center" vertical="center"/>
    </xf>
    <xf numFmtId="0" fontId="50" fillId="6" borderId="32" xfId="0" applyFont="1" applyFill="1" applyBorder="1" applyAlignment="1">
      <alignment horizontal="center" vertical="center"/>
    </xf>
    <xf numFmtId="0" fontId="439" fillId="0" borderId="1" xfId="0" applyFont="1" applyBorder="1" applyAlignment="1">
      <alignment horizontal="center" vertical="center" wrapText="1"/>
    </xf>
    <xf numFmtId="0" fontId="50" fillId="6" borderId="8" xfId="0" applyFont="1" applyFill="1" applyBorder="1" applyAlignment="1">
      <alignment horizontal="center" vertical="center"/>
    </xf>
    <xf numFmtId="0" fontId="50" fillId="6" borderId="24" xfId="0" applyFont="1" applyFill="1" applyBorder="1" applyAlignment="1">
      <alignment horizontal="center" vertical="center"/>
    </xf>
    <xf numFmtId="10" fontId="50" fillId="6" borderId="1" xfId="5" applyNumberFormat="1" applyFont="1" applyFill="1" applyBorder="1" applyAlignment="1">
      <alignment horizontal="center" vertical="center"/>
    </xf>
    <xf numFmtId="10" fontId="50" fillId="6" borderId="10" xfId="5" applyNumberFormat="1" applyFont="1" applyFill="1" applyBorder="1" applyAlignment="1">
      <alignment horizontal="center" vertical="center"/>
    </xf>
    <xf numFmtId="10" fontId="50" fillId="6" borderId="176" xfId="5" applyNumberFormat="1" applyFont="1" applyFill="1" applyBorder="1" applyAlignment="1">
      <alignment horizontal="center" vertical="center"/>
    </xf>
    <xf numFmtId="10" fontId="50" fillId="6" borderId="11" xfId="5" applyNumberFormat="1" applyFont="1" applyFill="1" applyBorder="1" applyAlignment="1">
      <alignment horizontal="center" vertical="center"/>
    </xf>
    <xf numFmtId="10" fontId="439" fillId="0" borderId="1" xfId="5" applyNumberFormat="1" applyFont="1" applyBorder="1" applyAlignment="1">
      <alignment horizontal="center" vertical="center"/>
    </xf>
    <xf numFmtId="368" fontId="50" fillId="6" borderId="31" xfId="0" applyNumberFormat="1" applyFont="1" applyFill="1" applyBorder="1" applyAlignment="1">
      <alignment horizontal="center" vertical="center"/>
    </xf>
    <xf numFmtId="368" fontId="50" fillId="6" borderId="160" xfId="0" applyNumberFormat="1" applyFont="1" applyFill="1" applyBorder="1" applyAlignment="1">
      <alignment horizontal="center" vertical="center"/>
    </xf>
    <xf numFmtId="368" fontId="50" fillId="6" borderId="32" xfId="0" applyNumberFormat="1" applyFont="1" applyFill="1" applyBorder="1" applyAlignment="1">
      <alignment horizontal="center" vertical="center"/>
    </xf>
    <xf numFmtId="0" fontId="30" fillId="8" borderId="221" xfId="6" applyFont="1" applyFill="1" applyBorder="1" applyAlignment="1">
      <alignment horizontal="center" vertical="center" wrapText="1"/>
    </xf>
    <xf numFmtId="0" fontId="30" fillId="8" borderId="86" xfId="6" applyFont="1" applyFill="1" applyBorder="1" applyAlignment="1">
      <alignment horizontal="center" vertical="center" wrapText="1"/>
    </xf>
    <xf numFmtId="0" fontId="46" fillId="0" borderId="14" xfId="6" applyFont="1" applyBorder="1" applyAlignment="1">
      <alignment horizontal="center" vertical="center" wrapText="1"/>
    </xf>
    <xf numFmtId="0" fontId="46" fillId="0" borderId="20" xfId="6" applyFont="1" applyBorder="1" applyAlignment="1">
      <alignment horizontal="center" vertical="center" wrapText="1"/>
    </xf>
    <xf numFmtId="0" fontId="46" fillId="0" borderId="18" xfId="6" applyFont="1" applyBorder="1" applyAlignment="1">
      <alignment horizontal="center" vertical="center" wrapText="1"/>
    </xf>
    <xf numFmtId="183" fontId="33" fillId="0" borderId="15" xfId="6" applyNumberFormat="1" applyFont="1" applyBorder="1" applyAlignment="1">
      <alignment horizontal="center" vertical="center" wrapText="1"/>
    </xf>
    <xf numFmtId="183" fontId="33" fillId="0" borderId="16" xfId="6" applyNumberFormat="1" applyFont="1" applyBorder="1" applyAlignment="1">
      <alignment horizontal="center" vertical="center" wrapText="1"/>
    </xf>
    <xf numFmtId="183" fontId="33" fillId="0" borderId="17" xfId="6" applyNumberFormat="1" applyFont="1" applyBorder="1" applyAlignment="1">
      <alignment horizontal="center" vertical="center" wrapText="1"/>
    </xf>
    <xf numFmtId="10" fontId="31" fillId="4" borderId="15" xfId="6" applyNumberFormat="1" applyFont="1" applyFill="1" applyBorder="1" applyAlignment="1">
      <alignment horizontal="center" vertical="center" wrapText="1"/>
    </xf>
    <xf numFmtId="10" fontId="31" fillId="4" borderId="16" xfId="6" applyNumberFormat="1" applyFont="1" applyFill="1" applyBorder="1" applyAlignment="1">
      <alignment horizontal="center" vertical="center" wrapText="1"/>
    </xf>
    <xf numFmtId="10" fontId="31" fillId="4" borderId="17" xfId="6" applyNumberFormat="1" applyFont="1" applyFill="1" applyBorder="1" applyAlignment="1">
      <alignment horizontal="center" vertical="center" wrapText="1"/>
    </xf>
    <xf numFmtId="0" fontId="33" fillId="0" borderId="14" xfId="6" applyFont="1" applyBorder="1" applyAlignment="1">
      <alignment horizontal="center" vertical="center" wrapText="1"/>
    </xf>
    <xf numFmtId="0" fontId="33" fillId="0" borderId="18" xfId="6" applyFont="1" applyBorder="1" applyAlignment="1">
      <alignment horizontal="center" vertical="center" wrapText="1"/>
    </xf>
    <xf numFmtId="0" fontId="33" fillId="0" borderId="15" xfId="6" applyFont="1" applyBorder="1" applyAlignment="1">
      <alignment horizontal="center" vertical="center" wrapText="1"/>
    </xf>
    <xf numFmtId="0" fontId="33" fillId="0" borderId="16" xfId="6" applyFont="1" applyBorder="1" applyAlignment="1">
      <alignment horizontal="center" vertical="center" wrapText="1"/>
    </xf>
    <xf numFmtId="0" fontId="31" fillId="10" borderId="25" xfId="6" applyFont="1" applyFill="1" applyBorder="1" applyAlignment="1">
      <alignment horizontal="center" vertical="center" wrapText="1"/>
    </xf>
    <xf numFmtId="0" fontId="31" fillId="10" borderId="26" xfId="6" applyFont="1" applyFill="1" applyBorder="1" applyAlignment="1">
      <alignment horizontal="center" vertical="center" wrapText="1"/>
    </xf>
    <xf numFmtId="0" fontId="424" fillId="0" borderId="31" xfId="6" applyFont="1" applyBorder="1" applyAlignment="1">
      <alignment horizontal="center" vertical="center"/>
    </xf>
    <xf numFmtId="0" fontId="424" fillId="0" borderId="32" xfId="6" applyFont="1" applyBorder="1" applyAlignment="1">
      <alignment horizontal="center" vertical="center"/>
    </xf>
    <xf numFmtId="0" fontId="30" fillId="8" borderId="33" xfId="6" applyFont="1" applyFill="1" applyBorder="1" applyAlignment="1">
      <alignment horizontal="center" vertical="center" wrapText="1"/>
    </xf>
    <xf numFmtId="0" fontId="30" fillId="8" borderId="0" xfId="6" applyFont="1" applyFill="1" applyBorder="1" applyAlignment="1">
      <alignment horizontal="center" vertical="center" wrapText="1"/>
    </xf>
    <xf numFmtId="0" fontId="31" fillId="10" borderId="29" xfId="6" applyFont="1" applyFill="1" applyBorder="1" applyAlignment="1">
      <alignment horizontal="center" vertical="center" wrapText="1"/>
    </xf>
    <xf numFmtId="0" fontId="31" fillId="10" borderId="1" xfId="6" applyFont="1" applyFill="1" applyBorder="1" applyAlignment="1">
      <alignment horizontal="center" vertical="center" wrapText="1"/>
    </xf>
    <xf numFmtId="0" fontId="30" fillId="8" borderId="36" xfId="6" applyFont="1" applyFill="1" applyBorder="1" applyAlignment="1">
      <alignment horizontal="center" vertical="center" wrapText="1"/>
    </xf>
    <xf numFmtId="0" fontId="30" fillId="8" borderId="37" xfId="6" applyFont="1" applyFill="1" applyBorder="1" applyAlignment="1">
      <alignment horizontal="center" vertical="center"/>
    </xf>
    <xf numFmtId="0" fontId="31" fillId="10" borderId="21" xfId="6" applyFont="1" applyFill="1" applyBorder="1" applyAlignment="1">
      <alignment horizontal="center" vertical="center" wrapText="1"/>
    </xf>
    <xf numFmtId="0" fontId="390" fillId="10" borderId="29" xfId="6" applyFont="1" applyFill="1" applyBorder="1" applyAlignment="1">
      <alignment horizontal="center" vertical="center" wrapText="1"/>
    </xf>
    <xf numFmtId="0" fontId="390" fillId="10" borderId="1" xfId="6" applyFont="1" applyFill="1" applyBorder="1" applyAlignment="1">
      <alignment horizontal="center" vertical="center" wrapText="1"/>
    </xf>
    <xf numFmtId="0" fontId="392" fillId="0" borderId="284" xfId="0" applyFont="1" applyBorder="1" applyAlignment="1">
      <alignment horizontal="center" vertical="center" wrapText="1"/>
    </xf>
    <xf numFmtId="0" fontId="392" fillId="0" borderId="282" xfId="0" applyFont="1" applyBorder="1" applyAlignment="1">
      <alignment horizontal="center" vertical="center" wrapText="1"/>
    </xf>
    <xf numFmtId="0" fontId="392" fillId="0" borderId="84" xfId="0" applyFont="1" applyBorder="1" applyAlignment="1">
      <alignment horizontal="center" vertical="center" wrapText="1"/>
    </xf>
    <xf numFmtId="375" fontId="394" fillId="24" borderId="290" xfId="0" applyNumberFormat="1" applyFont="1" applyFill="1" applyBorder="1" applyAlignment="1">
      <alignment horizontal="center" vertical="center" wrapText="1"/>
    </xf>
    <xf numFmtId="375" fontId="394" fillId="24" borderId="291" xfId="0" applyNumberFormat="1" applyFont="1" applyFill="1" applyBorder="1" applyAlignment="1">
      <alignment horizontal="center" vertical="center" wrapText="1"/>
    </xf>
    <xf numFmtId="375" fontId="394" fillId="24" borderId="292" xfId="0" applyNumberFormat="1" applyFont="1" applyFill="1" applyBorder="1" applyAlignment="1">
      <alignment horizontal="center" vertical="center" wrapText="1"/>
    </xf>
    <xf numFmtId="0" fontId="394" fillId="24" borderId="290" xfId="0" applyFont="1" applyFill="1" applyBorder="1" applyAlignment="1">
      <alignment horizontal="center" vertical="center" wrapText="1"/>
    </xf>
    <xf numFmtId="0" fontId="394" fillId="24" borderId="293" xfId="0" applyFont="1" applyFill="1" applyBorder="1" applyAlignment="1">
      <alignment horizontal="center" vertical="center" wrapText="1"/>
    </xf>
    <xf numFmtId="0" fontId="394" fillId="24" borderId="291" xfId="0" applyFont="1" applyFill="1" applyBorder="1" applyAlignment="1">
      <alignment horizontal="center" vertical="center" wrapText="1"/>
    </xf>
    <xf numFmtId="0" fontId="53" fillId="0" borderId="0" xfId="0" applyFont="1" applyAlignment="1">
      <alignment horizontal="center" vertical="center"/>
    </xf>
    <xf numFmtId="375" fontId="20" fillId="0" borderId="86" xfId="0" applyNumberFormat="1" applyFont="1" applyBorder="1" applyAlignment="1">
      <alignment horizontal="center" vertical="center"/>
    </xf>
    <xf numFmtId="0" fontId="391" fillId="5" borderId="278" xfId="0" applyFont="1" applyFill="1" applyBorder="1" applyAlignment="1">
      <alignment horizontal="center" vertical="center" wrapText="1"/>
    </xf>
    <xf numFmtId="0" fontId="391" fillId="5" borderId="279" xfId="0" applyFont="1" applyFill="1" applyBorder="1" applyAlignment="1">
      <alignment horizontal="center" vertical="center" wrapText="1"/>
    </xf>
    <xf numFmtId="377" fontId="63" fillId="3" borderId="62" xfId="0" applyNumberFormat="1" applyFont="1" applyFill="1" applyBorder="1" applyAlignment="1">
      <alignment horizontal="center" vertical="center"/>
    </xf>
    <xf numFmtId="377" fontId="63" fillId="3" borderId="64" xfId="0" applyNumberFormat="1" applyFont="1" applyFill="1" applyBorder="1" applyAlignment="1">
      <alignment horizontal="center" vertical="center"/>
    </xf>
    <xf numFmtId="375" fontId="442" fillId="25" borderId="136" xfId="0" applyNumberFormat="1" applyFont="1" applyFill="1" applyBorder="1" applyAlignment="1">
      <alignment horizontal="center" vertical="center"/>
    </xf>
    <xf numFmtId="375" fontId="442" fillId="25" borderId="137" xfId="0" applyNumberFormat="1" applyFont="1" applyFill="1" applyBorder="1" applyAlignment="1">
      <alignment horizontal="center" vertical="center"/>
    </xf>
    <xf numFmtId="375" fontId="442" fillId="25" borderId="139" xfId="0" applyNumberFormat="1" applyFont="1" applyFill="1" applyBorder="1" applyAlignment="1">
      <alignment horizontal="center" vertical="center"/>
    </xf>
    <xf numFmtId="375" fontId="442" fillId="25" borderId="140" xfId="0" applyNumberFormat="1" applyFont="1" applyFill="1" applyBorder="1" applyAlignment="1">
      <alignment horizontal="center" vertical="center"/>
    </xf>
    <xf numFmtId="375" fontId="442" fillId="25" borderId="142" xfId="0" applyNumberFormat="1" applyFont="1" applyFill="1" applyBorder="1" applyAlignment="1">
      <alignment horizontal="center" vertical="center"/>
    </xf>
    <xf numFmtId="375" fontId="442" fillId="25" borderId="143" xfId="0" applyNumberFormat="1" applyFont="1" applyFill="1" applyBorder="1" applyAlignment="1">
      <alignment horizontal="center" vertical="center"/>
    </xf>
    <xf numFmtId="10" fontId="443" fillId="12" borderId="137" xfId="5" applyNumberFormat="1" applyFont="1" applyFill="1" applyBorder="1" applyAlignment="1">
      <alignment horizontal="center" vertical="center"/>
    </xf>
    <xf numFmtId="10" fontId="443" fillId="12" borderId="138" xfId="5" applyNumberFormat="1" applyFont="1" applyFill="1" applyBorder="1" applyAlignment="1">
      <alignment horizontal="center" vertical="center"/>
    </xf>
    <xf numFmtId="10" fontId="443" fillId="12" borderId="140" xfId="5" applyNumberFormat="1" applyFont="1" applyFill="1" applyBorder="1" applyAlignment="1">
      <alignment horizontal="center" vertical="center"/>
    </xf>
    <xf numFmtId="10" fontId="443" fillId="12" borderId="141" xfId="5" applyNumberFormat="1" applyFont="1" applyFill="1" applyBorder="1" applyAlignment="1">
      <alignment horizontal="center" vertical="center"/>
    </xf>
    <xf numFmtId="10" fontId="443" fillId="12" borderId="143" xfId="5" applyNumberFormat="1" applyFont="1" applyFill="1" applyBorder="1" applyAlignment="1">
      <alignment horizontal="center" vertical="center"/>
    </xf>
    <xf numFmtId="10" fontId="443" fillId="12" borderId="144" xfId="5" applyNumberFormat="1" applyFont="1" applyFill="1" applyBorder="1" applyAlignment="1">
      <alignment horizontal="center" vertical="center"/>
    </xf>
    <xf numFmtId="0" fontId="473" fillId="0" borderId="272" xfId="2" applyFont="1" applyFill="1" applyBorder="1" applyAlignment="1">
      <alignment horizontal="center" vertical="center"/>
    </xf>
    <xf numFmtId="0" fontId="473" fillId="0" borderId="273" xfId="2" applyFont="1" applyFill="1" applyBorder="1" applyAlignment="1">
      <alignment horizontal="center" vertical="center"/>
    </xf>
    <xf numFmtId="187" fontId="75" fillId="12" borderId="105" xfId="1" applyNumberFormat="1" applyFont="1" applyFill="1" applyBorder="1" applyAlignment="1">
      <alignment horizontal="center" vertical="center"/>
    </xf>
    <xf numFmtId="187" fontId="75" fillId="12" borderId="102" xfId="1" applyNumberFormat="1" applyFont="1" applyFill="1" applyBorder="1" applyAlignment="1">
      <alignment horizontal="center" vertical="center"/>
    </xf>
    <xf numFmtId="187" fontId="75" fillId="12" borderId="103" xfId="1" applyNumberFormat="1" applyFont="1" applyFill="1" applyBorder="1" applyAlignment="1">
      <alignment horizontal="center" vertical="center"/>
    </xf>
    <xf numFmtId="0" fontId="473" fillId="0" borderId="223" xfId="2" applyFont="1" applyBorder="1" applyAlignment="1">
      <alignment horizontal="center" vertical="center"/>
    </xf>
    <xf numFmtId="0" fontId="473" fillId="0" borderId="224" xfId="2" applyFont="1" applyBorder="1" applyAlignment="1">
      <alignment horizontal="center" vertical="center"/>
    </xf>
    <xf numFmtId="0" fontId="473" fillId="0" borderId="226" xfId="2" applyFont="1" applyBorder="1" applyAlignment="1">
      <alignment horizontal="center" vertical="center"/>
    </xf>
    <xf numFmtId="0" fontId="473" fillId="0" borderId="223" xfId="2" applyFont="1" applyFill="1" applyBorder="1" applyAlignment="1">
      <alignment horizontal="center" vertical="center"/>
    </xf>
    <xf numFmtId="0" fontId="473" fillId="0" borderId="224" xfId="2" applyFont="1" applyFill="1" applyBorder="1" applyAlignment="1">
      <alignment horizontal="center" vertical="center"/>
    </xf>
    <xf numFmtId="0" fontId="473" fillId="0" borderId="225" xfId="2" applyFont="1" applyFill="1" applyBorder="1" applyAlignment="1">
      <alignment horizontal="center" vertical="center"/>
    </xf>
    <xf numFmtId="0" fontId="27" fillId="15" borderId="0" xfId="8" applyFont="1" applyFill="1" applyAlignment="1">
      <alignment horizontal="center" vertical="center" wrapText="1"/>
    </xf>
    <xf numFmtId="0" fontId="27" fillId="15" borderId="86" xfId="8" applyFont="1" applyFill="1" applyBorder="1" applyAlignment="1">
      <alignment horizontal="center" vertical="center" wrapText="1"/>
    </xf>
    <xf numFmtId="49" fontId="8" fillId="0" borderId="0" xfId="8" applyNumberFormat="1">
      <alignment vertical="center"/>
    </xf>
    <xf numFmtId="49" fontId="8" fillId="0" borderId="230" xfId="8" applyNumberFormat="1" applyBorder="1">
      <alignment vertical="center"/>
    </xf>
    <xf numFmtId="0" fontId="389" fillId="4" borderId="0" xfId="0" applyFont="1" applyFill="1" applyAlignment="1">
      <alignment horizontal="center" vertical="center"/>
    </xf>
    <xf numFmtId="0" fontId="0" fillId="4" borderId="0" xfId="0" applyFill="1" applyAlignment="1">
      <alignment horizontal="center"/>
    </xf>
    <xf numFmtId="0" fontId="0" fillId="16" borderId="1" xfId="0" applyFill="1" applyBorder="1" applyAlignment="1">
      <alignment horizontal="center" vertical="center"/>
    </xf>
    <xf numFmtId="0" fontId="0" fillId="16" borderId="31" xfId="0" applyFill="1" applyBorder="1" applyAlignment="1">
      <alignment vertical="center"/>
    </xf>
    <xf numFmtId="0" fontId="0" fillId="16" borderId="160" xfId="0" applyFill="1" applyBorder="1" applyAlignment="1">
      <alignment vertical="center"/>
    </xf>
    <xf numFmtId="0" fontId="0" fillId="16" borderId="32" xfId="0" applyFill="1" applyBorder="1" applyAlignment="1">
      <alignment vertical="center"/>
    </xf>
    <xf numFmtId="0" fontId="0" fillId="16" borderId="31" xfId="0" applyFill="1" applyBorder="1" applyAlignment="1">
      <alignment horizontal="center" vertical="center"/>
    </xf>
    <xf numFmtId="0" fontId="0" fillId="16" borderId="32" xfId="0" applyFill="1" applyBorder="1" applyAlignment="1">
      <alignment horizontal="center" vertical="center"/>
    </xf>
    <xf numFmtId="182" fontId="81" fillId="63" borderId="1" xfId="22" applyNumberFormat="1" applyFont="1" applyBorder="1" applyAlignment="1">
      <alignment horizontal="center" vertical="center"/>
    </xf>
    <xf numFmtId="182" fontId="81" fillId="63" borderId="8" xfId="22" applyNumberFormat="1" applyFont="1" applyBorder="1" applyAlignment="1">
      <alignment horizontal="center" vertical="center"/>
    </xf>
    <xf numFmtId="182" fontId="81" fillId="63" borderId="30" xfId="22" applyNumberFormat="1" applyFont="1" applyBorder="1" applyAlignment="1">
      <alignment horizontal="center" vertical="center"/>
    </xf>
    <xf numFmtId="182" fontId="81" fillId="63" borderId="24" xfId="22" applyNumberFormat="1" applyFont="1" applyBorder="1" applyAlignment="1">
      <alignment horizontal="center" vertical="center"/>
    </xf>
    <xf numFmtId="0" fontId="472" fillId="5" borderId="14" xfId="6" applyFont="1" applyFill="1" applyBorder="1" applyAlignment="1">
      <alignment horizontal="center" vertical="center" wrapText="1"/>
    </xf>
    <xf numFmtId="0" fontId="472" fillId="5" borderId="34" xfId="6" applyFont="1" applyFill="1" applyBorder="1" applyAlignment="1">
      <alignment horizontal="center" vertical="center" wrapText="1"/>
    </xf>
    <xf numFmtId="0" fontId="472" fillId="5" borderId="1" xfId="6" applyFont="1" applyFill="1" applyBorder="1" applyAlignment="1">
      <alignment horizontal="center" vertical="center" wrapText="1"/>
    </xf>
    <xf numFmtId="0" fontId="46" fillId="6" borderId="176" xfId="6" applyFont="1" applyFill="1" applyBorder="1" applyAlignment="1">
      <alignment horizontal="center" vertical="center"/>
    </xf>
    <xf numFmtId="0" fontId="500" fillId="4" borderId="1" xfId="6" applyFont="1" applyFill="1" applyBorder="1" applyAlignment="1">
      <alignment horizontal="center" vertical="center" wrapText="1"/>
    </xf>
    <xf numFmtId="0" fontId="465" fillId="0" borderId="17" xfId="6" applyFont="1" applyBorder="1" applyAlignment="1">
      <alignment horizontal="justify" vertical="center" wrapText="1"/>
    </xf>
    <xf numFmtId="0" fontId="465" fillId="0" borderId="18" xfId="6" applyFont="1" applyBorder="1" applyAlignment="1">
      <alignment vertical="center" wrapText="1"/>
    </xf>
    <xf numFmtId="0" fontId="46" fillId="4" borderId="1" xfId="6" applyFont="1" applyFill="1" applyBorder="1">
      <alignment vertical="center"/>
    </xf>
    <xf numFmtId="0" fontId="500" fillId="4" borderId="302" xfId="6" applyFont="1" applyFill="1" applyBorder="1" applyAlignment="1">
      <alignment horizontal="center" vertical="center" wrapText="1"/>
    </xf>
    <xf numFmtId="0" fontId="465" fillId="0" borderId="19" xfId="6" applyFont="1" applyBorder="1" applyAlignment="1">
      <alignment horizontal="justify" vertical="center" wrapText="1"/>
    </xf>
    <xf numFmtId="0" fontId="500" fillId="4" borderId="20" xfId="6" applyFont="1" applyFill="1" applyBorder="1" applyAlignment="1">
      <alignment horizontal="center" vertical="center" wrapText="1"/>
    </xf>
    <xf numFmtId="0" fontId="465" fillId="0" borderId="14" xfId="6" applyFont="1" applyBorder="1" applyAlignment="1">
      <alignment horizontal="justify" vertical="center" wrapText="1"/>
    </xf>
    <xf numFmtId="0" fontId="500" fillId="4" borderId="316" xfId="6" applyFont="1" applyFill="1" applyBorder="1" applyAlignment="1">
      <alignment horizontal="center" vertical="center" wrapText="1"/>
    </xf>
    <xf numFmtId="0" fontId="46" fillId="0" borderId="1" xfId="6" applyFont="1" applyBorder="1" applyAlignment="1">
      <alignment horizontal="center" vertical="center" wrapText="1"/>
    </xf>
    <xf numFmtId="0" fontId="46" fillId="0" borderId="8" xfId="6" applyFont="1" applyBorder="1" applyAlignment="1">
      <alignment horizontal="center" vertical="center" wrapText="1"/>
    </xf>
    <xf numFmtId="0" fontId="472" fillId="9" borderId="8" xfId="6" applyFont="1" applyFill="1" applyBorder="1" applyAlignment="1">
      <alignment horizontal="center" vertical="center" wrapText="1"/>
    </xf>
    <xf numFmtId="0" fontId="472" fillId="9" borderId="30" xfId="6" applyFont="1" applyFill="1" applyBorder="1" applyAlignment="1">
      <alignment horizontal="center" vertical="center" wrapText="1"/>
    </xf>
    <xf numFmtId="180" fontId="46" fillId="4" borderId="1" xfId="5" applyNumberFormat="1" applyFont="1" applyFill="1" applyBorder="1" applyAlignment="1">
      <alignment vertical="center"/>
    </xf>
  </cellXfs>
  <cellStyles count="6616">
    <cellStyle name="-" xfId="25" xr:uid="{00000000-0005-0000-0000-000000000000}"/>
    <cellStyle name=" " xfId="26" xr:uid="{00000000-0005-0000-0000-000001000000}"/>
    <cellStyle name="          _x000d__x000a_386grabber=AVGA.3GR_x000d_" xfId="27" xr:uid="{00000000-0005-0000-0000-000002000000}"/>
    <cellStyle name="          _x000d__x000a_386grabber=vga.3gr_x000d__x000a_" xfId="28" xr:uid="{00000000-0005-0000-0000-000003000000}"/>
    <cellStyle name="          _x000d__x000a_mouse.drv=lmouse.drv" xfId="29" xr:uid="{00000000-0005-0000-0000-000004000000}"/>
    <cellStyle name="          _x000d__x000a_shell=progman.exe_x000d__x000a_m" xfId="30" xr:uid="{00000000-0005-0000-0000-000005000000}"/>
    <cellStyle name=" _060614-만회계획(보고서)" xfId="31" xr:uid="{00000000-0005-0000-0000-000006000000}"/>
    <cellStyle name=" _1팀09생산실적" xfId="32" xr:uid="{00000000-0005-0000-0000-000007000000}"/>
    <cellStyle name=" _매출이익분석" xfId="33" xr:uid="{00000000-0005-0000-0000-000008000000}"/>
    <cellStyle name=" FY96" xfId="34" xr:uid="{00000000-0005-0000-0000-000009000000}"/>
    <cellStyle name="_x000a_386grabber=M" xfId="35" xr:uid="{00000000-0005-0000-0000-00000A000000}"/>
    <cellStyle name="#" xfId="36" xr:uid="{00000000-0005-0000-0000-00000B000000}"/>
    <cellStyle name="-#,###" xfId="37" xr:uid="{00000000-0005-0000-0000-00000C000000}"/>
    <cellStyle name="#,##0" xfId="38" xr:uid="{00000000-0005-0000-0000-00000D000000}"/>
    <cellStyle name="#,##0!" xfId="39" xr:uid="{00000000-0005-0000-0000-00000E000000}"/>
    <cellStyle name="#,##0$" xfId="40" xr:uid="{00000000-0005-0000-0000-00000F000000}"/>
    <cellStyle name="#,##0$!" xfId="41" xr:uid="{00000000-0005-0000-0000-000010000000}"/>
    <cellStyle name="#,##0$$" xfId="42" xr:uid="{00000000-0005-0000-0000-000011000000}"/>
    <cellStyle name="#,##0$$!" xfId="43" xr:uid="{00000000-0005-0000-0000-000012000000}"/>
    <cellStyle name="#,##0$$$" xfId="44" xr:uid="{00000000-0005-0000-0000-000013000000}"/>
    <cellStyle name="#,##0$$$!" xfId="45" xr:uid="{00000000-0005-0000-0000-000014000000}"/>
    <cellStyle name="#,##0$$$$" xfId="46" xr:uid="{00000000-0005-0000-0000-000015000000}"/>
    <cellStyle name="#,##0$$$$!" xfId="47" xr:uid="{00000000-0005-0000-0000-000016000000}"/>
    <cellStyle name="#,##0$$$$$" xfId="48" xr:uid="{00000000-0005-0000-0000-000017000000}"/>
    <cellStyle name="#,##0$$$$$!" xfId="49" xr:uid="{00000000-0005-0000-0000-000018000000}"/>
    <cellStyle name="#,##0$$$$$$" xfId="50" xr:uid="{00000000-0005-0000-0000-000019000000}"/>
    <cellStyle name="#,##0$$$$$$!" xfId="51" xr:uid="{00000000-0005-0000-0000-00001A000000}"/>
    <cellStyle name="#,##0$$$$$$$" xfId="52" xr:uid="{00000000-0005-0000-0000-00001B000000}"/>
    <cellStyle name="#,##0$$$$$$$!" xfId="53" xr:uid="{00000000-0005-0000-0000-00001C000000}"/>
    <cellStyle name="#,##0$$$$$$$$" xfId="54" xr:uid="{00000000-0005-0000-0000-00001D000000}"/>
    <cellStyle name="#,##0.0" xfId="55" xr:uid="{00000000-0005-0000-0000-00001E000000}"/>
    <cellStyle name="#,##0.0$" xfId="56" xr:uid="{00000000-0005-0000-0000-00001F000000}"/>
    <cellStyle name="#,##0.0$!" xfId="57" xr:uid="{00000000-0005-0000-0000-000020000000}"/>
    <cellStyle name="#,##0.0$$" xfId="58" xr:uid="{00000000-0005-0000-0000-000021000000}"/>
    <cellStyle name="#,##0.0$$!" xfId="59" xr:uid="{00000000-0005-0000-0000-000022000000}"/>
    <cellStyle name="#,##0.0$$$" xfId="60" xr:uid="{00000000-0005-0000-0000-000023000000}"/>
    <cellStyle name="#,##0.0$$$!" xfId="61" xr:uid="{00000000-0005-0000-0000-000024000000}"/>
    <cellStyle name="#,##0.0$$$$" xfId="62" xr:uid="{00000000-0005-0000-0000-000025000000}"/>
    <cellStyle name="#,##0.0$$$$!" xfId="63" xr:uid="{00000000-0005-0000-0000-000026000000}"/>
    <cellStyle name="#,##0.0$$$$$" xfId="64" xr:uid="{00000000-0005-0000-0000-000027000000}"/>
    <cellStyle name="#,##0.0$$$$$!" xfId="65" xr:uid="{00000000-0005-0000-0000-000028000000}"/>
    <cellStyle name="#,##0.0$$$$$$" xfId="66" xr:uid="{00000000-0005-0000-0000-000029000000}"/>
    <cellStyle name="#,##0.0$$$$$$!" xfId="67" xr:uid="{00000000-0005-0000-0000-00002A000000}"/>
    <cellStyle name="#,##0.0$$$$$$_종합" xfId="68" xr:uid="{00000000-0005-0000-0000-00002B000000}"/>
    <cellStyle name="#,##0.0$$$$$_종합" xfId="69" xr:uid="{00000000-0005-0000-0000-00002C000000}"/>
    <cellStyle name="#,##0.00" xfId="70" xr:uid="{00000000-0005-0000-0000-00002D000000}"/>
    <cellStyle name="#,##0.000" xfId="71" xr:uid="{00000000-0005-0000-0000-00002E000000}"/>
    <cellStyle name="#,##0_10월 자금계획" xfId="72" xr:uid="{00000000-0005-0000-0000-00002F000000}"/>
    <cellStyle name="#_Sheet1" xfId="73" xr:uid="{00000000-0005-0000-0000-000030000000}"/>
    <cellStyle name="#_Sheet2" xfId="74" xr:uid="{00000000-0005-0000-0000-000031000000}"/>
    <cellStyle name="$" xfId="75" xr:uid="{00000000-0005-0000-0000-000032000000}"/>
    <cellStyle name="$_(그룹)차입금 관련지표 051005" xfId="76" xr:uid="{00000000-0005-0000-0000-000033000000}"/>
    <cellStyle name="$_04. 1.14" xfId="77" xr:uid="{00000000-0005-0000-0000-000034000000}"/>
    <cellStyle name="$_04.12.21" xfId="78" xr:uid="{00000000-0005-0000-0000-000035000000}"/>
    <cellStyle name="$_05.1.18재무(회장님수정)" xfId="79" xr:uid="{00000000-0005-0000-0000-000036000000}"/>
    <cellStyle name="$_09성남" xfId="80" xr:uid="{00000000-0005-0000-0000-000037000000}"/>
    <cellStyle name="$_db진흥" xfId="81" xr:uid="{00000000-0005-0000-0000-000038000000}"/>
    <cellStyle name="$_NC14E7869" xfId="82" xr:uid="{00000000-0005-0000-0000-000039000000}"/>
    <cellStyle name="$_NC15C5AFF" xfId="83" xr:uid="{00000000-0005-0000-0000-00003A000000}"/>
    <cellStyle name="$_NC28AC271" xfId="84" xr:uid="{00000000-0005-0000-0000-00003B000000}"/>
    <cellStyle name="$_NC4231C" xfId="85" xr:uid="{00000000-0005-0000-0000-00003C000000}"/>
    <cellStyle name="$_NC775117" xfId="86" xr:uid="{00000000-0005-0000-0000-00003D000000}"/>
    <cellStyle name="$_견적2" xfId="87" xr:uid="{00000000-0005-0000-0000-00003E000000}"/>
    <cellStyle name="$_기아" xfId="88" xr:uid="{00000000-0005-0000-0000-00003F000000}"/>
    <cellStyle name="$_비전경영5개년계획 - 2002년수정사업계획부문" xfId="89" xr:uid="{00000000-0005-0000-0000-000040000000}"/>
    <cellStyle name="$_재무대책양식05. 3.15" xfId="90" xr:uid="{00000000-0005-0000-0000-000041000000}"/>
    <cellStyle name="$_주요경영지표(0211월)" xfId="91" xr:uid="{00000000-0005-0000-0000-000042000000}"/>
    <cellStyle name="$_중장기비전경영계획part2(최종본20020225)" xfId="92" xr:uid="{00000000-0005-0000-0000-000043000000}"/>
    <cellStyle name="$_차입금 관련지표 051005" xfId="93" xr:uid="{00000000-0005-0000-0000-000044000000}"/>
    <cellStyle name="$_차입금및금리지수" xfId="94" xr:uid="{00000000-0005-0000-0000-000045000000}"/>
    <cellStyle name="$0,000" xfId="95" xr:uid="{00000000-0005-0000-0000-000046000000}"/>
    <cellStyle name="$0,000.0" xfId="96" xr:uid="{00000000-0005-0000-0000-000047000000}"/>
    <cellStyle name="$0,000.00" xfId="97" xr:uid="{00000000-0005-0000-0000-000048000000}"/>
    <cellStyle name="$0,000.000" xfId="98" xr:uid="{00000000-0005-0000-0000-000049000000}"/>
    <cellStyle name="$0,000.0000" xfId="99" xr:uid="{00000000-0005-0000-0000-00004A000000}"/>
    <cellStyle name="%" xfId="100" xr:uid="{00000000-0005-0000-0000-00004B000000}"/>
    <cellStyle name="&amp;A" xfId="101" xr:uid="{00000000-0005-0000-0000-00004C000000}"/>
    <cellStyle name="(z*¯_x000f_°(”,¯?À(¢,¯?Ð(°,¯?à(Â,¯?ð(Ô,¯?" xfId="102" xr:uid="{00000000-0005-0000-0000-00004D000000}"/>
    <cellStyle name="_x0002_._x0011__x0002_._x001b__x0002_ _x0015_%_x0018__x0001_" xfId="103" xr:uid="{00000000-0005-0000-0000-00004E000000}"/>
    <cellStyle name=".000" xfId="104" xr:uid="{00000000-0005-0000-0000-00004F000000}"/>
    <cellStyle name="?" xfId="105" xr:uid="{00000000-0005-0000-0000-000050000000}"/>
    <cellStyle name="_x001f_?--_x0004_ _x000c_ _x0003__x000b__x0001__x000a__x000b__x0002_--_x0008__x0004__x0002__x0002__x0007__x0007__x0007__x0007__x0007__x0007__x0007__x0007__x0007__x0007__x0007__x0007__x0007__x0007__x0002_-_x0004_ _x000c_ _x0003__x000b__x0001__x000a__x000b__x0002_--_x0008__x0002_" xfId="106" xr:uid="{00000000-0005-0000-0000-000051000000}"/>
    <cellStyle name="??" xfId="107" xr:uid="{00000000-0005-0000-0000-000052000000}"/>
    <cellStyle name="?? [0]_ ???? " xfId="108" xr:uid="{00000000-0005-0000-0000-000053000000}"/>
    <cellStyle name="??_x000c_溜_x0012__x000d_肥U_x0001_?_x0006_?_x0007__x0001__x0001_" xfId="109" xr:uid="{00000000-0005-0000-0000-000054000000}"/>
    <cellStyle name="??&amp;O?&amp;H?_x0008__x000f__x0007_?_x0007__x0001__x0001_" xfId="110" xr:uid="{00000000-0005-0000-0000-000055000000}"/>
    <cellStyle name="??&amp;O?&amp;H?_x0008_??_x0007__x0001__x0001_" xfId="111" xr:uid="{00000000-0005-0000-0000-000056000000}"/>
    <cellStyle name="??&amp;O?&amp;H?_x0008_x_x000b_P_x000c__x0007__x0001__x0001_" xfId="112" xr:uid="{00000000-0005-0000-0000-000057000000}"/>
    <cellStyle name="??&amp;쏗?뷐9_x0008__x0011__x0007_?_x0007__x0001__x0001_" xfId="113" xr:uid="{00000000-0005-0000-0000-000058000000}"/>
    <cellStyle name="???­ [0]_INQUIRY ¿?¾÷?ß?ø " xfId="114" xr:uid="{00000000-0005-0000-0000-000059000000}"/>
    <cellStyle name="???? [0.00]_1997 Turns" xfId="115" xr:uid="{00000000-0005-0000-0000-00005A000000}"/>
    <cellStyle name="???? [0]_????? " xfId="116" xr:uid="{00000000-0005-0000-0000-00005B000000}"/>
    <cellStyle name="?????_VERA" xfId="117" xr:uid="{00000000-0005-0000-0000-00005C000000}"/>
    <cellStyle name="????_????? " xfId="118" xr:uid="{00000000-0005-0000-0000-00005D000000}"/>
    <cellStyle name="???­_INQUIRY ¿?¾÷?ß?ø " xfId="119" xr:uid="{00000000-0005-0000-0000-00005E000000}"/>
    <cellStyle name="???Ø_??°???(2¿?) " xfId="120" xr:uid="{00000000-0005-0000-0000-00005F000000}"/>
    <cellStyle name="??[0]_RESULTS" xfId="121" xr:uid="{00000000-0005-0000-0000-000060000000}"/>
    <cellStyle name="??_  FAB ??  " xfId="122" xr:uid="{00000000-0005-0000-0000-000061000000}"/>
    <cellStyle name="?a?????" xfId="123" xr:uid="{00000000-0005-0000-0000-000062000000}"/>
    <cellStyle name="?Þ¸¶ [0]_INQUIRY ¿?¾÷?ß?ø " xfId="124" xr:uid="{00000000-0005-0000-0000-000063000000}"/>
    <cellStyle name="?Þ¸¶_INQUIRY ¿?¾÷?ß?ø " xfId="125" xr:uid="{00000000-0005-0000-0000-000064000000}"/>
    <cellStyle name="?W?_laroux" xfId="126" xr:uid="{00000000-0005-0000-0000-000065000000}"/>
    <cellStyle name="?핺_CASH FLOW " xfId="127" xr:uid="{00000000-0005-0000-0000-000066000000}"/>
    <cellStyle name="_x001d_@" xfId="128" xr:uid="{00000000-0005-0000-0000-000067000000}"/>
    <cellStyle name="_  복사본 4기 재무제표부속명세서(080505)의 워크시트" xfId="129" xr:uid="{00000000-0005-0000-0000-000068000000}"/>
    <cellStyle name="_%(SignOnly)" xfId="130" xr:uid="{00000000-0005-0000-0000-000069000000}"/>
    <cellStyle name="_%(SignSpaceOnly)" xfId="131" xr:uid="{00000000-0005-0000-0000-00006A000000}"/>
    <cellStyle name="_(Read-Only) Working Paper - 투자유가증권증감내역의 워크시트" xfId="132" xr:uid="{00000000-0005-0000-0000-00006B000000}"/>
    <cellStyle name="_008-SayLanguage시스템견적_웹서버 제외(0124)" xfId="133" xr:uid="{00000000-0005-0000-0000-00006C000000}"/>
    <cellStyle name="_00기말조서(서울도시)" xfId="134" xr:uid="{00000000-0005-0000-0000-00006D000000}"/>
    <cellStyle name="_00년 반기지분법" xfId="135" xr:uid="{00000000-0005-0000-0000-00006E000000}"/>
    <cellStyle name="_00월별재무제표(상세01.3월)" xfId="136" xr:uid="{00000000-0005-0000-0000-00006F000000}"/>
    <cellStyle name="_01기말감사(폴리)" xfId="137" xr:uid="{00000000-0005-0000-0000-000070000000}"/>
    <cellStyle name="_01년투자(수정사업계획-경영관리)" xfId="138" xr:uid="{00000000-0005-0000-0000-000071000000}"/>
    <cellStyle name="_02 결산안(5월)0705" xfId="139" xr:uid="{00000000-0005-0000-0000-000072000000}"/>
    <cellStyle name="_02 투자실적 집계관리(0426)" xfId="140" xr:uid="{00000000-0005-0000-0000-000073000000}"/>
    <cellStyle name="_02년 Cashflow(서울은행제출기초-01.11.5)" xfId="141" xr:uid="{00000000-0005-0000-0000-000074000000}"/>
    <cellStyle name="_031-PPS 맨트추가견적_040407" xfId="142" xr:uid="{00000000-0005-0000-0000-000075000000}"/>
    <cellStyle name="_040406_총투자비집계(환율수정)" xfId="143" xr:uid="{00000000-0005-0000-0000-000076000000}"/>
    <cellStyle name="_060614-만회계획(보고서)" xfId="144" xr:uid="{00000000-0005-0000-0000-000077000000}"/>
    <cellStyle name="_06년 12월 손익추정(결산)" xfId="145" xr:uid="{00000000-0005-0000-0000-000078000000}"/>
    <cellStyle name="_07수주부진사유(0604)_최종확인" xfId="146" xr:uid="{00000000-0005-0000-0000-000079000000}"/>
    <cellStyle name="_12_수주전망(0606)_플랜트" xfId="147" xr:uid="{00000000-0005-0000-0000-00007A000000}"/>
    <cellStyle name="_1688안내멘트 제공-예산심의신청서(04.05.10)_이영상" xfId="148" xr:uid="{00000000-0005-0000-0000-00007B000000}"/>
    <cellStyle name="_1월 압연 ROLL SCHEDULE_1" xfId="149" xr:uid="{00000000-0005-0000-0000-00007C000000}"/>
    <cellStyle name="_1월 압연 SCHEDULE" xfId="150" xr:uid="{00000000-0005-0000-0000-00007D000000}"/>
    <cellStyle name="_1차 감사제출자료(0804)" xfId="151" xr:uid="{00000000-0005-0000-0000-00007E000000}"/>
    <cellStyle name="_1팀09생산실적" xfId="152" xr:uid="{00000000-0005-0000-0000-00007F000000}"/>
    <cellStyle name="_2000 eyesvision final worksheet(hka)" xfId="153" xr:uid="{00000000-0005-0000-0000-000080000000}"/>
    <cellStyle name="_2000년 예차입금 현황" xfId="154" xr:uid="{00000000-0005-0000-0000-000081000000}"/>
    <cellStyle name="_2001증속기타구분" xfId="155" xr:uid="{00000000-0005-0000-0000-000082000000}"/>
    <cellStyle name="_2002년 예차입금명세서" xfId="156" xr:uid="{00000000-0005-0000-0000-000083000000}"/>
    <cellStyle name="_2002년5월결산보고" xfId="157" xr:uid="{00000000-0005-0000-0000-000084000000}"/>
    <cellStyle name="_2002수정예산편성(신비로,020110)" xfId="158" xr:uid="{00000000-0005-0000-0000-000085000000}"/>
    <cellStyle name="_2003예산편성(신비로,021126)" xfId="159" xr:uid="{00000000-0005-0000-0000-000086000000}"/>
    <cellStyle name="_2004년 그룹보고 손익(월별)" xfId="160" xr:uid="{00000000-0005-0000-0000-000087000000}"/>
    <cellStyle name="_2004년 그룹보고 손익(월별)_@" xfId="161" xr:uid="{00000000-0005-0000-0000-000088000000}"/>
    <cellStyle name="_2004년 사업계획 수립(total)_작업" xfId="162" xr:uid="{00000000-0005-0000-0000-000089000000}"/>
    <cellStyle name="_2004년경영계획양식_(월별)-최종" xfId="163" xr:uid="{00000000-0005-0000-0000-00008A000000}"/>
    <cellStyle name="_2004년경영계획양식_CJ텔레닉스" xfId="164" xr:uid="{00000000-0005-0000-0000-00008B000000}"/>
    <cellStyle name="_2004년경영계획양식_최종" xfId="165" xr:uid="{00000000-0005-0000-0000-00008C000000}"/>
    <cellStyle name="_2004년경영계획양식_최종(월별)" xfId="166" xr:uid="{00000000-0005-0000-0000-00008D000000}"/>
    <cellStyle name="_2006년 농협우편통신 매출 cut" xfId="167" xr:uid="{00000000-0005-0000-0000-00008E000000}"/>
    <cellStyle name="_2006년 매출요약표v5" xfId="168" xr:uid="{00000000-0005-0000-0000-00008F000000}"/>
    <cellStyle name="_2007년 1~12월 도메인별 실적정리완료_080110(完)" xfId="169" xr:uid="{00000000-0005-0000-0000-000090000000}"/>
    <cellStyle name="_2008년 경영계획 1050억_예산포함_080103(完)" xfId="170" xr:uid="{00000000-0005-0000-0000-000091000000}"/>
    <cellStyle name="_2008년 경영계획 5차 자료(1050억)예산포함_080103(完)" xfId="171" xr:uid="{00000000-0005-0000-0000-000092000000}"/>
    <cellStyle name="_2008년 경영계획_크레듀_850억(월별)(070921)_최종" xfId="172" xr:uid="{00000000-0005-0000-0000-000093000000}"/>
    <cellStyle name="_2008년 인건비 예상_효준작업완료070926" xfId="173" xr:uid="{00000000-0005-0000-0000-000094000000}"/>
    <cellStyle name="_2008년 자산매각 계획(양식)" xfId="174" xr:uid="{00000000-0005-0000-0000-000095000000}"/>
    <cellStyle name="_2231 호남석유 draft의 워크시트" xfId="175" xr:uid="{00000000-0005-0000-0000-000096000000}"/>
    <cellStyle name="_3400-3022" xfId="176" xr:uid="{00000000-0005-0000-0000-000097000000}"/>
    <cellStyle name="_3701 투자유가증권" xfId="177" xr:uid="{00000000-0005-0000-0000-000098000000}"/>
    <cellStyle name="_3기 재무제표(가결산)" xfId="178" xr:uid="{00000000-0005-0000-0000-000099000000}"/>
    <cellStyle name="_50만이상" xfId="179" xr:uid="{00000000-0005-0000-0000-00009A000000}"/>
    <cellStyle name="_50만이상_1" xfId="180" xr:uid="{00000000-0005-0000-0000-00009B000000}"/>
    <cellStyle name="_5년사업계획작업_08년사업계획반영ver3" xfId="181" xr:uid="{00000000-0005-0000-0000-00009C000000}"/>
    <cellStyle name="_5년사업계획작업_08년사업계획반영ver7" xfId="182" xr:uid="{00000000-0005-0000-0000-00009D000000}"/>
    <cellStyle name="_5년사업계획작업_08년사업계획반영ver9" xfId="183" xr:uid="{00000000-0005-0000-0000-00009E000000}"/>
    <cellStyle name="_5월 생산 SCHEDULE _1" xfId="184" xr:uid="{00000000-0005-0000-0000-00009F000000}"/>
    <cellStyle name="_6월 cp료 총 정리(0704)" xfId="185" xr:uid="{00000000-0005-0000-0000-0000A0000000}"/>
    <cellStyle name="_6월 생산 SCH 안" xfId="186" xr:uid="{00000000-0005-0000-0000-0000A1000000}"/>
    <cellStyle name="_6월 생산 Schedule_1" xfId="187" xr:uid="{00000000-0005-0000-0000-0000A2000000}"/>
    <cellStyle name="_6월(NEW)" xfId="188" xr:uid="{00000000-0005-0000-0000-0000A3000000}"/>
    <cellStyle name="_6월압연계획" xfId="189" xr:uid="{00000000-0005-0000-0000-0000A4000000}"/>
    <cellStyle name="_7월압연계획" xfId="190" xr:uid="{00000000-0005-0000-0000-0000A5000000}"/>
    <cellStyle name="_9910-구매업무보고-05" xfId="191" xr:uid="{00000000-0005-0000-0000-0000A6000000}"/>
    <cellStyle name="_9910-구매업무보고-05_1" xfId="192" xr:uid="{00000000-0005-0000-0000-0000A7000000}"/>
    <cellStyle name="_'99상반기경영개선활동결과(게시용)" xfId="193" xr:uid="{00000000-0005-0000-0000-0000A8000000}"/>
    <cellStyle name="_9월 Schedule_1" xfId="194" xr:uid="{00000000-0005-0000-0000-0000A9000000}"/>
    <cellStyle name="_9월압연계획" xfId="195" xr:uid="{00000000-0005-0000-0000-0000AA000000}"/>
    <cellStyle name="_A  3.3 Review on cash flow statements_06_KDK" xfId="196" xr:uid="{00000000-0005-0000-0000-0000AB000000}"/>
    <cellStyle name="_A1.1" xfId="197" xr:uid="{00000000-0005-0000-0000-0000AC000000}"/>
    <cellStyle name="_A2A4_빛" xfId="198" xr:uid="{00000000-0005-0000-0000-0000AD000000}"/>
    <cellStyle name="_A8(1).4" xfId="199" xr:uid="{00000000-0005-0000-0000-0000AE000000}"/>
    <cellStyle name="_ARP_2005-hhs 0123" xfId="200" xr:uid="{00000000-0005-0000-0000-0000AF000000}"/>
    <cellStyle name="_A반기조서(빙그레01)" xfId="201" xr:uid="{00000000-0005-0000-0000-0000B0000000}"/>
    <cellStyle name="_Book1" xfId="202" xr:uid="{00000000-0005-0000-0000-0000B1000000}"/>
    <cellStyle name="_Book1(1)" xfId="203" xr:uid="{00000000-0005-0000-0000-0000B2000000}"/>
    <cellStyle name="_Book3" xfId="204" xr:uid="{00000000-0005-0000-0000-0000B3000000}"/>
    <cellStyle name="_Book4" xfId="205" xr:uid="{00000000-0005-0000-0000-0000B4000000}"/>
    <cellStyle name="_CASH117" xfId="206" xr:uid="{00000000-0005-0000-0000-0000B5000000}"/>
    <cellStyle name="_cash총괄sheet(01.3.8)" xfId="207" xr:uid="{00000000-0005-0000-0000-0000B6000000}"/>
    <cellStyle name="_CF" xfId="208" xr:uid="{00000000-0005-0000-0000-0000B7000000}"/>
    <cellStyle name="_cfsrealfinal" xfId="209" xr:uid="{00000000-0005-0000-0000-0000B8000000}"/>
    <cellStyle name="_Column1" xfId="210" xr:uid="{00000000-0005-0000-0000-0000B9000000}"/>
    <cellStyle name="_Column2" xfId="211" xr:uid="{00000000-0005-0000-0000-0000BA000000}"/>
    <cellStyle name="_Column3" xfId="212" xr:uid="{00000000-0005-0000-0000-0000BB000000}"/>
    <cellStyle name="_Column4" xfId="213" xr:uid="{00000000-0005-0000-0000-0000BC000000}"/>
    <cellStyle name="_Column5" xfId="214" xr:uid="{00000000-0005-0000-0000-0000BD000000}"/>
    <cellStyle name="_Column6" xfId="215" xr:uid="{00000000-0005-0000-0000-0000BE000000}"/>
    <cellStyle name="_Column7" xfId="216" xr:uid="{00000000-0005-0000-0000-0000BF000000}"/>
    <cellStyle name="_Comma" xfId="217" xr:uid="{00000000-0005-0000-0000-0000C0000000}"/>
    <cellStyle name="_Comma_Jasc_Emp_Cost2" xfId="218" xr:uid="{00000000-0005-0000-0000-0000C1000000}"/>
    <cellStyle name="_Comma_Jasc_Emp_Cost2_Project Ticket PPA Model_20081202_v2 (2)" xfId="219" xr:uid="{00000000-0005-0000-0000-0000C2000000}"/>
    <cellStyle name="_Comma_Jasc_Exp_Summ_v15" xfId="220" xr:uid="{00000000-0005-0000-0000-0000C3000000}"/>
    <cellStyle name="_Comma_TotalSummary" xfId="221" xr:uid="{00000000-0005-0000-0000-0000C4000000}"/>
    <cellStyle name="_crown-0360-A5(Final)" xfId="222" xr:uid="{00000000-0005-0000-0000-0000C5000000}"/>
    <cellStyle name="_Currency" xfId="223" xr:uid="{00000000-0005-0000-0000-0000C6000000}"/>
    <cellStyle name="_Currency_Jasc_Emp_Cost2" xfId="224" xr:uid="{00000000-0005-0000-0000-0000C7000000}"/>
    <cellStyle name="_Currency_TotalSummary" xfId="225" xr:uid="{00000000-0005-0000-0000-0000C8000000}"/>
    <cellStyle name="_CurrencySpace" xfId="226" xr:uid="{00000000-0005-0000-0000-0000C9000000}"/>
    <cellStyle name="_Data" xfId="227" xr:uid="{00000000-0005-0000-0000-0000CA000000}"/>
    <cellStyle name="_Data_Project Ticket PPA Model_20081202_v2 (2)" xfId="228" xr:uid="{00000000-0005-0000-0000-0000CB000000}"/>
    <cellStyle name="_dimon" xfId="229" xr:uid="{00000000-0005-0000-0000-0000CC000000}"/>
    <cellStyle name="_DMC-2.xls Chart 1" xfId="230" xr:uid="{00000000-0005-0000-0000-0000CD000000}"/>
    <cellStyle name="_Euro" xfId="231" xr:uid="{00000000-0005-0000-0000-0000CE000000}"/>
    <cellStyle name="_foxz" xfId="232" xr:uid="{00000000-0005-0000-0000-0000CF000000}"/>
    <cellStyle name="_FS0106" xfId="233" xr:uid="{00000000-0005-0000-0000-0000D0000000}"/>
    <cellStyle name="_G 인천재고자산제품상품매출원가_0312" xfId="234" xr:uid="{00000000-0005-0000-0000-0000D1000000}"/>
    <cellStyle name="_Hard Closing 배상일" xfId="235" xr:uid="{00000000-0005-0000-0000-0000D2000000}"/>
    <cellStyle name="_Header" xfId="236" xr:uid="{00000000-0005-0000-0000-0000D3000000}"/>
    <cellStyle name="_Header_(svc_branch_rate)" xfId="237" xr:uid="{00000000-0005-0000-0000-0000D4000000}"/>
    <cellStyle name="_Header_(최종)030331 03년손익예실대비(OCS)" xfId="238" xr:uid="{00000000-0005-0000-0000-0000D5000000}"/>
    <cellStyle name="_Header_`03년 서비스별 실적(목표대비)" xfId="239" xr:uid="{00000000-0005-0000-0000-0000D6000000}"/>
    <cellStyle name="_Header_`03년 서비스별 통화량실적(목표대비)" xfId="240" xr:uid="{00000000-0005-0000-0000-0000D7000000}"/>
    <cellStyle name="_Header_`03년 실적관리 Table" xfId="241" xr:uid="{00000000-0005-0000-0000-0000D8000000}"/>
    <cellStyle name="_Header_01-ocs-월별손익평가-2월" xfId="242" xr:uid="{00000000-0005-0000-0000-0000D9000000}"/>
    <cellStyle name="_Header_01-ocs-월별손익평가-2월-3월업그레이드용" xfId="243" xr:uid="{00000000-0005-0000-0000-0000DA000000}"/>
    <cellStyle name="_Header_01-ocs-월별손익평가-2월-3월업그레이드용3" xfId="244" xr:uid="{00000000-0005-0000-0000-0000DB000000}"/>
    <cellStyle name="_Header_01년 월별 목표,실적 자료" xfId="245" xr:uid="{00000000-0005-0000-0000-0000DC000000}"/>
    <cellStyle name="_Header_02년신지사별서비스별plb" xfId="246" xr:uid="{00000000-0005-0000-0000-0000DD000000}"/>
    <cellStyle name="_Header_030128 02,01년 통화량,매출액 서비스별 실적" xfId="247" xr:uid="{00000000-0005-0000-0000-0000DE000000}"/>
    <cellStyle name="_Header_03년 edaily(서비스별)" xfId="248" xr:uid="{00000000-0005-0000-0000-0000DF000000}"/>
    <cellStyle name="_Header_03-사업계획기준" xfId="249" xr:uid="{00000000-0005-0000-0000-0000E0000000}"/>
    <cellStyle name="_Header_'04년 LM 부서별_서비스별" xfId="250" xr:uid="{00000000-0005-0000-0000-0000E1000000}"/>
    <cellStyle name="_Header_'04년 국제데이터 부서별_서비스별" xfId="251" xr:uid="{00000000-0005-0000-0000-0000E2000000}"/>
    <cellStyle name="_Header_'04년 시내부가 부서별_서비스별" xfId="252" xr:uid="{00000000-0005-0000-0000-0000E3000000}"/>
    <cellStyle name="_Header_08-OCS-월별손익평가" xfId="253" xr:uid="{00000000-0005-0000-0000-0000E4000000}"/>
    <cellStyle name="_Header_08-OCS-월별손익평가-2" xfId="254" xr:uid="{00000000-0005-0000-0000-0000E5000000}"/>
    <cellStyle name="_Header_08-ocs-월별손익평가-3" xfId="255" xr:uid="{00000000-0005-0000-0000-0000E6000000}"/>
    <cellStyle name="_Header_08-ocs-월별손익평가-ver2-3월" xfId="256" xr:uid="{00000000-0005-0000-0000-0000E7000000}"/>
    <cellStyle name="_Header_08-ocs-월별손익평가-업그레이드-3월" xfId="257" xr:uid="{00000000-0005-0000-0000-0000E8000000}"/>
    <cellStyle name="_Header_1.13(Sample)" xfId="258" xr:uid="{00000000-0005-0000-0000-0000E9000000}"/>
    <cellStyle name="_Header_1.13(매출)" xfId="259" xr:uid="{00000000-0005-0000-0000-0000EA000000}"/>
    <cellStyle name="_Header_11-ocs-사업계획-작업" xfId="260" xr:uid="{00000000-0005-0000-0000-0000EB000000}"/>
    <cellStyle name="_Header_1206-부서별 월별 매출" xfId="261" xr:uid="{00000000-0005-0000-0000-0000EC000000}"/>
    <cellStyle name="_Header_1206-역무별 월별 매출" xfId="262" xr:uid="{00000000-0005-0000-0000-0000ED000000}"/>
    <cellStyle name="_Header_13-뉴월별실적" xfId="263" xr:uid="{00000000-0005-0000-0000-0000EE000000}"/>
    <cellStyle name="_Header_15-ocs-월별손익평가-3-10월" xfId="264" xr:uid="{00000000-0005-0000-0000-0000EF000000}"/>
    <cellStyle name="_Header_15-ocs-월별손익평가-3-11월" xfId="265" xr:uid="{00000000-0005-0000-0000-0000F0000000}"/>
    <cellStyle name="_Header_2001예산(월별)" xfId="266" xr:uid="{00000000-0005-0000-0000-0000F1000000}"/>
    <cellStyle name="_Header_200401_변경사업계획" xfId="267" xr:uid="{00000000-0005-0000-0000-0000F2000000}"/>
    <cellStyle name="_Header_2004년 역무별 월별 매출" xfId="268" xr:uid="{00000000-0005-0000-0000-0000F3000000}"/>
    <cellStyle name="_Header_2004년 역무별 월별 한계이익" xfId="269" xr:uid="{00000000-0005-0000-0000-0000F4000000}"/>
    <cellStyle name="_Header_2004년 지사 매출실적(서비스별)" xfId="270" xr:uid="{00000000-0005-0000-0000-0000F5000000}"/>
    <cellStyle name="_Header_5월" xfId="271" xr:uid="{00000000-0005-0000-0000-0000F6000000}"/>
    <cellStyle name="_Header_6월" xfId="272" xr:uid="{00000000-0005-0000-0000-0000F7000000}"/>
    <cellStyle name="_Header_960008-232415-15-사업계획4" xfId="273" xr:uid="{00000000-0005-0000-0000-0000F8000000}"/>
    <cellStyle name="_Header_CF" xfId="274" xr:uid="{00000000-0005-0000-0000-0000F9000000}"/>
    <cellStyle name="_Header_CF_04월_금융현황_20100430" xfId="275" xr:uid="{00000000-0005-0000-0000-0000FA000000}"/>
    <cellStyle name="_Header_CF_2010년_자금계획100513" xfId="276" xr:uid="{00000000-0005-0000-0000-0000FB000000}"/>
    <cellStyle name="_Header_CF_집계-PL" xfId="277" xr:uid="{00000000-0005-0000-0000-0000FC000000}"/>
    <cellStyle name="_Header_CF_집계-PL_04월_금융현황_20100430" xfId="278" xr:uid="{00000000-0005-0000-0000-0000FD000000}"/>
    <cellStyle name="_Header_CF_집계-PL_2010년_자금계획100513" xfId="279" xr:uid="{00000000-0005-0000-0000-0000FE000000}"/>
    <cellStyle name="_Header_CF_집계-PL_추정0703~0705월" xfId="280" xr:uid="{00000000-0005-0000-0000-0000FF000000}"/>
    <cellStyle name="_Header_CF_집계-PL_추정0703~0705월_04월_금융현황_20100430" xfId="281" xr:uid="{00000000-0005-0000-0000-000000010000}"/>
    <cellStyle name="_Header_CF_집계-PL_추정0703~0705월_2010년_자금계획100513" xfId="282" xr:uid="{00000000-0005-0000-0000-000001010000}"/>
    <cellStyle name="_Header_CF_추정0703~0705월" xfId="283" xr:uid="{00000000-0005-0000-0000-000002010000}"/>
    <cellStyle name="_Header_CF_추정0703~0705월_04월_금융현황_20100430" xfId="284" xr:uid="{00000000-0005-0000-0000-000003010000}"/>
    <cellStyle name="_Header_CF_추정0703~0705월_2010년_자금계획100513" xfId="285" xr:uid="{00000000-0005-0000-0000-000004010000}"/>
    <cellStyle name="_Header_CUG_일일추정실적(양식)" xfId="286" xr:uid="{00000000-0005-0000-0000-000005010000}"/>
    <cellStyle name="_Header_Daily Form(서비스별)" xfId="287" xr:uid="{00000000-0005-0000-0000-000006010000}"/>
    <cellStyle name="_Header_Daily Form(시내 서비스별)" xfId="288" xr:uid="{00000000-0005-0000-0000-000007010000}"/>
    <cellStyle name="_Header_Daily Form(지사별)" xfId="289" xr:uid="{00000000-0005-0000-0000-000008010000}"/>
    <cellStyle name="_Header_data2" xfId="290" xr:uid="{00000000-0005-0000-0000-000009010000}"/>
    <cellStyle name="_Header_edaily(부서별)" xfId="291" xr:uid="{00000000-0005-0000-0000-00000A010000}"/>
    <cellStyle name="_Header_IDC" xfId="292" xr:uid="{00000000-0005-0000-0000-00000B010000}"/>
    <cellStyle name="_Header_LM" xfId="293" xr:uid="{00000000-0005-0000-0000-00000C010000}"/>
    <cellStyle name="_Header_MIS1" xfId="294" xr:uid="{00000000-0005-0000-0000-00000D010000}"/>
    <cellStyle name="_Header_MIS2" xfId="295" xr:uid="{00000000-0005-0000-0000-00000E010000}"/>
    <cellStyle name="_Header_MIS3" xfId="296" xr:uid="{00000000-0005-0000-0000-00000F010000}"/>
    <cellStyle name="_Header_MIS4" xfId="297" xr:uid="{00000000-0005-0000-0000-000010010000}"/>
    <cellStyle name="_Header_MIS5" xfId="298" xr:uid="{00000000-0005-0000-0000-000011010000}"/>
    <cellStyle name="_Header_MIS6" xfId="299" xr:uid="{00000000-0005-0000-0000-000012010000}"/>
    <cellStyle name="_Header_MIS7" xfId="300" xr:uid="{00000000-0005-0000-0000-000013010000}"/>
    <cellStyle name="_Header_Monthly Form(2002)" xfId="301" xr:uid="{00000000-0005-0000-0000-000014010000}"/>
    <cellStyle name="_Header_Monthly Form(New)" xfId="302" xr:uid="{00000000-0005-0000-0000-000015010000}"/>
    <cellStyle name="_Header_ocs" xfId="303" xr:uid="{00000000-0005-0000-0000-000016010000}"/>
    <cellStyle name="_Header_ocs-서비스별망별통화량2-최근년도" xfId="304" xr:uid="{00000000-0005-0000-0000-000017010000}"/>
    <cellStyle name="_Header_OCS-월별손익평가" xfId="305" xr:uid="{00000000-0005-0000-0000-000018010000}"/>
    <cellStyle name="_Header_Out비용" xfId="306" xr:uid="{00000000-0005-0000-0000-000019010000}"/>
    <cellStyle name="_Header_Out비용_04월_금융현황_20100430" xfId="307" xr:uid="{00000000-0005-0000-0000-00001A010000}"/>
    <cellStyle name="_Header_Out비용_2010년_자금계획100513" xfId="308" xr:uid="{00000000-0005-0000-0000-00001B010000}"/>
    <cellStyle name="_Header_Out비용_집계-PL" xfId="309" xr:uid="{00000000-0005-0000-0000-00001C010000}"/>
    <cellStyle name="_Header_Out비용_집계-PL_04월_금융현황_20100430" xfId="310" xr:uid="{00000000-0005-0000-0000-00001D010000}"/>
    <cellStyle name="_Header_Out비용_집계-PL_2010년_자금계획100513" xfId="311" xr:uid="{00000000-0005-0000-0000-00001E010000}"/>
    <cellStyle name="_Header_Out비용_집계-PL_추정0703~0705월" xfId="312" xr:uid="{00000000-0005-0000-0000-00001F010000}"/>
    <cellStyle name="_Header_Out비용_집계-PL_추정0703~0705월_04월_금융현황_20100430" xfId="313" xr:uid="{00000000-0005-0000-0000-000020010000}"/>
    <cellStyle name="_Header_Out비용_집계-PL_추정0703~0705월_2010년_자금계획100513" xfId="314" xr:uid="{00000000-0005-0000-0000-000021010000}"/>
    <cellStyle name="_Header_Out비용_추정0703~0705월" xfId="315" xr:uid="{00000000-0005-0000-0000-000022010000}"/>
    <cellStyle name="_Header_Out비용_추정0703~0705월_04월_금융현황_20100430" xfId="316" xr:uid="{00000000-0005-0000-0000-000023010000}"/>
    <cellStyle name="_Header_Out비용_추정0703~0705월_2010년_자금계획100513" xfId="317" xr:uid="{00000000-0005-0000-0000-000024010000}"/>
    <cellStyle name="_Header_PL(부서별)" xfId="318" xr:uid="{00000000-0005-0000-0000-000025010000}"/>
    <cellStyle name="_Header_PL(서비스별)" xfId="319" xr:uid="{00000000-0005-0000-0000-000026010000}"/>
    <cellStyle name="_Header_PL(월별)" xfId="320" xr:uid="{00000000-0005-0000-0000-000027010000}"/>
    <cellStyle name="_Header_PL(월별,조현성)" xfId="321" xr:uid="{00000000-0005-0000-0000-000028010000}"/>
    <cellStyle name="_Header_PPP" xfId="322" xr:uid="{00000000-0005-0000-0000-000029010000}"/>
    <cellStyle name="_Header_Sheet1" xfId="323" xr:uid="{00000000-0005-0000-0000-00002A010000}"/>
    <cellStyle name="_Header_Sheet2" xfId="324" xr:uid="{00000000-0005-0000-0000-00002B010000}"/>
    <cellStyle name="_Header_Sheet4" xfId="325" xr:uid="{00000000-0005-0000-0000-00002C010000}"/>
    <cellStyle name="_Header_Voice 서비스별 매출 총괄" xfId="326" xr:uid="{00000000-0005-0000-0000-00002D010000}"/>
    <cellStyle name="_Header_Voice_국제전화 부서,서비스별" xfId="327" xr:uid="{00000000-0005-0000-0000-00002E010000}"/>
    <cellStyle name="_Header_공헌이익(06년값)" xfId="328" xr:uid="{00000000-0005-0000-0000-00002F010000}"/>
    <cellStyle name="_Header_공헌이익Template" xfId="329" xr:uid="{00000000-0005-0000-0000-000030010000}"/>
    <cellStyle name="_Header_국D" xfId="330" xr:uid="{00000000-0005-0000-0000-000031010000}"/>
    <cellStyle name="_Header_국제" xfId="331" xr:uid="{00000000-0005-0000-0000-000032010000}"/>
    <cellStyle name="_Header_국제전화 부서별_서비스별" xfId="332" xr:uid="{00000000-0005-0000-0000-000033010000}"/>
    <cellStyle name="_Header_기영단 목표수정" xfId="333" xr:uid="{00000000-0005-0000-0000-000034010000}"/>
    <cellStyle name="_Header_기영단수정목표" xfId="334" xr:uid="{00000000-0005-0000-0000-000035010000}"/>
    <cellStyle name="_Header_달성율" xfId="335" xr:uid="{00000000-0005-0000-0000-000036010000}"/>
    <cellStyle name="_Header_마스터템플리트" xfId="336" xr:uid="{00000000-0005-0000-0000-000037010000}"/>
    <cellStyle name="_Header_마케팅 주간통계(양식)" xfId="337" xr:uid="{00000000-0005-0000-0000-000038010000}"/>
    <cellStyle name="_Header_마케팅 주간통계(양식-수정)" xfId="338" xr:uid="{00000000-0005-0000-0000-000039010000}"/>
    <cellStyle name="_Header_망별시외실적" xfId="339" xr:uid="{00000000-0005-0000-0000-00003A010000}"/>
    <cellStyle name="_Header_매출" xfId="340" xr:uid="{00000000-0005-0000-0000-00003B010000}"/>
    <cellStyle name="_Header_매출실적(서비스별 상세)" xfId="341" xr:uid="{00000000-0005-0000-0000-00003C010000}"/>
    <cellStyle name="_Header_목표대비" xfId="342" xr:uid="{00000000-0005-0000-0000-00003D010000}"/>
    <cellStyle name="_Header_변고정(Template)" xfId="343" xr:uid="{00000000-0005-0000-0000-00003E010000}"/>
    <cellStyle name="_Header_변고정(예실비교)" xfId="344" xr:uid="{00000000-0005-0000-0000-00003F010000}"/>
    <cellStyle name="_Header_변고정비 PL" xfId="345" xr:uid="{00000000-0005-0000-0000-000040010000}"/>
    <cellStyle name="_Header_별정" xfId="346" xr:uid="{00000000-0005-0000-0000-000041010000}"/>
    <cellStyle name="_Header_보고" xfId="347" xr:uid="{00000000-0005-0000-0000-000042010000}"/>
    <cellStyle name="_Header_보고_일일추정실적" xfId="348" xr:uid="{00000000-0005-0000-0000-000043010000}"/>
    <cellStyle name="_Header_보고1(매출)" xfId="349" xr:uid="{00000000-0005-0000-0000-000044010000}"/>
    <cellStyle name="_Header_보고서_3월 주간추정매출-0322" xfId="350" xr:uid="{00000000-0005-0000-0000-000045010000}"/>
    <cellStyle name="_Header_보고서_4월 주간추정매출" xfId="351" xr:uid="{00000000-0005-0000-0000-000046010000}"/>
    <cellStyle name="_Header_보고서_월지사추정매출" xfId="352" xr:uid="{00000000-0005-0000-0000-000047010000}"/>
    <cellStyle name="_Header_보고서_월추정매출" xfId="353" xr:uid="{00000000-0005-0000-0000-000048010000}"/>
    <cellStyle name="_Header_보고서_주간추정매출" xfId="354" xr:uid="{00000000-0005-0000-0000-000049010000}"/>
    <cellStyle name="_Header_보고서_주간추정매출(지사)" xfId="355" xr:uid="{00000000-0005-0000-0000-00004A010000}"/>
    <cellStyle name="_Header_보고서1" xfId="356" xr:uid="{00000000-0005-0000-0000-00004B010000}"/>
    <cellStyle name="_Header_부서별 매출추정" xfId="357" xr:uid="{00000000-0005-0000-0000-00004C010000}"/>
    <cellStyle name="_Header_비교" xfId="358" xr:uid="{00000000-0005-0000-0000-00004D010000}"/>
    <cellStyle name="_Header_사본 - 손익(변고정월별)" xfId="359" xr:uid="{00000000-0005-0000-0000-00004E010000}"/>
    <cellStyle name="_Header_사업계획비교(01년02년)" xfId="360" xr:uid="{00000000-0005-0000-0000-00004F010000}"/>
    <cellStyle name="_Header_사업단위별변고정(예실비교)" xfId="361" xr:uid="{00000000-0005-0000-0000-000050010000}"/>
    <cellStyle name="_Header_상세손익(월별)" xfId="362" xr:uid="{00000000-0005-0000-0000-000051010000}"/>
    <cellStyle name="_Header_서비스 상세 월별 매출" xfId="363" xr:uid="{00000000-0005-0000-0000-000052010000}"/>
    <cellStyle name="_Header_서비스(total)" xfId="364" xr:uid="{00000000-0005-0000-0000-000053010000}"/>
    <cellStyle name="_Header_서비스(total)_1" xfId="365" xr:uid="{00000000-0005-0000-0000-000054010000}"/>
    <cellStyle name="_Header_서비스별" xfId="366" xr:uid="{00000000-0005-0000-0000-000055010000}"/>
    <cellStyle name="_Header_서비스별실적" xfId="367" xr:uid="{00000000-0005-0000-0000-000056010000}"/>
    <cellStyle name="_Header_손익보고양식(Template)" xfId="368" xr:uid="{00000000-0005-0000-0000-000057010000}"/>
    <cellStyle name="_Header_송부용-보고서_3월 주간추정매출-" xfId="369" xr:uid="{00000000-0005-0000-0000-000058010000}"/>
    <cellStyle name="_Header_송부용-보고서_3월 주간추정매출-0329" xfId="370" xr:uid="{00000000-0005-0000-0000-000059010000}"/>
    <cellStyle name="_Header_시D" xfId="371" xr:uid="{00000000-0005-0000-0000-00005A010000}"/>
    <cellStyle name="_Header_시내" xfId="372" xr:uid="{00000000-0005-0000-0000-00005B010000}"/>
    <cellStyle name="_Header_시내부가 서비스별실적" xfId="373" xr:uid="{00000000-0005-0000-0000-00005C010000}"/>
    <cellStyle name="_Header_시외" xfId="374" xr:uid="{00000000-0005-0000-0000-00005D010000}"/>
    <cellStyle name="_Header_시외전화 부서별_서비스별" xfId="375" xr:uid="{00000000-0005-0000-0000-00005E010000}"/>
    <cellStyle name="_Header_심사분석(목표전월대비)" xfId="376" xr:uid="{00000000-0005-0000-0000-00005F010000}"/>
    <cellStyle name="_Header_심사분석-잘만드는것(누적목표조정)-8" xfId="377" xr:uid="{00000000-0005-0000-0000-000060010000}"/>
    <cellStyle name="_Header_양식" xfId="378" xr:uid="{00000000-0005-0000-0000-000061010000}"/>
    <cellStyle name="_Header_역무별 월별 매출" xfId="379" xr:uid="{00000000-0005-0000-0000-000062010000}"/>
    <cellStyle name="_Header_온라인" xfId="380" xr:uid="{00000000-0005-0000-0000-000063010000}"/>
    <cellStyle name="_Header_온세 국제전화 00~02년실적,03년목표(030110,금강기획송부)" xfId="381" xr:uid="{00000000-0005-0000-0000-000064010000}"/>
    <cellStyle name="_Header_원폼" xfId="382" xr:uid="{00000000-0005-0000-0000-000065010000}"/>
    <cellStyle name="_Header_월별,세목별(변고정)" xfId="383" xr:uid="{00000000-0005-0000-0000-000066010000}"/>
    <cellStyle name="_Header_월별서비스별 상세" xfId="384" xr:uid="{00000000-0005-0000-0000-000067010000}"/>
    <cellStyle name="_Header_월별손익(변고정)" xfId="385" xr:uid="{00000000-0005-0000-0000-000068010000}"/>
    <cellStyle name="_Header_월별실적" xfId="386" xr:uid="{00000000-0005-0000-0000-000069010000}"/>
    <cellStyle name="_Header_월실적" xfId="387" xr:uid="{00000000-0005-0000-0000-00006A010000}"/>
    <cellStyle name="_Header_위D" xfId="388" xr:uid="{00000000-0005-0000-0000-00006B010000}"/>
    <cellStyle name="_Header_일일추정실적" xfId="389" xr:uid="{00000000-0005-0000-0000-00006C010000}"/>
    <cellStyle name="_Header_전용" xfId="390" xr:uid="{00000000-0005-0000-0000-00006D010000}"/>
    <cellStyle name="_Header_전체" xfId="391" xr:uid="{00000000-0005-0000-0000-00006E010000}"/>
    <cellStyle name="_Header_조정내역보고서(0213)" xfId="392" xr:uid="{00000000-0005-0000-0000-00006F010000}"/>
    <cellStyle name="_Header_주요서비스" xfId="393" xr:uid="{00000000-0005-0000-0000-000070010000}"/>
    <cellStyle name="_Header_지사별 서비스별 1월~10월 Real" xfId="394" xr:uid="{00000000-0005-0000-0000-000071010000}"/>
    <cellStyle name="_Header_지사별 실적2" xfId="395" xr:uid="{00000000-0005-0000-0000-000072010000}"/>
    <cellStyle name="_Header_지사별 할인율" xfId="396" xr:uid="{00000000-0005-0000-0000-000073010000}"/>
    <cellStyle name="_Header_지사실적 및 추정" xfId="397" xr:uid="{00000000-0005-0000-0000-000074010000}"/>
    <cellStyle name="_Header_지사실적보고" xfId="398" xr:uid="{00000000-0005-0000-0000-000075010000}"/>
    <cellStyle name="_Header_초고" xfId="399" xr:uid="{00000000-0005-0000-0000-000076010000}"/>
    <cellStyle name="_Header_총괄표(동기간)" xfId="400" xr:uid="{00000000-0005-0000-0000-000077010000}"/>
    <cellStyle name="_Header_총괄표(추정)" xfId="401" xr:uid="{00000000-0005-0000-0000-000078010000}"/>
    <cellStyle name="_Header_카드,HCD(매출 목표 및 실적030510)" xfId="402" xr:uid="{00000000-0005-0000-0000-000079010000}"/>
    <cellStyle name="_Header_통화량(월별,서비스별)" xfId="403" xr:uid="{00000000-0005-0000-0000-00007A010000}"/>
    <cellStyle name="_Header_팀별서비스별" xfId="404" xr:uid="{00000000-0005-0000-0000-00007B010000}"/>
    <cellStyle name="_Header_플라자" xfId="405" xr:uid="{00000000-0005-0000-0000-00007C010000}"/>
    <cellStyle name="_Heading" xfId="406" xr:uid="{00000000-0005-0000-0000-00007D010000}"/>
    <cellStyle name="_Highlight" xfId="407" xr:uid="{00000000-0005-0000-0000-00007E010000}"/>
    <cellStyle name="_Kinko's Lead_2004.5.31_ehdo" xfId="408" xr:uid="{00000000-0005-0000-0000-00007F010000}"/>
    <cellStyle name="_laroux" xfId="409" xr:uid="{00000000-0005-0000-0000-000080010000}"/>
    <cellStyle name="_laroux_PERSONAL" xfId="410" xr:uid="{00000000-0005-0000-0000-000081010000}"/>
    <cellStyle name="_laroux_구매2" xfId="411" xr:uid="{00000000-0005-0000-0000-000082010000}"/>
    <cellStyle name="_laroux_기안품의" xfId="412" xr:uid="{00000000-0005-0000-0000-000083010000}"/>
    <cellStyle name="_laroux_내건작물" xfId="413" xr:uid="{00000000-0005-0000-0000-000084010000}"/>
    <cellStyle name="_laroux_사택" xfId="414" xr:uid="{00000000-0005-0000-0000-000085010000}"/>
    <cellStyle name="_laroux_양식" xfId="415" xr:uid="{00000000-0005-0000-0000-000086010000}"/>
    <cellStyle name="_laroux_업무2" xfId="416" xr:uid="{00000000-0005-0000-0000-000087010000}"/>
    <cellStyle name="_laroux_인원사항" xfId="417" xr:uid="{00000000-0005-0000-0000-000088010000}"/>
    <cellStyle name="_laroux_자료집" xfId="418" xr:uid="{00000000-0005-0000-0000-000089010000}"/>
    <cellStyle name="_laroux_조골세포" xfId="419" xr:uid="{00000000-0005-0000-0000-00008A010000}"/>
    <cellStyle name="_laroux_천연고무" xfId="420" xr:uid="{00000000-0005-0000-0000-00008B010000}"/>
    <cellStyle name="_leadsheet(스파클)" xfId="421" xr:uid="{00000000-0005-0000-0000-00008C010000}"/>
    <cellStyle name="_LIG_quick_082607_회사자료적용" xfId="422" xr:uid="{00000000-0005-0000-0000-00008D010000}"/>
    <cellStyle name="_Lover" xfId="423" xr:uid="{00000000-0005-0000-0000-00008E010000}"/>
    <cellStyle name="_Multiple" xfId="424" xr:uid="{00000000-0005-0000-0000-00008F010000}"/>
    <cellStyle name="_MultipleSpace" xfId="425" xr:uid="{00000000-0005-0000-0000-000090010000}"/>
    <cellStyle name="_Out비용" xfId="426" xr:uid="{00000000-0005-0000-0000-000091010000}"/>
    <cellStyle name="_Percent" xfId="427" xr:uid="{00000000-0005-0000-0000-000092010000}"/>
    <cellStyle name="_PercentSpace" xfId="428" xr:uid="{00000000-0005-0000-0000-000093010000}"/>
    <cellStyle name="_PJT Knit_Valuation_20090924_v14_v.2" xfId="429" xr:uid="{00000000-0005-0000-0000-000094010000}"/>
    <cellStyle name="_Pjt_Joy_COCO_100608" xfId="430" xr:uid="{00000000-0005-0000-0000-000095010000}"/>
    <cellStyle name="_PLDT" xfId="431" xr:uid="{00000000-0005-0000-0000-000096010000}"/>
    <cellStyle name="_Project M_Valuation Model_Draft_20090320_회사송부용" xfId="432" xr:uid="{00000000-0005-0000-0000-000097010000}"/>
    <cellStyle name="_Project M_증발공 평가_090319 v3" xfId="433" xr:uid="{00000000-0005-0000-0000-000098010000}"/>
    <cellStyle name="_RESULTS" xfId="434" xr:uid="{00000000-0005-0000-0000-000099010000}"/>
    <cellStyle name="_Row1" xfId="435" xr:uid="{00000000-0005-0000-0000-00009A010000}"/>
    <cellStyle name="_Row2" xfId="436" xr:uid="{00000000-0005-0000-0000-00009B010000}"/>
    <cellStyle name="_Row3" xfId="437" xr:uid="{00000000-0005-0000-0000-00009C010000}"/>
    <cellStyle name="_Row4" xfId="438" xr:uid="{00000000-0005-0000-0000-00009D010000}"/>
    <cellStyle name="_Row4_Project Ticket PPA Model_20081202_v2 (2)" xfId="439" xr:uid="{00000000-0005-0000-0000-00009E010000}"/>
    <cellStyle name="_Row5" xfId="440" xr:uid="{00000000-0005-0000-0000-00009F010000}"/>
    <cellStyle name="_Row6" xfId="441" xr:uid="{00000000-0005-0000-0000-0000A0010000}"/>
    <cellStyle name="_Row7" xfId="442" xr:uid="{00000000-0005-0000-0000-0000A1010000}"/>
    <cellStyle name="_SAP total system (2005.07)" xfId="443" xr:uid="{00000000-0005-0000-0000-0000A2010000}"/>
    <cellStyle name="_SAP total system (2005.08)" xfId="444" xr:uid="{00000000-0005-0000-0000-0000A3010000}"/>
    <cellStyle name="_SAP total system (2005.09)" xfId="445" xr:uid="{00000000-0005-0000-0000-0000A4010000}"/>
    <cellStyle name="_SAP total system (2005.10)" xfId="446" xr:uid="{00000000-0005-0000-0000-0000A5010000}"/>
    <cellStyle name="_SAP total system (2005.11)" xfId="447" xr:uid="{00000000-0005-0000-0000-0000A6010000}"/>
    <cellStyle name="_SAP total system (2005.12)" xfId="448" xr:uid="{00000000-0005-0000-0000-0000A7010000}"/>
    <cellStyle name="_SAP total system (2005.3차)_실적작업" xfId="449" xr:uid="{00000000-0005-0000-0000-0000A8010000}"/>
    <cellStyle name="_SAP total system (2006.01)" xfId="450" xr:uid="{00000000-0005-0000-0000-0000A9010000}"/>
    <cellStyle name="_SAP total system (2006.02)" xfId="451" xr:uid="{00000000-0005-0000-0000-0000AA010000}"/>
    <cellStyle name="_SCM" xfId="452" xr:uid="{00000000-0005-0000-0000-0000AB010000}"/>
    <cellStyle name="_SE_Peer_20090206_v1" xfId="453" xr:uid="{00000000-0005-0000-0000-0000AC010000}"/>
    <cellStyle name="_SKCommsValue_070223_최종전달" xfId="454" xr:uid="{00000000-0005-0000-0000-0000AD010000}"/>
    <cellStyle name="_SubHeading" xfId="455" xr:uid="{00000000-0005-0000-0000-0000AE010000}"/>
    <cellStyle name="_Table" xfId="456" xr:uid="{00000000-0005-0000-0000-0000AF010000}"/>
    <cellStyle name="_TableHead" xfId="457" xr:uid="{00000000-0005-0000-0000-0000B0010000}"/>
    <cellStyle name="_TableRowHead" xfId="458" xr:uid="{00000000-0005-0000-0000-0000B1010000}"/>
    <cellStyle name="_TableSuperHead" xfId="459" xr:uid="{00000000-0005-0000-0000-0000B2010000}"/>
    <cellStyle name="_TKC_080630" xfId="460" xr:uid="{00000000-0005-0000-0000-0000B3010000}"/>
    <cellStyle name="_TKFS-200712" xfId="461" xr:uid="{00000000-0005-0000-0000-0000B4010000}"/>
    <cellStyle name="_TKFS-200806" xfId="462" xr:uid="{00000000-0005-0000-0000-0000B5010000}"/>
    <cellStyle name="_V3 - 02총괄표(기말)" xfId="463" xr:uid="{00000000-0005-0000-0000-0000B6010000}"/>
    <cellStyle name="_Valuation worksheet_Project SKM_032807보고용(06년판관비적용후)(3)" xfId="464" xr:uid="{00000000-0005-0000-0000-0000B7010000}"/>
    <cellStyle name="_감가상각기본" xfId="465" xr:uid="{00000000-0005-0000-0000-0000B8010000}"/>
    <cellStyle name="_감사조서1" xfId="466" xr:uid="{00000000-0005-0000-0000-0000B9010000}"/>
    <cellStyle name="_개발비" xfId="467" xr:uid="{00000000-0005-0000-0000-0000BA010000}"/>
    <cellStyle name="_건축경영실적(2006.02)" xfId="468" xr:uid="{00000000-0005-0000-0000-0000BB010000}"/>
    <cellStyle name="_경주" xfId="469" xr:uid="{00000000-0005-0000-0000-0000BC010000}"/>
    <cellStyle name="_구매(매입)-한화국토-WP" xfId="470" xr:uid="{00000000-0005-0000-0000-0000BD010000}"/>
    <cellStyle name="_국문재무제표_2003" xfId="471" xr:uid="{00000000-0005-0000-0000-0000BE010000}"/>
    <cellStyle name="_기본틀(01.1.11-이사회자료)" xfId="472" xr:uid="{00000000-0005-0000-0000-0000BF010000}"/>
    <cellStyle name="_대갑견적" xfId="473" xr:uid="{00000000-0005-0000-0000-0000C0010000}"/>
    <cellStyle name="_대갑견적1" xfId="474" xr:uid="{00000000-0005-0000-0000-0000C1010000}"/>
    <cellStyle name="_데이터(인건비포함)" xfId="475" xr:uid="{00000000-0005-0000-0000-0000C2010000}"/>
    <cellStyle name="_동국무역_(052Q)CF작성조서_8.9" xfId="476" xr:uid="{00000000-0005-0000-0000-0000C3010000}"/>
    <cellStyle name="_동국무역1분기검토(2004-05-14)" xfId="477" xr:uid="{00000000-0005-0000-0000-0000C4010000}"/>
    <cellStyle name="_동국베트남" xfId="478" xr:uid="{00000000-0005-0000-0000-0000C5010000}"/>
    <cellStyle name="_동양매직-03(LHY)" xfId="479" xr:uid="{00000000-0005-0000-0000-0000C6010000}"/>
    <cellStyle name="_디피씨_기말4" xfId="480" xr:uid="{00000000-0005-0000-0000-0000C7010000}"/>
    <cellStyle name="_롤스케쥴 (01-5)" xfId="481" xr:uid="{00000000-0005-0000-0000-0000C8010000}"/>
    <cellStyle name="_롤스케쥴 (01-5)_1" xfId="482" xr:uid="{00000000-0005-0000-0000-0000C9010000}"/>
    <cellStyle name="_만서기업 AJE List(2002.1.31)" xfId="483" xr:uid="{00000000-0005-0000-0000-0000CA010000}"/>
    <cellStyle name="_매출ver1" xfId="484" xr:uid="{00000000-0005-0000-0000-0000CB010000}"/>
    <cellStyle name="_매출액명세서" xfId="485" xr:uid="{00000000-0005-0000-0000-0000CC010000}"/>
    <cellStyle name="_매출이익분석" xfId="486" xr:uid="{00000000-0005-0000-0000-0000CD010000}"/>
    <cellStyle name="_매출조정사항정리-20060725" xfId="487" xr:uid="{00000000-0005-0000-0000-0000CE010000}"/>
    <cellStyle name="_모비닷컴02정산표-김두희" xfId="488" xr:uid="{00000000-0005-0000-0000-0000CF010000}"/>
    <cellStyle name="_모인소프트 Score sheet_0304" xfId="489" xr:uid="{00000000-0005-0000-0000-0000D0010000}"/>
    <cellStyle name="_미수금양식_060626" xfId="490" xr:uid="{00000000-0005-0000-0000-0000D1010000}"/>
    <cellStyle name="_반품충당금" xfId="491" xr:uid="{00000000-0005-0000-0000-0000D2010000}"/>
    <cellStyle name="_별첨(계획서및실적서양식)" xfId="492" xr:uid="{00000000-0005-0000-0000-0000D3010000}"/>
    <cellStyle name="_별첨(계획서및실적서양식)_1" xfId="493" xr:uid="{00000000-0005-0000-0000-0000D4010000}"/>
    <cellStyle name="_복사본 2004년~2006년 SKC 트래픽" xfId="494" xr:uid="{00000000-0005-0000-0000-0000D5010000}"/>
    <cellStyle name="_복사본 매출액 및 매출원가(0706)" xfId="495" xr:uid="{00000000-0005-0000-0000-0000D6010000}"/>
    <cellStyle name="_사업계획서 별첨자료(nw)2" xfId="496" xr:uid="{00000000-0005-0000-0000-0000D7010000}"/>
    <cellStyle name="_상대가치 및 자산가치_SKCom.0316_v2" xfId="497" xr:uid="{00000000-0005-0000-0000-0000D8010000}"/>
    <cellStyle name="_상대가치 업체 list" xfId="498" xr:uid="{00000000-0005-0000-0000-0000D9010000}"/>
    <cellStyle name="_상반기 cp료-감사제출용" xfId="499" xr:uid="{00000000-0005-0000-0000-0000DA010000}"/>
    <cellStyle name="_상환sheet" xfId="500" xr:uid="{00000000-0005-0000-0000-0000DB010000}"/>
    <cellStyle name="_서비스팀투자대비효과(안)_021204(수정)" xfId="501" xr:uid="{00000000-0005-0000-0000-0000DC010000}"/>
    <cellStyle name="_서울은행-투자추정(01.10.31)" xfId="502" xr:uid="{00000000-0005-0000-0000-0000DD010000}"/>
    <cellStyle name="_소장회의보고양식_최종" xfId="503" xr:uid="{00000000-0005-0000-0000-0000DE010000}"/>
    <cellStyle name="_소코드1" xfId="504" xr:uid="{00000000-0005-0000-0000-0000DF010000}"/>
    <cellStyle name="_손익-BS추정(01-02년-11-12)" xfId="505" xr:uid="{00000000-0005-0000-0000-0000E0010000}"/>
    <cellStyle name="_수산그룹미수금현황_20020506" xfId="506" xr:uid="{00000000-0005-0000-0000-0000E1010000}"/>
    <cellStyle name="_수정분개리스트-동국04말" xfId="507" xr:uid="{00000000-0005-0000-0000-0000E2010000}"/>
    <cellStyle name="_수정사항집계2006(동국무역)2.26" xfId="508" xr:uid="{00000000-0005-0000-0000-0000E3010000}"/>
    <cellStyle name="_수주(하반기 전망용)" xfId="509" xr:uid="{00000000-0005-0000-0000-0000E4010000}"/>
    <cellStyle name="_수주0705" xfId="510" xr:uid="{00000000-0005-0000-0000-0000E5010000}"/>
    <cellStyle name="_수주부진사유-플랜트" xfId="511" xr:uid="{00000000-0005-0000-0000-0000E6010000}"/>
    <cellStyle name="_수주분석0604" xfId="512" xr:uid="{00000000-0005-0000-0000-0000E7010000}"/>
    <cellStyle name="_수주신양식0704" xfId="513" xr:uid="{00000000-0005-0000-0000-0000E8010000}"/>
    <cellStyle name="_수주전망검토" xfId="514" xr:uid="{00000000-0005-0000-0000-0000E9010000}"/>
    <cellStyle name="_실적" xfId="515" xr:uid="{00000000-0005-0000-0000-0000EA010000}"/>
    <cellStyle name="_써니벨테크 AJE List(2002.3.23)" xfId="516" xr:uid="{00000000-0005-0000-0000-0000EB010000}"/>
    <cellStyle name="_아크로텍_coco" xfId="517" xr:uid="{00000000-0005-0000-0000-0000EC010000}"/>
    <cellStyle name="-_안진조서요약-유로넥스트(03)(LHY)" xfId="518" xr:uid="{00000000-0005-0000-0000-0000ED010000}"/>
    <cellStyle name="-_안진조서요약-유로넥스트(03)(LHY)_안진조서요약-유로넥스트(03)(LHY)" xfId="519" xr:uid="{00000000-0005-0000-0000-0000EE010000}"/>
    <cellStyle name="-_안진조서요약-유로넥스트(03)(LHY)_안진조서요약-유로넥스트(03)(LHY)_유로넥스트(03)(LHY)" xfId="520" xr:uid="{00000000-0005-0000-0000-0000EF010000}"/>
    <cellStyle name="-_안진조서요약-유로넥스트(03)(LHY)_유로넥스트(03)(LHY)" xfId="521" xr:uid="{00000000-0005-0000-0000-0000F0010000}"/>
    <cellStyle name="-_안진조서요약-유로넥스트(03)(LHY)_유로넥스트(03)(LHY)_유로넥스트(03)(LHY)" xfId="522" xr:uid="{00000000-0005-0000-0000-0000F1010000}"/>
    <cellStyle name="_양식" xfId="523" xr:uid="{00000000-0005-0000-0000-0000F2010000}"/>
    <cellStyle name="_양식 (2)" xfId="524" xr:uid="{00000000-0005-0000-0000-0000F3010000}"/>
    <cellStyle name="_양식_1" xfId="525" xr:uid="{00000000-0005-0000-0000-0000F4010000}"/>
    <cellStyle name="_양식_2" xfId="526" xr:uid="{00000000-0005-0000-0000-0000F5010000}"/>
    <cellStyle name="_양양레미콘" xfId="527" xr:uid="{00000000-0005-0000-0000-0000F6010000}"/>
    <cellStyle name="_업무보고8월" xfId="528" xr:uid="{00000000-0005-0000-0000-0000F7010000}"/>
    <cellStyle name="_업무연락" xfId="529" xr:uid="{00000000-0005-0000-0000-0000F8010000}"/>
    <cellStyle name="_연도별 요약재무제표(05-07)" xfId="530" xr:uid="{00000000-0005-0000-0000-0000F9010000}"/>
    <cellStyle name="_연말 미수금 전망-2005년8월31일기준(실적)" xfId="531" xr:uid="{00000000-0005-0000-0000-0000FA010000}"/>
    <cellStyle name="_연봉자료(박효준-20060930)" xfId="532" xr:uid="{00000000-0005-0000-0000-0000FB010000}"/>
    <cellStyle name="_영업비용예산(운용센타)_1113" xfId="533" xr:uid="{00000000-0005-0000-0000-0000FC010000}"/>
    <cellStyle name="_영업외수익비용조서_SKCom_v3" xfId="534" xr:uid="{00000000-0005-0000-0000-0000FD010000}"/>
    <cellStyle name="_예산산출근거_0915(1)" xfId="535" xr:uid="{00000000-0005-0000-0000-0000FE010000}"/>
    <cellStyle name="_예산산출근거_0915(수정본)(1)" xfId="536" xr:uid="{00000000-0005-0000-0000-0000FF010000}"/>
    <cellStyle name="_외국납부세액공제(06)" xfId="537" xr:uid="{00000000-0005-0000-0000-000000020000}"/>
    <cellStyle name="_웹젠 2005 1Q 정산표및현금흐름표" xfId="538" xr:uid="{00000000-0005-0000-0000-000001020000}"/>
    <cellStyle name="_유경욱SW_미수수익0212" xfId="539" xr:uid="{00000000-0005-0000-0000-000002020000}"/>
    <cellStyle name="-_유로넥스트(03)(LHY)" xfId="540" xr:uid="{00000000-0005-0000-0000-000003020000}"/>
    <cellStyle name="_유첨3(서식)" xfId="541" xr:uid="{00000000-0005-0000-0000-000004020000}"/>
    <cellStyle name="_유첨3(서식)_1" xfId="542" xr:uid="{00000000-0005-0000-0000-000005020000}"/>
    <cellStyle name="_인명부_전사(연봉포함)_20051227" xfId="543" xr:uid="{00000000-0005-0000-0000-000006020000}"/>
    <cellStyle name="_임원kpi종합" xfId="544" xr:uid="{00000000-0005-0000-0000-000007020000}"/>
    <cellStyle name="_입증조서(경동개발01)최종" xfId="545" xr:uid="{00000000-0005-0000-0000-000008020000}"/>
    <cellStyle name="_자금수지 (월별)" xfId="546" xr:uid="{00000000-0005-0000-0000-000009020000}"/>
    <cellStyle name="_자금일보0518" xfId="547" xr:uid="{00000000-0005-0000-0000-00000A020000}"/>
    <cellStyle name="_자료1" xfId="548" xr:uid="{00000000-0005-0000-0000-00000B020000}"/>
    <cellStyle name="_자본반기조서" xfId="549" xr:uid="{00000000-0005-0000-0000-00000C020000}"/>
    <cellStyle name="_재고자산LS(프린팅)" xfId="550" xr:uid="{00000000-0005-0000-0000-00000D020000}"/>
    <cellStyle name="_재무자료" xfId="551" xr:uid="{00000000-0005-0000-0000-00000E020000}"/>
    <cellStyle name="_재무제표0506감사전" xfId="552" xr:uid="{00000000-0005-0000-0000-00000F020000}"/>
    <cellStyle name="_재무제표분석등-04기말Ver21" xfId="553" xr:uid="{00000000-0005-0000-0000-000010020000}"/>
    <cellStyle name="_적정 자본금 분석_090318" xfId="554" xr:uid="{00000000-0005-0000-0000-000011020000}"/>
    <cellStyle name="_정국창 수정분개" xfId="555" xr:uid="{00000000-0005-0000-0000-000012020000}"/>
    <cellStyle name="_정산표(2004-02-13)-SAC" xfId="556" xr:uid="{00000000-0005-0000-0000-000013020000}"/>
    <cellStyle name="_조직도" xfId="557" xr:uid="{00000000-0005-0000-0000-000014020000}"/>
    <cellStyle name="_주당순이익" xfId="558" xr:uid="{00000000-0005-0000-0000-000015020000}"/>
    <cellStyle name="_중앙연결정산표" xfId="559" xr:uid="{00000000-0005-0000-0000-000016020000}"/>
    <cellStyle name="_중요성기준" xfId="560" xr:uid="{00000000-0005-0000-0000-000017020000}"/>
    <cellStyle name="_증감분석양식" xfId="561" xr:uid="{00000000-0005-0000-0000-000018020000}"/>
    <cellStyle name="_증안기금(3분기)" xfId="562" xr:uid="{00000000-0005-0000-0000-000019020000}"/>
    <cellStyle name="_지급어음 11월 30기준" xfId="563" xr:uid="{00000000-0005-0000-0000-00001A020000}"/>
    <cellStyle name="_지급어음잔액 (2002.06)" xfId="564" xr:uid="{00000000-0005-0000-0000-00001B020000}"/>
    <cellStyle name="_지급어음잔액(2002.09)" xfId="565" xr:uid="{00000000-0005-0000-0000-00001C020000}"/>
    <cellStyle name="_지분법3사" xfId="566" xr:uid="{00000000-0005-0000-0000-00001D020000}"/>
    <cellStyle name="_지분법-베트남(V2)" xfId="567" xr:uid="{00000000-0005-0000-0000-00001E020000}"/>
    <cellStyle name="_지분법분석3Q" xfId="568" xr:uid="{00000000-0005-0000-0000-00001F020000}"/>
    <cellStyle name="_지분법양식" xfId="569" xr:uid="{00000000-0005-0000-0000-000020020000}"/>
    <cellStyle name="_지분법최종" xfId="570" xr:uid="{00000000-0005-0000-0000-000021020000}"/>
    <cellStyle name="_지분법평가" xfId="571" xr:uid="{00000000-0005-0000-0000-000022020000}"/>
    <cellStyle name="_지정과제2차심의list" xfId="572" xr:uid="{00000000-0005-0000-0000-000023020000}"/>
    <cellStyle name="_지정과제2차심의list_1" xfId="573" xr:uid="{00000000-0005-0000-0000-000024020000}"/>
    <cellStyle name="_지정과제2차심의list_2" xfId="574" xr:uid="{00000000-0005-0000-0000-000025020000}"/>
    <cellStyle name="_지정과제2차심의결과" xfId="575" xr:uid="{00000000-0005-0000-0000-000026020000}"/>
    <cellStyle name="_지정과제2차심의결과(금액조정후최종)" xfId="576" xr:uid="{00000000-0005-0000-0000-000027020000}"/>
    <cellStyle name="_지정과제2차심의결과(금액조정후최종)_1" xfId="577" xr:uid="{00000000-0005-0000-0000-000028020000}"/>
    <cellStyle name="_지정과제2차심의결과_1" xfId="578" xr:uid="{00000000-0005-0000-0000-000029020000}"/>
    <cellStyle name="_집중관리(981231)" xfId="579" xr:uid="{00000000-0005-0000-0000-00002A020000}"/>
    <cellStyle name="_집중관리(981231)_1" xfId="580" xr:uid="{00000000-0005-0000-0000-00002B020000}"/>
    <cellStyle name="_집중관리(지정과제및 양식)" xfId="581" xr:uid="{00000000-0005-0000-0000-00002C020000}"/>
    <cellStyle name="_집중관리(지정과제및 양식)_1" xfId="582" xr:uid="{00000000-0005-0000-0000-00002D020000}"/>
    <cellStyle name="_차입담보현황100310" xfId="583" xr:uid="{00000000-0005-0000-0000-00002E020000}"/>
    <cellStyle name="_청구_요약_개인별 상세내역(6월)" xfId="584" xr:uid="{00000000-0005-0000-0000-00002F020000}"/>
    <cellStyle name="_총괄표-2002반기(홍성훈)" xfId="585" xr:uid="{00000000-0005-0000-0000-000030020000}"/>
    <cellStyle name="_추정BS(01-03)" xfId="586" xr:uid="{00000000-0005-0000-0000-000031020000}"/>
    <cellStyle name="_추정매출(2008-2011)(수정후발송20071023)" xfId="587" xr:uid="{00000000-0005-0000-0000-000032020000}"/>
    <cellStyle name="_추정액(빌링수납 및 투자 지출)" xfId="588" xr:uid="{00000000-0005-0000-0000-000033020000}"/>
    <cellStyle name="_퇴직보험가입자명단(2005년 기말)" xfId="589" xr:uid="{00000000-0005-0000-0000-000034020000}"/>
    <cellStyle name="_퇴충미지급설정자료(파일)" xfId="590" xr:uid="{00000000-0005-0000-0000-000035020000}"/>
    <cellStyle name="_투자계획 (1)" xfId="591" xr:uid="{00000000-0005-0000-0000-000036020000}"/>
    <cellStyle name="_파견용역비_요약_개인별 상세내역(200702)" xfId="592" xr:uid="{00000000-0005-0000-0000-000037020000}"/>
    <cellStyle name="_판관,제조경비" xfId="593" xr:uid="{00000000-0005-0000-0000-000038020000}"/>
    <cellStyle name="_판매단가매입단가" xfId="594" xr:uid="{00000000-0005-0000-0000-000039020000}"/>
    <cellStyle name="_하나로 추가자료 (최종)" xfId="595" xr:uid="{00000000-0005-0000-0000-00003A020000}"/>
    <cellStyle name="_현금흐름표-061231(우리CS)_이종선_07.1.14" xfId="596" xr:uid="{00000000-0005-0000-0000-00003B020000}"/>
    <cellStyle name="_홍민기SW_미수수익" xfId="597" xr:uid="{00000000-0005-0000-0000-00003C020000}"/>
    <cellStyle name="_홍민기SW_미수수익_결산" xfId="598" xr:uid="{00000000-0005-0000-0000-00003D020000}"/>
    <cellStyle name="_홍민기SW_양수도대금미수수익" xfId="599" xr:uid="{00000000-0005-0000-0000-00003E020000}"/>
    <cellStyle name="|: 데이터를 읽는 중 ..." xfId="600" xr:uid="{00000000-0005-0000-0000-00003F020000}"/>
    <cellStyle name="’E‰Y [0.00]_laroux" xfId="601" xr:uid="{00000000-0005-0000-0000-000040020000}"/>
    <cellStyle name="’E‰Y_laroux" xfId="602" xr:uid="{00000000-0005-0000-0000-000041020000}"/>
    <cellStyle name="￠´d￠´A|i[0]_RESULTS" xfId="603" xr:uid="{00000000-0005-0000-0000-000042020000}"/>
    <cellStyle name="￠´d￠´A|i_RESULTS" xfId="604" xr:uid="{00000000-0005-0000-0000-000043020000}"/>
    <cellStyle name="¤@?e_TEST-1 " xfId="605" xr:uid="{00000000-0005-0000-0000-000044020000}"/>
    <cellStyle name="¤d¤A|i[0]_RESULTS" xfId="606" xr:uid="{00000000-0005-0000-0000-000045020000}"/>
    <cellStyle name="¤d¤A|i_RESULTS" xfId="607" xr:uid="{00000000-0005-0000-0000-000046020000}"/>
    <cellStyle name="=C:\WINDOWS\SYSTEM32\COMMAND.COM" xfId="608" xr:uid="{00000000-0005-0000-0000-000047020000}"/>
    <cellStyle name="=today()" xfId="609" xr:uid="{00000000-0005-0000-0000-000048020000}"/>
    <cellStyle name="⩸Ƃުb⪤Ƃ޺b ƂߊbÀƂߚbàƂߪbĄƂߺbĠƂࠊbļƂࠚbŘƂࠪbƄƂ࠺bƤƂࡊbǈƂ࡚b׌ƂࡪbװƂࡺb؜ƂࢊbشƂ࢚bٔƂࢪbǸƂࢺbȰƂ࣊bɤƂࣚbʠƂ࣪bːƂࣺbڄƂऊbڬƂचbۘƂ" xfId="610" xr:uid="{00000000-0005-0000-0000-000049020000}"/>
    <cellStyle name="⥜준_제강원가최종_1" xfId="611" xr:uid="{00000000-0005-0000-0000-00004A020000}"/>
    <cellStyle name="⦨Ƃ܊b⧌Ƃܚb☰Ƃܪb♈Ƃܺb♬Ƃ݊b⚜Ƃݚb⛘Ƃݪb⧨Ƃݺb⨤Ƃފb⩔Ƃޚb⩸Ƃުb⪤Ƃ޺b ƂߊbÀƂߚbàƂߪbĄƂߺbĠƂࠊbļƂࠚbŘƂࠪbƄƂ࠺bƤƂࡊbǈƂ࡚b׌ƂࡪbװƂࡺb؜Ƃ" xfId="612" xr:uid="{00000000-0005-0000-0000-00004B020000}"/>
    <cellStyle name="▬Ƃښb◄Ƃڪb◤Ƃںb☌Ƃۊb⤼Ƃۚb⥨Ƃ۪b⦈Ƃۺb⦨Ƃ܊b⧌Ƃܚb☰Ƃܪb♈Ƃܺb♬Ƃ݊b⚜Ƃݚb⛘Ƃݪb⧨Ƃݺb⨤Ƃފb⩔Ƃޚb⩸Ƃުb⪤Ƃ޺b ƂߊbÀƂߚbàƂߪbĄƂߺbĠƂࠊbļƂ" xfId="613" xr:uid="{00000000-0005-0000-0000-00004C020000}"/>
    <cellStyle name="△서식" xfId="614" xr:uid="{00000000-0005-0000-0000-00004D020000}"/>
    <cellStyle name="┄Ƃيb┰Ƃٚb═Ƃ٪b╼Ƃٺb▔Ƃڊb▬Ƃښb◄Ƃڪb◤Ƃںb☌Ƃۊb⤼Ƃۚb⥨Ƃ۪b⦈Ƃۺb⦨Ƃ܊b⧌Ƃܚb☰Ƃܪb♈Ƃܺb♬Ƃ݊b⚜Ƃݚb⛘Ƃݪb⧨Ƃݺb⨤Ƃފb⩔Ƃޚb⩸Ƃުb⪤Ƃ޺b Ƃ" xfId="615" xr:uid="{00000000-0005-0000-0000-00004E020000}"/>
    <cellStyle name="∬Ƃ؊b≈Ƃؚb≰ƂتbⓨƂغb┄Ƃيb┰Ƃٚb═Ƃ٪b╼Ƃٺb▔Ƃڊb▬Ƃښb◄Ƃڪb◤Ƃںb☌Ƃۊb⤼Ƃۚb⥨Ƃ۪b⦈Ƃۺb⦨Ƃ܊b⧌Ƃܚb☰Ƃܪb♈Ƃܺb♬Ƃ݊b⚜Ƃݚb⛘Ƃݪb⧨Ƃݺb⨤Ƃ" xfId="616" xr:uid="{00000000-0005-0000-0000-00004F020000}"/>
    <cellStyle name="⧨Ƃݺb⨤Ƃފb⩔Ƃޚb⩸Ƃުb⪤Ƃ޺b ƂߊbÀƂߚbàƂߪbĄƂߺbĠƂࠊbļƂࠚbŘƂࠪbƄƂ࠺bƤƂࡊbǈƂ࡚b׌ƂࡪbװƂࡺb؜ƂࢊbشƂ࢚bٔƂࢪbǸƂࢺbȰƂ࣊bɤƂࣚbʠƂ࣪bːƂ" xfId="617" xr:uid="{00000000-0005-0000-0000-000050020000}"/>
    <cellStyle name="᠀ŀ" xfId="618" xr:uid="{00000000-0005-0000-0000-000051020000}"/>
    <cellStyle name="᠀ŀŀ䅀᠀ŀŀ䅀᠀ŀ" xfId="619" xr:uid="{00000000-0005-0000-0000-000052020000}"/>
    <cellStyle name="᠀ŀŀ䅀᠀ŀŀ䅀᠀ŀŀ䅀᠀ŀŀ䅀᠀ŀŀ䅀᠀ŀŀ䅀᠀ŀŀ䅀᠀ŀŀ䅀᠀ŀŀ䅀᠀ŀ" xfId="620" xr:uid="{00000000-0005-0000-0000-000053020000}"/>
    <cellStyle name="⚜Ƃݚb⛘Ƃݪb⧨Ƃݺb⨤Ƃފb⩔Ƃޚb⩸Ƃުb⪤Ƃ޺b ƂߊbÀƂߚbàƂߪbĄƂߺbĠƂࠊbļƂࠚbŘƂࠪbƄƂ࠺bƤƂࡊbǈƂ࡚b׌ƂࡪbװƂࡺb؜ƂࢊbشƂ࢚bٔƂࢪbǸƂࢺbȰƂ࣊bɤƂ" xfId="621" xr:uid="{00000000-0005-0000-0000-000054020000}"/>
    <cellStyle name="ÊÝ [0.00]_PRODUCT DETAIL Q1" xfId="622" xr:uid="{00000000-0005-0000-0000-000055020000}"/>
    <cellStyle name="ÊÝ_PRODUCT DETAIL Q1" xfId="623" xr:uid="{00000000-0005-0000-0000-000056020000}"/>
    <cellStyle name="W?_BOOKSHIP" xfId="624" xr:uid="{00000000-0005-0000-0000-000057020000}"/>
    <cellStyle name="0" xfId="625" xr:uid="{00000000-0005-0000-0000-000058020000}"/>
    <cellStyle name="0%" xfId="626" xr:uid="{00000000-0005-0000-0000-000059020000}"/>
    <cellStyle name="0,0_x000d__x000a_NA_x000d__x000a_" xfId="627" xr:uid="{00000000-0005-0000-0000-00005A020000}"/>
    <cellStyle name="0,0_x000d__x000a_NA_x000d__x000a_ 2" xfId="628" xr:uid="{00000000-0005-0000-0000-00005B020000}"/>
    <cellStyle name="0,000" xfId="629" xr:uid="{00000000-0005-0000-0000-00005C020000}"/>
    <cellStyle name="0,000.0" xfId="630" xr:uid="{00000000-0005-0000-0000-00005D020000}"/>
    <cellStyle name="0,000.00" xfId="631" xr:uid="{00000000-0005-0000-0000-00005E020000}"/>
    <cellStyle name="0,000.000" xfId="632" xr:uid="{00000000-0005-0000-0000-00005F020000}"/>
    <cellStyle name="0,000.0000" xfId="633" xr:uid="{00000000-0005-0000-0000-000060020000}"/>
    <cellStyle name="0.0" xfId="634" xr:uid="{00000000-0005-0000-0000-000061020000}"/>
    <cellStyle name="0.0%" xfId="635" xr:uid="{00000000-0005-0000-0000-000062020000}"/>
    <cellStyle name="0.00" xfId="636" xr:uid="{00000000-0005-0000-0000-000063020000}"/>
    <cellStyle name="0.00%" xfId="637" xr:uid="{00000000-0005-0000-0000-000064020000}"/>
    <cellStyle name="0.000%" xfId="638" xr:uid="{00000000-0005-0000-0000-000065020000}"/>
    <cellStyle name="0.0000%" xfId="639" xr:uid="{00000000-0005-0000-0000-000066020000}"/>
    <cellStyle name="0_BOOK1" xfId="640" xr:uid="{00000000-0005-0000-0000-000067020000}"/>
    <cellStyle name="0_Book2" xfId="641" xr:uid="{00000000-0005-0000-0000-000068020000}"/>
    <cellStyle name="0_Dongbu_Valuation_Worksheet_050125" xfId="642" xr:uid="{00000000-0005-0000-0000-000069020000}"/>
    <cellStyle name="0_HB_Valuation_Resultsheet_031205" xfId="643" xr:uid="{00000000-0005-0000-0000-00006A020000}"/>
    <cellStyle name="0_HD_Valuation_Worksheet_050204" xfId="644" xr:uid="{00000000-0005-0000-0000-00006B020000}"/>
    <cellStyle name="0_Valuation WS(HuaBang)_Draft_Final_0312" xfId="645" xr:uid="{00000000-0005-0000-0000-00006C020000}"/>
    <cellStyle name="0_Valuation WS(HuaBang)_Draft_Final_0314" xfId="646" xr:uid="{00000000-0005-0000-0000-00006D020000}"/>
    <cellStyle name="0_WACC Calculation_GreenCross102505" xfId="647" xr:uid="{00000000-0005-0000-0000-00006E020000}"/>
    <cellStyle name="¾E°CE¸°e¹yAI" xfId="648" xr:uid="{00000000-0005-0000-0000-00006F020000}"/>
    <cellStyle name="1" xfId="649" xr:uid="{00000000-0005-0000-0000-000070020000}"/>
    <cellStyle name="1 000 K?_RESULTS" xfId="650" xr:uid="{00000000-0005-0000-0000-000071020000}"/>
    <cellStyle name="1 2" xfId="651" xr:uid="{00000000-0005-0000-0000-000072020000}"/>
    <cellStyle name="100" xfId="652" xr:uid="{00000000-0005-0000-0000-000073020000}"/>
    <cellStyle name="100 2" xfId="653" xr:uid="{00000000-0005-0000-0000-000074020000}"/>
    <cellStyle name="120" xfId="654" xr:uid="{00000000-0005-0000-0000-000075020000}"/>
    <cellStyle name="-156300" xfId="655" xr:uid="{00000000-0005-0000-0000-000076020000}"/>
    <cellStyle name="16" xfId="656" xr:uid="{00000000-0005-0000-0000-000077020000}"/>
    <cellStyle name="19990216" xfId="657" xr:uid="{00000000-0005-0000-0000-000078020000}"/>
    <cellStyle name="¹eºÐA²_±aA¸" xfId="658" xr:uid="{00000000-0005-0000-0000-000079020000}"/>
    <cellStyle name="1월" xfId="659" xr:uid="{00000000-0005-0000-0000-00007A020000}"/>
    <cellStyle name="2)" xfId="660" xr:uid="{00000000-0005-0000-0000-00007B020000}"/>
    <cellStyle name="20% - Accent1" xfId="661" xr:uid="{00000000-0005-0000-0000-00007C020000}"/>
    <cellStyle name="20% - Accent2" xfId="662" xr:uid="{00000000-0005-0000-0000-00007D020000}"/>
    <cellStyle name="20% - Accent3" xfId="663" xr:uid="{00000000-0005-0000-0000-00007E020000}"/>
    <cellStyle name="20% - Accent4" xfId="664" xr:uid="{00000000-0005-0000-0000-00007F020000}"/>
    <cellStyle name="20% - Accent5" xfId="665" xr:uid="{00000000-0005-0000-0000-000080020000}"/>
    <cellStyle name="20% - Accent6" xfId="22" xr:uid="{00000000-0005-0000-0000-000081020000}"/>
    <cellStyle name="20% - アクセント 1" xfId="666" xr:uid="{00000000-0005-0000-0000-000082020000}"/>
    <cellStyle name="20% - アクセント 2" xfId="667" xr:uid="{00000000-0005-0000-0000-000083020000}"/>
    <cellStyle name="20% - アクセント 3" xfId="668" xr:uid="{00000000-0005-0000-0000-000084020000}"/>
    <cellStyle name="20% - アクセント 4" xfId="669" xr:uid="{00000000-0005-0000-0000-000085020000}"/>
    <cellStyle name="20% - アクセント 5" xfId="670" xr:uid="{00000000-0005-0000-0000-000086020000}"/>
    <cellStyle name="20% - アクセント 6" xfId="671" xr:uid="{00000000-0005-0000-0000-000087020000}"/>
    <cellStyle name="20% - 강조색1 10" xfId="672" xr:uid="{00000000-0005-0000-0000-000088020000}"/>
    <cellStyle name="20% - 강조색1 11" xfId="673" xr:uid="{00000000-0005-0000-0000-000089020000}"/>
    <cellStyle name="20% - 강조색1 12" xfId="674" xr:uid="{00000000-0005-0000-0000-00008A020000}"/>
    <cellStyle name="20% - 강조색1 13" xfId="675" xr:uid="{00000000-0005-0000-0000-00008B020000}"/>
    <cellStyle name="20% - 강조색1 14" xfId="676" xr:uid="{00000000-0005-0000-0000-00008C020000}"/>
    <cellStyle name="20% - 강조색1 15" xfId="677" xr:uid="{00000000-0005-0000-0000-00008D020000}"/>
    <cellStyle name="20% - 강조색1 16" xfId="678" xr:uid="{00000000-0005-0000-0000-00008E020000}"/>
    <cellStyle name="20% - 강조색1 17" xfId="679" xr:uid="{00000000-0005-0000-0000-00008F020000}"/>
    <cellStyle name="20% - 강조색1 18" xfId="680" xr:uid="{00000000-0005-0000-0000-000090020000}"/>
    <cellStyle name="20% - 강조색1 19" xfId="681" xr:uid="{00000000-0005-0000-0000-000091020000}"/>
    <cellStyle name="20% - 강조색1 2" xfId="682" xr:uid="{00000000-0005-0000-0000-000092020000}"/>
    <cellStyle name="20% - 강조색1 2 10" xfId="683" xr:uid="{00000000-0005-0000-0000-000093020000}"/>
    <cellStyle name="20% - 강조색1 2 11" xfId="684" xr:uid="{00000000-0005-0000-0000-000094020000}"/>
    <cellStyle name="20% - 강조색1 2 12" xfId="685" xr:uid="{00000000-0005-0000-0000-000095020000}"/>
    <cellStyle name="20% - 강조색1 2 13" xfId="686" xr:uid="{00000000-0005-0000-0000-000096020000}"/>
    <cellStyle name="20% - 강조색1 2 14" xfId="687" xr:uid="{00000000-0005-0000-0000-000097020000}"/>
    <cellStyle name="20% - 강조색1 2 15" xfId="688" xr:uid="{00000000-0005-0000-0000-000098020000}"/>
    <cellStyle name="20% - 강조색1 2 16" xfId="689" xr:uid="{00000000-0005-0000-0000-000099020000}"/>
    <cellStyle name="20% - 강조색1 2 17" xfId="690" xr:uid="{00000000-0005-0000-0000-00009A020000}"/>
    <cellStyle name="20% - 강조색1 2 18" xfId="691" xr:uid="{00000000-0005-0000-0000-00009B020000}"/>
    <cellStyle name="20% - 강조색1 2 19" xfId="692" xr:uid="{00000000-0005-0000-0000-00009C020000}"/>
    <cellStyle name="20% - 강조색1 2 2" xfId="693" xr:uid="{00000000-0005-0000-0000-00009D020000}"/>
    <cellStyle name="20% - 강조색1 2 2 10" xfId="694" xr:uid="{00000000-0005-0000-0000-00009E020000}"/>
    <cellStyle name="20% - 강조색1 2 2 11" xfId="695" xr:uid="{00000000-0005-0000-0000-00009F020000}"/>
    <cellStyle name="20% - 강조색1 2 2 12" xfId="696" xr:uid="{00000000-0005-0000-0000-0000A0020000}"/>
    <cellStyle name="20% - 강조색1 2 2 13" xfId="697" xr:uid="{00000000-0005-0000-0000-0000A1020000}"/>
    <cellStyle name="20% - 강조색1 2 2 14" xfId="698" xr:uid="{00000000-0005-0000-0000-0000A2020000}"/>
    <cellStyle name="20% - 강조색1 2 2 2" xfId="699" xr:uid="{00000000-0005-0000-0000-0000A3020000}"/>
    <cellStyle name="20% - 강조색1 2 2 3" xfId="700" xr:uid="{00000000-0005-0000-0000-0000A4020000}"/>
    <cellStyle name="20% - 강조색1 2 2 4" xfId="701" xr:uid="{00000000-0005-0000-0000-0000A5020000}"/>
    <cellStyle name="20% - 강조색1 2 2 5" xfId="702" xr:uid="{00000000-0005-0000-0000-0000A6020000}"/>
    <cellStyle name="20% - 강조색1 2 2 6" xfId="703" xr:uid="{00000000-0005-0000-0000-0000A7020000}"/>
    <cellStyle name="20% - 강조색1 2 2 7" xfId="704" xr:uid="{00000000-0005-0000-0000-0000A8020000}"/>
    <cellStyle name="20% - 강조색1 2 2 8" xfId="705" xr:uid="{00000000-0005-0000-0000-0000A9020000}"/>
    <cellStyle name="20% - 강조색1 2 2 9" xfId="706" xr:uid="{00000000-0005-0000-0000-0000AA020000}"/>
    <cellStyle name="20% - 강조색1 2 20" xfId="707" xr:uid="{00000000-0005-0000-0000-0000AB020000}"/>
    <cellStyle name="20% - 강조색1 2 21" xfId="708" xr:uid="{00000000-0005-0000-0000-0000AC020000}"/>
    <cellStyle name="20% - 강조색1 2 22" xfId="709" xr:uid="{00000000-0005-0000-0000-0000AD020000}"/>
    <cellStyle name="20% - 강조색1 2 23" xfId="710" xr:uid="{00000000-0005-0000-0000-0000AE020000}"/>
    <cellStyle name="20% - 강조색1 2 24" xfId="711" xr:uid="{00000000-0005-0000-0000-0000AF020000}"/>
    <cellStyle name="20% - 강조색1 2 3" xfId="712" xr:uid="{00000000-0005-0000-0000-0000B0020000}"/>
    <cellStyle name="20% - 강조색1 2 4" xfId="713" xr:uid="{00000000-0005-0000-0000-0000B1020000}"/>
    <cellStyle name="20% - 강조색1 2 5" xfId="714" xr:uid="{00000000-0005-0000-0000-0000B2020000}"/>
    <cellStyle name="20% - 강조색1 2 6" xfId="715" xr:uid="{00000000-0005-0000-0000-0000B3020000}"/>
    <cellStyle name="20% - 강조색1 2 7" xfId="716" xr:uid="{00000000-0005-0000-0000-0000B4020000}"/>
    <cellStyle name="20% - 강조색1 2 8" xfId="717" xr:uid="{00000000-0005-0000-0000-0000B5020000}"/>
    <cellStyle name="20% - 강조색1 2 9" xfId="718" xr:uid="{00000000-0005-0000-0000-0000B6020000}"/>
    <cellStyle name="20% - 강조색1 20" xfId="719" xr:uid="{00000000-0005-0000-0000-0000B7020000}"/>
    <cellStyle name="20% - 강조색1 21" xfId="720" xr:uid="{00000000-0005-0000-0000-0000B8020000}"/>
    <cellStyle name="20% - 강조색1 22" xfId="721" xr:uid="{00000000-0005-0000-0000-0000B9020000}"/>
    <cellStyle name="20% - 강조색1 23" xfId="722" xr:uid="{00000000-0005-0000-0000-0000BA020000}"/>
    <cellStyle name="20% - 강조색1 24" xfId="723" xr:uid="{00000000-0005-0000-0000-0000BB020000}"/>
    <cellStyle name="20% - 강조색1 3" xfId="724" xr:uid="{00000000-0005-0000-0000-0000BC020000}"/>
    <cellStyle name="20% - 강조색1 3 10" xfId="725" xr:uid="{00000000-0005-0000-0000-0000BD020000}"/>
    <cellStyle name="20% - 강조색1 3 11" xfId="726" xr:uid="{00000000-0005-0000-0000-0000BE020000}"/>
    <cellStyle name="20% - 강조색1 3 12" xfId="727" xr:uid="{00000000-0005-0000-0000-0000BF020000}"/>
    <cellStyle name="20% - 강조색1 3 13" xfId="728" xr:uid="{00000000-0005-0000-0000-0000C0020000}"/>
    <cellStyle name="20% - 강조색1 3 14" xfId="729" xr:uid="{00000000-0005-0000-0000-0000C1020000}"/>
    <cellStyle name="20% - 강조색1 3 2" xfId="730" xr:uid="{00000000-0005-0000-0000-0000C2020000}"/>
    <cellStyle name="20% - 강조색1 3 3" xfId="731" xr:uid="{00000000-0005-0000-0000-0000C3020000}"/>
    <cellStyle name="20% - 강조색1 3 4" xfId="732" xr:uid="{00000000-0005-0000-0000-0000C4020000}"/>
    <cellStyle name="20% - 강조색1 3 5" xfId="733" xr:uid="{00000000-0005-0000-0000-0000C5020000}"/>
    <cellStyle name="20% - 강조색1 3 6" xfId="734" xr:uid="{00000000-0005-0000-0000-0000C6020000}"/>
    <cellStyle name="20% - 강조색1 3 7" xfId="735" xr:uid="{00000000-0005-0000-0000-0000C7020000}"/>
    <cellStyle name="20% - 강조색1 3 8" xfId="736" xr:uid="{00000000-0005-0000-0000-0000C8020000}"/>
    <cellStyle name="20% - 강조색1 3 9" xfId="737" xr:uid="{00000000-0005-0000-0000-0000C9020000}"/>
    <cellStyle name="20% - 강조색1 4" xfId="738" xr:uid="{00000000-0005-0000-0000-0000CA020000}"/>
    <cellStyle name="20% - 강조색1 5" xfId="739" xr:uid="{00000000-0005-0000-0000-0000CB020000}"/>
    <cellStyle name="20% - 강조색1 6" xfId="740" xr:uid="{00000000-0005-0000-0000-0000CC020000}"/>
    <cellStyle name="20% - 강조색1 7" xfId="741" xr:uid="{00000000-0005-0000-0000-0000CD020000}"/>
    <cellStyle name="20% - 강조색1 8" xfId="742" xr:uid="{00000000-0005-0000-0000-0000CE020000}"/>
    <cellStyle name="20% - 강조색1 9" xfId="743" xr:uid="{00000000-0005-0000-0000-0000CF020000}"/>
    <cellStyle name="20% - 강조색2 10" xfId="744" xr:uid="{00000000-0005-0000-0000-0000D0020000}"/>
    <cellStyle name="20% - 강조색2 11" xfId="745" xr:uid="{00000000-0005-0000-0000-0000D1020000}"/>
    <cellStyle name="20% - 강조색2 12" xfId="746" xr:uid="{00000000-0005-0000-0000-0000D2020000}"/>
    <cellStyle name="20% - 강조색2 13" xfId="747" xr:uid="{00000000-0005-0000-0000-0000D3020000}"/>
    <cellStyle name="20% - 강조색2 14" xfId="748" xr:uid="{00000000-0005-0000-0000-0000D4020000}"/>
    <cellStyle name="20% - 강조색2 15" xfId="749" xr:uid="{00000000-0005-0000-0000-0000D5020000}"/>
    <cellStyle name="20% - 강조색2 16" xfId="750" xr:uid="{00000000-0005-0000-0000-0000D6020000}"/>
    <cellStyle name="20% - 강조색2 17" xfId="751" xr:uid="{00000000-0005-0000-0000-0000D7020000}"/>
    <cellStyle name="20% - 강조색2 18" xfId="752" xr:uid="{00000000-0005-0000-0000-0000D8020000}"/>
    <cellStyle name="20% - 강조색2 19" xfId="753" xr:uid="{00000000-0005-0000-0000-0000D9020000}"/>
    <cellStyle name="20% - 강조색2 2" xfId="754" xr:uid="{00000000-0005-0000-0000-0000DA020000}"/>
    <cellStyle name="20% - 강조색2 2 10" xfId="755" xr:uid="{00000000-0005-0000-0000-0000DB020000}"/>
    <cellStyle name="20% - 강조색2 2 11" xfId="756" xr:uid="{00000000-0005-0000-0000-0000DC020000}"/>
    <cellStyle name="20% - 강조색2 2 12" xfId="757" xr:uid="{00000000-0005-0000-0000-0000DD020000}"/>
    <cellStyle name="20% - 강조색2 2 13" xfId="758" xr:uid="{00000000-0005-0000-0000-0000DE020000}"/>
    <cellStyle name="20% - 강조색2 2 14" xfId="759" xr:uid="{00000000-0005-0000-0000-0000DF020000}"/>
    <cellStyle name="20% - 강조색2 2 15" xfId="760" xr:uid="{00000000-0005-0000-0000-0000E0020000}"/>
    <cellStyle name="20% - 강조색2 2 16" xfId="761" xr:uid="{00000000-0005-0000-0000-0000E1020000}"/>
    <cellStyle name="20% - 강조색2 2 17" xfId="762" xr:uid="{00000000-0005-0000-0000-0000E2020000}"/>
    <cellStyle name="20% - 강조색2 2 18" xfId="763" xr:uid="{00000000-0005-0000-0000-0000E3020000}"/>
    <cellStyle name="20% - 강조색2 2 19" xfId="764" xr:uid="{00000000-0005-0000-0000-0000E4020000}"/>
    <cellStyle name="20% - 강조색2 2 2" xfId="765" xr:uid="{00000000-0005-0000-0000-0000E5020000}"/>
    <cellStyle name="20% - 강조색2 2 2 10" xfId="766" xr:uid="{00000000-0005-0000-0000-0000E6020000}"/>
    <cellStyle name="20% - 강조색2 2 2 11" xfId="767" xr:uid="{00000000-0005-0000-0000-0000E7020000}"/>
    <cellStyle name="20% - 강조색2 2 2 12" xfId="768" xr:uid="{00000000-0005-0000-0000-0000E8020000}"/>
    <cellStyle name="20% - 강조색2 2 2 13" xfId="769" xr:uid="{00000000-0005-0000-0000-0000E9020000}"/>
    <cellStyle name="20% - 강조색2 2 2 14" xfId="770" xr:uid="{00000000-0005-0000-0000-0000EA020000}"/>
    <cellStyle name="20% - 강조색2 2 2 2" xfId="771" xr:uid="{00000000-0005-0000-0000-0000EB020000}"/>
    <cellStyle name="20% - 강조색2 2 2 3" xfId="772" xr:uid="{00000000-0005-0000-0000-0000EC020000}"/>
    <cellStyle name="20% - 강조색2 2 2 4" xfId="773" xr:uid="{00000000-0005-0000-0000-0000ED020000}"/>
    <cellStyle name="20% - 강조색2 2 2 5" xfId="774" xr:uid="{00000000-0005-0000-0000-0000EE020000}"/>
    <cellStyle name="20% - 강조색2 2 2 6" xfId="775" xr:uid="{00000000-0005-0000-0000-0000EF020000}"/>
    <cellStyle name="20% - 강조색2 2 2 7" xfId="776" xr:uid="{00000000-0005-0000-0000-0000F0020000}"/>
    <cellStyle name="20% - 강조색2 2 2 8" xfId="777" xr:uid="{00000000-0005-0000-0000-0000F1020000}"/>
    <cellStyle name="20% - 강조색2 2 2 9" xfId="778" xr:uid="{00000000-0005-0000-0000-0000F2020000}"/>
    <cellStyle name="20% - 강조색2 2 20" xfId="779" xr:uid="{00000000-0005-0000-0000-0000F3020000}"/>
    <cellStyle name="20% - 강조색2 2 21" xfId="780" xr:uid="{00000000-0005-0000-0000-0000F4020000}"/>
    <cellStyle name="20% - 강조색2 2 22" xfId="781" xr:uid="{00000000-0005-0000-0000-0000F5020000}"/>
    <cellStyle name="20% - 강조색2 2 23" xfId="782" xr:uid="{00000000-0005-0000-0000-0000F6020000}"/>
    <cellStyle name="20% - 강조색2 2 24" xfId="783" xr:uid="{00000000-0005-0000-0000-0000F7020000}"/>
    <cellStyle name="20% - 강조색2 2 3" xfId="784" xr:uid="{00000000-0005-0000-0000-0000F8020000}"/>
    <cellStyle name="20% - 강조색2 2 4" xfId="785" xr:uid="{00000000-0005-0000-0000-0000F9020000}"/>
    <cellStyle name="20% - 강조색2 2 5" xfId="786" xr:uid="{00000000-0005-0000-0000-0000FA020000}"/>
    <cellStyle name="20% - 강조색2 2 6" xfId="787" xr:uid="{00000000-0005-0000-0000-0000FB020000}"/>
    <cellStyle name="20% - 강조색2 2 7" xfId="788" xr:uid="{00000000-0005-0000-0000-0000FC020000}"/>
    <cellStyle name="20% - 강조색2 2 8" xfId="789" xr:uid="{00000000-0005-0000-0000-0000FD020000}"/>
    <cellStyle name="20% - 강조색2 2 9" xfId="790" xr:uid="{00000000-0005-0000-0000-0000FE020000}"/>
    <cellStyle name="20% - 강조색2 20" xfId="791" xr:uid="{00000000-0005-0000-0000-0000FF020000}"/>
    <cellStyle name="20% - 강조색2 21" xfId="792" xr:uid="{00000000-0005-0000-0000-000000030000}"/>
    <cellStyle name="20% - 강조색2 22" xfId="793" xr:uid="{00000000-0005-0000-0000-000001030000}"/>
    <cellStyle name="20% - 강조색2 23" xfId="794" xr:uid="{00000000-0005-0000-0000-000002030000}"/>
    <cellStyle name="20% - 강조색2 24" xfId="795" xr:uid="{00000000-0005-0000-0000-000003030000}"/>
    <cellStyle name="20% - 강조색2 3" xfId="796" xr:uid="{00000000-0005-0000-0000-000004030000}"/>
    <cellStyle name="20% - 강조색2 3 10" xfId="797" xr:uid="{00000000-0005-0000-0000-000005030000}"/>
    <cellStyle name="20% - 강조색2 3 11" xfId="798" xr:uid="{00000000-0005-0000-0000-000006030000}"/>
    <cellStyle name="20% - 강조색2 3 12" xfId="799" xr:uid="{00000000-0005-0000-0000-000007030000}"/>
    <cellStyle name="20% - 강조색2 3 13" xfId="800" xr:uid="{00000000-0005-0000-0000-000008030000}"/>
    <cellStyle name="20% - 강조색2 3 14" xfId="801" xr:uid="{00000000-0005-0000-0000-000009030000}"/>
    <cellStyle name="20% - 강조색2 3 2" xfId="802" xr:uid="{00000000-0005-0000-0000-00000A030000}"/>
    <cellStyle name="20% - 강조색2 3 3" xfId="803" xr:uid="{00000000-0005-0000-0000-00000B030000}"/>
    <cellStyle name="20% - 강조색2 3 4" xfId="804" xr:uid="{00000000-0005-0000-0000-00000C030000}"/>
    <cellStyle name="20% - 강조색2 3 5" xfId="805" xr:uid="{00000000-0005-0000-0000-00000D030000}"/>
    <cellStyle name="20% - 강조색2 3 6" xfId="806" xr:uid="{00000000-0005-0000-0000-00000E030000}"/>
    <cellStyle name="20% - 강조색2 3 7" xfId="807" xr:uid="{00000000-0005-0000-0000-00000F030000}"/>
    <cellStyle name="20% - 강조색2 3 8" xfId="808" xr:uid="{00000000-0005-0000-0000-000010030000}"/>
    <cellStyle name="20% - 강조색2 3 9" xfId="809" xr:uid="{00000000-0005-0000-0000-000011030000}"/>
    <cellStyle name="20% - 강조색2 4" xfId="810" xr:uid="{00000000-0005-0000-0000-000012030000}"/>
    <cellStyle name="20% - 강조색2 5" xfId="811" xr:uid="{00000000-0005-0000-0000-000013030000}"/>
    <cellStyle name="20% - 강조색2 6" xfId="812" xr:uid="{00000000-0005-0000-0000-000014030000}"/>
    <cellStyle name="20% - 강조색2 7" xfId="813" xr:uid="{00000000-0005-0000-0000-000015030000}"/>
    <cellStyle name="20% - 강조색2 8" xfId="814" xr:uid="{00000000-0005-0000-0000-000016030000}"/>
    <cellStyle name="20% - 강조색2 9" xfId="815" xr:uid="{00000000-0005-0000-0000-000017030000}"/>
    <cellStyle name="20% - 강조색3 10" xfId="816" xr:uid="{00000000-0005-0000-0000-000018030000}"/>
    <cellStyle name="20% - 강조색3 11" xfId="817" xr:uid="{00000000-0005-0000-0000-000019030000}"/>
    <cellStyle name="20% - 강조색3 12" xfId="818" xr:uid="{00000000-0005-0000-0000-00001A030000}"/>
    <cellStyle name="20% - 강조색3 13" xfId="819" xr:uid="{00000000-0005-0000-0000-00001B030000}"/>
    <cellStyle name="20% - 강조색3 14" xfId="820" xr:uid="{00000000-0005-0000-0000-00001C030000}"/>
    <cellStyle name="20% - 강조색3 15" xfId="821" xr:uid="{00000000-0005-0000-0000-00001D030000}"/>
    <cellStyle name="20% - 강조색3 16" xfId="822" xr:uid="{00000000-0005-0000-0000-00001E030000}"/>
    <cellStyle name="20% - 강조색3 17" xfId="823" xr:uid="{00000000-0005-0000-0000-00001F030000}"/>
    <cellStyle name="20% - 강조색3 18" xfId="824" xr:uid="{00000000-0005-0000-0000-000020030000}"/>
    <cellStyle name="20% - 강조색3 19" xfId="825" xr:uid="{00000000-0005-0000-0000-000021030000}"/>
    <cellStyle name="20% - 강조색3 2" xfId="826" xr:uid="{00000000-0005-0000-0000-000022030000}"/>
    <cellStyle name="20% - 강조색3 2 10" xfId="827" xr:uid="{00000000-0005-0000-0000-000023030000}"/>
    <cellStyle name="20% - 강조색3 2 11" xfId="828" xr:uid="{00000000-0005-0000-0000-000024030000}"/>
    <cellStyle name="20% - 강조색3 2 12" xfId="829" xr:uid="{00000000-0005-0000-0000-000025030000}"/>
    <cellStyle name="20% - 강조색3 2 13" xfId="830" xr:uid="{00000000-0005-0000-0000-000026030000}"/>
    <cellStyle name="20% - 강조색3 2 14" xfId="831" xr:uid="{00000000-0005-0000-0000-000027030000}"/>
    <cellStyle name="20% - 강조색3 2 15" xfId="832" xr:uid="{00000000-0005-0000-0000-000028030000}"/>
    <cellStyle name="20% - 강조색3 2 16" xfId="833" xr:uid="{00000000-0005-0000-0000-000029030000}"/>
    <cellStyle name="20% - 강조색3 2 17" xfId="834" xr:uid="{00000000-0005-0000-0000-00002A030000}"/>
    <cellStyle name="20% - 강조색3 2 18" xfId="835" xr:uid="{00000000-0005-0000-0000-00002B030000}"/>
    <cellStyle name="20% - 강조색3 2 19" xfId="836" xr:uid="{00000000-0005-0000-0000-00002C030000}"/>
    <cellStyle name="20% - 강조색3 2 2" xfId="837" xr:uid="{00000000-0005-0000-0000-00002D030000}"/>
    <cellStyle name="20% - 강조색3 2 2 10" xfId="838" xr:uid="{00000000-0005-0000-0000-00002E030000}"/>
    <cellStyle name="20% - 강조색3 2 2 11" xfId="839" xr:uid="{00000000-0005-0000-0000-00002F030000}"/>
    <cellStyle name="20% - 강조색3 2 2 12" xfId="840" xr:uid="{00000000-0005-0000-0000-000030030000}"/>
    <cellStyle name="20% - 강조색3 2 2 13" xfId="841" xr:uid="{00000000-0005-0000-0000-000031030000}"/>
    <cellStyle name="20% - 강조색3 2 2 14" xfId="842" xr:uid="{00000000-0005-0000-0000-000032030000}"/>
    <cellStyle name="20% - 강조색3 2 2 2" xfId="843" xr:uid="{00000000-0005-0000-0000-000033030000}"/>
    <cellStyle name="20% - 강조색3 2 2 3" xfId="844" xr:uid="{00000000-0005-0000-0000-000034030000}"/>
    <cellStyle name="20% - 강조색3 2 2 4" xfId="845" xr:uid="{00000000-0005-0000-0000-000035030000}"/>
    <cellStyle name="20% - 강조색3 2 2 5" xfId="846" xr:uid="{00000000-0005-0000-0000-000036030000}"/>
    <cellStyle name="20% - 강조색3 2 2 6" xfId="847" xr:uid="{00000000-0005-0000-0000-000037030000}"/>
    <cellStyle name="20% - 강조색3 2 2 7" xfId="848" xr:uid="{00000000-0005-0000-0000-000038030000}"/>
    <cellStyle name="20% - 강조색3 2 2 8" xfId="849" xr:uid="{00000000-0005-0000-0000-000039030000}"/>
    <cellStyle name="20% - 강조색3 2 2 9" xfId="850" xr:uid="{00000000-0005-0000-0000-00003A030000}"/>
    <cellStyle name="20% - 강조색3 2 20" xfId="851" xr:uid="{00000000-0005-0000-0000-00003B030000}"/>
    <cellStyle name="20% - 강조색3 2 21" xfId="852" xr:uid="{00000000-0005-0000-0000-00003C030000}"/>
    <cellStyle name="20% - 강조색3 2 22" xfId="853" xr:uid="{00000000-0005-0000-0000-00003D030000}"/>
    <cellStyle name="20% - 강조색3 2 23" xfId="854" xr:uid="{00000000-0005-0000-0000-00003E030000}"/>
    <cellStyle name="20% - 강조색3 2 24" xfId="855" xr:uid="{00000000-0005-0000-0000-00003F030000}"/>
    <cellStyle name="20% - 강조색3 2 3" xfId="856" xr:uid="{00000000-0005-0000-0000-000040030000}"/>
    <cellStyle name="20% - 강조색3 2 4" xfId="857" xr:uid="{00000000-0005-0000-0000-000041030000}"/>
    <cellStyle name="20% - 강조색3 2 5" xfId="858" xr:uid="{00000000-0005-0000-0000-000042030000}"/>
    <cellStyle name="20% - 강조색3 2 6" xfId="859" xr:uid="{00000000-0005-0000-0000-000043030000}"/>
    <cellStyle name="20% - 강조색3 2 7" xfId="860" xr:uid="{00000000-0005-0000-0000-000044030000}"/>
    <cellStyle name="20% - 강조색3 2 8" xfId="861" xr:uid="{00000000-0005-0000-0000-000045030000}"/>
    <cellStyle name="20% - 강조색3 2 9" xfId="862" xr:uid="{00000000-0005-0000-0000-000046030000}"/>
    <cellStyle name="20% - 강조색3 20" xfId="863" xr:uid="{00000000-0005-0000-0000-000047030000}"/>
    <cellStyle name="20% - 강조색3 21" xfId="864" xr:uid="{00000000-0005-0000-0000-000048030000}"/>
    <cellStyle name="20% - 강조색3 22" xfId="865" xr:uid="{00000000-0005-0000-0000-000049030000}"/>
    <cellStyle name="20% - 강조색3 23" xfId="866" xr:uid="{00000000-0005-0000-0000-00004A030000}"/>
    <cellStyle name="20% - 강조색3 24" xfId="867" xr:uid="{00000000-0005-0000-0000-00004B030000}"/>
    <cellStyle name="20% - 강조색3 3" xfId="868" xr:uid="{00000000-0005-0000-0000-00004C030000}"/>
    <cellStyle name="20% - 강조색3 3 10" xfId="869" xr:uid="{00000000-0005-0000-0000-00004D030000}"/>
    <cellStyle name="20% - 강조색3 3 11" xfId="870" xr:uid="{00000000-0005-0000-0000-00004E030000}"/>
    <cellStyle name="20% - 강조색3 3 12" xfId="871" xr:uid="{00000000-0005-0000-0000-00004F030000}"/>
    <cellStyle name="20% - 강조색3 3 13" xfId="872" xr:uid="{00000000-0005-0000-0000-000050030000}"/>
    <cellStyle name="20% - 강조색3 3 14" xfId="873" xr:uid="{00000000-0005-0000-0000-000051030000}"/>
    <cellStyle name="20% - 강조색3 3 2" xfId="874" xr:uid="{00000000-0005-0000-0000-000052030000}"/>
    <cellStyle name="20% - 강조색3 3 3" xfId="875" xr:uid="{00000000-0005-0000-0000-000053030000}"/>
    <cellStyle name="20% - 강조색3 3 4" xfId="876" xr:uid="{00000000-0005-0000-0000-000054030000}"/>
    <cellStyle name="20% - 강조색3 3 5" xfId="877" xr:uid="{00000000-0005-0000-0000-000055030000}"/>
    <cellStyle name="20% - 강조색3 3 6" xfId="878" xr:uid="{00000000-0005-0000-0000-000056030000}"/>
    <cellStyle name="20% - 강조색3 3 7" xfId="879" xr:uid="{00000000-0005-0000-0000-000057030000}"/>
    <cellStyle name="20% - 강조색3 3 8" xfId="880" xr:uid="{00000000-0005-0000-0000-000058030000}"/>
    <cellStyle name="20% - 강조색3 3 9" xfId="881" xr:uid="{00000000-0005-0000-0000-000059030000}"/>
    <cellStyle name="20% - 강조색3 4" xfId="882" xr:uid="{00000000-0005-0000-0000-00005A030000}"/>
    <cellStyle name="20% - 강조색3 5" xfId="883" xr:uid="{00000000-0005-0000-0000-00005B030000}"/>
    <cellStyle name="20% - 강조색3 6" xfId="884" xr:uid="{00000000-0005-0000-0000-00005C030000}"/>
    <cellStyle name="20% - 강조색3 7" xfId="885" xr:uid="{00000000-0005-0000-0000-00005D030000}"/>
    <cellStyle name="20% - 강조색3 8" xfId="886" xr:uid="{00000000-0005-0000-0000-00005E030000}"/>
    <cellStyle name="20% - 강조색3 9" xfId="887" xr:uid="{00000000-0005-0000-0000-00005F030000}"/>
    <cellStyle name="20% - 강조색4 10" xfId="888" xr:uid="{00000000-0005-0000-0000-000060030000}"/>
    <cellStyle name="20% - 강조색4 11" xfId="889" xr:uid="{00000000-0005-0000-0000-000061030000}"/>
    <cellStyle name="20% - 강조색4 12" xfId="890" xr:uid="{00000000-0005-0000-0000-000062030000}"/>
    <cellStyle name="20% - 강조색4 13" xfId="891" xr:uid="{00000000-0005-0000-0000-000063030000}"/>
    <cellStyle name="20% - 강조색4 14" xfId="892" xr:uid="{00000000-0005-0000-0000-000064030000}"/>
    <cellStyle name="20% - 강조색4 15" xfId="893" xr:uid="{00000000-0005-0000-0000-000065030000}"/>
    <cellStyle name="20% - 강조색4 16" xfId="894" xr:uid="{00000000-0005-0000-0000-000066030000}"/>
    <cellStyle name="20% - 강조색4 17" xfId="895" xr:uid="{00000000-0005-0000-0000-000067030000}"/>
    <cellStyle name="20% - 강조색4 18" xfId="896" xr:uid="{00000000-0005-0000-0000-000068030000}"/>
    <cellStyle name="20% - 강조색4 19" xfId="897" xr:uid="{00000000-0005-0000-0000-000069030000}"/>
    <cellStyle name="20% - 강조색4 2" xfId="898" xr:uid="{00000000-0005-0000-0000-00006A030000}"/>
    <cellStyle name="20% - 강조색4 2 10" xfId="899" xr:uid="{00000000-0005-0000-0000-00006B030000}"/>
    <cellStyle name="20% - 강조색4 2 11" xfId="900" xr:uid="{00000000-0005-0000-0000-00006C030000}"/>
    <cellStyle name="20% - 강조색4 2 12" xfId="901" xr:uid="{00000000-0005-0000-0000-00006D030000}"/>
    <cellStyle name="20% - 강조색4 2 13" xfId="902" xr:uid="{00000000-0005-0000-0000-00006E030000}"/>
    <cellStyle name="20% - 강조색4 2 14" xfId="903" xr:uid="{00000000-0005-0000-0000-00006F030000}"/>
    <cellStyle name="20% - 강조색4 2 15" xfId="904" xr:uid="{00000000-0005-0000-0000-000070030000}"/>
    <cellStyle name="20% - 강조색4 2 16" xfId="905" xr:uid="{00000000-0005-0000-0000-000071030000}"/>
    <cellStyle name="20% - 강조색4 2 17" xfId="906" xr:uid="{00000000-0005-0000-0000-000072030000}"/>
    <cellStyle name="20% - 강조색4 2 18" xfId="907" xr:uid="{00000000-0005-0000-0000-000073030000}"/>
    <cellStyle name="20% - 강조색4 2 19" xfId="908" xr:uid="{00000000-0005-0000-0000-000074030000}"/>
    <cellStyle name="20% - 강조색4 2 2" xfId="909" xr:uid="{00000000-0005-0000-0000-000075030000}"/>
    <cellStyle name="20% - 강조색4 2 2 10" xfId="910" xr:uid="{00000000-0005-0000-0000-000076030000}"/>
    <cellStyle name="20% - 강조색4 2 2 11" xfId="911" xr:uid="{00000000-0005-0000-0000-000077030000}"/>
    <cellStyle name="20% - 강조색4 2 2 12" xfId="912" xr:uid="{00000000-0005-0000-0000-000078030000}"/>
    <cellStyle name="20% - 강조색4 2 2 13" xfId="913" xr:uid="{00000000-0005-0000-0000-000079030000}"/>
    <cellStyle name="20% - 강조색4 2 2 14" xfId="914" xr:uid="{00000000-0005-0000-0000-00007A030000}"/>
    <cellStyle name="20% - 강조색4 2 2 2" xfId="915" xr:uid="{00000000-0005-0000-0000-00007B030000}"/>
    <cellStyle name="20% - 강조색4 2 2 3" xfId="916" xr:uid="{00000000-0005-0000-0000-00007C030000}"/>
    <cellStyle name="20% - 강조색4 2 2 4" xfId="917" xr:uid="{00000000-0005-0000-0000-00007D030000}"/>
    <cellStyle name="20% - 강조색4 2 2 5" xfId="918" xr:uid="{00000000-0005-0000-0000-00007E030000}"/>
    <cellStyle name="20% - 강조색4 2 2 6" xfId="919" xr:uid="{00000000-0005-0000-0000-00007F030000}"/>
    <cellStyle name="20% - 강조색4 2 2 7" xfId="920" xr:uid="{00000000-0005-0000-0000-000080030000}"/>
    <cellStyle name="20% - 강조색4 2 2 8" xfId="921" xr:uid="{00000000-0005-0000-0000-000081030000}"/>
    <cellStyle name="20% - 강조색4 2 2 9" xfId="922" xr:uid="{00000000-0005-0000-0000-000082030000}"/>
    <cellStyle name="20% - 강조색4 2 20" xfId="923" xr:uid="{00000000-0005-0000-0000-000083030000}"/>
    <cellStyle name="20% - 강조색4 2 21" xfId="924" xr:uid="{00000000-0005-0000-0000-000084030000}"/>
    <cellStyle name="20% - 강조색4 2 22" xfId="925" xr:uid="{00000000-0005-0000-0000-000085030000}"/>
    <cellStyle name="20% - 강조색4 2 23" xfId="926" xr:uid="{00000000-0005-0000-0000-000086030000}"/>
    <cellStyle name="20% - 강조색4 2 24" xfId="927" xr:uid="{00000000-0005-0000-0000-000087030000}"/>
    <cellStyle name="20% - 강조색4 2 3" xfId="928" xr:uid="{00000000-0005-0000-0000-000088030000}"/>
    <cellStyle name="20% - 강조색4 2 4" xfId="929" xr:uid="{00000000-0005-0000-0000-000089030000}"/>
    <cellStyle name="20% - 강조색4 2 5" xfId="930" xr:uid="{00000000-0005-0000-0000-00008A030000}"/>
    <cellStyle name="20% - 강조색4 2 6" xfId="931" xr:uid="{00000000-0005-0000-0000-00008B030000}"/>
    <cellStyle name="20% - 강조색4 2 7" xfId="932" xr:uid="{00000000-0005-0000-0000-00008C030000}"/>
    <cellStyle name="20% - 강조색4 2 8" xfId="933" xr:uid="{00000000-0005-0000-0000-00008D030000}"/>
    <cellStyle name="20% - 강조색4 2 9" xfId="934" xr:uid="{00000000-0005-0000-0000-00008E030000}"/>
    <cellStyle name="20% - 강조색4 20" xfId="935" xr:uid="{00000000-0005-0000-0000-00008F030000}"/>
    <cellStyle name="20% - 강조색4 21" xfId="936" xr:uid="{00000000-0005-0000-0000-000090030000}"/>
    <cellStyle name="20% - 강조색4 22" xfId="937" xr:uid="{00000000-0005-0000-0000-000091030000}"/>
    <cellStyle name="20% - 강조색4 23" xfId="938" xr:uid="{00000000-0005-0000-0000-000092030000}"/>
    <cellStyle name="20% - 강조색4 24" xfId="939" xr:uid="{00000000-0005-0000-0000-000093030000}"/>
    <cellStyle name="20% - 강조색4 3" xfId="940" xr:uid="{00000000-0005-0000-0000-000094030000}"/>
    <cellStyle name="20% - 강조색4 3 10" xfId="941" xr:uid="{00000000-0005-0000-0000-000095030000}"/>
    <cellStyle name="20% - 강조색4 3 11" xfId="942" xr:uid="{00000000-0005-0000-0000-000096030000}"/>
    <cellStyle name="20% - 강조색4 3 12" xfId="943" xr:uid="{00000000-0005-0000-0000-000097030000}"/>
    <cellStyle name="20% - 강조색4 3 13" xfId="944" xr:uid="{00000000-0005-0000-0000-000098030000}"/>
    <cellStyle name="20% - 강조색4 3 14" xfId="945" xr:uid="{00000000-0005-0000-0000-000099030000}"/>
    <cellStyle name="20% - 강조색4 3 2" xfId="946" xr:uid="{00000000-0005-0000-0000-00009A030000}"/>
    <cellStyle name="20% - 강조색4 3 3" xfId="947" xr:uid="{00000000-0005-0000-0000-00009B030000}"/>
    <cellStyle name="20% - 강조색4 3 4" xfId="948" xr:uid="{00000000-0005-0000-0000-00009C030000}"/>
    <cellStyle name="20% - 강조색4 3 5" xfId="949" xr:uid="{00000000-0005-0000-0000-00009D030000}"/>
    <cellStyle name="20% - 강조색4 3 6" xfId="950" xr:uid="{00000000-0005-0000-0000-00009E030000}"/>
    <cellStyle name="20% - 강조색4 3 7" xfId="951" xr:uid="{00000000-0005-0000-0000-00009F030000}"/>
    <cellStyle name="20% - 강조색4 3 8" xfId="952" xr:uid="{00000000-0005-0000-0000-0000A0030000}"/>
    <cellStyle name="20% - 강조색4 3 9" xfId="953" xr:uid="{00000000-0005-0000-0000-0000A1030000}"/>
    <cellStyle name="20% - 강조색4 4" xfId="954" xr:uid="{00000000-0005-0000-0000-0000A2030000}"/>
    <cellStyle name="20% - 강조색4 5" xfId="955" xr:uid="{00000000-0005-0000-0000-0000A3030000}"/>
    <cellStyle name="20% - 강조색4 6" xfId="956" xr:uid="{00000000-0005-0000-0000-0000A4030000}"/>
    <cellStyle name="20% - 강조색4 7" xfId="957" xr:uid="{00000000-0005-0000-0000-0000A5030000}"/>
    <cellStyle name="20% - 강조색4 8" xfId="958" xr:uid="{00000000-0005-0000-0000-0000A6030000}"/>
    <cellStyle name="20% - 강조색4 9" xfId="959" xr:uid="{00000000-0005-0000-0000-0000A7030000}"/>
    <cellStyle name="20% - 강조색5 10" xfId="960" xr:uid="{00000000-0005-0000-0000-0000A8030000}"/>
    <cellStyle name="20% - 강조색5 11" xfId="961" xr:uid="{00000000-0005-0000-0000-0000A9030000}"/>
    <cellStyle name="20% - 강조색5 12" xfId="962" xr:uid="{00000000-0005-0000-0000-0000AA030000}"/>
    <cellStyle name="20% - 강조색5 13" xfId="963" xr:uid="{00000000-0005-0000-0000-0000AB030000}"/>
    <cellStyle name="20% - 강조색5 14" xfId="964" xr:uid="{00000000-0005-0000-0000-0000AC030000}"/>
    <cellStyle name="20% - 강조색5 15" xfId="965" xr:uid="{00000000-0005-0000-0000-0000AD030000}"/>
    <cellStyle name="20% - 강조색5 16" xfId="966" xr:uid="{00000000-0005-0000-0000-0000AE030000}"/>
    <cellStyle name="20% - 강조색5 17" xfId="967" xr:uid="{00000000-0005-0000-0000-0000AF030000}"/>
    <cellStyle name="20% - 강조색5 18" xfId="968" xr:uid="{00000000-0005-0000-0000-0000B0030000}"/>
    <cellStyle name="20% - 강조색5 19" xfId="969" xr:uid="{00000000-0005-0000-0000-0000B1030000}"/>
    <cellStyle name="20% - 강조색5 2" xfId="970" xr:uid="{00000000-0005-0000-0000-0000B2030000}"/>
    <cellStyle name="20% - 강조색5 2 10" xfId="971" xr:uid="{00000000-0005-0000-0000-0000B3030000}"/>
    <cellStyle name="20% - 강조색5 2 11" xfId="972" xr:uid="{00000000-0005-0000-0000-0000B4030000}"/>
    <cellStyle name="20% - 강조색5 2 12" xfId="973" xr:uid="{00000000-0005-0000-0000-0000B5030000}"/>
    <cellStyle name="20% - 강조색5 2 13" xfId="974" xr:uid="{00000000-0005-0000-0000-0000B6030000}"/>
    <cellStyle name="20% - 강조색5 2 14" xfId="975" xr:uid="{00000000-0005-0000-0000-0000B7030000}"/>
    <cellStyle name="20% - 강조색5 2 15" xfId="976" xr:uid="{00000000-0005-0000-0000-0000B8030000}"/>
    <cellStyle name="20% - 강조색5 2 16" xfId="977" xr:uid="{00000000-0005-0000-0000-0000B9030000}"/>
    <cellStyle name="20% - 강조색5 2 17" xfId="978" xr:uid="{00000000-0005-0000-0000-0000BA030000}"/>
    <cellStyle name="20% - 강조색5 2 18" xfId="979" xr:uid="{00000000-0005-0000-0000-0000BB030000}"/>
    <cellStyle name="20% - 강조색5 2 19" xfId="980" xr:uid="{00000000-0005-0000-0000-0000BC030000}"/>
    <cellStyle name="20% - 강조색5 2 2" xfId="981" xr:uid="{00000000-0005-0000-0000-0000BD030000}"/>
    <cellStyle name="20% - 강조색5 2 2 10" xfId="982" xr:uid="{00000000-0005-0000-0000-0000BE030000}"/>
    <cellStyle name="20% - 강조색5 2 2 11" xfId="983" xr:uid="{00000000-0005-0000-0000-0000BF030000}"/>
    <cellStyle name="20% - 강조색5 2 2 12" xfId="984" xr:uid="{00000000-0005-0000-0000-0000C0030000}"/>
    <cellStyle name="20% - 강조색5 2 2 13" xfId="985" xr:uid="{00000000-0005-0000-0000-0000C1030000}"/>
    <cellStyle name="20% - 강조색5 2 2 14" xfId="986" xr:uid="{00000000-0005-0000-0000-0000C2030000}"/>
    <cellStyle name="20% - 강조색5 2 2 2" xfId="987" xr:uid="{00000000-0005-0000-0000-0000C3030000}"/>
    <cellStyle name="20% - 강조색5 2 2 3" xfId="988" xr:uid="{00000000-0005-0000-0000-0000C4030000}"/>
    <cellStyle name="20% - 강조색5 2 2 4" xfId="989" xr:uid="{00000000-0005-0000-0000-0000C5030000}"/>
    <cellStyle name="20% - 강조색5 2 2 5" xfId="990" xr:uid="{00000000-0005-0000-0000-0000C6030000}"/>
    <cellStyle name="20% - 강조색5 2 2 6" xfId="991" xr:uid="{00000000-0005-0000-0000-0000C7030000}"/>
    <cellStyle name="20% - 강조색5 2 2 7" xfId="992" xr:uid="{00000000-0005-0000-0000-0000C8030000}"/>
    <cellStyle name="20% - 강조색5 2 2 8" xfId="993" xr:uid="{00000000-0005-0000-0000-0000C9030000}"/>
    <cellStyle name="20% - 강조색5 2 2 9" xfId="994" xr:uid="{00000000-0005-0000-0000-0000CA030000}"/>
    <cellStyle name="20% - 강조색5 2 20" xfId="995" xr:uid="{00000000-0005-0000-0000-0000CB030000}"/>
    <cellStyle name="20% - 강조색5 2 21" xfId="996" xr:uid="{00000000-0005-0000-0000-0000CC030000}"/>
    <cellStyle name="20% - 강조색5 2 22" xfId="997" xr:uid="{00000000-0005-0000-0000-0000CD030000}"/>
    <cellStyle name="20% - 강조색5 2 23" xfId="998" xr:uid="{00000000-0005-0000-0000-0000CE030000}"/>
    <cellStyle name="20% - 강조색5 2 24" xfId="999" xr:uid="{00000000-0005-0000-0000-0000CF030000}"/>
    <cellStyle name="20% - 강조색5 2 3" xfId="1000" xr:uid="{00000000-0005-0000-0000-0000D0030000}"/>
    <cellStyle name="20% - 강조색5 2 4" xfId="1001" xr:uid="{00000000-0005-0000-0000-0000D1030000}"/>
    <cellStyle name="20% - 강조색5 2 5" xfId="1002" xr:uid="{00000000-0005-0000-0000-0000D2030000}"/>
    <cellStyle name="20% - 강조색5 2 6" xfId="1003" xr:uid="{00000000-0005-0000-0000-0000D3030000}"/>
    <cellStyle name="20% - 강조색5 2 7" xfId="1004" xr:uid="{00000000-0005-0000-0000-0000D4030000}"/>
    <cellStyle name="20% - 강조색5 2 8" xfId="1005" xr:uid="{00000000-0005-0000-0000-0000D5030000}"/>
    <cellStyle name="20% - 강조색5 2 9" xfId="1006" xr:uid="{00000000-0005-0000-0000-0000D6030000}"/>
    <cellStyle name="20% - 강조색5 20" xfId="1007" xr:uid="{00000000-0005-0000-0000-0000D7030000}"/>
    <cellStyle name="20% - 강조색5 21" xfId="1008" xr:uid="{00000000-0005-0000-0000-0000D8030000}"/>
    <cellStyle name="20% - 강조색5 22" xfId="1009" xr:uid="{00000000-0005-0000-0000-0000D9030000}"/>
    <cellStyle name="20% - 강조색5 23" xfId="1010" xr:uid="{00000000-0005-0000-0000-0000DA030000}"/>
    <cellStyle name="20% - 강조색5 24" xfId="1011" xr:uid="{00000000-0005-0000-0000-0000DB030000}"/>
    <cellStyle name="20% - 강조색5 3" xfId="1012" xr:uid="{00000000-0005-0000-0000-0000DC030000}"/>
    <cellStyle name="20% - 강조색5 3 10" xfId="1013" xr:uid="{00000000-0005-0000-0000-0000DD030000}"/>
    <cellStyle name="20% - 강조색5 3 11" xfId="1014" xr:uid="{00000000-0005-0000-0000-0000DE030000}"/>
    <cellStyle name="20% - 강조색5 3 12" xfId="1015" xr:uid="{00000000-0005-0000-0000-0000DF030000}"/>
    <cellStyle name="20% - 강조색5 3 13" xfId="1016" xr:uid="{00000000-0005-0000-0000-0000E0030000}"/>
    <cellStyle name="20% - 강조색5 3 14" xfId="1017" xr:uid="{00000000-0005-0000-0000-0000E1030000}"/>
    <cellStyle name="20% - 강조색5 3 2" xfId="1018" xr:uid="{00000000-0005-0000-0000-0000E2030000}"/>
    <cellStyle name="20% - 강조색5 3 3" xfId="1019" xr:uid="{00000000-0005-0000-0000-0000E3030000}"/>
    <cellStyle name="20% - 강조색5 3 4" xfId="1020" xr:uid="{00000000-0005-0000-0000-0000E4030000}"/>
    <cellStyle name="20% - 강조색5 3 5" xfId="1021" xr:uid="{00000000-0005-0000-0000-0000E5030000}"/>
    <cellStyle name="20% - 강조색5 3 6" xfId="1022" xr:uid="{00000000-0005-0000-0000-0000E6030000}"/>
    <cellStyle name="20% - 강조색5 3 7" xfId="1023" xr:uid="{00000000-0005-0000-0000-0000E7030000}"/>
    <cellStyle name="20% - 강조색5 3 8" xfId="1024" xr:uid="{00000000-0005-0000-0000-0000E8030000}"/>
    <cellStyle name="20% - 강조색5 3 9" xfId="1025" xr:uid="{00000000-0005-0000-0000-0000E9030000}"/>
    <cellStyle name="20% - 강조색5 4" xfId="1026" xr:uid="{00000000-0005-0000-0000-0000EA030000}"/>
    <cellStyle name="20% - 강조색5 5" xfId="1027" xr:uid="{00000000-0005-0000-0000-0000EB030000}"/>
    <cellStyle name="20% - 강조색5 6" xfId="1028" xr:uid="{00000000-0005-0000-0000-0000EC030000}"/>
    <cellStyle name="20% - 강조색5 7" xfId="1029" xr:uid="{00000000-0005-0000-0000-0000ED030000}"/>
    <cellStyle name="20% - 강조색5 8" xfId="1030" xr:uid="{00000000-0005-0000-0000-0000EE030000}"/>
    <cellStyle name="20% - 강조색5 9" xfId="1031" xr:uid="{00000000-0005-0000-0000-0000EF030000}"/>
    <cellStyle name="20% - 강조색6 10" xfId="1032" xr:uid="{00000000-0005-0000-0000-0000F0030000}"/>
    <cellStyle name="20% - 강조색6 11" xfId="1033" xr:uid="{00000000-0005-0000-0000-0000F1030000}"/>
    <cellStyle name="20% - 강조색6 12" xfId="1034" xr:uid="{00000000-0005-0000-0000-0000F2030000}"/>
    <cellStyle name="20% - 강조색6 13" xfId="1035" xr:uid="{00000000-0005-0000-0000-0000F3030000}"/>
    <cellStyle name="20% - 강조색6 14" xfId="1036" xr:uid="{00000000-0005-0000-0000-0000F4030000}"/>
    <cellStyle name="20% - 강조색6 15" xfId="1037" xr:uid="{00000000-0005-0000-0000-0000F5030000}"/>
    <cellStyle name="20% - 강조색6 16" xfId="1038" xr:uid="{00000000-0005-0000-0000-0000F6030000}"/>
    <cellStyle name="20% - 강조색6 17" xfId="1039" xr:uid="{00000000-0005-0000-0000-0000F7030000}"/>
    <cellStyle name="20% - 강조색6 18" xfId="1040" xr:uid="{00000000-0005-0000-0000-0000F8030000}"/>
    <cellStyle name="20% - 강조색6 19" xfId="1041" xr:uid="{00000000-0005-0000-0000-0000F9030000}"/>
    <cellStyle name="20% - 강조색6 2" xfId="1042" xr:uid="{00000000-0005-0000-0000-0000FA030000}"/>
    <cellStyle name="20% - 강조색6 2 10" xfId="1043" xr:uid="{00000000-0005-0000-0000-0000FB030000}"/>
    <cellStyle name="20% - 강조색6 2 11" xfId="1044" xr:uid="{00000000-0005-0000-0000-0000FC030000}"/>
    <cellStyle name="20% - 강조색6 2 12" xfId="1045" xr:uid="{00000000-0005-0000-0000-0000FD030000}"/>
    <cellStyle name="20% - 강조색6 2 13" xfId="1046" xr:uid="{00000000-0005-0000-0000-0000FE030000}"/>
    <cellStyle name="20% - 강조색6 2 14" xfId="1047" xr:uid="{00000000-0005-0000-0000-0000FF030000}"/>
    <cellStyle name="20% - 강조색6 2 15" xfId="1048" xr:uid="{00000000-0005-0000-0000-000000040000}"/>
    <cellStyle name="20% - 강조색6 2 16" xfId="1049" xr:uid="{00000000-0005-0000-0000-000001040000}"/>
    <cellStyle name="20% - 강조색6 2 17" xfId="1050" xr:uid="{00000000-0005-0000-0000-000002040000}"/>
    <cellStyle name="20% - 강조색6 2 18" xfId="1051" xr:uid="{00000000-0005-0000-0000-000003040000}"/>
    <cellStyle name="20% - 강조색6 2 19" xfId="1052" xr:uid="{00000000-0005-0000-0000-000004040000}"/>
    <cellStyle name="20% - 강조색6 2 2" xfId="1053" xr:uid="{00000000-0005-0000-0000-000005040000}"/>
    <cellStyle name="20% - 강조색6 2 2 10" xfId="1054" xr:uid="{00000000-0005-0000-0000-000006040000}"/>
    <cellStyle name="20% - 강조색6 2 2 11" xfId="1055" xr:uid="{00000000-0005-0000-0000-000007040000}"/>
    <cellStyle name="20% - 강조색6 2 2 12" xfId="1056" xr:uid="{00000000-0005-0000-0000-000008040000}"/>
    <cellStyle name="20% - 강조색6 2 2 13" xfId="1057" xr:uid="{00000000-0005-0000-0000-000009040000}"/>
    <cellStyle name="20% - 강조색6 2 2 14" xfId="1058" xr:uid="{00000000-0005-0000-0000-00000A040000}"/>
    <cellStyle name="20% - 강조색6 2 2 2" xfId="1059" xr:uid="{00000000-0005-0000-0000-00000B040000}"/>
    <cellStyle name="20% - 강조색6 2 2 3" xfId="1060" xr:uid="{00000000-0005-0000-0000-00000C040000}"/>
    <cellStyle name="20% - 강조색6 2 2 4" xfId="1061" xr:uid="{00000000-0005-0000-0000-00000D040000}"/>
    <cellStyle name="20% - 강조색6 2 2 5" xfId="1062" xr:uid="{00000000-0005-0000-0000-00000E040000}"/>
    <cellStyle name="20% - 강조색6 2 2 6" xfId="1063" xr:uid="{00000000-0005-0000-0000-00000F040000}"/>
    <cellStyle name="20% - 강조색6 2 2 7" xfId="1064" xr:uid="{00000000-0005-0000-0000-000010040000}"/>
    <cellStyle name="20% - 강조색6 2 2 8" xfId="1065" xr:uid="{00000000-0005-0000-0000-000011040000}"/>
    <cellStyle name="20% - 강조색6 2 2 9" xfId="1066" xr:uid="{00000000-0005-0000-0000-000012040000}"/>
    <cellStyle name="20% - 강조색6 2 20" xfId="1067" xr:uid="{00000000-0005-0000-0000-000013040000}"/>
    <cellStyle name="20% - 강조색6 2 21" xfId="1068" xr:uid="{00000000-0005-0000-0000-000014040000}"/>
    <cellStyle name="20% - 강조색6 2 22" xfId="1069" xr:uid="{00000000-0005-0000-0000-000015040000}"/>
    <cellStyle name="20% - 강조색6 2 23" xfId="1070" xr:uid="{00000000-0005-0000-0000-000016040000}"/>
    <cellStyle name="20% - 강조색6 2 24" xfId="1071" xr:uid="{00000000-0005-0000-0000-000017040000}"/>
    <cellStyle name="20% - 강조색6 2 3" xfId="1072" xr:uid="{00000000-0005-0000-0000-000018040000}"/>
    <cellStyle name="20% - 강조색6 2 4" xfId="1073" xr:uid="{00000000-0005-0000-0000-000019040000}"/>
    <cellStyle name="20% - 강조색6 2 5" xfId="1074" xr:uid="{00000000-0005-0000-0000-00001A040000}"/>
    <cellStyle name="20% - 강조색6 2 6" xfId="1075" xr:uid="{00000000-0005-0000-0000-00001B040000}"/>
    <cellStyle name="20% - 강조색6 2 7" xfId="1076" xr:uid="{00000000-0005-0000-0000-00001C040000}"/>
    <cellStyle name="20% - 강조색6 2 8" xfId="1077" xr:uid="{00000000-0005-0000-0000-00001D040000}"/>
    <cellStyle name="20% - 강조색6 2 9" xfId="1078" xr:uid="{00000000-0005-0000-0000-00001E040000}"/>
    <cellStyle name="20% - 강조색6 20" xfId="1079" xr:uid="{00000000-0005-0000-0000-00001F040000}"/>
    <cellStyle name="20% - 강조색6 21" xfId="1080" xr:uid="{00000000-0005-0000-0000-000020040000}"/>
    <cellStyle name="20% - 강조색6 22" xfId="1081" xr:uid="{00000000-0005-0000-0000-000021040000}"/>
    <cellStyle name="20% - 강조색6 23" xfId="1082" xr:uid="{00000000-0005-0000-0000-000022040000}"/>
    <cellStyle name="20% - 강조색6 24" xfId="1083" xr:uid="{00000000-0005-0000-0000-000023040000}"/>
    <cellStyle name="20% - 강조색6 3" xfId="1084" xr:uid="{00000000-0005-0000-0000-000024040000}"/>
    <cellStyle name="20% - 강조색6 3 10" xfId="1085" xr:uid="{00000000-0005-0000-0000-000025040000}"/>
    <cellStyle name="20% - 강조색6 3 11" xfId="1086" xr:uid="{00000000-0005-0000-0000-000026040000}"/>
    <cellStyle name="20% - 강조색6 3 12" xfId="1087" xr:uid="{00000000-0005-0000-0000-000027040000}"/>
    <cellStyle name="20% - 강조색6 3 13" xfId="1088" xr:uid="{00000000-0005-0000-0000-000028040000}"/>
    <cellStyle name="20% - 강조색6 3 14" xfId="1089" xr:uid="{00000000-0005-0000-0000-000029040000}"/>
    <cellStyle name="20% - 강조색6 3 2" xfId="1090" xr:uid="{00000000-0005-0000-0000-00002A040000}"/>
    <cellStyle name="20% - 강조색6 3 3" xfId="1091" xr:uid="{00000000-0005-0000-0000-00002B040000}"/>
    <cellStyle name="20% - 강조색6 3 4" xfId="1092" xr:uid="{00000000-0005-0000-0000-00002C040000}"/>
    <cellStyle name="20% - 강조색6 3 5" xfId="1093" xr:uid="{00000000-0005-0000-0000-00002D040000}"/>
    <cellStyle name="20% - 강조색6 3 6" xfId="1094" xr:uid="{00000000-0005-0000-0000-00002E040000}"/>
    <cellStyle name="20% - 강조색6 3 7" xfId="1095" xr:uid="{00000000-0005-0000-0000-00002F040000}"/>
    <cellStyle name="20% - 강조색6 3 8" xfId="1096" xr:uid="{00000000-0005-0000-0000-000030040000}"/>
    <cellStyle name="20% - 강조색6 3 9" xfId="1097" xr:uid="{00000000-0005-0000-0000-000031040000}"/>
    <cellStyle name="20% - 강조색6 4" xfId="1098" xr:uid="{00000000-0005-0000-0000-000032040000}"/>
    <cellStyle name="20% - 강조색6 5" xfId="1099" xr:uid="{00000000-0005-0000-0000-000033040000}"/>
    <cellStyle name="20% - 강조색6 6" xfId="1100" xr:uid="{00000000-0005-0000-0000-000034040000}"/>
    <cellStyle name="20% - 강조색6 7" xfId="1101" xr:uid="{00000000-0005-0000-0000-000035040000}"/>
    <cellStyle name="20% - 강조색6 8" xfId="1102" xr:uid="{00000000-0005-0000-0000-000036040000}"/>
    <cellStyle name="20% - 강조색6 9" xfId="1103" xr:uid="{00000000-0005-0000-0000-000037040000}"/>
    <cellStyle name="_x0004_3;_x0018_" xfId="1104" xr:uid="{00000000-0005-0000-0000-000038040000}"/>
    <cellStyle name="³f¹o [0]_RESULTS" xfId="1105" xr:uid="{00000000-0005-0000-0000-000039040000}"/>
    <cellStyle name="³f¹o_RESULTS" xfId="1106" xr:uid="{00000000-0005-0000-0000-00003A040000}"/>
    <cellStyle name="40% - Accent1" xfId="1107" xr:uid="{00000000-0005-0000-0000-00003B040000}"/>
    <cellStyle name="40% - Accent2" xfId="1108" xr:uid="{00000000-0005-0000-0000-00003C040000}"/>
    <cellStyle name="40% - Accent3" xfId="1109" xr:uid="{00000000-0005-0000-0000-00003D040000}"/>
    <cellStyle name="40% - Accent4" xfId="1110" xr:uid="{00000000-0005-0000-0000-00003E040000}"/>
    <cellStyle name="40% - Accent5" xfId="1111" xr:uid="{00000000-0005-0000-0000-00003F040000}"/>
    <cellStyle name="40% - Accent6" xfId="1112" xr:uid="{00000000-0005-0000-0000-000040040000}"/>
    <cellStyle name="40% - アクセント 1" xfId="1113" xr:uid="{00000000-0005-0000-0000-000041040000}"/>
    <cellStyle name="40% - アクセント 2" xfId="1114" xr:uid="{00000000-0005-0000-0000-000042040000}"/>
    <cellStyle name="40% - アクセント 3" xfId="1115" xr:uid="{00000000-0005-0000-0000-000043040000}"/>
    <cellStyle name="40% - アクセント 4" xfId="1116" xr:uid="{00000000-0005-0000-0000-000044040000}"/>
    <cellStyle name="40% - アクセント 5" xfId="1117" xr:uid="{00000000-0005-0000-0000-000045040000}"/>
    <cellStyle name="40% - アクセント 6" xfId="1118" xr:uid="{00000000-0005-0000-0000-000046040000}"/>
    <cellStyle name="40% - 강조색1 10" xfId="1119" xr:uid="{00000000-0005-0000-0000-000047040000}"/>
    <cellStyle name="40% - 강조색1 11" xfId="1120" xr:uid="{00000000-0005-0000-0000-000048040000}"/>
    <cellStyle name="40% - 강조색1 12" xfId="1121" xr:uid="{00000000-0005-0000-0000-000049040000}"/>
    <cellStyle name="40% - 강조색1 13" xfId="1122" xr:uid="{00000000-0005-0000-0000-00004A040000}"/>
    <cellStyle name="40% - 강조색1 14" xfId="1123" xr:uid="{00000000-0005-0000-0000-00004B040000}"/>
    <cellStyle name="40% - 강조색1 15" xfId="1124" xr:uid="{00000000-0005-0000-0000-00004C040000}"/>
    <cellStyle name="40% - 강조색1 16" xfId="1125" xr:uid="{00000000-0005-0000-0000-00004D040000}"/>
    <cellStyle name="40% - 강조색1 17" xfId="1126" xr:uid="{00000000-0005-0000-0000-00004E040000}"/>
    <cellStyle name="40% - 강조색1 18" xfId="1127" xr:uid="{00000000-0005-0000-0000-00004F040000}"/>
    <cellStyle name="40% - 강조색1 19" xfId="1128" xr:uid="{00000000-0005-0000-0000-000050040000}"/>
    <cellStyle name="40% - 강조색1 2" xfId="1129" xr:uid="{00000000-0005-0000-0000-000051040000}"/>
    <cellStyle name="40% - 강조색1 2 10" xfId="1130" xr:uid="{00000000-0005-0000-0000-000052040000}"/>
    <cellStyle name="40% - 강조색1 2 11" xfId="1131" xr:uid="{00000000-0005-0000-0000-000053040000}"/>
    <cellStyle name="40% - 강조색1 2 12" xfId="1132" xr:uid="{00000000-0005-0000-0000-000054040000}"/>
    <cellStyle name="40% - 강조색1 2 13" xfId="1133" xr:uid="{00000000-0005-0000-0000-000055040000}"/>
    <cellStyle name="40% - 강조색1 2 14" xfId="1134" xr:uid="{00000000-0005-0000-0000-000056040000}"/>
    <cellStyle name="40% - 강조색1 2 15" xfId="1135" xr:uid="{00000000-0005-0000-0000-000057040000}"/>
    <cellStyle name="40% - 강조색1 2 16" xfId="1136" xr:uid="{00000000-0005-0000-0000-000058040000}"/>
    <cellStyle name="40% - 강조색1 2 17" xfId="1137" xr:uid="{00000000-0005-0000-0000-000059040000}"/>
    <cellStyle name="40% - 강조색1 2 18" xfId="1138" xr:uid="{00000000-0005-0000-0000-00005A040000}"/>
    <cellStyle name="40% - 강조색1 2 19" xfId="1139" xr:uid="{00000000-0005-0000-0000-00005B040000}"/>
    <cellStyle name="40% - 강조색1 2 2" xfId="1140" xr:uid="{00000000-0005-0000-0000-00005C040000}"/>
    <cellStyle name="40% - 강조색1 2 2 10" xfId="1141" xr:uid="{00000000-0005-0000-0000-00005D040000}"/>
    <cellStyle name="40% - 강조색1 2 2 11" xfId="1142" xr:uid="{00000000-0005-0000-0000-00005E040000}"/>
    <cellStyle name="40% - 강조색1 2 2 12" xfId="1143" xr:uid="{00000000-0005-0000-0000-00005F040000}"/>
    <cellStyle name="40% - 강조색1 2 2 13" xfId="1144" xr:uid="{00000000-0005-0000-0000-000060040000}"/>
    <cellStyle name="40% - 강조색1 2 2 14" xfId="1145" xr:uid="{00000000-0005-0000-0000-000061040000}"/>
    <cellStyle name="40% - 강조색1 2 2 2" xfId="1146" xr:uid="{00000000-0005-0000-0000-000062040000}"/>
    <cellStyle name="40% - 강조색1 2 2 3" xfId="1147" xr:uid="{00000000-0005-0000-0000-000063040000}"/>
    <cellStyle name="40% - 강조색1 2 2 4" xfId="1148" xr:uid="{00000000-0005-0000-0000-000064040000}"/>
    <cellStyle name="40% - 강조색1 2 2 5" xfId="1149" xr:uid="{00000000-0005-0000-0000-000065040000}"/>
    <cellStyle name="40% - 강조색1 2 2 6" xfId="1150" xr:uid="{00000000-0005-0000-0000-000066040000}"/>
    <cellStyle name="40% - 강조색1 2 2 7" xfId="1151" xr:uid="{00000000-0005-0000-0000-000067040000}"/>
    <cellStyle name="40% - 강조색1 2 2 8" xfId="1152" xr:uid="{00000000-0005-0000-0000-000068040000}"/>
    <cellStyle name="40% - 강조색1 2 2 9" xfId="1153" xr:uid="{00000000-0005-0000-0000-000069040000}"/>
    <cellStyle name="40% - 강조색1 2 20" xfId="1154" xr:uid="{00000000-0005-0000-0000-00006A040000}"/>
    <cellStyle name="40% - 강조색1 2 21" xfId="1155" xr:uid="{00000000-0005-0000-0000-00006B040000}"/>
    <cellStyle name="40% - 강조색1 2 22" xfId="1156" xr:uid="{00000000-0005-0000-0000-00006C040000}"/>
    <cellStyle name="40% - 강조색1 2 23" xfId="1157" xr:uid="{00000000-0005-0000-0000-00006D040000}"/>
    <cellStyle name="40% - 강조색1 2 24" xfId="1158" xr:uid="{00000000-0005-0000-0000-00006E040000}"/>
    <cellStyle name="40% - 강조색1 2 3" xfId="1159" xr:uid="{00000000-0005-0000-0000-00006F040000}"/>
    <cellStyle name="40% - 강조색1 2 4" xfId="1160" xr:uid="{00000000-0005-0000-0000-000070040000}"/>
    <cellStyle name="40% - 강조색1 2 5" xfId="1161" xr:uid="{00000000-0005-0000-0000-000071040000}"/>
    <cellStyle name="40% - 강조색1 2 6" xfId="1162" xr:uid="{00000000-0005-0000-0000-000072040000}"/>
    <cellStyle name="40% - 강조색1 2 7" xfId="1163" xr:uid="{00000000-0005-0000-0000-000073040000}"/>
    <cellStyle name="40% - 강조색1 2 8" xfId="1164" xr:uid="{00000000-0005-0000-0000-000074040000}"/>
    <cellStyle name="40% - 강조색1 2 9" xfId="1165" xr:uid="{00000000-0005-0000-0000-000075040000}"/>
    <cellStyle name="40% - 강조색1 20" xfId="1166" xr:uid="{00000000-0005-0000-0000-000076040000}"/>
    <cellStyle name="40% - 강조색1 21" xfId="1167" xr:uid="{00000000-0005-0000-0000-000077040000}"/>
    <cellStyle name="40% - 강조색1 22" xfId="1168" xr:uid="{00000000-0005-0000-0000-000078040000}"/>
    <cellStyle name="40% - 강조색1 23" xfId="1169" xr:uid="{00000000-0005-0000-0000-000079040000}"/>
    <cellStyle name="40% - 강조색1 24" xfId="1170" xr:uid="{00000000-0005-0000-0000-00007A040000}"/>
    <cellStyle name="40% - 강조색1 3" xfId="1171" xr:uid="{00000000-0005-0000-0000-00007B040000}"/>
    <cellStyle name="40% - 강조색1 3 10" xfId="1172" xr:uid="{00000000-0005-0000-0000-00007C040000}"/>
    <cellStyle name="40% - 강조색1 3 11" xfId="1173" xr:uid="{00000000-0005-0000-0000-00007D040000}"/>
    <cellStyle name="40% - 강조색1 3 12" xfId="1174" xr:uid="{00000000-0005-0000-0000-00007E040000}"/>
    <cellStyle name="40% - 강조색1 3 13" xfId="1175" xr:uid="{00000000-0005-0000-0000-00007F040000}"/>
    <cellStyle name="40% - 강조색1 3 14" xfId="1176" xr:uid="{00000000-0005-0000-0000-000080040000}"/>
    <cellStyle name="40% - 강조색1 3 2" xfId="1177" xr:uid="{00000000-0005-0000-0000-000081040000}"/>
    <cellStyle name="40% - 강조색1 3 3" xfId="1178" xr:uid="{00000000-0005-0000-0000-000082040000}"/>
    <cellStyle name="40% - 강조색1 3 4" xfId="1179" xr:uid="{00000000-0005-0000-0000-000083040000}"/>
    <cellStyle name="40% - 강조색1 3 5" xfId="1180" xr:uid="{00000000-0005-0000-0000-000084040000}"/>
    <cellStyle name="40% - 강조색1 3 6" xfId="1181" xr:uid="{00000000-0005-0000-0000-000085040000}"/>
    <cellStyle name="40% - 강조색1 3 7" xfId="1182" xr:uid="{00000000-0005-0000-0000-000086040000}"/>
    <cellStyle name="40% - 강조색1 3 8" xfId="1183" xr:uid="{00000000-0005-0000-0000-000087040000}"/>
    <cellStyle name="40% - 강조색1 3 9" xfId="1184" xr:uid="{00000000-0005-0000-0000-000088040000}"/>
    <cellStyle name="40% - 강조색1 4" xfId="1185" xr:uid="{00000000-0005-0000-0000-000089040000}"/>
    <cellStyle name="40% - 강조색1 5" xfId="1186" xr:uid="{00000000-0005-0000-0000-00008A040000}"/>
    <cellStyle name="40% - 강조색1 6" xfId="1187" xr:uid="{00000000-0005-0000-0000-00008B040000}"/>
    <cellStyle name="40% - 강조색1 7" xfId="1188" xr:uid="{00000000-0005-0000-0000-00008C040000}"/>
    <cellStyle name="40% - 강조색1 8" xfId="1189" xr:uid="{00000000-0005-0000-0000-00008D040000}"/>
    <cellStyle name="40% - 강조색1 9" xfId="1190" xr:uid="{00000000-0005-0000-0000-00008E040000}"/>
    <cellStyle name="40% - 강조색2 10" xfId="1191" xr:uid="{00000000-0005-0000-0000-00008F040000}"/>
    <cellStyle name="40% - 강조색2 11" xfId="1192" xr:uid="{00000000-0005-0000-0000-000090040000}"/>
    <cellStyle name="40% - 강조색2 12" xfId="1193" xr:uid="{00000000-0005-0000-0000-000091040000}"/>
    <cellStyle name="40% - 강조색2 13" xfId="1194" xr:uid="{00000000-0005-0000-0000-000092040000}"/>
    <cellStyle name="40% - 강조색2 14" xfId="1195" xr:uid="{00000000-0005-0000-0000-000093040000}"/>
    <cellStyle name="40% - 강조색2 15" xfId="1196" xr:uid="{00000000-0005-0000-0000-000094040000}"/>
    <cellStyle name="40% - 강조색2 16" xfId="1197" xr:uid="{00000000-0005-0000-0000-000095040000}"/>
    <cellStyle name="40% - 강조색2 17" xfId="1198" xr:uid="{00000000-0005-0000-0000-000096040000}"/>
    <cellStyle name="40% - 강조색2 18" xfId="1199" xr:uid="{00000000-0005-0000-0000-000097040000}"/>
    <cellStyle name="40% - 강조색2 19" xfId="1200" xr:uid="{00000000-0005-0000-0000-000098040000}"/>
    <cellStyle name="40% - 강조색2 2" xfId="1201" xr:uid="{00000000-0005-0000-0000-000099040000}"/>
    <cellStyle name="40% - 강조색2 2 10" xfId="1202" xr:uid="{00000000-0005-0000-0000-00009A040000}"/>
    <cellStyle name="40% - 강조색2 2 11" xfId="1203" xr:uid="{00000000-0005-0000-0000-00009B040000}"/>
    <cellStyle name="40% - 강조색2 2 12" xfId="1204" xr:uid="{00000000-0005-0000-0000-00009C040000}"/>
    <cellStyle name="40% - 강조색2 2 13" xfId="1205" xr:uid="{00000000-0005-0000-0000-00009D040000}"/>
    <cellStyle name="40% - 강조색2 2 14" xfId="1206" xr:uid="{00000000-0005-0000-0000-00009E040000}"/>
    <cellStyle name="40% - 강조색2 2 15" xfId="1207" xr:uid="{00000000-0005-0000-0000-00009F040000}"/>
    <cellStyle name="40% - 강조색2 2 16" xfId="1208" xr:uid="{00000000-0005-0000-0000-0000A0040000}"/>
    <cellStyle name="40% - 강조색2 2 17" xfId="1209" xr:uid="{00000000-0005-0000-0000-0000A1040000}"/>
    <cellStyle name="40% - 강조색2 2 18" xfId="1210" xr:uid="{00000000-0005-0000-0000-0000A2040000}"/>
    <cellStyle name="40% - 강조색2 2 19" xfId="1211" xr:uid="{00000000-0005-0000-0000-0000A3040000}"/>
    <cellStyle name="40% - 강조색2 2 2" xfId="1212" xr:uid="{00000000-0005-0000-0000-0000A4040000}"/>
    <cellStyle name="40% - 강조색2 2 2 10" xfId="1213" xr:uid="{00000000-0005-0000-0000-0000A5040000}"/>
    <cellStyle name="40% - 강조색2 2 2 11" xfId="1214" xr:uid="{00000000-0005-0000-0000-0000A6040000}"/>
    <cellStyle name="40% - 강조색2 2 2 12" xfId="1215" xr:uid="{00000000-0005-0000-0000-0000A7040000}"/>
    <cellStyle name="40% - 강조색2 2 2 13" xfId="1216" xr:uid="{00000000-0005-0000-0000-0000A8040000}"/>
    <cellStyle name="40% - 강조색2 2 2 14" xfId="1217" xr:uid="{00000000-0005-0000-0000-0000A9040000}"/>
    <cellStyle name="40% - 강조색2 2 2 2" xfId="1218" xr:uid="{00000000-0005-0000-0000-0000AA040000}"/>
    <cellStyle name="40% - 강조색2 2 2 3" xfId="1219" xr:uid="{00000000-0005-0000-0000-0000AB040000}"/>
    <cellStyle name="40% - 강조색2 2 2 4" xfId="1220" xr:uid="{00000000-0005-0000-0000-0000AC040000}"/>
    <cellStyle name="40% - 강조색2 2 2 5" xfId="1221" xr:uid="{00000000-0005-0000-0000-0000AD040000}"/>
    <cellStyle name="40% - 강조색2 2 2 6" xfId="1222" xr:uid="{00000000-0005-0000-0000-0000AE040000}"/>
    <cellStyle name="40% - 강조색2 2 2 7" xfId="1223" xr:uid="{00000000-0005-0000-0000-0000AF040000}"/>
    <cellStyle name="40% - 강조색2 2 2 8" xfId="1224" xr:uid="{00000000-0005-0000-0000-0000B0040000}"/>
    <cellStyle name="40% - 강조색2 2 2 9" xfId="1225" xr:uid="{00000000-0005-0000-0000-0000B1040000}"/>
    <cellStyle name="40% - 강조색2 2 20" xfId="1226" xr:uid="{00000000-0005-0000-0000-0000B2040000}"/>
    <cellStyle name="40% - 강조색2 2 21" xfId="1227" xr:uid="{00000000-0005-0000-0000-0000B3040000}"/>
    <cellStyle name="40% - 강조색2 2 22" xfId="1228" xr:uid="{00000000-0005-0000-0000-0000B4040000}"/>
    <cellStyle name="40% - 강조색2 2 23" xfId="1229" xr:uid="{00000000-0005-0000-0000-0000B5040000}"/>
    <cellStyle name="40% - 강조색2 2 24" xfId="1230" xr:uid="{00000000-0005-0000-0000-0000B6040000}"/>
    <cellStyle name="40% - 강조색2 2 3" xfId="1231" xr:uid="{00000000-0005-0000-0000-0000B7040000}"/>
    <cellStyle name="40% - 강조색2 2 4" xfId="1232" xr:uid="{00000000-0005-0000-0000-0000B8040000}"/>
    <cellStyle name="40% - 강조색2 2 5" xfId="1233" xr:uid="{00000000-0005-0000-0000-0000B9040000}"/>
    <cellStyle name="40% - 강조색2 2 6" xfId="1234" xr:uid="{00000000-0005-0000-0000-0000BA040000}"/>
    <cellStyle name="40% - 강조색2 2 7" xfId="1235" xr:uid="{00000000-0005-0000-0000-0000BB040000}"/>
    <cellStyle name="40% - 강조색2 2 8" xfId="1236" xr:uid="{00000000-0005-0000-0000-0000BC040000}"/>
    <cellStyle name="40% - 강조색2 2 9" xfId="1237" xr:uid="{00000000-0005-0000-0000-0000BD040000}"/>
    <cellStyle name="40% - 강조색2 20" xfId="1238" xr:uid="{00000000-0005-0000-0000-0000BE040000}"/>
    <cellStyle name="40% - 강조색2 21" xfId="1239" xr:uid="{00000000-0005-0000-0000-0000BF040000}"/>
    <cellStyle name="40% - 강조색2 22" xfId="1240" xr:uid="{00000000-0005-0000-0000-0000C0040000}"/>
    <cellStyle name="40% - 강조색2 23" xfId="1241" xr:uid="{00000000-0005-0000-0000-0000C1040000}"/>
    <cellStyle name="40% - 강조색2 24" xfId="1242" xr:uid="{00000000-0005-0000-0000-0000C2040000}"/>
    <cellStyle name="40% - 강조색2 3" xfId="1243" xr:uid="{00000000-0005-0000-0000-0000C3040000}"/>
    <cellStyle name="40% - 강조색2 3 10" xfId="1244" xr:uid="{00000000-0005-0000-0000-0000C4040000}"/>
    <cellStyle name="40% - 강조색2 3 11" xfId="1245" xr:uid="{00000000-0005-0000-0000-0000C5040000}"/>
    <cellStyle name="40% - 강조색2 3 12" xfId="1246" xr:uid="{00000000-0005-0000-0000-0000C6040000}"/>
    <cellStyle name="40% - 강조색2 3 13" xfId="1247" xr:uid="{00000000-0005-0000-0000-0000C7040000}"/>
    <cellStyle name="40% - 강조색2 3 14" xfId="1248" xr:uid="{00000000-0005-0000-0000-0000C8040000}"/>
    <cellStyle name="40% - 강조색2 3 2" xfId="1249" xr:uid="{00000000-0005-0000-0000-0000C9040000}"/>
    <cellStyle name="40% - 강조색2 3 3" xfId="1250" xr:uid="{00000000-0005-0000-0000-0000CA040000}"/>
    <cellStyle name="40% - 강조색2 3 4" xfId="1251" xr:uid="{00000000-0005-0000-0000-0000CB040000}"/>
    <cellStyle name="40% - 강조색2 3 5" xfId="1252" xr:uid="{00000000-0005-0000-0000-0000CC040000}"/>
    <cellStyle name="40% - 강조색2 3 6" xfId="1253" xr:uid="{00000000-0005-0000-0000-0000CD040000}"/>
    <cellStyle name="40% - 강조색2 3 7" xfId="1254" xr:uid="{00000000-0005-0000-0000-0000CE040000}"/>
    <cellStyle name="40% - 강조색2 3 8" xfId="1255" xr:uid="{00000000-0005-0000-0000-0000CF040000}"/>
    <cellStyle name="40% - 강조색2 3 9" xfId="1256" xr:uid="{00000000-0005-0000-0000-0000D0040000}"/>
    <cellStyle name="40% - 강조색2 4" xfId="1257" xr:uid="{00000000-0005-0000-0000-0000D1040000}"/>
    <cellStyle name="40% - 강조색2 5" xfId="1258" xr:uid="{00000000-0005-0000-0000-0000D2040000}"/>
    <cellStyle name="40% - 강조색2 6" xfId="1259" xr:uid="{00000000-0005-0000-0000-0000D3040000}"/>
    <cellStyle name="40% - 강조색2 7" xfId="1260" xr:uid="{00000000-0005-0000-0000-0000D4040000}"/>
    <cellStyle name="40% - 강조색2 8" xfId="1261" xr:uid="{00000000-0005-0000-0000-0000D5040000}"/>
    <cellStyle name="40% - 강조색2 9" xfId="1262" xr:uid="{00000000-0005-0000-0000-0000D6040000}"/>
    <cellStyle name="40% - 강조색3 10" xfId="1263" xr:uid="{00000000-0005-0000-0000-0000D7040000}"/>
    <cellStyle name="40% - 강조색3 11" xfId="1264" xr:uid="{00000000-0005-0000-0000-0000D8040000}"/>
    <cellStyle name="40% - 강조색3 12" xfId="1265" xr:uid="{00000000-0005-0000-0000-0000D9040000}"/>
    <cellStyle name="40% - 강조색3 13" xfId="1266" xr:uid="{00000000-0005-0000-0000-0000DA040000}"/>
    <cellStyle name="40% - 강조색3 14" xfId="1267" xr:uid="{00000000-0005-0000-0000-0000DB040000}"/>
    <cellStyle name="40% - 강조색3 15" xfId="1268" xr:uid="{00000000-0005-0000-0000-0000DC040000}"/>
    <cellStyle name="40% - 강조색3 16" xfId="1269" xr:uid="{00000000-0005-0000-0000-0000DD040000}"/>
    <cellStyle name="40% - 강조색3 17" xfId="1270" xr:uid="{00000000-0005-0000-0000-0000DE040000}"/>
    <cellStyle name="40% - 강조색3 18" xfId="1271" xr:uid="{00000000-0005-0000-0000-0000DF040000}"/>
    <cellStyle name="40% - 강조색3 19" xfId="1272" xr:uid="{00000000-0005-0000-0000-0000E0040000}"/>
    <cellStyle name="40% - 강조색3 2" xfId="1273" xr:uid="{00000000-0005-0000-0000-0000E1040000}"/>
    <cellStyle name="40% - 강조색3 2 10" xfId="1274" xr:uid="{00000000-0005-0000-0000-0000E2040000}"/>
    <cellStyle name="40% - 강조색3 2 11" xfId="1275" xr:uid="{00000000-0005-0000-0000-0000E3040000}"/>
    <cellStyle name="40% - 강조색3 2 12" xfId="1276" xr:uid="{00000000-0005-0000-0000-0000E4040000}"/>
    <cellStyle name="40% - 강조색3 2 13" xfId="1277" xr:uid="{00000000-0005-0000-0000-0000E5040000}"/>
    <cellStyle name="40% - 강조색3 2 14" xfId="1278" xr:uid="{00000000-0005-0000-0000-0000E6040000}"/>
    <cellStyle name="40% - 강조색3 2 15" xfId="1279" xr:uid="{00000000-0005-0000-0000-0000E7040000}"/>
    <cellStyle name="40% - 강조색3 2 16" xfId="1280" xr:uid="{00000000-0005-0000-0000-0000E8040000}"/>
    <cellStyle name="40% - 강조색3 2 17" xfId="1281" xr:uid="{00000000-0005-0000-0000-0000E9040000}"/>
    <cellStyle name="40% - 강조색3 2 18" xfId="1282" xr:uid="{00000000-0005-0000-0000-0000EA040000}"/>
    <cellStyle name="40% - 강조색3 2 19" xfId="1283" xr:uid="{00000000-0005-0000-0000-0000EB040000}"/>
    <cellStyle name="40% - 강조색3 2 2" xfId="1284" xr:uid="{00000000-0005-0000-0000-0000EC040000}"/>
    <cellStyle name="40% - 강조색3 2 2 10" xfId="1285" xr:uid="{00000000-0005-0000-0000-0000ED040000}"/>
    <cellStyle name="40% - 강조색3 2 2 11" xfId="1286" xr:uid="{00000000-0005-0000-0000-0000EE040000}"/>
    <cellStyle name="40% - 강조색3 2 2 12" xfId="1287" xr:uid="{00000000-0005-0000-0000-0000EF040000}"/>
    <cellStyle name="40% - 강조색3 2 2 13" xfId="1288" xr:uid="{00000000-0005-0000-0000-0000F0040000}"/>
    <cellStyle name="40% - 강조색3 2 2 14" xfId="1289" xr:uid="{00000000-0005-0000-0000-0000F1040000}"/>
    <cellStyle name="40% - 강조색3 2 2 2" xfId="1290" xr:uid="{00000000-0005-0000-0000-0000F2040000}"/>
    <cellStyle name="40% - 강조색3 2 2 3" xfId="1291" xr:uid="{00000000-0005-0000-0000-0000F3040000}"/>
    <cellStyle name="40% - 강조색3 2 2 4" xfId="1292" xr:uid="{00000000-0005-0000-0000-0000F4040000}"/>
    <cellStyle name="40% - 강조색3 2 2 5" xfId="1293" xr:uid="{00000000-0005-0000-0000-0000F5040000}"/>
    <cellStyle name="40% - 강조색3 2 2 6" xfId="1294" xr:uid="{00000000-0005-0000-0000-0000F6040000}"/>
    <cellStyle name="40% - 강조색3 2 2 7" xfId="1295" xr:uid="{00000000-0005-0000-0000-0000F7040000}"/>
    <cellStyle name="40% - 강조색3 2 2 8" xfId="1296" xr:uid="{00000000-0005-0000-0000-0000F8040000}"/>
    <cellStyle name="40% - 강조색3 2 2 9" xfId="1297" xr:uid="{00000000-0005-0000-0000-0000F9040000}"/>
    <cellStyle name="40% - 강조색3 2 20" xfId="1298" xr:uid="{00000000-0005-0000-0000-0000FA040000}"/>
    <cellStyle name="40% - 강조색3 2 21" xfId="1299" xr:uid="{00000000-0005-0000-0000-0000FB040000}"/>
    <cellStyle name="40% - 강조색3 2 22" xfId="1300" xr:uid="{00000000-0005-0000-0000-0000FC040000}"/>
    <cellStyle name="40% - 강조색3 2 23" xfId="1301" xr:uid="{00000000-0005-0000-0000-0000FD040000}"/>
    <cellStyle name="40% - 강조색3 2 24" xfId="1302" xr:uid="{00000000-0005-0000-0000-0000FE040000}"/>
    <cellStyle name="40% - 강조색3 2 3" xfId="1303" xr:uid="{00000000-0005-0000-0000-0000FF040000}"/>
    <cellStyle name="40% - 강조색3 2 4" xfId="1304" xr:uid="{00000000-0005-0000-0000-000000050000}"/>
    <cellStyle name="40% - 강조색3 2 5" xfId="1305" xr:uid="{00000000-0005-0000-0000-000001050000}"/>
    <cellStyle name="40% - 강조색3 2 6" xfId="1306" xr:uid="{00000000-0005-0000-0000-000002050000}"/>
    <cellStyle name="40% - 강조색3 2 7" xfId="1307" xr:uid="{00000000-0005-0000-0000-000003050000}"/>
    <cellStyle name="40% - 강조색3 2 8" xfId="1308" xr:uid="{00000000-0005-0000-0000-000004050000}"/>
    <cellStyle name="40% - 강조색3 2 9" xfId="1309" xr:uid="{00000000-0005-0000-0000-000005050000}"/>
    <cellStyle name="40% - 강조색3 20" xfId="1310" xr:uid="{00000000-0005-0000-0000-000006050000}"/>
    <cellStyle name="40% - 강조색3 21" xfId="1311" xr:uid="{00000000-0005-0000-0000-000007050000}"/>
    <cellStyle name="40% - 강조색3 22" xfId="1312" xr:uid="{00000000-0005-0000-0000-000008050000}"/>
    <cellStyle name="40% - 강조색3 23" xfId="1313" xr:uid="{00000000-0005-0000-0000-000009050000}"/>
    <cellStyle name="40% - 강조색3 24" xfId="1314" xr:uid="{00000000-0005-0000-0000-00000A050000}"/>
    <cellStyle name="40% - 강조색3 3" xfId="1315" xr:uid="{00000000-0005-0000-0000-00000B050000}"/>
    <cellStyle name="40% - 강조색3 3 10" xfId="1316" xr:uid="{00000000-0005-0000-0000-00000C050000}"/>
    <cellStyle name="40% - 강조색3 3 11" xfId="1317" xr:uid="{00000000-0005-0000-0000-00000D050000}"/>
    <cellStyle name="40% - 강조색3 3 12" xfId="1318" xr:uid="{00000000-0005-0000-0000-00000E050000}"/>
    <cellStyle name="40% - 강조색3 3 13" xfId="1319" xr:uid="{00000000-0005-0000-0000-00000F050000}"/>
    <cellStyle name="40% - 강조색3 3 14" xfId="1320" xr:uid="{00000000-0005-0000-0000-000010050000}"/>
    <cellStyle name="40% - 강조색3 3 2" xfId="1321" xr:uid="{00000000-0005-0000-0000-000011050000}"/>
    <cellStyle name="40% - 강조색3 3 3" xfId="1322" xr:uid="{00000000-0005-0000-0000-000012050000}"/>
    <cellStyle name="40% - 강조색3 3 4" xfId="1323" xr:uid="{00000000-0005-0000-0000-000013050000}"/>
    <cellStyle name="40% - 강조색3 3 5" xfId="1324" xr:uid="{00000000-0005-0000-0000-000014050000}"/>
    <cellStyle name="40% - 강조색3 3 6" xfId="1325" xr:uid="{00000000-0005-0000-0000-000015050000}"/>
    <cellStyle name="40% - 강조색3 3 7" xfId="1326" xr:uid="{00000000-0005-0000-0000-000016050000}"/>
    <cellStyle name="40% - 강조색3 3 8" xfId="1327" xr:uid="{00000000-0005-0000-0000-000017050000}"/>
    <cellStyle name="40% - 강조색3 3 9" xfId="1328" xr:uid="{00000000-0005-0000-0000-000018050000}"/>
    <cellStyle name="40% - 강조색3 4" xfId="1329" xr:uid="{00000000-0005-0000-0000-000019050000}"/>
    <cellStyle name="40% - 강조색3 5" xfId="1330" xr:uid="{00000000-0005-0000-0000-00001A050000}"/>
    <cellStyle name="40% - 강조색3 6" xfId="1331" xr:uid="{00000000-0005-0000-0000-00001B050000}"/>
    <cellStyle name="40% - 강조색3 7" xfId="1332" xr:uid="{00000000-0005-0000-0000-00001C050000}"/>
    <cellStyle name="40% - 강조색3 8" xfId="1333" xr:uid="{00000000-0005-0000-0000-00001D050000}"/>
    <cellStyle name="40% - 강조색3 9" xfId="1334" xr:uid="{00000000-0005-0000-0000-00001E050000}"/>
    <cellStyle name="40% - 강조색4 10" xfId="1335" xr:uid="{00000000-0005-0000-0000-00001F050000}"/>
    <cellStyle name="40% - 강조색4 11" xfId="1336" xr:uid="{00000000-0005-0000-0000-000020050000}"/>
    <cellStyle name="40% - 강조색4 12" xfId="1337" xr:uid="{00000000-0005-0000-0000-000021050000}"/>
    <cellStyle name="40% - 강조색4 13" xfId="1338" xr:uid="{00000000-0005-0000-0000-000022050000}"/>
    <cellStyle name="40% - 강조색4 14" xfId="1339" xr:uid="{00000000-0005-0000-0000-000023050000}"/>
    <cellStyle name="40% - 강조색4 15" xfId="1340" xr:uid="{00000000-0005-0000-0000-000024050000}"/>
    <cellStyle name="40% - 강조색4 16" xfId="1341" xr:uid="{00000000-0005-0000-0000-000025050000}"/>
    <cellStyle name="40% - 강조색4 17" xfId="1342" xr:uid="{00000000-0005-0000-0000-000026050000}"/>
    <cellStyle name="40% - 강조색4 18" xfId="1343" xr:uid="{00000000-0005-0000-0000-000027050000}"/>
    <cellStyle name="40% - 강조색4 19" xfId="1344" xr:uid="{00000000-0005-0000-0000-000028050000}"/>
    <cellStyle name="40% - 강조색4 2" xfId="1345" xr:uid="{00000000-0005-0000-0000-000029050000}"/>
    <cellStyle name="40% - 강조색4 2 10" xfId="1346" xr:uid="{00000000-0005-0000-0000-00002A050000}"/>
    <cellStyle name="40% - 강조색4 2 11" xfId="1347" xr:uid="{00000000-0005-0000-0000-00002B050000}"/>
    <cellStyle name="40% - 강조색4 2 12" xfId="1348" xr:uid="{00000000-0005-0000-0000-00002C050000}"/>
    <cellStyle name="40% - 강조색4 2 13" xfId="1349" xr:uid="{00000000-0005-0000-0000-00002D050000}"/>
    <cellStyle name="40% - 강조색4 2 14" xfId="1350" xr:uid="{00000000-0005-0000-0000-00002E050000}"/>
    <cellStyle name="40% - 강조색4 2 15" xfId="1351" xr:uid="{00000000-0005-0000-0000-00002F050000}"/>
    <cellStyle name="40% - 강조색4 2 16" xfId="1352" xr:uid="{00000000-0005-0000-0000-000030050000}"/>
    <cellStyle name="40% - 강조색4 2 17" xfId="1353" xr:uid="{00000000-0005-0000-0000-000031050000}"/>
    <cellStyle name="40% - 강조색4 2 18" xfId="1354" xr:uid="{00000000-0005-0000-0000-000032050000}"/>
    <cellStyle name="40% - 강조색4 2 19" xfId="1355" xr:uid="{00000000-0005-0000-0000-000033050000}"/>
    <cellStyle name="40% - 강조색4 2 2" xfId="1356" xr:uid="{00000000-0005-0000-0000-000034050000}"/>
    <cellStyle name="40% - 강조색4 2 2 10" xfId="1357" xr:uid="{00000000-0005-0000-0000-000035050000}"/>
    <cellStyle name="40% - 강조색4 2 2 11" xfId="1358" xr:uid="{00000000-0005-0000-0000-000036050000}"/>
    <cellStyle name="40% - 강조색4 2 2 12" xfId="1359" xr:uid="{00000000-0005-0000-0000-000037050000}"/>
    <cellStyle name="40% - 강조색4 2 2 13" xfId="1360" xr:uid="{00000000-0005-0000-0000-000038050000}"/>
    <cellStyle name="40% - 강조색4 2 2 14" xfId="1361" xr:uid="{00000000-0005-0000-0000-000039050000}"/>
    <cellStyle name="40% - 강조색4 2 2 2" xfId="1362" xr:uid="{00000000-0005-0000-0000-00003A050000}"/>
    <cellStyle name="40% - 강조색4 2 2 3" xfId="1363" xr:uid="{00000000-0005-0000-0000-00003B050000}"/>
    <cellStyle name="40% - 강조색4 2 2 4" xfId="1364" xr:uid="{00000000-0005-0000-0000-00003C050000}"/>
    <cellStyle name="40% - 강조색4 2 2 5" xfId="1365" xr:uid="{00000000-0005-0000-0000-00003D050000}"/>
    <cellStyle name="40% - 강조색4 2 2 6" xfId="1366" xr:uid="{00000000-0005-0000-0000-00003E050000}"/>
    <cellStyle name="40% - 강조색4 2 2 7" xfId="1367" xr:uid="{00000000-0005-0000-0000-00003F050000}"/>
    <cellStyle name="40% - 강조색4 2 2 8" xfId="1368" xr:uid="{00000000-0005-0000-0000-000040050000}"/>
    <cellStyle name="40% - 강조색4 2 2 9" xfId="1369" xr:uid="{00000000-0005-0000-0000-000041050000}"/>
    <cellStyle name="40% - 강조색4 2 20" xfId="1370" xr:uid="{00000000-0005-0000-0000-000042050000}"/>
    <cellStyle name="40% - 강조색4 2 21" xfId="1371" xr:uid="{00000000-0005-0000-0000-000043050000}"/>
    <cellStyle name="40% - 강조색4 2 22" xfId="1372" xr:uid="{00000000-0005-0000-0000-000044050000}"/>
    <cellStyle name="40% - 강조색4 2 23" xfId="1373" xr:uid="{00000000-0005-0000-0000-000045050000}"/>
    <cellStyle name="40% - 강조색4 2 24" xfId="1374" xr:uid="{00000000-0005-0000-0000-000046050000}"/>
    <cellStyle name="40% - 강조색4 2 3" xfId="1375" xr:uid="{00000000-0005-0000-0000-000047050000}"/>
    <cellStyle name="40% - 강조색4 2 4" xfId="1376" xr:uid="{00000000-0005-0000-0000-000048050000}"/>
    <cellStyle name="40% - 강조색4 2 5" xfId="1377" xr:uid="{00000000-0005-0000-0000-000049050000}"/>
    <cellStyle name="40% - 강조색4 2 6" xfId="1378" xr:uid="{00000000-0005-0000-0000-00004A050000}"/>
    <cellStyle name="40% - 강조색4 2 7" xfId="1379" xr:uid="{00000000-0005-0000-0000-00004B050000}"/>
    <cellStyle name="40% - 강조색4 2 8" xfId="1380" xr:uid="{00000000-0005-0000-0000-00004C050000}"/>
    <cellStyle name="40% - 강조색4 2 9" xfId="1381" xr:uid="{00000000-0005-0000-0000-00004D050000}"/>
    <cellStyle name="40% - 강조색4 20" xfId="1382" xr:uid="{00000000-0005-0000-0000-00004E050000}"/>
    <cellStyle name="40% - 강조색4 21" xfId="1383" xr:uid="{00000000-0005-0000-0000-00004F050000}"/>
    <cellStyle name="40% - 강조색4 22" xfId="1384" xr:uid="{00000000-0005-0000-0000-000050050000}"/>
    <cellStyle name="40% - 강조색4 23" xfId="1385" xr:uid="{00000000-0005-0000-0000-000051050000}"/>
    <cellStyle name="40% - 강조색4 24" xfId="1386" xr:uid="{00000000-0005-0000-0000-000052050000}"/>
    <cellStyle name="40% - 강조색4 3" xfId="1387" xr:uid="{00000000-0005-0000-0000-000053050000}"/>
    <cellStyle name="40% - 강조색4 3 10" xfId="1388" xr:uid="{00000000-0005-0000-0000-000054050000}"/>
    <cellStyle name="40% - 강조색4 3 11" xfId="1389" xr:uid="{00000000-0005-0000-0000-000055050000}"/>
    <cellStyle name="40% - 강조색4 3 12" xfId="1390" xr:uid="{00000000-0005-0000-0000-000056050000}"/>
    <cellStyle name="40% - 강조색4 3 13" xfId="1391" xr:uid="{00000000-0005-0000-0000-000057050000}"/>
    <cellStyle name="40% - 강조색4 3 14" xfId="1392" xr:uid="{00000000-0005-0000-0000-000058050000}"/>
    <cellStyle name="40% - 강조색4 3 2" xfId="1393" xr:uid="{00000000-0005-0000-0000-000059050000}"/>
    <cellStyle name="40% - 강조색4 3 3" xfId="1394" xr:uid="{00000000-0005-0000-0000-00005A050000}"/>
    <cellStyle name="40% - 강조색4 3 4" xfId="1395" xr:uid="{00000000-0005-0000-0000-00005B050000}"/>
    <cellStyle name="40% - 강조색4 3 5" xfId="1396" xr:uid="{00000000-0005-0000-0000-00005C050000}"/>
    <cellStyle name="40% - 강조색4 3 6" xfId="1397" xr:uid="{00000000-0005-0000-0000-00005D050000}"/>
    <cellStyle name="40% - 강조색4 3 7" xfId="1398" xr:uid="{00000000-0005-0000-0000-00005E050000}"/>
    <cellStyle name="40% - 강조색4 3 8" xfId="1399" xr:uid="{00000000-0005-0000-0000-00005F050000}"/>
    <cellStyle name="40% - 강조색4 3 9" xfId="1400" xr:uid="{00000000-0005-0000-0000-000060050000}"/>
    <cellStyle name="40% - 강조색4 4" xfId="1401" xr:uid="{00000000-0005-0000-0000-000061050000}"/>
    <cellStyle name="40% - 강조색4 5" xfId="1402" xr:uid="{00000000-0005-0000-0000-000062050000}"/>
    <cellStyle name="40% - 강조색4 6" xfId="1403" xr:uid="{00000000-0005-0000-0000-000063050000}"/>
    <cellStyle name="40% - 강조색4 7" xfId="1404" xr:uid="{00000000-0005-0000-0000-000064050000}"/>
    <cellStyle name="40% - 강조색4 8" xfId="1405" xr:uid="{00000000-0005-0000-0000-000065050000}"/>
    <cellStyle name="40% - 강조색4 9" xfId="1406" xr:uid="{00000000-0005-0000-0000-000066050000}"/>
    <cellStyle name="40% - 강조색5 10" xfId="1407" xr:uid="{00000000-0005-0000-0000-000067050000}"/>
    <cellStyle name="40% - 강조색5 11" xfId="1408" xr:uid="{00000000-0005-0000-0000-000068050000}"/>
    <cellStyle name="40% - 강조색5 12" xfId="1409" xr:uid="{00000000-0005-0000-0000-000069050000}"/>
    <cellStyle name="40% - 강조색5 13" xfId="1410" xr:uid="{00000000-0005-0000-0000-00006A050000}"/>
    <cellStyle name="40% - 강조색5 14" xfId="1411" xr:uid="{00000000-0005-0000-0000-00006B050000}"/>
    <cellStyle name="40% - 강조색5 15" xfId="1412" xr:uid="{00000000-0005-0000-0000-00006C050000}"/>
    <cellStyle name="40% - 강조색5 16" xfId="1413" xr:uid="{00000000-0005-0000-0000-00006D050000}"/>
    <cellStyle name="40% - 강조색5 17" xfId="1414" xr:uid="{00000000-0005-0000-0000-00006E050000}"/>
    <cellStyle name="40% - 강조색5 18" xfId="1415" xr:uid="{00000000-0005-0000-0000-00006F050000}"/>
    <cellStyle name="40% - 강조색5 19" xfId="1416" xr:uid="{00000000-0005-0000-0000-000070050000}"/>
    <cellStyle name="40% - 강조색5 2" xfId="1417" xr:uid="{00000000-0005-0000-0000-000071050000}"/>
    <cellStyle name="40% - 강조색5 2 10" xfId="1418" xr:uid="{00000000-0005-0000-0000-000072050000}"/>
    <cellStyle name="40% - 강조색5 2 11" xfId="1419" xr:uid="{00000000-0005-0000-0000-000073050000}"/>
    <cellStyle name="40% - 강조색5 2 12" xfId="1420" xr:uid="{00000000-0005-0000-0000-000074050000}"/>
    <cellStyle name="40% - 강조색5 2 13" xfId="1421" xr:uid="{00000000-0005-0000-0000-000075050000}"/>
    <cellStyle name="40% - 강조색5 2 14" xfId="1422" xr:uid="{00000000-0005-0000-0000-000076050000}"/>
    <cellStyle name="40% - 강조색5 2 15" xfId="1423" xr:uid="{00000000-0005-0000-0000-000077050000}"/>
    <cellStyle name="40% - 강조색5 2 16" xfId="1424" xr:uid="{00000000-0005-0000-0000-000078050000}"/>
    <cellStyle name="40% - 강조색5 2 17" xfId="1425" xr:uid="{00000000-0005-0000-0000-000079050000}"/>
    <cellStyle name="40% - 강조색5 2 18" xfId="1426" xr:uid="{00000000-0005-0000-0000-00007A050000}"/>
    <cellStyle name="40% - 강조색5 2 19" xfId="1427" xr:uid="{00000000-0005-0000-0000-00007B050000}"/>
    <cellStyle name="40% - 강조색5 2 2" xfId="1428" xr:uid="{00000000-0005-0000-0000-00007C050000}"/>
    <cellStyle name="40% - 강조색5 2 2 10" xfId="1429" xr:uid="{00000000-0005-0000-0000-00007D050000}"/>
    <cellStyle name="40% - 강조색5 2 2 11" xfId="1430" xr:uid="{00000000-0005-0000-0000-00007E050000}"/>
    <cellStyle name="40% - 강조색5 2 2 12" xfId="1431" xr:uid="{00000000-0005-0000-0000-00007F050000}"/>
    <cellStyle name="40% - 강조색5 2 2 13" xfId="1432" xr:uid="{00000000-0005-0000-0000-000080050000}"/>
    <cellStyle name="40% - 강조색5 2 2 14" xfId="1433" xr:uid="{00000000-0005-0000-0000-000081050000}"/>
    <cellStyle name="40% - 강조색5 2 2 2" xfId="1434" xr:uid="{00000000-0005-0000-0000-000082050000}"/>
    <cellStyle name="40% - 강조색5 2 2 3" xfId="1435" xr:uid="{00000000-0005-0000-0000-000083050000}"/>
    <cellStyle name="40% - 강조색5 2 2 4" xfId="1436" xr:uid="{00000000-0005-0000-0000-000084050000}"/>
    <cellStyle name="40% - 강조색5 2 2 5" xfId="1437" xr:uid="{00000000-0005-0000-0000-000085050000}"/>
    <cellStyle name="40% - 강조색5 2 2 6" xfId="1438" xr:uid="{00000000-0005-0000-0000-000086050000}"/>
    <cellStyle name="40% - 강조색5 2 2 7" xfId="1439" xr:uid="{00000000-0005-0000-0000-000087050000}"/>
    <cellStyle name="40% - 강조색5 2 2 8" xfId="1440" xr:uid="{00000000-0005-0000-0000-000088050000}"/>
    <cellStyle name="40% - 강조색5 2 2 9" xfId="1441" xr:uid="{00000000-0005-0000-0000-000089050000}"/>
    <cellStyle name="40% - 강조색5 2 20" xfId="1442" xr:uid="{00000000-0005-0000-0000-00008A050000}"/>
    <cellStyle name="40% - 강조색5 2 21" xfId="1443" xr:uid="{00000000-0005-0000-0000-00008B050000}"/>
    <cellStyle name="40% - 강조색5 2 22" xfId="1444" xr:uid="{00000000-0005-0000-0000-00008C050000}"/>
    <cellStyle name="40% - 강조색5 2 23" xfId="1445" xr:uid="{00000000-0005-0000-0000-00008D050000}"/>
    <cellStyle name="40% - 강조색5 2 24" xfId="1446" xr:uid="{00000000-0005-0000-0000-00008E050000}"/>
    <cellStyle name="40% - 강조색5 2 3" xfId="1447" xr:uid="{00000000-0005-0000-0000-00008F050000}"/>
    <cellStyle name="40% - 강조색5 2 4" xfId="1448" xr:uid="{00000000-0005-0000-0000-000090050000}"/>
    <cellStyle name="40% - 강조색5 2 5" xfId="1449" xr:uid="{00000000-0005-0000-0000-000091050000}"/>
    <cellStyle name="40% - 강조색5 2 6" xfId="1450" xr:uid="{00000000-0005-0000-0000-000092050000}"/>
    <cellStyle name="40% - 강조색5 2 7" xfId="1451" xr:uid="{00000000-0005-0000-0000-000093050000}"/>
    <cellStyle name="40% - 강조색5 2 8" xfId="1452" xr:uid="{00000000-0005-0000-0000-000094050000}"/>
    <cellStyle name="40% - 강조색5 2 9" xfId="1453" xr:uid="{00000000-0005-0000-0000-000095050000}"/>
    <cellStyle name="40% - 강조색5 20" xfId="1454" xr:uid="{00000000-0005-0000-0000-000096050000}"/>
    <cellStyle name="40% - 강조색5 21" xfId="1455" xr:uid="{00000000-0005-0000-0000-000097050000}"/>
    <cellStyle name="40% - 강조색5 22" xfId="1456" xr:uid="{00000000-0005-0000-0000-000098050000}"/>
    <cellStyle name="40% - 강조색5 23" xfId="1457" xr:uid="{00000000-0005-0000-0000-000099050000}"/>
    <cellStyle name="40% - 강조색5 24" xfId="1458" xr:uid="{00000000-0005-0000-0000-00009A050000}"/>
    <cellStyle name="40% - 강조색5 3" xfId="1459" xr:uid="{00000000-0005-0000-0000-00009B050000}"/>
    <cellStyle name="40% - 강조색5 3 10" xfId="1460" xr:uid="{00000000-0005-0000-0000-00009C050000}"/>
    <cellStyle name="40% - 강조색5 3 11" xfId="1461" xr:uid="{00000000-0005-0000-0000-00009D050000}"/>
    <cellStyle name="40% - 강조색5 3 12" xfId="1462" xr:uid="{00000000-0005-0000-0000-00009E050000}"/>
    <cellStyle name="40% - 강조색5 3 13" xfId="1463" xr:uid="{00000000-0005-0000-0000-00009F050000}"/>
    <cellStyle name="40% - 강조색5 3 14" xfId="1464" xr:uid="{00000000-0005-0000-0000-0000A0050000}"/>
    <cellStyle name="40% - 강조색5 3 2" xfId="1465" xr:uid="{00000000-0005-0000-0000-0000A1050000}"/>
    <cellStyle name="40% - 강조색5 3 3" xfId="1466" xr:uid="{00000000-0005-0000-0000-0000A2050000}"/>
    <cellStyle name="40% - 강조색5 3 4" xfId="1467" xr:uid="{00000000-0005-0000-0000-0000A3050000}"/>
    <cellStyle name="40% - 강조색5 3 5" xfId="1468" xr:uid="{00000000-0005-0000-0000-0000A4050000}"/>
    <cellStyle name="40% - 강조색5 3 6" xfId="1469" xr:uid="{00000000-0005-0000-0000-0000A5050000}"/>
    <cellStyle name="40% - 강조색5 3 7" xfId="1470" xr:uid="{00000000-0005-0000-0000-0000A6050000}"/>
    <cellStyle name="40% - 강조색5 3 8" xfId="1471" xr:uid="{00000000-0005-0000-0000-0000A7050000}"/>
    <cellStyle name="40% - 강조색5 3 9" xfId="1472" xr:uid="{00000000-0005-0000-0000-0000A8050000}"/>
    <cellStyle name="40% - 강조색5 4" xfId="1473" xr:uid="{00000000-0005-0000-0000-0000A9050000}"/>
    <cellStyle name="40% - 강조색5 5" xfId="1474" xr:uid="{00000000-0005-0000-0000-0000AA050000}"/>
    <cellStyle name="40% - 강조색5 6" xfId="1475" xr:uid="{00000000-0005-0000-0000-0000AB050000}"/>
    <cellStyle name="40% - 강조색5 7" xfId="1476" xr:uid="{00000000-0005-0000-0000-0000AC050000}"/>
    <cellStyle name="40% - 강조색5 8" xfId="1477" xr:uid="{00000000-0005-0000-0000-0000AD050000}"/>
    <cellStyle name="40% - 강조색5 9" xfId="1478" xr:uid="{00000000-0005-0000-0000-0000AE050000}"/>
    <cellStyle name="40% - 강조색6 10" xfId="1479" xr:uid="{00000000-0005-0000-0000-0000AF050000}"/>
    <cellStyle name="40% - 강조색6 11" xfId="1480" xr:uid="{00000000-0005-0000-0000-0000B0050000}"/>
    <cellStyle name="40% - 강조색6 12" xfId="1481" xr:uid="{00000000-0005-0000-0000-0000B1050000}"/>
    <cellStyle name="40% - 강조색6 13" xfId="1482" xr:uid="{00000000-0005-0000-0000-0000B2050000}"/>
    <cellStyle name="40% - 강조색6 14" xfId="1483" xr:uid="{00000000-0005-0000-0000-0000B3050000}"/>
    <cellStyle name="40% - 강조색6 15" xfId="1484" xr:uid="{00000000-0005-0000-0000-0000B4050000}"/>
    <cellStyle name="40% - 강조색6 16" xfId="1485" xr:uid="{00000000-0005-0000-0000-0000B5050000}"/>
    <cellStyle name="40% - 강조색6 17" xfId="1486" xr:uid="{00000000-0005-0000-0000-0000B6050000}"/>
    <cellStyle name="40% - 강조색6 18" xfId="1487" xr:uid="{00000000-0005-0000-0000-0000B7050000}"/>
    <cellStyle name="40% - 강조색6 19" xfId="1488" xr:uid="{00000000-0005-0000-0000-0000B8050000}"/>
    <cellStyle name="40% - 강조색6 2" xfId="1489" xr:uid="{00000000-0005-0000-0000-0000B9050000}"/>
    <cellStyle name="40% - 강조색6 2 10" xfId="1490" xr:uid="{00000000-0005-0000-0000-0000BA050000}"/>
    <cellStyle name="40% - 강조색6 2 11" xfId="1491" xr:uid="{00000000-0005-0000-0000-0000BB050000}"/>
    <cellStyle name="40% - 강조색6 2 12" xfId="1492" xr:uid="{00000000-0005-0000-0000-0000BC050000}"/>
    <cellStyle name="40% - 강조색6 2 13" xfId="1493" xr:uid="{00000000-0005-0000-0000-0000BD050000}"/>
    <cellStyle name="40% - 강조색6 2 14" xfId="1494" xr:uid="{00000000-0005-0000-0000-0000BE050000}"/>
    <cellStyle name="40% - 강조색6 2 15" xfId="1495" xr:uid="{00000000-0005-0000-0000-0000BF050000}"/>
    <cellStyle name="40% - 강조색6 2 16" xfId="1496" xr:uid="{00000000-0005-0000-0000-0000C0050000}"/>
    <cellStyle name="40% - 강조색6 2 17" xfId="1497" xr:uid="{00000000-0005-0000-0000-0000C1050000}"/>
    <cellStyle name="40% - 강조색6 2 18" xfId="1498" xr:uid="{00000000-0005-0000-0000-0000C2050000}"/>
    <cellStyle name="40% - 강조색6 2 19" xfId="1499" xr:uid="{00000000-0005-0000-0000-0000C3050000}"/>
    <cellStyle name="40% - 강조색6 2 2" xfId="1500" xr:uid="{00000000-0005-0000-0000-0000C4050000}"/>
    <cellStyle name="40% - 강조색6 2 2 10" xfId="1501" xr:uid="{00000000-0005-0000-0000-0000C5050000}"/>
    <cellStyle name="40% - 강조색6 2 2 11" xfId="1502" xr:uid="{00000000-0005-0000-0000-0000C6050000}"/>
    <cellStyle name="40% - 강조색6 2 2 12" xfId="1503" xr:uid="{00000000-0005-0000-0000-0000C7050000}"/>
    <cellStyle name="40% - 강조색6 2 2 13" xfId="1504" xr:uid="{00000000-0005-0000-0000-0000C8050000}"/>
    <cellStyle name="40% - 강조색6 2 2 14" xfId="1505" xr:uid="{00000000-0005-0000-0000-0000C9050000}"/>
    <cellStyle name="40% - 강조색6 2 2 2" xfId="1506" xr:uid="{00000000-0005-0000-0000-0000CA050000}"/>
    <cellStyle name="40% - 강조색6 2 2 3" xfId="1507" xr:uid="{00000000-0005-0000-0000-0000CB050000}"/>
    <cellStyle name="40% - 강조색6 2 2 4" xfId="1508" xr:uid="{00000000-0005-0000-0000-0000CC050000}"/>
    <cellStyle name="40% - 강조색6 2 2 5" xfId="1509" xr:uid="{00000000-0005-0000-0000-0000CD050000}"/>
    <cellStyle name="40% - 강조색6 2 2 6" xfId="1510" xr:uid="{00000000-0005-0000-0000-0000CE050000}"/>
    <cellStyle name="40% - 강조색6 2 2 7" xfId="1511" xr:uid="{00000000-0005-0000-0000-0000CF050000}"/>
    <cellStyle name="40% - 강조색6 2 2 8" xfId="1512" xr:uid="{00000000-0005-0000-0000-0000D0050000}"/>
    <cellStyle name="40% - 강조색6 2 2 9" xfId="1513" xr:uid="{00000000-0005-0000-0000-0000D1050000}"/>
    <cellStyle name="40% - 강조색6 2 20" xfId="1514" xr:uid="{00000000-0005-0000-0000-0000D2050000}"/>
    <cellStyle name="40% - 강조색6 2 21" xfId="1515" xr:uid="{00000000-0005-0000-0000-0000D3050000}"/>
    <cellStyle name="40% - 강조색6 2 22" xfId="1516" xr:uid="{00000000-0005-0000-0000-0000D4050000}"/>
    <cellStyle name="40% - 강조색6 2 23" xfId="1517" xr:uid="{00000000-0005-0000-0000-0000D5050000}"/>
    <cellStyle name="40% - 강조색6 2 24" xfId="1518" xr:uid="{00000000-0005-0000-0000-0000D6050000}"/>
    <cellStyle name="40% - 강조색6 2 3" xfId="1519" xr:uid="{00000000-0005-0000-0000-0000D7050000}"/>
    <cellStyle name="40% - 강조색6 2 4" xfId="1520" xr:uid="{00000000-0005-0000-0000-0000D8050000}"/>
    <cellStyle name="40% - 강조색6 2 5" xfId="1521" xr:uid="{00000000-0005-0000-0000-0000D9050000}"/>
    <cellStyle name="40% - 강조색6 2 6" xfId="1522" xr:uid="{00000000-0005-0000-0000-0000DA050000}"/>
    <cellStyle name="40% - 강조색6 2 7" xfId="1523" xr:uid="{00000000-0005-0000-0000-0000DB050000}"/>
    <cellStyle name="40% - 강조색6 2 8" xfId="1524" xr:uid="{00000000-0005-0000-0000-0000DC050000}"/>
    <cellStyle name="40% - 강조색6 2 9" xfId="1525" xr:uid="{00000000-0005-0000-0000-0000DD050000}"/>
    <cellStyle name="40% - 강조색6 20" xfId="1526" xr:uid="{00000000-0005-0000-0000-0000DE050000}"/>
    <cellStyle name="40% - 강조색6 21" xfId="1527" xr:uid="{00000000-0005-0000-0000-0000DF050000}"/>
    <cellStyle name="40% - 강조색6 22" xfId="1528" xr:uid="{00000000-0005-0000-0000-0000E0050000}"/>
    <cellStyle name="40% - 강조색6 23" xfId="1529" xr:uid="{00000000-0005-0000-0000-0000E1050000}"/>
    <cellStyle name="40% - 강조색6 24" xfId="1530" xr:uid="{00000000-0005-0000-0000-0000E2050000}"/>
    <cellStyle name="40% - 강조색6 3" xfId="1531" xr:uid="{00000000-0005-0000-0000-0000E3050000}"/>
    <cellStyle name="40% - 강조색6 3 10" xfId="1532" xr:uid="{00000000-0005-0000-0000-0000E4050000}"/>
    <cellStyle name="40% - 강조색6 3 11" xfId="1533" xr:uid="{00000000-0005-0000-0000-0000E5050000}"/>
    <cellStyle name="40% - 강조색6 3 12" xfId="1534" xr:uid="{00000000-0005-0000-0000-0000E6050000}"/>
    <cellStyle name="40% - 강조색6 3 13" xfId="1535" xr:uid="{00000000-0005-0000-0000-0000E7050000}"/>
    <cellStyle name="40% - 강조색6 3 14" xfId="1536" xr:uid="{00000000-0005-0000-0000-0000E8050000}"/>
    <cellStyle name="40% - 강조색6 3 2" xfId="1537" xr:uid="{00000000-0005-0000-0000-0000E9050000}"/>
    <cellStyle name="40% - 강조색6 3 3" xfId="1538" xr:uid="{00000000-0005-0000-0000-0000EA050000}"/>
    <cellStyle name="40% - 강조색6 3 4" xfId="1539" xr:uid="{00000000-0005-0000-0000-0000EB050000}"/>
    <cellStyle name="40% - 강조색6 3 5" xfId="1540" xr:uid="{00000000-0005-0000-0000-0000EC050000}"/>
    <cellStyle name="40% - 강조색6 3 6" xfId="1541" xr:uid="{00000000-0005-0000-0000-0000ED050000}"/>
    <cellStyle name="40% - 강조색6 3 7" xfId="1542" xr:uid="{00000000-0005-0000-0000-0000EE050000}"/>
    <cellStyle name="40% - 강조색6 3 8" xfId="1543" xr:uid="{00000000-0005-0000-0000-0000EF050000}"/>
    <cellStyle name="40% - 강조색6 3 9" xfId="1544" xr:uid="{00000000-0005-0000-0000-0000F0050000}"/>
    <cellStyle name="40% - 강조색6 4" xfId="1545" xr:uid="{00000000-0005-0000-0000-0000F1050000}"/>
    <cellStyle name="40% - 강조색6 5" xfId="1546" xr:uid="{00000000-0005-0000-0000-0000F2050000}"/>
    <cellStyle name="40% - 강조색6 6" xfId="1547" xr:uid="{00000000-0005-0000-0000-0000F3050000}"/>
    <cellStyle name="40% - 강조색6 7" xfId="1548" xr:uid="{00000000-0005-0000-0000-0000F4050000}"/>
    <cellStyle name="40% - 강조색6 8" xfId="1549" xr:uid="{00000000-0005-0000-0000-0000F5050000}"/>
    <cellStyle name="40% - 강조색6 9" xfId="1550" xr:uid="{00000000-0005-0000-0000-0000F6050000}"/>
    <cellStyle name="60% - Accent1" xfId="1551" xr:uid="{00000000-0005-0000-0000-0000F7050000}"/>
    <cellStyle name="60% - Accent2" xfId="1552" xr:uid="{00000000-0005-0000-0000-0000F8050000}"/>
    <cellStyle name="60% - Accent3" xfId="1553" xr:uid="{00000000-0005-0000-0000-0000F9050000}"/>
    <cellStyle name="60% - Accent4" xfId="1554" xr:uid="{00000000-0005-0000-0000-0000FA050000}"/>
    <cellStyle name="60% - Accent5" xfId="1555" xr:uid="{00000000-0005-0000-0000-0000FB050000}"/>
    <cellStyle name="60% - Accent6" xfId="1556" xr:uid="{00000000-0005-0000-0000-0000FC050000}"/>
    <cellStyle name="60% - アクセント 1" xfId="1557" xr:uid="{00000000-0005-0000-0000-0000FD050000}"/>
    <cellStyle name="60% - アクセント 2" xfId="1558" xr:uid="{00000000-0005-0000-0000-0000FE050000}"/>
    <cellStyle name="60% - アクセント 3" xfId="1559" xr:uid="{00000000-0005-0000-0000-0000FF050000}"/>
    <cellStyle name="60% - アクセント 4" xfId="1560" xr:uid="{00000000-0005-0000-0000-000000060000}"/>
    <cellStyle name="60% - アクセント 5" xfId="1561" xr:uid="{00000000-0005-0000-0000-000001060000}"/>
    <cellStyle name="60% - アクセント 6" xfId="1562" xr:uid="{00000000-0005-0000-0000-000002060000}"/>
    <cellStyle name="60% - 강조색1 10" xfId="1563" xr:uid="{00000000-0005-0000-0000-000003060000}"/>
    <cellStyle name="60% - 강조색1 11" xfId="1564" xr:uid="{00000000-0005-0000-0000-000004060000}"/>
    <cellStyle name="60% - 강조색1 12" xfId="1565" xr:uid="{00000000-0005-0000-0000-000005060000}"/>
    <cellStyle name="60% - 강조색1 13" xfId="1566" xr:uid="{00000000-0005-0000-0000-000006060000}"/>
    <cellStyle name="60% - 강조색1 14" xfId="1567" xr:uid="{00000000-0005-0000-0000-000007060000}"/>
    <cellStyle name="60% - 강조색1 15" xfId="1568" xr:uid="{00000000-0005-0000-0000-000008060000}"/>
    <cellStyle name="60% - 강조색1 16" xfId="1569" xr:uid="{00000000-0005-0000-0000-000009060000}"/>
    <cellStyle name="60% - 강조색1 17" xfId="1570" xr:uid="{00000000-0005-0000-0000-00000A060000}"/>
    <cellStyle name="60% - 강조색1 18" xfId="1571" xr:uid="{00000000-0005-0000-0000-00000B060000}"/>
    <cellStyle name="60% - 강조색1 19" xfId="1572" xr:uid="{00000000-0005-0000-0000-00000C060000}"/>
    <cellStyle name="60% - 강조색1 2" xfId="1573" xr:uid="{00000000-0005-0000-0000-00000D060000}"/>
    <cellStyle name="60% - 강조색1 2 10" xfId="1574" xr:uid="{00000000-0005-0000-0000-00000E060000}"/>
    <cellStyle name="60% - 강조색1 2 11" xfId="1575" xr:uid="{00000000-0005-0000-0000-00000F060000}"/>
    <cellStyle name="60% - 강조색1 2 12" xfId="1576" xr:uid="{00000000-0005-0000-0000-000010060000}"/>
    <cellStyle name="60% - 강조색1 2 13" xfId="1577" xr:uid="{00000000-0005-0000-0000-000011060000}"/>
    <cellStyle name="60% - 강조색1 2 14" xfId="1578" xr:uid="{00000000-0005-0000-0000-000012060000}"/>
    <cellStyle name="60% - 강조색1 2 15" xfId="1579" xr:uid="{00000000-0005-0000-0000-000013060000}"/>
    <cellStyle name="60% - 강조색1 2 16" xfId="1580" xr:uid="{00000000-0005-0000-0000-000014060000}"/>
    <cellStyle name="60% - 강조색1 2 17" xfId="1581" xr:uid="{00000000-0005-0000-0000-000015060000}"/>
    <cellStyle name="60% - 강조색1 2 18" xfId="1582" xr:uid="{00000000-0005-0000-0000-000016060000}"/>
    <cellStyle name="60% - 강조색1 2 19" xfId="1583" xr:uid="{00000000-0005-0000-0000-000017060000}"/>
    <cellStyle name="60% - 강조색1 2 2" xfId="1584" xr:uid="{00000000-0005-0000-0000-000018060000}"/>
    <cellStyle name="60% - 강조색1 2 2 10" xfId="1585" xr:uid="{00000000-0005-0000-0000-000019060000}"/>
    <cellStyle name="60% - 강조색1 2 2 11" xfId="1586" xr:uid="{00000000-0005-0000-0000-00001A060000}"/>
    <cellStyle name="60% - 강조색1 2 2 12" xfId="1587" xr:uid="{00000000-0005-0000-0000-00001B060000}"/>
    <cellStyle name="60% - 강조색1 2 2 13" xfId="1588" xr:uid="{00000000-0005-0000-0000-00001C060000}"/>
    <cellStyle name="60% - 강조색1 2 2 14" xfId="1589" xr:uid="{00000000-0005-0000-0000-00001D060000}"/>
    <cellStyle name="60% - 강조색1 2 2 2" xfId="1590" xr:uid="{00000000-0005-0000-0000-00001E060000}"/>
    <cellStyle name="60% - 강조색1 2 2 3" xfId="1591" xr:uid="{00000000-0005-0000-0000-00001F060000}"/>
    <cellStyle name="60% - 강조색1 2 2 4" xfId="1592" xr:uid="{00000000-0005-0000-0000-000020060000}"/>
    <cellStyle name="60% - 강조색1 2 2 5" xfId="1593" xr:uid="{00000000-0005-0000-0000-000021060000}"/>
    <cellStyle name="60% - 강조색1 2 2 6" xfId="1594" xr:uid="{00000000-0005-0000-0000-000022060000}"/>
    <cellStyle name="60% - 강조색1 2 2 7" xfId="1595" xr:uid="{00000000-0005-0000-0000-000023060000}"/>
    <cellStyle name="60% - 강조색1 2 2 8" xfId="1596" xr:uid="{00000000-0005-0000-0000-000024060000}"/>
    <cellStyle name="60% - 강조색1 2 2 9" xfId="1597" xr:uid="{00000000-0005-0000-0000-000025060000}"/>
    <cellStyle name="60% - 강조색1 2 20" xfId="1598" xr:uid="{00000000-0005-0000-0000-000026060000}"/>
    <cellStyle name="60% - 강조색1 2 21" xfId="1599" xr:uid="{00000000-0005-0000-0000-000027060000}"/>
    <cellStyle name="60% - 강조색1 2 22" xfId="1600" xr:uid="{00000000-0005-0000-0000-000028060000}"/>
    <cellStyle name="60% - 강조색1 2 23" xfId="1601" xr:uid="{00000000-0005-0000-0000-000029060000}"/>
    <cellStyle name="60% - 강조색1 2 24" xfId="1602" xr:uid="{00000000-0005-0000-0000-00002A060000}"/>
    <cellStyle name="60% - 강조색1 2 3" xfId="1603" xr:uid="{00000000-0005-0000-0000-00002B060000}"/>
    <cellStyle name="60% - 강조색1 2 4" xfId="1604" xr:uid="{00000000-0005-0000-0000-00002C060000}"/>
    <cellStyle name="60% - 강조색1 2 5" xfId="1605" xr:uid="{00000000-0005-0000-0000-00002D060000}"/>
    <cellStyle name="60% - 강조색1 2 6" xfId="1606" xr:uid="{00000000-0005-0000-0000-00002E060000}"/>
    <cellStyle name="60% - 강조색1 2 7" xfId="1607" xr:uid="{00000000-0005-0000-0000-00002F060000}"/>
    <cellStyle name="60% - 강조색1 2 8" xfId="1608" xr:uid="{00000000-0005-0000-0000-000030060000}"/>
    <cellStyle name="60% - 강조색1 2 9" xfId="1609" xr:uid="{00000000-0005-0000-0000-000031060000}"/>
    <cellStyle name="60% - 강조색1 20" xfId="1610" xr:uid="{00000000-0005-0000-0000-000032060000}"/>
    <cellStyle name="60% - 강조색1 21" xfId="1611" xr:uid="{00000000-0005-0000-0000-000033060000}"/>
    <cellStyle name="60% - 강조색1 22" xfId="1612" xr:uid="{00000000-0005-0000-0000-000034060000}"/>
    <cellStyle name="60% - 강조색1 23" xfId="1613" xr:uid="{00000000-0005-0000-0000-000035060000}"/>
    <cellStyle name="60% - 강조색1 24" xfId="1614" xr:uid="{00000000-0005-0000-0000-000036060000}"/>
    <cellStyle name="60% - 강조색1 3" xfId="1615" xr:uid="{00000000-0005-0000-0000-000037060000}"/>
    <cellStyle name="60% - 강조색1 3 10" xfId="1616" xr:uid="{00000000-0005-0000-0000-000038060000}"/>
    <cellStyle name="60% - 강조색1 3 11" xfId="1617" xr:uid="{00000000-0005-0000-0000-000039060000}"/>
    <cellStyle name="60% - 강조색1 3 12" xfId="1618" xr:uid="{00000000-0005-0000-0000-00003A060000}"/>
    <cellStyle name="60% - 강조색1 3 13" xfId="1619" xr:uid="{00000000-0005-0000-0000-00003B060000}"/>
    <cellStyle name="60% - 강조색1 3 14" xfId="1620" xr:uid="{00000000-0005-0000-0000-00003C060000}"/>
    <cellStyle name="60% - 강조색1 3 2" xfId="1621" xr:uid="{00000000-0005-0000-0000-00003D060000}"/>
    <cellStyle name="60% - 강조색1 3 3" xfId="1622" xr:uid="{00000000-0005-0000-0000-00003E060000}"/>
    <cellStyle name="60% - 강조색1 3 4" xfId="1623" xr:uid="{00000000-0005-0000-0000-00003F060000}"/>
    <cellStyle name="60% - 강조색1 3 5" xfId="1624" xr:uid="{00000000-0005-0000-0000-000040060000}"/>
    <cellStyle name="60% - 강조색1 3 6" xfId="1625" xr:uid="{00000000-0005-0000-0000-000041060000}"/>
    <cellStyle name="60% - 강조색1 3 7" xfId="1626" xr:uid="{00000000-0005-0000-0000-000042060000}"/>
    <cellStyle name="60% - 강조색1 3 8" xfId="1627" xr:uid="{00000000-0005-0000-0000-000043060000}"/>
    <cellStyle name="60% - 강조색1 3 9" xfId="1628" xr:uid="{00000000-0005-0000-0000-000044060000}"/>
    <cellStyle name="60% - 강조색1 4" xfId="1629" xr:uid="{00000000-0005-0000-0000-000045060000}"/>
    <cellStyle name="60% - 강조색1 5" xfId="1630" xr:uid="{00000000-0005-0000-0000-000046060000}"/>
    <cellStyle name="60% - 강조색1 6" xfId="1631" xr:uid="{00000000-0005-0000-0000-000047060000}"/>
    <cellStyle name="60% - 강조색1 7" xfId="1632" xr:uid="{00000000-0005-0000-0000-000048060000}"/>
    <cellStyle name="60% - 강조색1 8" xfId="1633" xr:uid="{00000000-0005-0000-0000-000049060000}"/>
    <cellStyle name="60% - 강조색1 9" xfId="1634" xr:uid="{00000000-0005-0000-0000-00004A060000}"/>
    <cellStyle name="60% - 강조색2 10" xfId="1635" xr:uid="{00000000-0005-0000-0000-00004B060000}"/>
    <cellStyle name="60% - 강조색2 11" xfId="1636" xr:uid="{00000000-0005-0000-0000-00004C060000}"/>
    <cellStyle name="60% - 강조색2 12" xfId="1637" xr:uid="{00000000-0005-0000-0000-00004D060000}"/>
    <cellStyle name="60% - 강조색2 13" xfId="1638" xr:uid="{00000000-0005-0000-0000-00004E060000}"/>
    <cellStyle name="60% - 강조색2 14" xfId="1639" xr:uid="{00000000-0005-0000-0000-00004F060000}"/>
    <cellStyle name="60% - 강조색2 15" xfId="1640" xr:uid="{00000000-0005-0000-0000-000050060000}"/>
    <cellStyle name="60% - 강조색2 16" xfId="1641" xr:uid="{00000000-0005-0000-0000-000051060000}"/>
    <cellStyle name="60% - 강조색2 17" xfId="1642" xr:uid="{00000000-0005-0000-0000-000052060000}"/>
    <cellStyle name="60% - 강조색2 18" xfId="1643" xr:uid="{00000000-0005-0000-0000-000053060000}"/>
    <cellStyle name="60% - 강조색2 19" xfId="1644" xr:uid="{00000000-0005-0000-0000-000054060000}"/>
    <cellStyle name="60% - 강조색2 2" xfId="1645" xr:uid="{00000000-0005-0000-0000-000055060000}"/>
    <cellStyle name="60% - 강조색2 2 10" xfId="1646" xr:uid="{00000000-0005-0000-0000-000056060000}"/>
    <cellStyle name="60% - 강조색2 2 11" xfId="1647" xr:uid="{00000000-0005-0000-0000-000057060000}"/>
    <cellStyle name="60% - 강조색2 2 12" xfId="1648" xr:uid="{00000000-0005-0000-0000-000058060000}"/>
    <cellStyle name="60% - 강조색2 2 13" xfId="1649" xr:uid="{00000000-0005-0000-0000-000059060000}"/>
    <cellStyle name="60% - 강조색2 2 14" xfId="1650" xr:uid="{00000000-0005-0000-0000-00005A060000}"/>
    <cellStyle name="60% - 강조색2 2 15" xfId="1651" xr:uid="{00000000-0005-0000-0000-00005B060000}"/>
    <cellStyle name="60% - 강조색2 2 16" xfId="1652" xr:uid="{00000000-0005-0000-0000-00005C060000}"/>
    <cellStyle name="60% - 강조색2 2 17" xfId="1653" xr:uid="{00000000-0005-0000-0000-00005D060000}"/>
    <cellStyle name="60% - 강조색2 2 18" xfId="1654" xr:uid="{00000000-0005-0000-0000-00005E060000}"/>
    <cellStyle name="60% - 강조색2 2 19" xfId="1655" xr:uid="{00000000-0005-0000-0000-00005F060000}"/>
    <cellStyle name="60% - 강조색2 2 2" xfId="1656" xr:uid="{00000000-0005-0000-0000-000060060000}"/>
    <cellStyle name="60% - 강조색2 2 2 10" xfId="1657" xr:uid="{00000000-0005-0000-0000-000061060000}"/>
    <cellStyle name="60% - 강조색2 2 2 11" xfId="1658" xr:uid="{00000000-0005-0000-0000-000062060000}"/>
    <cellStyle name="60% - 강조색2 2 2 12" xfId="1659" xr:uid="{00000000-0005-0000-0000-000063060000}"/>
    <cellStyle name="60% - 강조색2 2 2 13" xfId="1660" xr:uid="{00000000-0005-0000-0000-000064060000}"/>
    <cellStyle name="60% - 강조색2 2 2 14" xfId="1661" xr:uid="{00000000-0005-0000-0000-000065060000}"/>
    <cellStyle name="60% - 강조색2 2 2 2" xfId="1662" xr:uid="{00000000-0005-0000-0000-000066060000}"/>
    <cellStyle name="60% - 강조색2 2 2 3" xfId="1663" xr:uid="{00000000-0005-0000-0000-000067060000}"/>
    <cellStyle name="60% - 강조색2 2 2 4" xfId="1664" xr:uid="{00000000-0005-0000-0000-000068060000}"/>
    <cellStyle name="60% - 강조색2 2 2 5" xfId="1665" xr:uid="{00000000-0005-0000-0000-000069060000}"/>
    <cellStyle name="60% - 강조색2 2 2 6" xfId="1666" xr:uid="{00000000-0005-0000-0000-00006A060000}"/>
    <cellStyle name="60% - 강조색2 2 2 7" xfId="1667" xr:uid="{00000000-0005-0000-0000-00006B060000}"/>
    <cellStyle name="60% - 강조색2 2 2 8" xfId="1668" xr:uid="{00000000-0005-0000-0000-00006C060000}"/>
    <cellStyle name="60% - 강조색2 2 2 9" xfId="1669" xr:uid="{00000000-0005-0000-0000-00006D060000}"/>
    <cellStyle name="60% - 강조색2 2 20" xfId="1670" xr:uid="{00000000-0005-0000-0000-00006E060000}"/>
    <cellStyle name="60% - 강조색2 2 21" xfId="1671" xr:uid="{00000000-0005-0000-0000-00006F060000}"/>
    <cellStyle name="60% - 강조색2 2 22" xfId="1672" xr:uid="{00000000-0005-0000-0000-000070060000}"/>
    <cellStyle name="60% - 강조색2 2 23" xfId="1673" xr:uid="{00000000-0005-0000-0000-000071060000}"/>
    <cellStyle name="60% - 강조색2 2 24" xfId="1674" xr:uid="{00000000-0005-0000-0000-000072060000}"/>
    <cellStyle name="60% - 강조색2 2 3" xfId="1675" xr:uid="{00000000-0005-0000-0000-000073060000}"/>
    <cellStyle name="60% - 강조색2 2 4" xfId="1676" xr:uid="{00000000-0005-0000-0000-000074060000}"/>
    <cellStyle name="60% - 강조색2 2 5" xfId="1677" xr:uid="{00000000-0005-0000-0000-000075060000}"/>
    <cellStyle name="60% - 강조색2 2 6" xfId="1678" xr:uid="{00000000-0005-0000-0000-000076060000}"/>
    <cellStyle name="60% - 강조색2 2 7" xfId="1679" xr:uid="{00000000-0005-0000-0000-000077060000}"/>
    <cellStyle name="60% - 강조색2 2 8" xfId="1680" xr:uid="{00000000-0005-0000-0000-000078060000}"/>
    <cellStyle name="60% - 강조색2 2 9" xfId="1681" xr:uid="{00000000-0005-0000-0000-000079060000}"/>
    <cellStyle name="60% - 강조색2 20" xfId="1682" xr:uid="{00000000-0005-0000-0000-00007A060000}"/>
    <cellStyle name="60% - 강조색2 21" xfId="1683" xr:uid="{00000000-0005-0000-0000-00007B060000}"/>
    <cellStyle name="60% - 강조색2 22" xfId="1684" xr:uid="{00000000-0005-0000-0000-00007C060000}"/>
    <cellStyle name="60% - 강조색2 23" xfId="1685" xr:uid="{00000000-0005-0000-0000-00007D060000}"/>
    <cellStyle name="60% - 강조색2 24" xfId="1686" xr:uid="{00000000-0005-0000-0000-00007E060000}"/>
    <cellStyle name="60% - 강조색2 3" xfId="1687" xr:uid="{00000000-0005-0000-0000-00007F060000}"/>
    <cellStyle name="60% - 강조색2 3 10" xfId="1688" xr:uid="{00000000-0005-0000-0000-000080060000}"/>
    <cellStyle name="60% - 강조색2 3 11" xfId="1689" xr:uid="{00000000-0005-0000-0000-000081060000}"/>
    <cellStyle name="60% - 강조색2 3 12" xfId="1690" xr:uid="{00000000-0005-0000-0000-000082060000}"/>
    <cellStyle name="60% - 강조색2 3 13" xfId="1691" xr:uid="{00000000-0005-0000-0000-000083060000}"/>
    <cellStyle name="60% - 강조색2 3 14" xfId="1692" xr:uid="{00000000-0005-0000-0000-000084060000}"/>
    <cellStyle name="60% - 강조색2 3 2" xfId="1693" xr:uid="{00000000-0005-0000-0000-000085060000}"/>
    <cellStyle name="60% - 강조색2 3 3" xfId="1694" xr:uid="{00000000-0005-0000-0000-000086060000}"/>
    <cellStyle name="60% - 강조색2 3 4" xfId="1695" xr:uid="{00000000-0005-0000-0000-000087060000}"/>
    <cellStyle name="60% - 강조색2 3 5" xfId="1696" xr:uid="{00000000-0005-0000-0000-000088060000}"/>
    <cellStyle name="60% - 강조색2 3 6" xfId="1697" xr:uid="{00000000-0005-0000-0000-000089060000}"/>
    <cellStyle name="60% - 강조색2 3 7" xfId="1698" xr:uid="{00000000-0005-0000-0000-00008A060000}"/>
    <cellStyle name="60% - 강조색2 3 8" xfId="1699" xr:uid="{00000000-0005-0000-0000-00008B060000}"/>
    <cellStyle name="60% - 강조색2 3 9" xfId="1700" xr:uid="{00000000-0005-0000-0000-00008C060000}"/>
    <cellStyle name="60% - 강조색2 4" xfId="1701" xr:uid="{00000000-0005-0000-0000-00008D060000}"/>
    <cellStyle name="60% - 강조색2 5" xfId="1702" xr:uid="{00000000-0005-0000-0000-00008E060000}"/>
    <cellStyle name="60% - 강조색2 6" xfId="1703" xr:uid="{00000000-0005-0000-0000-00008F060000}"/>
    <cellStyle name="60% - 강조색2 7" xfId="1704" xr:uid="{00000000-0005-0000-0000-000090060000}"/>
    <cellStyle name="60% - 강조색2 8" xfId="1705" xr:uid="{00000000-0005-0000-0000-000091060000}"/>
    <cellStyle name="60% - 강조색2 9" xfId="1706" xr:uid="{00000000-0005-0000-0000-000092060000}"/>
    <cellStyle name="60% - 강조색3 10" xfId="1707" xr:uid="{00000000-0005-0000-0000-000093060000}"/>
    <cellStyle name="60% - 강조색3 11" xfId="1708" xr:uid="{00000000-0005-0000-0000-000094060000}"/>
    <cellStyle name="60% - 강조색3 12" xfId="1709" xr:uid="{00000000-0005-0000-0000-000095060000}"/>
    <cellStyle name="60% - 강조색3 13" xfId="1710" xr:uid="{00000000-0005-0000-0000-000096060000}"/>
    <cellStyle name="60% - 강조색3 14" xfId="1711" xr:uid="{00000000-0005-0000-0000-000097060000}"/>
    <cellStyle name="60% - 강조색3 15" xfId="1712" xr:uid="{00000000-0005-0000-0000-000098060000}"/>
    <cellStyle name="60% - 강조색3 16" xfId="1713" xr:uid="{00000000-0005-0000-0000-000099060000}"/>
    <cellStyle name="60% - 강조색3 17" xfId="1714" xr:uid="{00000000-0005-0000-0000-00009A060000}"/>
    <cellStyle name="60% - 강조색3 18" xfId="1715" xr:uid="{00000000-0005-0000-0000-00009B060000}"/>
    <cellStyle name="60% - 강조색3 19" xfId="1716" xr:uid="{00000000-0005-0000-0000-00009C060000}"/>
    <cellStyle name="60% - 강조색3 2" xfId="1717" xr:uid="{00000000-0005-0000-0000-00009D060000}"/>
    <cellStyle name="60% - 강조색3 2 10" xfId="1718" xr:uid="{00000000-0005-0000-0000-00009E060000}"/>
    <cellStyle name="60% - 강조색3 2 11" xfId="1719" xr:uid="{00000000-0005-0000-0000-00009F060000}"/>
    <cellStyle name="60% - 강조색3 2 12" xfId="1720" xr:uid="{00000000-0005-0000-0000-0000A0060000}"/>
    <cellStyle name="60% - 강조색3 2 13" xfId="1721" xr:uid="{00000000-0005-0000-0000-0000A1060000}"/>
    <cellStyle name="60% - 강조색3 2 14" xfId="1722" xr:uid="{00000000-0005-0000-0000-0000A2060000}"/>
    <cellStyle name="60% - 강조색3 2 15" xfId="1723" xr:uid="{00000000-0005-0000-0000-0000A3060000}"/>
    <cellStyle name="60% - 강조색3 2 16" xfId="1724" xr:uid="{00000000-0005-0000-0000-0000A4060000}"/>
    <cellStyle name="60% - 강조색3 2 17" xfId="1725" xr:uid="{00000000-0005-0000-0000-0000A5060000}"/>
    <cellStyle name="60% - 강조색3 2 18" xfId="1726" xr:uid="{00000000-0005-0000-0000-0000A6060000}"/>
    <cellStyle name="60% - 강조색3 2 19" xfId="1727" xr:uid="{00000000-0005-0000-0000-0000A7060000}"/>
    <cellStyle name="60% - 강조색3 2 2" xfId="1728" xr:uid="{00000000-0005-0000-0000-0000A8060000}"/>
    <cellStyle name="60% - 강조색3 2 2 10" xfId="1729" xr:uid="{00000000-0005-0000-0000-0000A9060000}"/>
    <cellStyle name="60% - 강조색3 2 2 11" xfId="1730" xr:uid="{00000000-0005-0000-0000-0000AA060000}"/>
    <cellStyle name="60% - 강조색3 2 2 12" xfId="1731" xr:uid="{00000000-0005-0000-0000-0000AB060000}"/>
    <cellStyle name="60% - 강조색3 2 2 13" xfId="1732" xr:uid="{00000000-0005-0000-0000-0000AC060000}"/>
    <cellStyle name="60% - 강조색3 2 2 14" xfId="1733" xr:uid="{00000000-0005-0000-0000-0000AD060000}"/>
    <cellStyle name="60% - 강조색3 2 2 2" xfId="1734" xr:uid="{00000000-0005-0000-0000-0000AE060000}"/>
    <cellStyle name="60% - 강조색3 2 2 3" xfId="1735" xr:uid="{00000000-0005-0000-0000-0000AF060000}"/>
    <cellStyle name="60% - 강조색3 2 2 4" xfId="1736" xr:uid="{00000000-0005-0000-0000-0000B0060000}"/>
    <cellStyle name="60% - 강조색3 2 2 5" xfId="1737" xr:uid="{00000000-0005-0000-0000-0000B1060000}"/>
    <cellStyle name="60% - 강조색3 2 2 6" xfId="1738" xr:uid="{00000000-0005-0000-0000-0000B2060000}"/>
    <cellStyle name="60% - 강조색3 2 2 7" xfId="1739" xr:uid="{00000000-0005-0000-0000-0000B3060000}"/>
    <cellStyle name="60% - 강조색3 2 2 8" xfId="1740" xr:uid="{00000000-0005-0000-0000-0000B4060000}"/>
    <cellStyle name="60% - 강조색3 2 2 9" xfId="1741" xr:uid="{00000000-0005-0000-0000-0000B5060000}"/>
    <cellStyle name="60% - 강조색3 2 20" xfId="1742" xr:uid="{00000000-0005-0000-0000-0000B6060000}"/>
    <cellStyle name="60% - 강조색3 2 21" xfId="1743" xr:uid="{00000000-0005-0000-0000-0000B7060000}"/>
    <cellStyle name="60% - 강조색3 2 22" xfId="1744" xr:uid="{00000000-0005-0000-0000-0000B8060000}"/>
    <cellStyle name="60% - 강조색3 2 23" xfId="1745" xr:uid="{00000000-0005-0000-0000-0000B9060000}"/>
    <cellStyle name="60% - 강조색3 2 24" xfId="1746" xr:uid="{00000000-0005-0000-0000-0000BA060000}"/>
    <cellStyle name="60% - 강조색3 2 3" xfId="1747" xr:uid="{00000000-0005-0000-0000-0000BB060000}"/>
    <cellStyle name="60% - 강조색3 2 4" xfId="1748" xr:uid="{00000000-0005-0000-0000-0000BC060000}"/>
    <cellStyle name="60% - 강조색3 2 5" xfId="1749" xr:uid="{00000000-0005-0000-0000-0000BD060000}"/>
    <cellStyle name="60% - 강조색3 2 6" xfId="1750" xr:uid="{00000000-0005-0000-0000-0000BE060000}"/>
    <cellStyle name="60% - 강조색3 2 7" xfId="1751" xr:uid="{00000000-0005-0000-0000-0000BF060000}"/>
    <cellStyle name="60% - 강조색3 2 8" xfId="1752" xr:uid="{00000000-0005-0000-0000-0000C0060000}"/>
    <cellStyle name="60% - 강조색3 2 9" xfId="1753" xr:uid="{00000000-0005-0000-0000-0000C1060000}"/>
    <cellStyle name="60% - 강조색3 20" xfId="1754" xr:uid="{00000000-0005-0000-0000-0000C2060000}"/>
    <cellStyle name="60% - 강조색3 21" xfId="1755" xr:uid="{00000000-0005-0000-0000-0000C3060000}"/>
    <cellStyle name="60% - 강조색3 22" xfId="1756" xr:uid="{00000000-0005-0000-0000-0000C4060000}"/>
    <cellStyle name="60% - 강조색3 23" xfId="1757" xr:uid="{00000000-0005-0000-0000-0000C5060000}"/>
    <cellStyle name="60% - 강조색3 24" xfId="1758" xr:uid="{00000000-0005-0000-0000-0000C6060000}"/>
    <cellStyle name="60% - 강조색3 3" xfId="1759" xr:uid="{00000000-0005-0000-0000-0000C7060000}"/>
    <cellStyle name="60% - 강조색3 3 10" xfId="1760" xr:uid="{00000000-0005-0000-0000-0000C8060000}"/>
    <cellStyle name="60% - 강조색3 3 11" xfId="1761" xr:uid="{00000000-0005-0000-0000-0000C9060000}"/>
    <cellStyle name="60% - 강조색3 3 12" xfId="1762" xr:uid="{00000000-0005-0000-0000-0000CA060000}"/>
    <cellStyle name="60% - 강조색3 3 13" xfId="1763" xr:uid="{00000000-0005-0000-0000-0000CB060000}"/>
    <cellStyle name="60% - 강조색3 3 14" xfId="1764" xr:uid="{00000000-0005-0000-0000-0000CC060000}"/>
    <cellStyle name="60% - 강조색3 3 2" xfId="1765" xr:uid="{00000000-0005-0000-0000-0000CD060000}"/>
    <cellStyle name="60% - 강조색3 3 3" xfId="1766" xr:uid="{00000000-0005-0000-0000-0000CE060000}"/>
    <cellStyle name="60% - 강조색3 3 4" xfId="1767" xr:uid="{00000000-0005-0000-0000-0000CF060000}"/>
    <cellStyle name="60% - 강조색3 3 5" xfId="1768" xr:uid="{00000000-0005-0000-0000-0000D0060000}"/>
    <cellStyle name="60% - 강조색3 3 6" xfId="1769" xr:uid="{00000000-0005-0000-0000-0000D1060000}"/>
    <cellStyle name="60% - 강조색3 3 7" xfId="1770" xr:uid="{00000000-0005-0000-0000-0000D2060000}"/>
    <cellStyle name="60% - 강조색3 3 8" xfId="1771" xr:uid="{00000000-0005-0000-0000-0000D3060000}"/>
    <cellStyle name="60% - 강조색3 3 9" xfId="1772" xr:uid="{00000000-0005-0000-0000-0000D4060000}"/>
    <cellStyle name="60% - 강조색3 4" xfId="1773" xr:uid="{00000000-0005-0000-0000-0000D5060000}"/>
    <cellStyle name="60% - 강조색3 5" xfId="1774" xr:uid="{00000000-0005-0000-0000-0000D6060000}"/>
    <cellStyle name="60% - 강조색3 6" xfId="1775" xr:uid="{00000000-0005-0000-0000-0000D7060000}"/>
    <cellStyle name="60% - 강조색3 7" xfId="1776" xr:uid="{00000000-0005-0000-0000-0000D8060000}"/>
    <cellStyle name="60% - 강조색3 8" xfId="1777" xr:uid="{00000000-0005-0000-0000-0000D9060000}"/>
    <cellStyle name="60% - 강조색3 9" xfId="1778" xr:uid="{00000000-0005-0000-0000-0000DA060000}"/>
    <cellStyle name="60% - 강조색4 10" xfId="1779" xr:uid="{00000000-0005-0000-0000-0000DB060000}"/>
    <cellStyle name="60% - 강조색4 11" xfId="1780" xr:uid="{00000000-0005-0000-0000-0000DC060000}"/>
    <cellStyle name="60% - 강조색4 12" xfId="1781" xr:uid="{00000000-0005-0000-0000-0000DD060000}"/>
    <cellStyle name="60% - 강조색4 13" xfId="1782" xr:uid="{00000000-0005-0000-0000-0000DE060000}"/>
    <cellStyle name="60% - 강조색4 14" xfId="1783" xr:uid="{00000000-0005-0000-0000-0000DF060000}"/>
    <cellStyle name="60% - 강조색4 15" xfId="1784" xr:uid="{00000000-0005-0000-0000-0000E0060000}"/>
    <cellStyle name="60% - 강조색4 16" xfId="1785" xr:uid="{00000000-0005-0000-0000-0000E1060000}"/>
    <cellStyle name="60% - 강조색4 17" xfId="1786" xr:uid="{00000000-0005-0000-0000-0000E2060000}"/>
    <cellStyle name="60% - 강조색4 18" xfId="1787" xr:uid="{00000000-0005-0000-0000-0000E3060000}"/>
    <cellStyle name="60% - 강조색4 19" xfId="1788" xr:uid="{00000000-0005-0000-0000-0000E4060000}"/>
    <cellStyle name="60% - 강조색4 2" xfId="1789" xr:uid="{00000000-0005-0000-0000-0000E5060000}"/>
    <cellStyle name="60% - 강조색4 2 10" xfId="1790" xr:uid="{00000000-0005-0000-0000-0000E6060000}"/>
    <cellStyle name="60% - 강조색4 2 11" xfId="1791" xr:uid="{00000000-0005-0000-0000-0000E7060000}"/>
    <cellStyle name="60% - 강조색4 2 12" xfId="1792" xr:uid="{00000000-0005-0000-0000-0000E8060000}"/>
    <cellStyle name="60% - 강조색4 2 13" xfId="1793" xr:uid="{00000000-0005-0000-0000-0000E9060000}"/>
    <cellStyle name="60% - 강조색4 2 14" xfId="1794" xr:uid="{00000000-0005-0000-0000-0000EA060000}"/>
    <cellStyle name="60% - 강조색4 2 15" xfId="1795" xr:uid="{00000000-0005-0000-0000-0000EB060000}"/>
    <cellStyle name="60% - 강조색4 2 16" xfId="1796" xr:uid="{00000000-0005-0000-0000-0000EC060000}"/>
    <cellStyle name="60% - 강조색4 2 17" xfId="1797" xr:uid="{00000000-0005-0000-0000-0000ED060000}"/>
    <cellStyle name="60% - 강조색4 2 18" xfId="1798" xr:uid="{00000000-0005-0000-0000-0000EE060000}"/>
    <cellStyle name="60% - 강조색4 2 19" xfId="1799" xr:uid="{00000000-0005-0000-0000-0000EF060000}"/>
    <cellStyle name="60% - 강조색4 2 2" xfId="1800" xr:uid="{00000000-0005-0000-0000-0000F0060000}"/>
    <cellStyle name="60% - 강조색4 2 2 10" xfId="1801" xr:uid="{00000000-0005-0000-0000-0000F1060000}"/>
    <cellStyle name="60% - 강조색4 2 2 11" xfId="1802" xr:uid="{00000000-0005-0000-0000-0000F2060000}"/>
    <cellStyle name="60% - 강조색4 2 2 12" xfId="1803" xr:uid="{00000000-0005-0000-0000-0000F3060000}"/>
    <cellStyle name="60% - 강조색4 2 2 13" xfId="1804" xr:uid="{00000000-0005-0000-0000-0000F4060000}"/>
    <cellStyle name="60% - 강조색4 2 2 14" xfId="1805" xr:uid="{00000000-0005-0000-0000-0000F5060000}"/>
    <cellStyle name="60% - 강조색4 2 2 2" xfId="1806" xr:uid="{00000000-0005-0000-0000-0000F6060000}"/>
    <cellStyle name="60% - 강조색4 2 2 3" xfId="1807" xr:uid="{00000000-0005-0000-0000-0000F7060000}"/>
    <cellStyle name="60% - 강조색4 2 2 4" xfId="1808" xr:uid="{00000000-0005-0000-0000-0000F8060000}"/>
    <cellStyle name="60% - 강조색4 2 2 5" xfId="1809" xr:uid="{00000000-0005-0000-0000-0000F9060000}"/>
    <cellStyle name="60% - 강조색4 2 2 6" xfId="1810" xr:uid="{00000000-0005-0000-0000-0000FA060000}"/>
    <cellStyle name="60% - 강조색4 2 2 7" xfId="1811" xr:uid="{00000000-0005-0000-0000-0000FB060000}"/>
    <cellStyle name="60% - 강조색4 2 2 8" xfId="1812" xr:uid="{00000000-0005-0000-0000-0000FC060000}"/>
    <cellStyle name="60% - 강조색4 2 2 9" xfId="1813" xr:uid="{00000000-0005-0000-0000-0000FD060000}"/>
    <cellStyle name="60% - 강조색4 2 20" xfId="1814" xr:uid="{00000000-0005-0000-0000-0000FE060000}"/>
    <cellStyle name="60% - 강조색4 2 21" xfId="1815" xr:uid="{00000000-0005-0000-0000-0000FF060000}"/>
    <cellStyle name="60% - 강조색4 2 22" xfId="1816" xr:uid="{00000000-0005-0000-0000-000000070000}"/>
    <cellStyle name="60% - 강조색4 2 23" xfId="1817" xr:uid="{00000000-0005-0000-0000-000001070000}"/>
    <cellStyle name="60% - 강조색4 2 24" xfId="1818" xr:uid="{00000000-0005-0000-0000-000002070000}"/>
    <cellStyle name="60% - 강조색4 2 3" xfId="1819" xr:uid="{00000000-0005-0000-0000-000003070000}"/>
    <cellStyle name="60% - 강조색4 2 4" xfId="1820" xr:uid="{00000000-0005-0000-0000-000004070000}"/>
    <cellStyle name="60% - 강조색4 2 5" xfId="1821" xr:uid="{00000000-0005-0000-0000-000005070000}"/>
    <cellStyle name="60% - 강조색4 2 6" xfId="1822" xr:uid="{00000000-0005-0000-0000-000006070000}"/>
    <cellStyle name="60% - 강조색4 2 7" xfId="1823" xr:uid="{00000000-0005-0000-0000-000007070000}"/>
    <cellStyle name="60% - 강조색4 2 8" xfId="1824" xr:uid="{00000000-0005-0000-0000-000008070000}"/>
    <cellStyle name="60% - 강조색4 2 9" xfId="1825" xr:uid="{00000000-0005-0000-0000-000009070000}"/>
    <cellStyle name="60% - 강조색4 20" xfId="1826" xr:uid="{00000000-0005-0000-0000-00000A070000}"/>
    <cellStyle name="60% - 강조색4 21" xfId="1827" xr:uid="{00000000-0005-0000-0000-00000B070000}"/>
    <cellStyle name="60% - 강조색4 22" xfId="1828" xr:uid="{00000000-0005-0000-0000-00000C070000}"/>
    <cellStyle name="60% - 강조색4 23" xfId="1829" xr:uid="{00000000-0005-0000-0000-00000D070000}"/>
    <cellStyle name="60% - 강조색4 24" xfId="1830" xr:uid="{00000000-0005-0000-0000-00000E070000}"/>
    <cellStyle name="60% - 강조색4 3" xfId="1831" xr:uid="{00000000-0005-0000-0000-00000F070000}"/>
    <cellStyle name="60% - 강조색4 3 10" xfId="1832" xr:uid="{00000000-0005-0000-0000-000010070000}"/>
    <cellStyle name="60% - 강조색4 3 11" xfId="1833" xr:uid="{00000000-0005-0000-0000-000011070000}"/>
    <cellStyle name="60% - 강조색4 3 12" xfId="1834" xr:uid="{00000000-0005-0000-0000-000012070000}"/>
    <cellStyle name="60% - 강조색4 3 13" xfId="1835" xr:uid="{00000000-0005-0000-0000-000013070000}"/>
    <cellStyle name="60% - 강조색4 3 14" xfId="1836" xr:uid="{00000000-0005-0000-0000-000014070000}"/>
    <cellStyle name="60% - 강조색4 3 2" xfId="1837" xr:uid="{00000000-0005-0000-0000-000015070000}"/>
    <cellStyle name="60% - 강조색4 3 3" xfId="1838" xr:uid="{00000000-0005-0000-0000-000016070000}"/>
    <cellStyle name="60% - 강조색4 3 4" xfId="1839" xr:uid="{00000000-0005-0000-0000-000017070000}"/>
    <cellStyle name="60% - 강조색4 3 5" xfId="1840" xr:uid="{00000000-0005-0000-0000-000018070000}"/>
    <cellStyle name="60% - 강조색4 3 6" xfId="1841" xr:uid="{00000000-0005-0000-0000-000019070000}"/>
    <cellStyle name="60% - 강조색4 3 7" xfId="1842" xr:uid="{00000000-0005-0000-0000-00001A070000}"/>
    <cellStyle name="60% - 강조색4 3 8" xfId="1843" xr:uid="{00000000-0005-0000-0000-00001B070000}"/>
    <cellStyle name="60% - 강조색4 3 9" xfId="1844" xr:uid="{00000000-0005-0000-0000-00001C070000}"/>
    <cellStyle name="60% - 강조색4 4" xfId="1845" xr:uid="{00000000-0005-0000-0000-00001D070000}"/>
    <cellStyle name="60% - 강조색4 5" xfId="1846" xr:uid="{00000000-0005-0000-0000-00001E070000}"/>
    <cellStyle name="60% - 강조색4 6" xfId="1847" xr:uid="{00000000-0005-0000-0000-00001F070000}"/>
    <cellStyle name="60% - 강조색4 7" xfId="1848" xr:uid="{00000000-0005-0000-0000-000020070000}"/>
    <cellStyle name="60% - 강조색4 8" xfId="1849" xr:uid="{00000000-0005-0000-0000-000021070000}"/>
    <cellStyle name="60% - 강조색4 9" xfId="1850" xr:uid="{00000000-0005-0000-0000-000022070000}"/>
    <cellStyle name="60% - 강조색5 10" xfId="1851" xr:uid="{00000000-0005-0000-0000-000023070000}"/>
    <cellStyle name="60% - 강조색5 11" xfId="1852" xr:uid="{00000000-0005-0000-0000-000024070000}"/>
    <cellStyle name="60% - 강조색5 12" xfId="1853" xr:uid="{00000000-0005-0000-0000-000025070000}"/>
    <cellStyle name="60% - 강조색5 13" xfId="1854" xr:uid="{00000000-0005-0000-0000-000026070000}"/>
    <cellStyle name="60% - 강조색5 14" xfId="1855" xr:uid="{00000000-0005-0000-0000-000027070000}"/>
    <cellStyle name="60% - 강조색5 15" xfId="1856" xr:uid="{00000000-0005-0000-0000-000028070000}"/>
    <cellStyle name="60% - 강조색5 16" xfId="1857" xr:uid="{00000000-0005-0000-0000-000029070000}"/>
    <cellStyle name="60% - 강조색5 17" xfId="1858" xr:uid="{00000000-0005-0000-0000-00002A070000}"/>
    <cellStyle name="60% - 강조색5 18" xfId="1859" xr:uid="{00000000-0005-0000-0000-00002B070000}"/>
    <cellStyle name="60% - 강조색5 19" xfId="1860" xr:uid="{00000000-0005-0000-0000-00002C070000}"/>
    <cellStyle name="60% - 강조색5 2" xfId="1861" xr:uid="{00000000-0005-0000-0000-00002D070000}"/>
    <cellStyle name="60% - 강조색5 2 10" xfId="1862" xr:uid="{00000000-0005-0000-0000-00002E070000}"/>
    <cellStyle name="60% - 강조색5 2 11" xfId="1863" xr:uid="{00000000-0005-0000-0000-00002F070000}"/>
    <cellStyle name="60% - 강조색5 2 12" xfId="1864" xr:uid="{00000000-0005-0000-0000-000030070000}"/>
    <cellStyle name="60% - 강조색5 2 13" xfId="1865" xr:uid="{00000000-0005-0000-0000-000031070000}"/>
    <cellStyle name="60% - 강조색5 2 14" xfId="1866" xr:uid="{00000000-0005-0000-0000-000032070000}"/>
    <cellStyle name="60% - 강조색5 2 15" xfId="1867" xr:uid="{00000000-0005-0000-0000-000033070000}"/>
    <cellStyle name="60% - 강조색5 2 16" xfId="1868" xr:uid="{00000000-0005-0000-0000-000034070000}"/>
    <cellStyle name="60% - 강조색5 2 17" xfId="1869" xr:uid="{00000000-0005-0000-0000-000035070000}"/>
    <cellStyle name="60% - 강조색5 2 18" xfId="1870" xr:uid="{00000000-0005-0000-0000-000036070000}"/>
    <cellStyle name="60% - 강조색5 2 19" xfId="1871" xr:uid="{00000000-0005-0000-0000-000037070000}"/>
    <cellStyle name="60% - 강조색5 2 2" xfId="1872" xr:uid="{00000000-0005-0000-0000-000038070000}"/>
    <cellStyle name="60% - 강조색5 2 2 10" xfId="1873" xr:uid="{00000000-0005-0000-0000-000039070000}"/>
    <cellStyle name="60% - 강조색5 2 2 11" xfId="1874" xr:uid="{00000000-0005-0000-0000-00003A070000}"/>
    <cellStyle name="60% - 강조색5 2 2 12" xfId="1875" xr:uid="{00000000-0005-0000-0000-00003B070000}"/>
    <cellStyle name="60% - 강조색5 2 2 13" xfId="1876" xr:uid="{00000000-0005-0000-0000-00003C070000}"/>
    <cellStyle name="60% - 강조색5 2 2 14" xfId="1877" xr:uid="{00000000-0005-0000-0000-00003D070000}"/>
    <cellStyle name="60% - 강조색5 2 2 2" xfId="1878" xr:uid="{00000000-0005-0000-0000-00003E070000}"/>
    <cellStyle name="60% - 강조색5 2 2 3" xfId="1879" xr:uid="{00000000-0005-0000-0000-00003F070000}"/>
    <cellStyle name="60% - 강조색5 2 2 4" xfId="1880" xr:uid="{00000000-0005-0000-0000-000040070000}"/>
    <cellStyle name="60% - 강조색5 2 2 5" xfId="1881" xr:uid="{00000000-0005-0000-0000-000041070000}"/>
    <cellStyle name="60% - 강조색5 2 2 6" xfId="1882" xr:uid="{00000000-0005-0000-0000-000042070000}"/>
    <cellStyle name="60% - 강조색5 2 2 7" xfId="1883" xr:uid="{00000000-0005-0000-0000-000043070000}"/>
    <cellStyle name="60% - 강조색5 2 2 8" xfId="1884" xr:uid="{00000000-0005-0000-0000-000044070000}"/>
    <cellStyle name="60% - 강조색5 2 2 9" xfId="1885" xr:uid="{00000000-0005-0000-0000-000045070000}"/>
    <cellStyle name="60% - 강조색5 2 20" xfId="1886" xr:uid="{00000000-0005-0000-0000-000046070000}"/>
    <cellStyle name="60% - 강조색5 2 21" xfId="1887" xr:uid="{00000000-0005-0000-0000-000047070000}"/>
    <cellStyle name="60% - 강조색5 2 22" xfId="1888" xr:uid="{00000000-0005-0000-0000-000048070000}"/>
    <cellStyle name="60% - 강조색5 2 23" xfId="1889" xr:uid="{00000000-0005-0000-0000-000049070000}"/>
    <cellStyle name="60% - 강조색5 2 24" xfId="1890" xr:uid="{00000000-0005-0000-0000-00004A070000}"/>
    <cellStyle name="60% - 강조색5 2 3" xfId="1891" xr:uid="{00000000-0005-0000-0000-00004B070000}"/>
    <cellStyle name="60% - 강조색5 2 4" xfId="1892" xr:uid="{00000000-0005-0000-0000-00004C070000}"/>
    <cellStyle name="60% - 강조색5 2 5" xfId="1893" xr:uid="{00000000-0005-0000-0000-00004D070000}"/>
    <cellStyle name="60% - 강조색5 2 6" xfId="1894" xr:uid="{00000000-0005-0000-0000-00004E070000}"/>
    <cellStyle name="60% - 강조색5 2 7" xfId="1895" xr:uid="{00000000-0005-0000-0000-00004F070000}"/>
    <cellStyle name="60% - 강조색5 2 8" xfId="1896" xr:uid="{00000000-0005-0000-0000-000050070000}"/>
    <cellStyle name="60% - 강조색5 2 9" xfId="1897" xr:uid="{00000000-0005-0000-0000-000051070000}"/>
    <cellStyle name="60% - 강조색5 20" xfId="1898" xr:uid="{00000000-0005-0000-0000-000052070000}"/>
    <cellStyle name="60% - 강조색5 21" xfId="1899" xr:uid="{00000000-0005-0000-0000-000053070000}"/>
    <cellStyle name="60% - 강조색5 22" xfId="1900" xr:uid="{00000000-0005-0000-0000-000054070000}"/>
    <cellStyle name="60% - 강조색5 23" xfId="1901" xr:uid="{00000000-0005-0000-0000-000055070000}"/>
    <cellStyle name="60% - 강조색5 24" xfId="1902" xr:uid="{00000000-0005-0000-0000-000056070000}"/>
    <cellStyle name="60% - 강조색5 3" xfId="1903" xr:uid="{00000000-0005-0000-0000-000057070000}"/>
    <cellStyle name="60% - 강조색5 3 10" xfId="1904" xr:uid="{00000000-0005-0000-0000-000058070000}"/>
    <cellStyle name="60% - 강조색5 3 11" xfId="1905" xr:uid="{00000000-0005-0000-0000-000059070000}"/>
    <cellStyle name="60% - 강조색5 3 12" xfId="1906" xr:uid="{00000000-0005-0000-0000-00005A070000}"/>
    <cellStyle name="60% - 강조색5 3 13" xfId="1907" xr:uid="{00000000-0005-0000-0000-00005B070000}"/>
    <cellStyle name="60% - 강조색5 3 14" xfId="1908" xr:uid="{00000000-0005-0000-0000-00005C070000}"/>
    <cellStyle name="60% - 강조색5 3 2" xfId="1909" xr:uid="{00000000-0005-0000-0000-00005D070000}"/>
    <cellStyle name="60% - 강조색5 3 3" xfId="1910" xr:uid="{00000000-0005-0000-0000-00005E070000}"/>
    <cellStyle name="60% - 강조색5 3 4" xfId="1911" xr:uid="{00000000-0005-0000-0000-00005F070000}"/>
    <cellStyle name="60% - 강조색5 3 5" xfId="1912" xr:uid="{00000000-0005-0000-0000-000060070000}"/>
    <cellStyle name="60% - 강조색5 3 6" xfId="1913" xr:uid="{00000000-0005-0000-0000-000061070000}"/>
    <cellStyle name="60% - 강조색5 3 7" xfId="1914" xr:uid="{00000000-0005-0000-0000-000062070000}"/>
    <cellStyle name="60% - 강조색5 3 8" xfId="1915" xr:uid="{00000000-0005-0000-0000-000063070000}"/>
    <cellStyle name="60% - 강조색5 3 9" xfId="1916" xr:uid="{00000000-0005-0000-0000-000064070000}"/>
    <cellStyle name="60% - 강조색5 4" xfId="1917" xr:uid="{00000000-0005-0000-0000-000065070000}"/>
    <cellStyle name="60% - 강조색5 5" xfId="1918" xr:uid="{00000000-0005-0000-0000-000066070000}"/>
    <cellStyle name="60% - 강조색5 6" xfId="1919" xr:uid="{00000000-0005-0000-0000-000067070000}"/>
    <cellStyle name="60% - 강조색5 7" xfId="1920" xr:uid="{00000000-0005-0000-0000-000068070000}"/>
    <cellStyle name="60% - 강조색5 8" xfId="1921" xr:uid="{00000000-0005-0000-0000-000069070000}"/>
    <cellStyle name="60% - 강조색5 9" xfId="1922" xr:uid="{00000000-0005-0000-0000-00006A070000}"/>
    <cellStyle name="60% - 강조색6 10" xfId="1923" xr:uid="{00000000-0005-0000-0000-00006B070000}"/>
    <cellStyle name="60% - 강조색6 11" xfId="1924" xr:uid="{00000000-0005-0000-0000-00006C070000}"/>
    <cellStyle name="60% - 강조색6 12" xfId="1925" xr:uid="{00000000-0005-0000-0000-00006D070000}"/>
    <cellStyle name="60% - 강조색6 13" xfId="1926" xr:uid="{00000000-0005-0000-0000-00006E070000}"/>
    <cellStyle name="60% - 강조색6 14" xfId="1927" xr:uid="{00000000-0005-0000-0000-00006F070000}"/>
    <cellStyle name="60% - 강조색6 15" xfId="1928" xr:uid="{00000000-0005-0000-0000-000070070000}"/>
    <cellStyle name="60% - 강조색6 16" xfId="1929" xr:uid="{00000000-0005-0000-0000-000071070000}"/>
    <cellStyle name="60% - 강조색6 17" xfId="1930" xr:uid="{00000000-0005-0000-0000-000072070000}"/>
    <cellStyle name="60% - 강조색6 18" xfId="1931" xr:uid="{00000000-0005-0000-0000-000073070000}"/>
    <cellStyle name="60% - 강조색6 19" xfId="1932" xr:uid="{00000000-0005-0000-0000-000074070000}"/>
    <cellStyle name="60% - 강조색6 2" xfId="1933" xr:uid="{00000000-0005-0000-0000-000075070000}"/>
    <cellStyle name="60% - 강조색6 2 10" xfId="1934" xr:uid="{00000000-0005-0000-0000-000076070000}"/>
    <cellStyle name="60% - 강조색6 2 11" xfId="1935" xr:uid="{00000000-0005-0000-0000-000077070000}"/>
    <cellStyle name="60% - 강조색6 2 12" xfId="1936" xr:uid="{00000000-0005-0000-0000-000078070000}"/>
    <cellStyle name="60% - 강조색6 2 13" xfId="1937" xr:uid="{00000000-0005-0000-0000-000079070000}"/>
    <cellStyle name="60% - 강조색6 2 14" xfId="1938" xr:uid="{00000000-0005-0000-0000-00007A070000}"/>
    <cellStyle name="60% - 강조색6 2 15" xfId="1939" xr:uid="{00000000-0005-0000-0000-00007B070000}"/>
    <cellStyle name="60% - 강조색6 2 16" xfId="1940" xr:uid="{00000000-0005-0000-0000-00007C070000}"/>
    <cellStyle name="60% - 강조색6 2 17" xfId="1941" xr:uid="{00000000-0005-0000-0000-00007D070000}"/>
    <cellStyle name="60% - 강조색6 2 18" xfId="1942" xr:uid="{00000000-0005-0000-0000-00007E070000}"/>
    <cellStyle name="60% - 강조색6 2 19" xfId="1943" xr:uid="{00000000-0005-0000-0000-00007F070000}"/>
    <cellStyle name="60% - 강조색6 2 2" xfId="1944" xr:uid="{00000000-0005-0000-0000-000080070000}"/>
    <cellStyle name="60% - 강조색6 2 2 10" xfId="1945" xr:uid="{00000000-0005-0000-0000-000081070000}"/>
    <cellStyle name="60% - 강조색6 2 2 11" xfId="1946" xr:uid="{00000000-0005-0000-0000-000082070000}"/>
    <cellStyle name="60% - 강조색6 2 2 12" xfId="1947" xr:uid="{00000000-0005-0000-0000-000083070000}"/>
    <cellStyle name="60% - 강조색6 2 2 13" xfId="1948" xr:uid="{00000000-0005-0000-0000-000084070000}"/>
    <cellStyle name="60% - 강조색6 2 2 14" xfId="1949" xr:uid="{00000000-0005-0000-0000-000085070000}"/>
    <cellStyle name="60% - 강조색6 2 2 2" xfId="1950" xr:uid="{00000000-0005-0000-0000-000086070000}"/>
    <cellStyle name="60% - 강조색6 2 2 3" xfId="1951" xr:uid="{00000000-0005-0000-0000-000087070000}"/>
    <cellStyle name="60% - 강조색6 2 2 4" xfId="1952" xr:uid="{00000000-0005-0000-0000-000088070000}"/>
    <cellStyle name="60% - 강조색6 2 2 5" xfId="1953" xr:uid="{00000000-0005-0000-0000-000089070000}"/>
    <cellStyle name="60% - 강조색6 2 2 6" xfId="1954" xr:uid="{00000000-0005-0000-0000-00008A070000}"/>
    <cellStyle name="60% - 강조색6 2 2 7" xfId="1955" xr:uid="{00000000-0005-0000-0000-00008B070000}"/>
    <cellStyle name="60% - 강조색6 2 2 8" xfId="1956" xr:uid="{00000000-0005-0000-0000-00008C070000}"/>
    <cellStyle name="60% - 강조색6 2 2 9" xfId="1957" xr:uid="{00000000-0005-0000-0000-00008D070000}"/>
    <cellStyle name="60% - 강조색6 2 20" xfId="1958" xr:uid="{00000000-0005-0000-0000-00008E070000}"/>
    <cellStyle name="60% - 강조색6 2 21" xfId="1959" xr:uid="{00000000-0005-0000-0000-00008F070000}"/>
    <cellStyle name="60% - 강조색6 2 22" xfId="1960" xr:uid="{00000000-0005-0000-0000-000090070000}"/>
    <cellStyle name="60% - 강조색6 2 23" xfId="1961" xr:uid="{00000000-0005-0000-0000-000091070000}"/>
    <cellStyle name="60% - 강조색6 2 24" xfId="1962" xr:uid="{00000000-0005-0000-0000-000092070000}"/>
    <cellStyle name="60% - 강조색6 2 3" xfId="1963" xr:uid="{00000000-0005-0000-0000-000093070000}"/>
    <cellStyle name="60% - 강조색6 2 4" xfId="1964" xr:uid="{00000000-0005-0000-0000-000094070000}"/>
    <cellStyle name="60% - 강조색6 2 5" xfId="1965" xr:uid="{00000000-0005-0000-0000-000095070000}"/>
    <cellStyle name="60% - 강조색6 2 6" xfId="1966" xr:uid="{00000000-0005-0000-0000-000096070000}"/>
    <cellStyle name="60% - 강조색6 2 7" xfId="1967" xr:uid="{00000000-0005-0000-0000-000097070000}"/>
    <cellStyle name="60% - 강조색6 2 8" xfId="1968" xr:uid="{00000000-0005-0000-0000-000098070000}"/>
    <cellStyle name="60% - 강조색6 2 9" xfId="1969" xr:uid="{00000000-0005-0000-0000-000099070000}"/>
    <cellStyle name="60% - 강조색6 20" xfId="1970" xr:uid="{00000000-0005-0000-0000-00009A070000}"/>
    <cellStyle name="60% - 강조색6 21" xfId="1971" xr:uid="{00000000-0005-0000-0000-00009B070000}"/>
    <cellStyle name="60% - 강조색6 22" xfId="1972" xr:uid="{00000000-0005-0000-0000-00009C070000}"/>
    <cellStyle name="60% - 강조색6 23" xfId="1973" xr:uid="{00000000-0005-0000-0000-00009D070000}"/>
    <cellStyle name="60% - 강조색6 24" xfId="1974" xr:uid="{00000000-0005-0000-0000-00009E070000}"/>
    <cellStyle name="60% - 강조색6 3" xfId="1975" xr:uid="{00000000-0005-0000-0000-00009F070000}"/>
    <cellStyle name="60% - 강조색6 3 10" xfId="1976" xr:uid="{00000000-0005-0000-0000-0000A0070000}"/>
    <cellStyle name="60% - 강조색6 3 11" xfId="1977" xr:uid="{00000000-0005-0000-0000-0000A1070000}"/>
    <cellStyle name="60% - 강조색6 3 12" xfId="1978" xr:uid="{00000000-0005-0000-0000-0000A2070000}"/>
    <cellStyle name="60% - 강조색6 3 13" xfId="1979" xr:uid="{00000000-0005-0000-0000-0000A3070000}"/>
    <cellStyle name="60% - 강조색6 3 14" xfId="1980" xr:uid="{00000000-0005-0000-0000-0000A4070000}"/>
    <cellStyle name="60% - 강조색6 3 2" xfId="1981" xr:uid="{00000000-0005-0000-0000-0000A5070000}"/>
    <cellStyle name="60% - 강조색6 3 3" xfId="1982" xr:uid="{00000000-0005-0000-0000-0000A6070000}"/>
    <cellStyle name="60% - 강조색6 3 4" xfId="1983" xr:uid="{00000000-0005-0000-0000-0000A7070000}"/>
    <cellStyle name="60% - 강조색6 3 5" xfId="1984" xr:uid="{00000000-0005-0000-0000-0000A8070000}"/>
    <cellStyle name="60% - 강조색6 3 6" xfId="1985" xr:uid="{00000000-0005-0000-0000-0000A9070000}"/>
    <cellStyle name="60% - 강조색6 3 7" xfId="1986" xr:uid="{00000000-0005-0000-0000-0000AA070000}"/>
    <cellStyle name="60% - 강조색6 3 8" xfId="1987" xr:uid="{00000000-0005-0000-0000-0000AB070000}"/>
    <cellStyle name="60% - 강조색6 3 9" xfId="1988" xr:uid="{00000000-0005-0000-0000-0000AC070000}"/>
    <cellStyle name="60% - 강조색6 4" xfId="1989" xr:uid="{00000000-0005-0000-0000-0000AD070000}"/>
    <cellStyle name="60% - 강조색6 5" xfId="1990" xr:uid="{00000000-0005-0000-0000-0000AE070000}"/>
    <cellStyle name="60% - 강조색6 6" xfId="1991" xr:uid="{00000000-0005-0000-0000-0000AF070000}"/>
    <cellStyle name="60% - 강조색6 7" xfId="1992" xr:uid="{00000000-0005-0000-0000-0000B0070000}"/>
    <cellStyle name="60% - 강조색6 8" xfId="1993" xr:uid="{00000000-0005-0000-0000-0000B1070000}"/>
    <cellStyle name="60% - 강조색6 9" xfId="1994" xr:uid="{00000000-0005-0000-0000-0000B2070000}"/>
    <cellStyle name="7" xfId="1995" xr:uid="{00000000-0005-0000-0000-0000B3070000}"/>
    <cellStyle name="7_01가공비_01이동010201" xfId="1996" xr:uid="{00000000-0005-0000-0000-0000B4070000}"/>
    <cellStyle name="7_01가공비_01이동010201_9월손익master" xfId="1997" xr:uid="{00000000-0005-0000-0000-0000B5070000}"/>
    <cellStyle name="7_01가공비_01이동010201_DN_BS(02년1월말기준)" xfId="1998" xr:uid="{00000000-0005-0000-0000-0000B6070000}"/>
    <cellStyle name="7_01가공비_01이동010201_DN_BS(02년기초_1월_2월)" xfId="1999" xr:uid="{00000000-0005-0000-0000-0000B7070000}"/>
    <cellStyle name="7_01가공비_01이동010201_년간추정(10.06)-조정(ws용)" xfId="2000" xr:uid="{00000000-0005-0000-0000-0000B8070000}"/>
    <cellStyle name="7_'02년+사업계획+재무지표(유무선1028)" xfId="2001" xr:uid="{00000000-0005-0000-0000-0000B9070000}"/>
    <cellStyle name="7_4월실적(0510)" xfId="2002" xr:uid="{00000000-0005-0000-0000-0000BA070000}"/>
    <cellStyle name="7_4월실적(0510)_DN_BS(02년1월말기준)" xfId="2003" xr:uid="{00000000-0005-0000-0000-0000BB070000}"/>
    <cellStyle name="7_4월실적(0510)_DN_BS(02년기초_1월_2월)" xfId="2004" xr:uid="{00000000-0005-0000-0000-0000BC070000}"/>
    <cellStyle name="7_9월손익master" xfId="2005" xr:uid="{00000000-0005-0000-0000-0000BD070000}"/>
    <cellStyle name="7_DN_BS(02년1월말기준)" xfId="2006" xr:uid="{00000000-0005-0000-0000-0000BE070000}"/>
    <cellStyle name="7_DN_BS(02년기초_1월_2월)" xfId="2007" xr:uid="{00000000-0005-0000-0000-0000BF070000}"/>
    <cellStyle name="7_DSS이동계획(1월)" xfId="2008" xr:uid="{00000000-0005-0000-0000-0000C0070000}"/>
    <cellStyle name="7_DSS이동계획(1월)_9월손익master" xfId="2009" xr:uid="{00000000-0005-0000-0000-0000C1070000}"/>
    <cellStyle name="7_DSS이동계획(1월)_DN_BS(02년1월말기준)" xfId="2010" xr:uid="{00000000-0005-0000-0000-0000C2070000}"/>
    <cellStyle name="7_DSS이동계획(1월)_DN_BS(02년기초_1월_2월)" xfId="2011" xr:uid="{00000000-0005-0000-0000-0000C3070000}"/>
    <cellStyle name="7_DSS이동계획(1월)_년간추정(10.06)-조정(ws용)" xfId="2012" xr:uid="{00000000-0005-0000-0000-0000C4070000}"/>
    <cellStyle name="7_결산진실성EVA" xfId="2013" xr:uid="{00000000-0005-0000-0000-0000C5070000}"/>
    <cellStyle name="7_결산진실성EVA_'02년+사업계획+재무지표(유무선1028)" xfId="2014" xr:uid="{00000000-0005-0000-0000-0000C6070000}"/>
    <cellStyle name="7_결산진실성EVA_4월실적(0510)" xfId="2015" xr:uid="{00000000-0005-0000-0000-0000C7070000}"/>
    <cellStyle name="7_결산진실성EVA_4월실적(0510)_DN_BS(02년1월말기준)" xfId="2016" xr:uid="{00000000-0005-0000-0000-0000C8070000}"/>
    <cellStyle name="7_결산진실성EVA_4월실적(0510)_DN_BS(02년기초_1월_2월)" xfId="2017" xr:uid="{00000000-0005-0000-0000-0000C9070000}"/>
    <cellStyle name="7_결산진실성EVA_9월손익master" xfId="2018" xr:uid="{00000000-0005-0000-0000-0000CA070000}"/>
    <cellStyle name="7_결산진실성EVA_DN_BS(02년1월말기준)" xfId="2019" xr:uid="{00000000-0005-0000-0000-0000CB070000}"/>
    <cellStyle name="7_결산진실성EVA_DN_BS(02년기초_1월_2월)" xfId="2020" xr:uid="{00000000-0005-0000-0000-0000CC070000}"/>
    <cellStyle name="7_결산진실성EVA_년간추정(10.06)-조정(ws용)" xfId="2021" xr:uid="{00000000-0005-0000-0000-0000CD070000}"/>
    <cellStyle name="7_년간추정(10.06)-조정(ws용)" xfId="2022" xr:uid="{00000000-0005-0000-0000-0000CE070000}"/>
    <cellStyle name="7_배부월별실적00" xfId="2023" xr:uid="{00000000-0005-0000-0000-0000CF070000}"/>
    <cellStyle name="7_배부월별실적00_9월손익master" xfId="2024" xr:uid="{00000000-0005-0000-0000-0000D0070000}"/>
    <cellStyle name="7_배부월별실적00_DN_BS(02년1월말기준)" xfId="2025" xr:uid="{00000000-0005-0000-0000-0000D1070000}"/>
    <cellStyle name="7_배부월별실적00_DN_BS(02년기초_1월_2월)" xfId="2026" xr:uid="{00000000-0005-0000-0000-0000D2070000}"/>
    <cellStyle name="7_배부월별실적00_년간추정(10.06)-조정(ws용)" xfId="2027" xr:uid="{00000000-0005-0000-0000-0000D3070000}"/>
    <cellStyle name="7_이동가공비0324" xfId="2028" xr:uid="{00000000-0005-0000-0000-0000D4070000}"/>
    <cellStyle name="7_이동가공비0324_9월손익master" xfId="2029" xr:uid="{00000000-0005-0000-0000-0000D5070000}"/>
    <cellStyle name="7_이동가공비0324_DN_BS(02년1월말기준)" xfId="2030" xr:uid="{00000000-0005-0000-0000-0000D6070000}"/>
    <cellStyle name="7_이동가공비0324_DN_BS(02년기초_1월_2월)" xfId="2031" xr:uid="{00000000-0005-0000-0000-0000D7070000}"/>
    <cellStyle name="7_이동가공비0324_년간추정(10.06)-조정(ws용)" xfId="2032" xr:uid="{00000000-0005-0000-0000-0000D8070000}"/>
    <cellStyle name="7_전자98결산진실" xfId="2033" xr:uid="{00000000-0005-0000-0000-0000D9070000}"/>
    <cellStyle name="7_전자98결산진실_'02년+사업계획+재무지표(유무선1028)" xfId="2034" xr:uid="{00000000-0005-0000-0000-0000DA070000}"/>
    <cellStyle name="7_전자98결산진실_4월실적(0510)" xfId="2035" xr:uid="{00000000-0005-0000-0000-0000DB070000}"/>
    <cellStyle name="7_전자98결산진실_4월실적(0510)_DN_BS(02년1월말기준)" xfId="2036" xr:uid="{00000000-0005-0000-0000-0000DC070000}"/>
    <cellStyle name="7_전자98결산진실_4월실적(0510)_DN_BS(02년기초_1월_2월)" xfId="2037" xr:uid="{00000000-0005-0000-0000-0000DD070000}"/>
    <cellStyle name="7_전자98결산진실_9월손익master" xfId="2038" xr:uid="{00000000-0005-0000-0000-0000DE070000}"/>
    <cellStyle name="7_전자98결산진실_DN_BS(02년1월말기준)" xfId="2039" xr:uid="{00000000-0005-0000-0000-0000DF070000}"/>
    <cellStyle name="7_전자98결산진실_DN_BS(02년기초_1월_2월)" xfId="2040" xr:uid="{00000000-0005-0000-0000-0000E0070000}"/>
    <cellStyle name="7_전자98결산진실_년간추정(10.06)-조정(ws용)" xfId="2041" xr:uid="{00000000-0005-0000-0000-0000E1070000}"/>
    <cellStyle name="7_전자99상결산진실" xfId="2042" xr:uid="{00000000-0005-0000-0000-0000E2070000}"/>
    <cellStyle name="7_전자99상결산진실_'02년+사업계획+재무지표(유무선1028)" xfId="2043" xr:uid="{00000000-0005-0000-0000-0000E3070000}"/>
    <cellStyle name="7_전자99상결산진실_4월실적(0510)" xfId="2044" xr:uid="{00000000-0005-0000-0000-0000E4070000}"/>
    <cellStyle name="7_전자99상결산진실_4월실적(0510)_DN_BS(02년1월말기준)" xfId="2045" xr:uid="{00000000-0005-0000-0000-0000E5070000}"/>
    <cellStyle name="7_전자99상결산진실_4월실적(0510)_DN_BS(02년기초_1월_2월)" xfId="2046" xr:uid="{00000000-0005-0000-0000-0000E6070000}"/>
    <cellStyle name="7_전자99상결산진실_9월손익master" xfId="2047" xr:uid="{00000000-0005-0000-0000-0000E7070000}"/>
    <cellStyle name="7_전자99상결산진실_DN_BS(02년1월말기준)" xfId="2048" xr:uid="{00000000-0005-0000-0000-0000E8070000}"/>
    <cellStyle name="7_전자99상결산진실_DN_BS(02년기초_1월_2월)" xfId="2049" xr:uid="{00000000-0005-0000-0000-0000E9070000}"/>
    <cellStyle name="7_전자99상결산진실_년간추정(10.06)-조정(ws용)" xfId="2050" xr:uid="{00000000-0005-0000-0000-0000EA070000}"/>
    <cellStyle name="7_전자99연간결산진실" xfId="2051" xr:uid="{00000000-0005-0000-0000-0000EB070000}"/>
    <cellStyle name="7_전자99연간결산진실_'02년+사업계획+재무지표(유무선1028)" xfId="2052" xr:uid="{00000000-0005-0000-0000-0000EC070000}"/>
    <cellStyle name="7_전자99연간결산진실_4월실적(0510)" xfId="2053" xr:uid="{00000000-0005-0000-0000-0000ED070000}"/>
    <cellStyle name="7_전자99연간결산진실_4월실적(0510)_DN_BS(02년1월말기준)" xfId="2054" xr:uid="{00000000-0005-0000-0000-0000EE070000}"/>
    <cellStyle name="7_전자99연간결산진실_4월실적(0510)_DN_BS(02년기초_1월_2월)" xfId="2055" xr:uid="{00000000-0005-0000-0000-0000EF070000}"/>
    <cellStyle name="7_전자99연간결산진실_9월손익master" xfId="2056" xr:uid="{00000000-0005-0000-0000-0000F0070000}"/>
    <cellStyle name="7_전자99연간결산진실_DN_BS(02년1월말기준)" xfId="2057" xr:uid="{00000000-0005-0000-0000-0000F1070000}"/>
    <cellStyle name="7_전자99연간결산진실_DN_BS(02년기초_1월_2월)" xfId="2058" xr:uid="{00000000-0005-0000-0000-0000F2070000}"/>
    <cellStyle name="7_전자99연간결산진실_년간추정(10.06)-조정(ws용)" xfId="2059" xr:uid="{00000000-0005-0000-0000-0000F3070000}"/>
    <cellStyle name="80" xfId="2060" xr:uid="{00000000-0005-0000-0000-0000F4070000}"/>
    <cellStyle name="８０" xfId="2061" xr:uid="{00000000-0005-0000-0000-0000F5070000}"/>
    <cellStyle name="800" xfId="2062" xr:uid="{00000000-0005-0000-0000-0000F6070000}"/>
    <cellStyle name="A" xfId="2063" xr:uid="{00000000-0005-0000-0000-0000F7070000}"/>
    <cellStyle name="A_01 원재료" xfId="2064" xr:uid="{00000000-0005-0000-0000-0000F8070000}"/>
    <cellStyle name="A_01 원재료_02반기조정" xfId="2065" xr:uid="{00000000-0005-0000-0000-0000F9070000}"/>
    <cellStyle name="A_01 원재료_02반기조정_110-1.04.3월_경영보고" xfId="2066" xr:uid="{00000000-0005-0000-0000-0000FA070000}"/>
    <cellStyle name="A_01 원재료_02반기조정_111.04.6월 경영보고" xfId="2067" xr:uid="{00000000-0005-0000-0000-0000FB070000}"/>
    <cellStyle name="A_01 원재료_02반기조정_111.04.6월 경영보고(구성)" xfId="2068" xr:uid="{00000000-0005-0000-0000-0000FC070000}"/>
    <cellStyle name="A_01 원재료_02반기조정_112.04.7월 경영보고" xfId="2069" xr:uid="{00000000-0005-0000-0000-0000FD070000}"/>
    <cellStyle name="A_01 원재료_02반기조정_112.경영보고(주)이순" xfId="2070" xr:uid="{00000000-0005-0000-0000-0000FE070000}"/>
    <cellStyle name="A_01 원재료_02반기조정_2004.07총괄손익보고(이순산업)" xfId="2071" xr:uid="{00000000-0005-0000-0000-0000FF070000}"/>
    <cellStyle name="A_01 원재료_02반기조정_경영보고(주)이순" xfId="2072" xr:uid="{00000000-0005-0000-0000-000000080000}"/>
    <cellStyle name="A_01 원재료_110.04.3월 경영보고" xfId="2073" xr:uid="{00000000-0005-0000-0000-000001080000}"/>
    <cellStyle name="A_01 원재료_110.04.3월 경영보고_110-1.04.3월_경영보고" xfId="2074" xr:uid="{00000000-0005-0000-0000-000002080000}"/>
    <cellStyle name="A_01 원재료_110.04.3월 경영보고_111.04.6월 경영보고" xfId="2075" xr:uid="{00000000-0005-0000-0000-000003080000}"/>
    <cellStyle name="A_01 원재료_110.04.3월 경영보고_111.04.6월 경영보고(구성)" xfId="2076" xr:uid="{00000000-0005-0000-0000-000004080000}"/>
    <cellStyle name="A_01 원재료_110.04.3월 경영보고_112.04.7월 경영보고" xfId="2077" xr:uid="{00000000-0005-0000-0000-000005080000}"/>
    <cellStyle name="A_01 원재료_110.04.3월 경영보고_112.경영보고(주)이순" xfId="2078" xr:uid="{00000000-0005-0000-0000-000006080000}"/>
    <cellStyle name="A_01 원재료_110.04.3월 경영보고_2004.07총괄손익보고(이순산업)" xfId="2079" xr:uid="{00000000-0005-0000-0000-000007080000}"/>
    <cellStyle name="A_01 원재료_110.04.3월 경영보고_경영보고(주)이순" xfId="2080" xr:uid="{00000000-0005-0000-0000-000008080000}"/>
    <cellStyle name="A_01 원재료_110-1.04.3월_경영보고" xfId="2081" xr:uid="{00000000-0005-0000-0000-000009080000}"/>
    <cellStyle name="A_01 원재료_200.04년월별재무제표" xfId="2082" xr:uid="{00000000-0005-0000-0000-00000A080000}"/>
    <cellStyle name="A_01 원재료_200.04년월별재무제표_110-1.04.3월_경영보고" xfId="2083" xr:uid="{00000000-0005-0000-0000-00000B080000}"/>
    <cellStyle name="A_01 원재료_200.04년월별재무제표_111.04.6월 경영보고" xfId="2084" xr:uid="{00000000-0005-0000-0000-00000C080000}"/>
    <cellStyle name="A_01 원재료_200.04년월별재무제표_111.04.6월 경영보고(구성)" xfId="2085" xr:uid="{00000000-0005-0000-0000-00000D080000}"/>
    <cellStyle name="A_01 원재료_200.04년월별재무제표_112.04.7월 경영보고" xfId="2086" xr:uid="{00000000-0005-0000-0000-00000E080000}"/>
    <cellStyle name="A_01 원재료_200.04년월별재무제표_112.경영보고(주)이순" xfId="2087" xr:uid="{00000000-0005-0000-0000-00000F080000}"/>
    <cellStyle name="A_01 원재료_200.04년월별재무제표_2004.07총괄손익보고(이순산업)" xfId="2088" xr:uid="{00000000-0005-0000-0000-000010080000}"/>
    <cellStyle name="A_01 원재료_200.04년월별재무제표_경영보고(주)이순" xfId="2089" xr:uid="{00000000-0005-0000-0000-000011080000}"/>
    <cellStyle name="A_01 원재료_200.04월별재무제표" xfId="2090" xr:uid="{00000000-0005-0000-0000-000012080000}"/>
    <cellStyle name="A_01 원재료_200.04월별재무제표_110-1.04.3월_경영보고" xfId="2091" xr:uid="{00000000-0005-0000-0000-000013080000}"/>
    <cellStyle name="A_01 원재료_200.04월별재무제표_111.04.6월 경영보고" xfId="2092" xr:uid="{00000000-0005-0000-0000-000014080000}"/>
    <cellStyle name="A_01 원재료_200.04월별재무제표_111.04.6월 경영보고(구성)" xfId="2093" xr:uid="{00000000-0005-0000-0000-000015080000}"/>
    <cellStyle name="A_01 원재료_200.04월별재무제표_112.04.7월 경영보고" xfId="2094" xr:uid="{00000000-0005-0000-0000-000016080000}"/>
    <cellStyle name="A_01 원재료_200.04월별재무제표_112.경영보고(주)이순" xfId="2095" xr:uid="{00000000-0005-0000-0000-000017080000}"/>
    <cellStyle name="A_01 원재료_200.04월별재무제표_2004.07총괄손익보고(이순산업)" xfId="2096" xr:uid="{00000000-0005-0000-0000-000018080000}"/>
    <cellStyle name="A_01 원재료_200.04월별재무제표_경영보고(주)이순" xfId="2097" xr:uid="{00000000-0005-0000-0000-000019080000}"/>
    <cellStyle name="A_01 원재료_경영보고(주)이순" xfId="2098" xr:uid="{00000000-0005-0000-0000-00001A080000}"/>
    <cellStyle name="A_01 원재료_비교재무제표" xfId="2099" xr:uid="{00000000-0005-0000-0000-00001B080000}"/>
    <cellStyle name="A_01 원재료_비교재무제표_110-1.04.3월_경영보고" xfId="2100" xr:uid="{00000000-0005-0000-0000-00001C080000}"/>
    <cellStyle name="A_01 원재료_비교재무제표_111.04.6월 경영보고" xfId="2101" xr:uid="{00000000-0005-0000-0000-00001D080000}"/>
    <cellStyle name="A_01 원재료_비교재무제표_111.04.6월 경영보고(구성)" xfId="2102" xr:uid="{00000000-0005-0000-0000-00001E080000}"/>
    <cellStyle name="A_01 원재료_비교재무제표_112.04.7월 경영보고" xfId="2103" xr:uid="{00000000-0005-0000-0000-00001F080000}"/>
    <cellStyle name="A_01 원재료_비교재무제표_112.경영보고(주)이순" xfId="2104" xr:uid="{00000000-0005-0000-0000-000020080000}"/>
    <cellStyle name="A_01 원재료_비교재무제표_2004.07총괄손익보고(이순산업)" xfId="2105" xr:uid="{00000000-0005-0000-0000-000021080000}"/>
    <cellStyle name="A_01 원재료_비교재무제표_경영보고(주)이순" xfId="2106" xr:uid="{00000000-0005-0000-0000-000022080000}"/>
    <cellStyle name="A_01 제품" xfId="2107" xr:uid="{00000000-0005-0000-0000-000023080000}"/>
    <cellStyle name="A_01 제품_02반기조정" xfId="2108" xr:uid="{00000000-0005-0000-0000-000024080000}"/>
    <cellStyle name="A_01 제품_02반기조정_110-1.04.3월_경영보고" xfId="2109" xr:uid="{00000000-0005-0000-0000-000025080000}"/>
    <cellStyle name="A_01 제품_02반기조정_111.04.6월 경영보고" xfId="2110" xr:uid="{00000000-0005-0000-0000-000026080000}"/>
    <cellStyle name="A_01 제품_02반기조정_111.04.6월 경영보고(구성)" xfId="2111" xr:uid="{00000000-0005-0000-0000-000027080000}"/>
    <cellStyle name="A_01 제품_02반기조정_112.04.7월 경영보고" xfId="2112" xr:uid="{00000000-0005-0000-0000-000028080000}"/>
    <cellStyle name="A_01 제품_02반기조정_112.경영보고(주)이순" xfId="2113" xr:uid="{00000000-0005-0000-0000-000029080000}"/>
    <cellStyle name="A_01 제품_02반기조정_2004.07총괄손익보고(이순산업)" xfId="2114" xr:uid="{00000000-0005-0000-0000-00002A080000}"/>
    <cellStyle name="A_01 제품_02반기조정_경영보고(주)이순" xfId="2115" xr:uid="{00000000-0005-0000-0000-00002B080000}"/>
    <cellStyle name="A_01 제품_110.04.3월 경영보고" xfId="2116" xr:uid="{00000000-0005-0000-0000-00002C080000}"/>
    <cellStyle name="A_01 제품_110.04.3월 경영보고_110-1.04.3월_경영보고" xfId="2117" xr:uid="{00000000-0005-0000-0000-00002D080000}"/>
    <cellStyle name="A_01 제품_110.04.3월 경영보고_111.04.6월 경영보고" xfId="2118" xr:uid="{00000000-0005-0000-0000-00002E080000}"/>
    <cellStyle name="A_01 제품_110.04.3월 경영보고_111.04.6월 경영보고(구성)" xfId="2119" xr:uid="{00000000-0005-0000-0000-00002F080000}"/>
    <cellStyle name="A_01 제품_110.04.3월 경영보고_112.04.7월 경영보고" xfId="2120" xr:uid="{00000000-0005-0000-0000-000030080000}"/>
    <cellStyle name="A_01 제품_110.04.3월 경영보고_112.경영보고(주)이순" xfId="2121" xr:uid="{00000000-0005-0000-0000-000031080000}"/>
    <cellStyle name="A_01 제품_110.04.3월 경영보고_2004.07총괄손익보고(이순산업)" xfId="2122" xr:uid="{00000000-0005-0000-0000-000032080000}"/>
    <cellStyle name="A_01 제품_110.04.3월 경영보고_경영보고(주)이순" xfId="2123" xr:uid="{00000000-0005-0000-0000-000033080000}"/>
    <cellStyle name="A_01 제품_110-1.04.3월_경영보고" xfId="2124" xr:uid="{00000000-0005-0000-0000-000034080000}"/>
    <cellStyle name="A_01 제품_200.04년월별재무제표" xfId="2125" xr:uid="{00000000-0005-0000-0000-000035080000}"/>
    <cellStyle name="A_01 제품_200.04년월별재무제표_110-1.04.3월_경영보고" xfId="2126" xr:uid="{00000000-0005-0000-0000-000036080000}"/>
    <cellStyle name="A_01 제품_200.04년월별재무제표_111.04.6월 경영보고" xfId="2127" xr:uid="{00000000-0005-0000-0000-000037080000}"/>
    <cellStyle name="A_01 제품_200.04년월별재무제표_111.04.6월 경영보고(구성)" xfId="2128" xr:uid="{00000000-0005-0000-0000-000038080000}"/>
    <cellStyle name="A_01 제품_200.04년월별재무제표_112.04.7월 경영보고" xfId="2129" xr:uid="{00000000-0005-0000-0000-000039080000}"/>
    <cellStyle name="A_01 제품_200.04년월별재무제표_112.경영보고(주)이순" xfId="2130" xr:uid="{00000000-0005-0000-0000-00003A080000}"/>
    <cellStyle name="A_01 제품_200.04년월별재무제표_2004.07총괄손익보고(이순산업)" xfId="2131" xr:uid="{00000000-0005-0000-0000-00003B080000}"/>
    <cellStyle name="A_01 제품_200.04년월별재무제표_경영보고(주)이순" xfId="2132" xr:uid="{00000000-0005-0000-0000-00003C080000}"/>
    <cellStyle name="A_01 제품_200.04월별재무제표" xfId="2133" xr:uid="{00000000-0005-0000-0000-00003D080000}"/>
    <cellStyle name="A_01 제품_200.04월별재무제표_110-1.04.3월_경영보고" xfId="2134" xr:uid="{00000000-0005-0000-0000-00003E080000}"/>
    <cellStyle name="A_01 제품_200.04월별재무제표_111.04.6월 경영보고" xfId="2135" xr:uid="{00000000-0005-0000-0000-00003F080000}"/>
    <cellStyle name="A_01 제품_200.04월별재무제표_111.04.6월 경영보고(구성)" xfId="2136" xr:uid="{00000000-0005-0000-0000-000040080000}"/>
    <cellStyle name="A_01 제품_200.04월별재무제표_112.04.7월 경영보고" xfId="2137" xr:uid="{00000000-0005-0000-0000-000041080000}"/>
    <cellStyle name="A_01 제품_200.04월별재무제표_112.경영보고(주)이순" xfId="2138" xr:uid="{00000000-0005-0000-0000-000042080000}"/>
    <cellStyle name="A_01 제품_200.04월별재무제표_2004.07총괄손익보고(이순산업)" xfId="2139" xr:uid="{00000000-0005-0000-0000-000043080000}"/>
    <cellStyle name="A_01 제품_200.04월별재무제표_경영보고(주)이순" xfId="2140" xr:uid="{00000000-0005-0000-0000-000044080000}"/>
    <cellStyle name="A_01 제품_경영보고(주)이순" xfId="2141" xr:uid="{00000000-0005-0000-0000-000045080000}"/>
    <cellStyle name="A_01 제품_비교재무제표" xfId="2142" xr:uid="{00000000-0005-0000-0000-000046080000}"/>
    <cellStyle name="A_01 제품_비교재무제표_110-1.04.3월_경영보고" xfId="2143" xr:uid="{00000000-0005-0000-0000-000047080000}"/>
    <cellStyle name="A_01 제품_비교재무제표_111.04.6월 경영보고" xfId="2144" xr:uid="{00000000-0005-0000-0000-000048080000}"/>
    <cellStyle name="A_01 제품_비교재무제표_111.04.6월 경영보고(구성)" xfId="2145" xr:uid="{00000000-0005-0000-0000-000049080000}"/>
    <cellStyle name="A_01 제품_비교재무제표_112.04.7월 경영보고" xfId="2146" xr:uid="{00000000-0005-0000-0000-00004A080000}"/>
    <cellStyle name="A_01 제품_비교재무제표_112.경영보고(주)이순" xfId="2147" xr:uid="{00000000-0005-0000-0000-00004B080000}"/>
    <cellStyle name="A_01 제품_비교재무제표_2004.07총괄손익보고(이순산업)" xfId="2148" xr:uid="{00000000-0005-0000-0000-00004C080000}"/>
    <cellStyle name="A_01 제품_비교재무제표_경영보고(주)이순" xfId="2149" xr:uid="{00000000-0005-0000-0000-00004D080000}"/>
    <cellStyle name="A_01상반기 결산보고(j)" xfId="2150" xr:uid="{00000000-0005-0000-0000-00004E080000}"/>
    <cellStyle name="A_01상반기 결산보고(j)_110-1.04.3월_경영보고" xfId="2151" xr:uid="{00000000-0005-0000-0000-00004F080000}"/>
    <cellStyle name="A_01상반기 결산보고(j)_111.04.6월 경영보고" xfId="2152" xr:uid="{00000000-0005-0000-0000-000050080000}"/>
    <cellStyle name="A_01상반기 결산보고(j)_111.04.6월 경영보고(구성)" xfId="2153" xr:uid="{00000000-0005-0000-0000-000051080000}"/>
    <cellStyle name="A_01상반기 결산보고(j)_112.04.7월 경영보고" xfId="2154" xr:uid="{00000000-0005-0000-0000-000052080000}"/>
    <cellStyle name="A_01상반기 결산보고(j)_112.경영보고(주)이순" xfId="2155" xr:uid="{00000000-0005-0000-0000-000053080000}"/>
    <cellStyle name="A_01상반기 결산보고(j)_2004.07총괄손익보고(이순산업)" xfId="2156" xr:uid="{00000000-0005-0000-0000-000054080000}"/>
    <cellStyle name="A_01상반기 결산보고(j)_경영보고(주)이순" xfId="2157" xr:uid="{00000000-0005-0000-0000-000055080000}"/>
    <cellStyle name="A_01상반기 결산보고(japan" xfId="2158" xr:uid="{00000000-0005-0000-0000-000056080000}"/>
    <cellStyle name="A_01상반기 결산보고(japan)수정" xfId="2159" xr:uid="{00000000-0005-0000-0000-000057080000}"/>
    <cellStyle name="A_01상반기 결산보고(japan)수정_110-1.04.3월_경영보고" xfId="2160" xr:uid="{00000000-0005-0000-0000-000058080000}"/>
    <cellStyle name="A_01상반기 결산보고(japan)수정_111.04.6월 경영보고" xfId="2161" xr:uid="{00000000-0005-0000-0000-000059080000}"/>
    <cellStyle name="A_01상반기 결산보고(japan)수정_111.04.6월 경영보고(구성)" xfId="2162" xr:uid="{00000000-0005-0000-0000-00005A080000}"/>
    <cellStyle name="A_01상반기 결산보고(japan)수정_112.04.7월 경영보고" xfId="2163" xr:uid="{00000000-0005-0000-0000-00005B080000}"/>
    <cellStyle name="A_01상반기 결산보고(japan)수정_112.경영보고(주)이순" xfId="2164" xr:uid="{00000000-0005-0000-0000-00005C080000}"/>
    <cellStyle name="A_01상반기 결산보고(japan)수정_2004.07총괄손익보고(이순산업)" xfId="2165" xr:uid="{00000000-0005-0000-0000-00005D080000}"/>
    <cellStyle name="A_01상반기 결산보고(japan)수정_경영보고(주)이순" xfId="2166" xr:uid="{00000000-0005-0000-0000-00005E080000}"/>
    <cellStyle name="A_01상반기 결산보고(japan_110-1.04.3월_경영보고" xfId="2167" xr:uid="{00000000-0005-0000-0000-00005F080000}"/>
    <cellStyle name="A_01상반기 결산보고(japan_111.04.6월 경영보고" xfId="2168" xr:uid="{00000000-0005-0000-0000-000060080000}"/>
    <cellStyle name="A_01상반기 결산보고(japan_111.04.6월 경영보고(구성)" xfId="2169" xr:uid="{00000000-0005-0000-0000-000061080000}"/>
    <cellStyle name="A_01상반기 결산보고(japan_112.04.7월 경영보고" xfId="2170" xr:uid="{00000000-0005-0000-0000-000062080000}"/>
    <cellStyle name="A_01상반기 결산보고(japan_112.경영보고(주)이순" xfId="2171" xr:uid="{00000000-0005-0000-0000-000063080000}"/>
    <cellStyle name="A_01상반기 결산보고(japan_2004.07총괄손익보고(이순산업)" xfId="2172" xr:uid="{00000000-0005-0000-0000-000064080000}"/>
    <cellStyle name="A_01상반기 결산보고(japan_경영보고(주)이순" xfId="2173" xr:uid="{00000000-0005-0000-0000-000065080000}"/>
    <cellStyle name="A_01상반기결산보고" xfId="2174" xr:uid="{00000000-0005-0000-0000-000066080000}"/>
    <cellStyle name="A_01상반기결산보고(J)" xfId="2175" xr:uid="{00000000-0005-0000-0000-000067080000}"/>
    <cellStyle name="A_01상반기결산보고(J)_110-1.04.3월_경영보고" xfId="2176" xr:uid="{00000000-0005-0000-0000-000068080000}"/>
    <cellStyle name="A_01상반기결산보고(J)_111.04.6월 경영보고" xfId="2177" xr:uid="{00000000-0005-0000-0000-000069080000}"/>
    <cellStyle name="A_01상반기결산보고(J)_111.04.6월 경영보고(구성)" xfId="2178" xr:uid="{00000000-0005-0000-0000-00006A080000}"/>
    <cellStyle name="A_01상반기결산보고(J)_112.04.7월 경영보고" xfId="2179" xr:uid="{00000000-0005-0000-0000-00006B080000}"/>
    <cellStyle name="A_01상반기결산보고(J)_112.경영보고(주)이순" xfId="2180" xr:uid="{00000000-0005-0000-0000-00006C080000}"/>
    <cellStyle name="A_01상반기결산보고(J)_2004.07총괄손익보고(이순산업)" xfId="2181" xr:uid="{00000000-0005-0000-0000-00006D080000}"/>
    <cellStyle name="A_01상반기결산보고(J)_경영보고(주)이순" xfId="2182" xr:uid="{00000000-0005-0000-0000-00006E080000}"/>
    <cellStyle name="A_01상반기결산보고_02반기조정" xfId="2183" xr:uid="{00000000-0005-0000-0000-00006F080000}"/>
    <cellStyle name="A_01상반기결산보고_02반기조정_110-1.04.3월_경영보고" xfId="2184" xr:uid="{00000000-0005-0000-0000-000070080000}"/>
    <cellStyle name="A_01상반기결산보고_02반기조정_111.04.6월 경영보고" xfId="2185" xr:uid="{00000000-0005-0000-0000-000071080000}"/>
    <cellStyle name="A_01상반기결산보고_02반기조정_111.04.6월 경영보고(구성)" xfId="2186" xr:uid="{00000000-0005-0000-0000-000072080000}"/>
    <cellStyle name="A_01상반기결산보고_02반기조정_112.04.7월 경영보고" xfId="2187" xr:uid="{00000000-0005-0000-0000-000073080000}"/>
    <cellStyle name="A_01상반기결산보고_02반기조정_112.경영보고(주)이순" xfId="2188" xr:uid="{00000000-0005-0000-0000-000074080000}"/>
    <cellStyle name="A_01상반기결산보고_02반기조정_2004.07총괄손익보고(이순산업)" xfId="2189" xr:uid="{00000000-0005-0000-0000-000075080000}"/>
    <cellStyle name="A_01상반기결산보고_02반기조정_경영보고(주)이순" xfId="2190" xr:uid="{00000000-0005-0000-0000-000076080000}"/>
    <cellStyle name="A_01상반기결산보고_110.04.3월 경영보고" xfId="2191" xr:uid="{00000000-0005-0000-0000-000077080000}"/>
    <cellStyle name="A_01상반기결산보고_110.04.3월 경영보고_110-1.04.3월_경영보고" xfId="2192" xr:uid="{00000000-0005-0000-0000-000078080000}"/>
    <cellStyle name="A_01상반기결산보고_110.04.3월 경영보고_111.04.6월 경영보고" xfId="2193" xr:uid="{00000000-0005-0000-0000-000079080000}"/>
    <cellStyle name="A_01상반기결산보고_110.04.3월 경영보고_111.04.6월 경영보고(구성)" xfId="2194" xr:uid="{00000000-0005-0000-0000-00007A080000}"/>
    <cellStyle name="A_01상반기결산보고_110.04.3월 경영보고_112.04.7월 경영보고" xfId="2195" xr:uid="{00000000-0005-0000-0000-00007B080000}"/>
    <cellStyle name="A_01상반기결산보고_110.04.3월 경영보고_112.경영보고(주)이순" xfId="2196" xr:uid="{00000000-0005-0000-0000-00007C080000}"/>
    <cellStyle name="A_01상반기결산보고_110.04.3월 경영보고_2004.07총괄손익보고(이순산업)" xfId="2197" xr:uid="{00000000-0005-0000-0000-00007D080000}"/>
    <cellStyle name="A_01상반기결산보고_110.04.3월 경영보고_경영보고(주)이순" xfId="2198" xr:uid="{00000000-0005-0000-0000-00007E080000}"/>
    <cellStyle name="A_01상반기결산보고_110-1.04.3월_경영보고" xfId="2199" xr:uid="{00000000-0005-0000-0000-00007F080000}"/>
    <cellStyle name="A_01상반기결산보고_200.04년월별재무제표" xfId="2200" xr:uid="{00000000-0005-0000-0000-000080080000}"/>
    <cellStyle name="A_01상반기결산보고_200.04년월별재무제표_110-1.04.3월_경영보고" xfId="2201" xr:uid="{00000000-0005-0000-0000-000081080000}"/>
    <cellStyle name="A_01상반기결산보고_200.04년월별재무제표_111.04.6월 경영보고" xfId="2202" xr:uid="{00000000-0005-0000-0000-000082080000}"/>
    <cellStyle name="A_01상반기결산보고_200.04년월별재무제표_111.04.6월 경영보고(구성)" xfId="2203" xr:uid="{00000000-0005-0000-0000-000083080000}"/>
    <cellStyle name="A_01상반기결산보고_200.04년월별재무제표_112.04.7월 경영보고" xfId="2204" xr:uid="{00000000-0005-0000-0000-000084080000}"/>
    <cellStyle name="A_01상반기결산보고_200.04년월별재무제표_112.경영보고(주)이순" xfId="2205" xr:uid="{00000000-0005-0000-0000-000085080000}"/>
    <cellStyle name="A_01상반기결산보고_200.04년월별재무제표_2004.07총괄손익보고(이순산업)" xfId="2206" xr:uid="{00000000-0005-0000-0000-000086080000}"/>
    <cellStyle name="A_01상반기결산보고_200.04년월별재무제표_경영보고(주)이순" xfId="2207" xr:uid="{00000000-0005-0000-0000-000087080000}"/>
    <cellStyle name="A_01상반기결산보고_200.04월별재무제표" xfId="2208" xr:uid="{00000000-0005-0000-0000-000088080000}"/>
    <cellStyle name="A_01상반기결산보고_200.04월별재무제표_110-1.04.3월_경영보고" xfId="2209" xr:uid="{00000000-0005-0000-0000-000089080000}"/>
    <cellStyle name="A_01상반기결산보고_200.04월별재무제표_111.04.6월 경영보고" xfId="2210" xr:uid="{00000000-0005-0000-0000-00008A080000}"/>
    <cellStyle name="A_01상반기결산보고_200.04월별재무제표_111.04.6월 경영보고(구성)" xfId="2211" xr:uid="{00000000-0005-0000-0000-00008B080000}"/>
    <cellStyle name="A_01상반기결산보고_200.04월별재무제표_112.04.7월 경영보고" xfId="2212" xr:uid="{00000000-0005-0000-0000-00008C080000}"/>
    <cellStyle name="A_01상반기결산보고_200.04월별재무제표_112.경영보고(주)이순" xfId="2213" xr:uid="{00000000-0005-0000-0000-00008D080000}"/>
    <cellStyle name="A_01상반기결산보고_200.04월별재무제표_2004.07총괄손익보고(이순산업)" xfId="2214" xr:uid="{00000000-0005-0000-0000-00008E080000}"/>
    <cellStyle name="A_01상반기결산보고_200.04월별재무제표_경영보고(주)이순" xfId="2215" xr:uid="{00000000-0005-0000-0000-00008F080000}"/>
    <cellStyle name="A_01상반기결산보고_경영보고(주)이순" xfId="2216" xr:uid="{00000000-0005-0000-0000-000090080000}"/>
    <cellStyle name="A_01상반기결산보고_비교재무제표" xfId="2217" xr:uid="{00000000-0005-0000-0000-000091080000}"/>
    <cellStyle name="A_01상반기결산보고_비교재무제표_110-1.04.3월_경영보고" xfId="2218" xr:uid="{00000000-0005-0000-0000-000092080000}"/>
    <cellStyle name="A_01상반기결산보고_비교재무제표_111.04.6월 경영보고" xfId="2219" xr:uid="{00000000-0005-0000-0000-000093080000}"/>
    <cellStyle name="A_01상반기결산보고_비교재무제표_111.04.6월 경영보고(구성)" xfId="2220" xr:uid="{00000000-0005-0000-0000-000094080000}"/>
    <cellStyle name="A_01상반기결산보고_비교재무제표_112.04.7월 경영보고" xfId="2221" xr:uid="{00000000-0005-0000-0000-000095080000}"/>
    <cellStyle name="A_01상반기결산보고_비교재무제표_112.경영보고(주)이순" xfId="2222" xr:uid="{00000000-0005-0000-0000-000096080000}"/>
    <cellStyle name="A_01상반기결산보고_비교재무제표_2004.07총괄손익보고(이순산업)" xfId="2223" xr:uid="{00000000-0005-0000-0000-000097080000}"/>
    <cellStyle name="A_01상반기결산보고_비교재무제표_경영보고(주)이순" xfId="2224" xr:uid="{00000000-0005-0000-0000-000098080000}"/>
    <cellStyle name="A_02반기조정" xfId="2225" xr:uid="{00000000-0005-0000-0000-000099080000}"/>
    <cellStyle name="A_02반기조정_110-1.04.3월_경영보고" xfId="2226" xr:uid="{00000000-0005-0000-0000-00009A080000}"/>
    <cellStyle name="A_02반기조정_111.04.6월 경영보고" xfId="2227" xr:uid="{00000000-0005-0000-0000-00009B080000}"/>
    <cellStyle name="A_02반기조정_111.04.6월 경영보고(구성)" xfId="2228" xr:uid="{00000000-0005-0000-0000-00009C080000}"/>
    <cellStyle name="A_02반기조정_112.04.7월 경영보고" xfId="2229" xr:uid="{00000000-0005-0000-0000-00009D080000}"/>
    <cellStyle name="A_02반기조정_112.경영보고(주)이순" xfId="2230" xr:uid="{00000000-0005-0000-0000-00009E080000}"/>
    <cellStyle name="A_02반기조정_2004.07총괄손익보고(이순산업)" xfId="2231" xr:uid="{00000000-0005-0000-0000-00009F080000}"/>
    <cellStyle name="A_02반기조정_경영보고(주)이순" xfId="2232" xr:uid="{00000000-0005-0000-0000-0000A0080000}"/>
    <cellStyle name="A_110.04.3월 경영보고" xfId="2233" xr:uid="{00000000-0005-0000-0000-0000A1080000}"/>
    <cellStyle name="A_110.04.3월 경영보고_110-1.04.3월_경영보고" xfId="2234" xr:uid="{00000000-0005-0000-0000-0000A2080000}"/>
    <cellStyle name="A_110.04.3월 경영보고_111.04.6월 경영보고" xfId="2235" xr:uid="{00000000-0005-0000-0000-0000A3080000}"/>
    <cellStyle name="A_110.04.3월 경영보고_111.04.6월 경영보고(구성)" xfId="2236" xr:uid="{00000000-0005-0000-0000-0000A4080000}"/>
    <cellStyle name="A_110.04.3월 경영보고_112.04.7월 경영보고" xfId="2237" xr:uid="{00000000-0005-0000-0000-0000A5080000}"/>
    <cellStyle name="A_110.04.3월 경영보고_112.경영보고(주)이순" xfId="2238" xr:uid="{00000000-0005-0000-0000-0000A6080000}"/>
    <cellStyle name="A_110.04.3월 경영보고_2004.07총괄손익보고(이순산업)" xfId="2239" xr:uid="{00000000-0005-0000-0000-0000A7080000}"/>
    <cellStyle name="A_110.04.3월 경영보고_경영보고(주)이순" xfId="2240" xr:uid="{00000000-0005-0000-0000-0000A8080000}"/>
    <cellStyle name="A_110-1.04.3월_경영보고" xfId="2241" xr:uid="{00000000-0005-0000-0000-0000A9080000}"/>
    <cellStyle name="A_200.04년월별재무제표" xfId="2242" xr:uid="{00000000-0005-0000-0000-0000AA080000}"/>
    <cellStyle name="A_200.04년월별재무제표_110-1.04.3월_경영보고" xfId="2243" xr:uid="{00000000-0005-0000-0000-0000AB080000}"/>
    <cellStyle name="A_200.04년월별재무제표_111.04.6월 경영보고" xfId="2244" xr:uid="{00000000-0005-0000-0000-0000AC080000}"/>
    <cellStyle name="A_200.04년월별재무제표_111.04.6월 경영보고(구성)" xfId="2245" xr:uid="{00000000-0005-0000-0000-0000AD080000}"/>
    <cellStyle name="A_200.04년월별재무제표_112.04.7월 경영보고" xfId="2246" xr:uid="{00000000-0005-0000-0000-0000AE080000}"/>
    <cellStyle name="A_200.04년월별재무제표_112.경영보고(주)이순" xfId="2247" xr:uid="{00000000-0005-0000-0000-0000AF080000}"/>
    <cellStyle name="A_200.04년월별재무제표_2004.07총괄손익보고(이순산업)" xfId="2248" xr:uid="{00000000-0005-0000-0000-0000B0080000}"/>
    <cellStyle name="A_200.04년월별재무제표_경영보고(주)이순" xfId="2249" xr:uid="{00000000-0005-0000-0000-0000B1080000}"/>
    <cellStyle name="A_200.04월별재무제표" xfId="2250" xr:uid="{00000000-0005-0000-0000-0000B2080000}"/>
    <cellStyle name="A_200.04월별재무제표_110-1.04.3월_경영보고" xfId="2251" xr:uid="{00000000-0005-0000-0000-0000B3080000}"/>
    <cellStyle name="A_200.04월별재무제표_111.04.6월 경영보고" xfId="2252" xr:uid="{00000000-0005-0000-0000-0000B4080000}"/>
    <cellStyle name="A_200.04월별재무제표_111.04.6월 경영보고(구성)" xfId="2253" xr:uid="{00000000-0005-0000-0000-0000B5080000}"/>
    <cellStyle name="A_200.04월별재무제표_112.04.7월 경영보고" xfId="2254" xr:uid="{00000000-0005-0000-0000-0000B6080000}"/>
    <cellStyle name="A_200.04월별재무제표_112.경영보고(주)이순" xfId="2255" xr:uid="{00000000-0005-0000-0000-0000B7080000}"/>
    <cellStyle name="A_200.04월별재무제표_2004.07총괄손익보고(이순산업)" xfId="2256" xr:uid="{00000000-0005-0000-0000-0000B8080000}"/>
    <cellStyle name="A_200.04월별재무제표_경영보고(주)이순" xfId="2257" xr:uid="{00000000-0005-0000-0000-0000B9080000}"/>
    <cellStyle name="A_2001 원재료3(수입삭제)" xfId="2258" xr:uid="{00000000-0005-0000-0000-0000BA080000}"/>
    <cellStyle name="A_2001 원재료3(수입삭제)_02반기조정" xfId="2259" xr:uid="{00000000-0005-0000-0000-0000BB080000}"/>
    <cellStyle name="A_2001 원재료3(수입삭제)_02반기조정_110-1.04.3월_경영보고" xfId="2260" xr:uid="{00000000-0005-0000-0000-0000BC080000}"/>
    <cellStyle name="A_2001 원재료3(수입삭제)_02반기조정_111.04.6월 경영보고" xfId="2261" xr:uid="{00000000-0005-0000-0000-0000BD080000}"/>
    <cellStyle name="A_2001 원재료3(수입삭제)_02반기조정_111.04.6월 경영보고(구성)" xfId="2262" xr:uid="{00000000-0005-0000-0000-0000BE080000}"/>
    <cellStyle name="A_2001 원재료3(수입삭제)_02반기조정_112.04.7월 경영보고" xfId="2263" xr:uid="{00000000-0005-0000-0000-0000BF080000}"/>
    <cellStyle name="A_2001 원재료3(수입삭제)_02반기조정_112.경영보고(주)이순" xfId="2264" xr:uid="{00000000-0005-0000-0000-0000C0080000}"/>
    <cellStyle name="A_2001 원재료3(수입삭제)_02반기조정_2004.07총괄손익보고(이순산업)" xfId="2265" xr:uid="{00000000-0005-0000-0000-0000C1080000}"/>
    <cellStyle name="A_2001 원재료3(수입삭제)_02반기조정_경영보고(주)이순" xfId="2266" xr:uid="{00000000-0005-0000-0000-0000C2080000}"/>
    <cellStyle name="A_2001 원재료3(수입삭제)_110.04.3월 경영보고" xfId="2267" xr:uid="{00000000-0005-0000-0000-0000C3080000}"/>
    <cellStyle name="A_2001 원재료3(수입삭제)_110.04.3월 경영보고_110-1.04.3월_경영보고" xfId="2268" xr:uid="{00000000-0005-0000-0000-0000C4080000}"/>
    <cellStyle name="A_2001 원재료3(수입삭제)_110.04.3월 경영보고_111.04.6월 경영보고" xfId="2269" xr:uid="{00000000-0005-0000-0000-0000C5080000}"/>
    <cellStyle name="A_2001 원재료3(수입삭제)_110.04.3월 경영보고_111.04.6월 경영보고(구성)" xfId="2270" xr:uid="{00000000-0005-0000-0000-0000C6080000}"/>
    <cellStyle name="A_2001 원재료3(수입삭제)_110.04.3월 경영보고_112.04.7월 경영보고" xfId="2271" xr:uid="{00000000-0005-0000-0000-0000C7080000}"/>
    <cellStyle name="A_2001 원재료3(수입삭제)_110.04.3월 경영보고_112.경영보고(주)이순" xfId="2272" xr:uid="{00000000-0005-0000-0000-0000C8080000}"/>
    <cellStyle name="A_2001 원재료3(수입삭제)_110.04.3월 경영보고_2004.07총괄손익보고(이순산업)" xfId="2273" xr:uid="{00000000-0005-0000-0000-0000C9080000}"/>
    <cellStyle name="A_2001 원재료3(수입삭제)_110.04.3월 경영보고_경영보고(주)이순" xfId="2274" xr:uid="{00000000-0005-0000-0000-0000CA080000}"/>
    <cellStyle name="A_2001 원재료3(수입삭제)_110-1.04.3월_경영보고" xfId="2275" xr:uid="{00000000-0005-0000-0000-0000CB080000}"/>
    <cellStyle name="A_2001 원재료3(수입삭제)_200.04년월별재무제표" xfId="2276" xr:uid="{00000000-0005-0000-0000-0000CC080000}"/>
    <cellStyle name="A_2001 원재료3(수입삭제)_200.04년월별재무제표_110-1.04.3월_경영보고" xfId="2277" xr:uid="{00000000-0005-0000-0000-0000CD080000}"/>
    <cellStyle name="A_2001 원재료3(수입삭제)_200.04년월별재무제표_111.04.6월 경영보고" xfId="2278" xr:uid="{00000000-0005-0000-0000-0000CE080000}"/>
    <cellStyle name="A_2001 원재료3(수입삭제)_200.04년월별재무제표_111.04.6월 경영보고(구성)" xfId="2279" xr:uid="{00000000-0005-0000-0000-0000CF080000}"/>
    <cellStyle name="A_2001 원재료3(수입삭제)_200.04년월별재무제표_112.04.7월 경영보고" xfId="2280" xr:uid="{00000000-0005-0000-0000-0000D0080000}"/>
    <cellStyle name="A_2001 원재료3(수입삭제)_200.04년월별재무제표_112.경영보고(주)이순" xfId="2281" xr:uid="{00000000-0005-0000-0000-0000D1080000}"/>
    <cellStyle name="A_2001 원재료3(수입삭제)_200.04년월별재무제표_2004.07총괄손익보고(이순산업)" xfId="2282" xr:uid="{00000000-0005-0000-0000-0000D2080000}"/>
    <cellStyle name="A_2001 원재료3(수입삭제)_200.04년월별재무제표_경영보고(주)이순" xfId="2283" xr:uid="{00000000-0005-0000-0000-0000D3080000}"/>
    <cellStyle name="A_2001 원재료3(수입삭제)_200.04월별재무제표" xfId="2284" xr:uid="{00000000-0005-0000-0000-0000D4080000}"/>
    <cellStyle name="A_2001 원재료3(수입삭제)_200.04월별재무제표_110-1.04.3월_경영보고" xfId="2285" xr:uid="{00000000-0005-0000-0000-0000D5080000}"/>
    <cellStyle name="A_2001 원재료3(수입삭제)_200.04월별재무제표_111.04.6월 경영보고" xfId="2286" xr:uid="{00000000-0005-0000-0000-0000D6080000}"/>
    <cellStyle name="A_2001 원재료3(수입삭제)_200.04월별재무제표_111.04.6월 경영보고(구성)" xfId="2287" xr:uid="{00000000-0005-0000-0000-0000D7080000}"/>
    <cellStyle name="A_2001 원재료3(수입삭제)_200.04월별재무제표_112.04.7월 경영보고" xfId="2288" xr:uid="{00000000-0005-0000-0000-0000D8080000}"/>
    <cellStyle name="A_2001 원재료3(수입삭제)_200.04월별재무제표_112.경영보고(주)이순" xfId="2289" xr:uid="{00000000-0005-0000-0000-0000D9080000}"/>
    <cellStyle name="A_2001 원재료3(수입삭제)_200.04월별재무제표_2004.07총괄손익보고(이순산업)" xfId="2290" xr:uid="{00000000-0005-0000-0000-0000DA080000}"/>
    <cellStyle name="A_2001 원재료3(수입삭제)_200.04월별재무제표_경영보고(주)이순" xfId="2291" xr:uid="{00000000-0005-0000-0000-0000DB080000}"/>
    <cellStyle name="A_2001 원재료3(수입삭제)_경영보고(주)이순" xfId="2292" xr:uid="{00000000-0005-0000-0000-0000DC080000}"/>
    <cellStyle name="A_2001 원재료3(수입삭제)_비교재무제표" xfId="2293" xr:uid="{00000000-0005-0000-0000-0000DD080000}"/>
    <cellStyle name="A_2001 원재료3(수입삭제)_비교재무제표_110-1.04.3월_경영보고" xfId="2294" xr:uid="{00000000-0005-0000-0000-0000DE080000}"/>
    <cellStyle name="A_2001 원재료3(수입삭제)_비교재무제표_111.04.6월 경영보고" xfId="2295" xr:uid="{00000000-0005-0000-0000-0000DF080000}"/>
    <cellStyle name="A_2001 원재료3(수입삭제)_비교재무제표_111.04.6월 경영보고(구성)" xfId="2296" xr:uid="{00000000-0005-0000-0000-0000E0080000}"/>
    <cellStyle name="A_2001 원재료3(수입삭제)_비교재무제표_112.04.7월 경영보고" xfId="2297" xr:uid="{00000000-0005-0000-0000-0000E1080000}"/>
    <cellStyle name="A_2001 원재료3(수입삭제)_비교재무제표_112.경영보고(주)이순" xfId="2298" xr:uid="{00000000-0005-0000-0000-0000E2080000}"/>
    <cellStyle name="A_2001 원재료3(수입삭제)_비교재무제표_2004.07총괄손익보고(이순산업)" xfId="2299" xr:uid="{00000000-0005-0000-0000-0000E3080000}"/>
    <cellStyle name="A_2001 원재료3(수입삭제)_비교재무제표_경영보고(주)이순" xfId="2300" xr:uid="{00000000-0005-0000-0000-0000E4080000}"/>
    <cellStyle name="A_2001 원재료4(수입삭제)" xfId="2301" xr:uid="{00000000-0005-0000-0000-0000E5080000}"/>
    <cellStyle name="A_2001 원재료4(수입삭제)_02반기조정" xfId="2302" xr:uid="{00000000-0005-0000-0000-0000E6080000}"/>
    <cellStyle name="A_2001 원재료4(수입삭제)_02반기조정_110-1.04.3월_경영보고" xfId="2303" xr:uid="{00000000-0005-0000-0000-0000E7080000}"/>
    <cellStyle name="A_2001 원재료4(수입삭제)_02반기조정_111.04.6월 경영보고" xfId="2304" xr:uid="{00000000-0005-0000-0000-0000E8080000}"/>
    <cellStyle name="A_2001 원재료4(수입삭제)_02반기조정_111.04.6월 경영보고(구성)" xfId="2305" xr:uid="{00000000-0005-0000-0000-0000E9080000}"/>
    <cellStyle name="A_2001 원재료4(수입삭제)_02반기조정_112.04.7월 경영보고" xfId="2306" xr:uid="{00000000-0005-0000-0000-0000EA080000}"/>
    <cellStyle name="A_2001 원재료4(수입삭제)_02반기조정_112.경영보고(주)이순" xfId="2307" xr:uid="{00000000-0005-0000-0000-0000EB080000}"/>
    <cellStyle name="A_2001 원재료4(수입삭제)_02반기조정_2004.07총괄손익보고(이순산업)" xfId="2308" xr:uid="{00000000-0005-0000-0000-0000EC080000}"/>
    <cellStyle name="A_2001 원재료4(수입삭제)_02반기조정_경영보고(주)이순" xfId="2309" xr:uid="{00000000-0005-0000-0000-0000ED080000}"/>
    <cellStyle name="A_2001 원재료4(수입삭제)_110.04.3월 경영보고" xfId="2310" xr:uid="{00000000-0005-0000-0000-0000EE080000}"/>
    <cellStyle name="A_2001 원재료4(수입삭제)_110.04.3월 경영보고_110-1.04.3월_경영보고" xfId="2311" xr:uid="{00000000-0005-0000-0000-0000EF080000}"/>
    <cellStyle name="A_2001 원재료4(수입삭제)_110.04.3월 경영보고_111.04.6월 경영보고" xfId="2312" xr:uid="{00000000-0005-0000-0000-0000F0080000}"/>
    <cellStyle name="A_2001 원재료4(수입삭제)_110.04.3월 경영보고_111.04.6월 경영보고(구성)" xfId="2313" xr:uid="{00000000-0005-0000-0000-0000F1080000}"/>
    <cellStyle name="A_2001 원재료4(수입삭제)_110.04.3월 경영보고_112.04.7월 경영보고" xfId="2314" xr:uid="{00000000-0005-0000-0000-0000F2080000}"/>
    <cellStyle name="A_2001 원재료4(수입삭제)_110.04.3월 경영보고_112.경영보고(주)이순" xfId="2315" xr:uid="{00000000-0005-0000-0000-0000F3080000}"/>
    <cellStyle name="A_2001 원재료4(수입삭제)_110.04.3월 경영보고_경영보고(주)이순" xfId="2316" xr:uid="{00000000-0005-0000-0000-0000F4080000}"/>
    <cellStyle name="A_2001 원재료4(수입삭제)_110-1.04.3월_경영보고" xfId="2317" xr:uid="{00000000-0005-0000-0000-0000F5080000}"/>
    <cellStyle name="A_2001 원재료4(수입삭제)_200.04년월별재무제표" xfId="2318" xr:uid="{00000000-0005-0000-0000-0000F6080000}"/>
    <cellStyle name="A_2001 원재료4(수입삭제)_200.04년월별재무제표_110-1.04.3월_경영보고" xfId="2319" xr:uid="{00000000-0005-0000-0000-0000F7080000}"/>
    <cellStyle name="A_2001 원재료4(수입삭제)_200.04년월별재무제표_111.04.6월 경영보고" xfId="2320" xr:uid="{00000000-0005-0000-0000-0000F8080000}"/>
    <cellStyle name="A_2001 원재료4(수입삭제)_200.04년월별재무제표_111.04.6월 경영보고(구성)" xfId="2321" xr:uid="{00000000-0005-0000-0000-0000F9080000}"/>
    <cellStyle name="A_2001 원재료4(수입삭제)_200.04년월별재무제표_112.04.7월 경영보고" xfId="2322" xr:uid="{00000000-0005-0000-0000-0000FA080000}"/>
    <cellStyle name="A_2001 원재료4(수입삭제)_200.04년월별재무제표_112.경영보고(주)이순" xfId="2323" xr:uid="{00000000-0005-0000-0000-0000FB080000}"/>
    <cellStyle name="A_2001 원재료4(수입삭제)_200.04년월별재무제표_경영보고(주)이순" xfId="2324" xr:uid="{00000000-0005-0000-0000-0000FC080000}"/>
    <cellStyle name="A_2001 원재료4(수입삭제)_200.04월별재무제표" xfId="2325" xr:uid="{00000000-0005-0000-0000-0000FD080000}"/>
    <cellStyle name="A_2001 원재료4(수입삭제)_200.04월별재무제표_110-1.04.3월_경영보고" xfId="2326" xr:uid="{00000000-0005-0000-0000-0000FE080000}"/>
    <cellStyle name="A_2001 원재료4(수입삭제)_200.04월별재무제표_111.04.6월 경영보고" xfId="2327" xr:uid="{00000000-0005-0000-0000-0000FF080000}"/>
    <cellStyle name="A_2001 원재료4(수입삭제)_200.04월별재무제표_111.04.6월 경영보고(구성)" xfId="2328" xr:uid="{00000000-0005-0000-0000-000000090000}"/>
    <cellStyle name="A_2001 원재료4(수입삭제)_200.04월별재무제표_112.04.7월 경영보고" xfId="2329" xr:uid="{00000000-0005-0000-0000-000001090000}"/>
    <cellStyle name="A_2001 원재료4(수입삭제)_200.04월별재무제표_112.경영보고(주)이순" xfId="2330" xr:uid="{00000000-0005-0000-0000-000002090000}"/>
    <cellStyle name="A_2001 원재료4(수입삭제)_200.04월별재무제표_경영보고(주)이순" xfId="2331" xr:uid="{00000000-0005-0000-0000-000003090000}"/>
    <cellStyle name="A_2001 원재료4(수입삭제)_경영보고(주)이순" xfId="2332" xr:uid="{00000000-0005-0000-0000-000004090000}"/>
    <cellStyle name="A_2001 원재료4(수입삭제)_비교재무제표" xfId="2333" xr:uid="{00000000-0005-0000-0000-000005090000}"/>
    <cellStyle name="A_2001 원재료4(수입삭제)_비교재무제표_110-1.04.3월_경영보고" xfId="2334" xr:uid="{00000000-0005-0000-0000-000006090000}"/>
    <cellStyle name="A_2001 원재료4(수입삭제)_비교재무제표_111.04.6월 경영보고" xfId="2335" xr:uid="{00000000-0005-0000-0000-000007090000}"/>
    <cellStyle name="A_2001 원재료4(수입삭제)_비교재무제표_111.04.6월 경영보고(구성)" xfId="2336" xr:uid="{00000000-0005-0000-0000-000008090000}"/>
    <cellStyle name="A_2001 원재료4(수입삭제)_비교재무제표_112.04.7월 경영보고" xfId="2337" xr:uid="{00000000-0005-0000-0000-000009090000}"/>
    <cellStyle name="A_2001 원재료4(수입삭제)_비교재무제표_112.경영보고(주)이순" xfId="2338" xr:uid="{00000000-0005-0000-0000-00000A090000}"/>
    <cellStyle name="A_2001 원재료4(수입삭제)_비교재무제표_경영보고(주)이순" xfId="2339" xr:uid="{00000000-0005-0000-0000-00000B090000}"/>
    <cellStyle name="A_2001 원재료5(수입삭제,추가재고)" xfId="2340" xr:uid="{00000000-0005-0000-0000-00000C090000}"/>
    <cellStyle name="A_2001 원재료5(수입삭제,추가재고)_02반기조정" xfId="2341" xr:uid="{00000000-0005-0000-0000-00000D090000}"/>
    <cellStyle name="A_2001 원재료5(수입삭제,추가재고)_02반기조정_110-1.04.3월_경영보고" xfId="2342" xr:uid="{00000000-0005-0000-0000-00000E090000}"/>
    <cellStyle name="A_2001 원재료5(수입삭제,추가재고)_02반기조정_111.04.6월 경영보고" xfId="2343" xr:uid="{00000000-0005-0000-0000-00000F090000}"/>
    <cellStyle name="A_2001 원재료5(수입삭제,추가재고)_02반기조정_111.04.6월 경영보고(구성)" xfId="2344" xr:uid="{00000000-0005-0000-0000-000010090000}"/>
    <cellStyle name="A_2001 원재료5(수입삭제,추가재고)_02반기조정_112.04.7월 경영보고" xfId="2345" xr:uid="{00000000-0005-0000-0000-000011090000}"/>
    <cellStyle name="A_2001 원재료5(수입삭제,추가재고)_02반기조정_112.경영보고(주)이순" xfId="2346" xr:uid="{00000000-0005-0000-0000-000012090000}"/>
    <cellStyle name="A_2001 원재료5(수입삭제,추가재고)_02반기조정_경영보고(주)이순" xfId="2347" xr:uid="{00000000-0005-0000-0000-000013090000}"/>
    <cellStyle name="A_2001 원재료5(수입삭제,추가재고)_110.04.3월 경영보고" xfId="2348" xr:uid="{00000000-0005-0000-0000-000014090000}"/>
    <cellStyle name="A_2001 원재료5(수입삭제,추가재고)_110.04.3월 경영보고_110-1.04.3월_경영보고" xfId="2349" xr:uid="{00000000-0005-0000-0000-000015090000}"/>
    <cellStyle name="A_2001 원재료5(수입삭제,추가재고)_110.04.3월 경영보고_111.04.6월 경영보고" xfId="2350" xr:uid="{00000000-0005-0000-0000-000016090000}"/>
    <cellStyle name="A_2001 원재료5(수입삭제,추가재고)_110.04.3월 경영보고_111.04.6월 경영보고(구성)" xfId="2351" xr:uid="{00000000-0005-0000-0000-000017090000}"/>
    <cellStyle name="A_2001 원재료5(수입삭제,추가재고)_110.04.3월 경영보고_112.04.7월 경영보고" xfId="2352" xr:uid="{00000000-0005-0000-0000-000018090000}"/>
    <cellStyle name="A_2001 원재료5(수입삭제,추가재고)_110.04.3월 경영보고_112.경영보고(주)이순" xfId="2353" xr:uid="{00000000-0005-0000-0000-000019090000}"/>
    <cellStyle name="A_2001 원재료5(수입삭제,추가재고)_110.04.3월 경영보고_경영보고(주)이순" xfId="2354" xr:uid="{00000000-0005-0000-0000-00001A090000}"/>
    <cellStyle name="A_2001 원재료5(수입삭제,추가재고)_110-1.04.3월_경영보고" xfId="2355" xr:uid="{00000000-0005-0000-0000-00001B090000}"/>
    <cellStyle name="A_2001 원재료5(수입삭제,추가재고)_200.04년월별재무제표" xfId="2356" xr:uid="{00000000-0005-0000-0000-00001C090000}"/>
    <cellStyle name="A_2001 원재료5(수입삭제,추가재고)_200.04년월별재무제표_110-1.04.3월_경영보고" xfId="2357" xr:uid="{00000000-0005-0000-0000-00001D090000}"/>
    <cellStyle name="A_2001 원재료5(수입삭제,추가재고)_200.04년월별재무제표_111.04.6월 경영보고" xfId="2358" xr:uid="{00000000-0005-0000-0000-00001E090000}"/>
    <cellStyle name="A_2001 원재료5(수입삭제,추가재고)_200.04년월별재무제표_111.04.6월 경영보고(구성)" xfId="2359" xr:uid="{00000000-0005-0000-0000-00001F090000}"/>
    <cellStyle name="A_2001 원재료5(수입삭제,추가재고)_200.04년월별재무제표_112.04.7월 경영보고" xfId="2360" xr:uid="{00000000-0005-0000-0000-000020090000}"/>
    <cellStyle name="A_2001 원재료5(수입삭제,추가재고)_200.04년월별재무제표_112.경영보고(주)이순" xfId="2361" xr:uid="{00000000-0005-0000-0000-000021090000}"/>
    <cellStyle name="A_2001 원재료5(수입삭제,추가재고)_200.04년월별재무제표_경영보고(주)이순" xfId="2362" xr:uid="{00000000-0005-0000-0000-000022090000}"/>
    <cellStyle name="A_2001 원재료5(수입삭제,추가재고)_200.04월별재무제표" xfId="2363" xr:uid="{00000000-0005-0000-0000-000023090000}"/>
    <cellStyle name="A_2001 원재료5(수입삭제,추가재고)_200.04월별재무제표_110-1.04.3월_경영보고" xfId="2364" xr:uid="{00000000-0005-0000-0000-000024090000}"/>
    <cellStyle name="A_2001 원재료5(수입삭제,추가재고)_200.04월별재무제표_111.04.6월 경영보고" xfId="2365" xr:uid="{00000000-0005-0000-0000-000025090000}"/>
    <cellStyle name="A_2001 원재료5(수입삭제,추가재고)_200.04월별재무제표_111.04.6월 경영보고(구성)" xfId="2366" xr:uid="{00000000-0005-0000-0000-000026090000}"/>
    <cellStyle name="A_2001 원재료5(수입삭제,추가재고)_200.04월별재무제표_112.04.7월 경영보고" xfId="2367" xr:uid="{00000000-0005-0000-0000-000027090000}"/>
    <cellStyle name="A_2001 원재료5(수입삭제,추가재고)_200.04월별재무제표_112.경영보고(주)이순" xfId="2368" xr:uid="{00000000-0005-0000-0000-000028090000}"/>
    <cellStyle name="A_2001 원재료5(수입삭제,추가재고)_200.04월별재무제표_경영보고(주)이순" xfId="2369" xr:uid="{00000000-0005-0000-0000-000029090000}"/>
    <cellStyle name="A_2001 원재료5(수입삭제,추가재고)_경영보고(주)이순" xfId="2370" xr:uid="{00000000-0005-0000-0000-00002A090000}"/>
    <cellStyle name="A_2001 원재료5(수입삭제,추가재고)_비교재무제표" xfId="2371" xr:uid="{00000000-0005-0000-0000-00002B090000}"/>
    <cellStyle name="A_2001 원재료5(수입삭제,추가재고)_비교재무제표_110-1.04.3월_경영보고" xfId="2372" xr:uid="{00000000-0005-0000-0000-00002C090000}"/>
    <cellStyle name="A_2001 원재료5(수입삭제,추가재고)_비교재무제표_111.04.6월 경영보고" xfId="2373" xr:uid="{00000000-0005-0000-0000-00002D090000}"/>
    <cellStyle name="A_2001 원재료5(수입삭제,추가재고)_비교재무제표_111.04.6월 경영보고(구성)" xfId="2374" xr:uid="{00000000-0005-0000-0000-00002E090000}"/>
    <cellStyle name="A_2001 원재료5(수입삭제,추가재고)_비교재무제표_112.04.7월 경영보고" xfId="2375" xr:uid="{00000000-0005-0000-0000-00002F090000}"/>
    <cellStyle name="A_2001 원재료5(수입삭제,추가재고)_비교재무제표_112.경영보고(주)이순" xfId="2376" xr:uid="{00000000-0005-0000-0000-000030090000}"/>
    <cellStyle name="A_2001 원재료5(수입삭제,추가재고)_비교재무제표_경영보고(주)이순" xfId="2377" xr:uid="{00000000-0005-0000-0000-000031090000}"/>
    <cellStyle name="A_2001 제품" xfId="2378" xr:uid="{00000000-0005-0000-0000-000032090000}"/>
    <cellStyle name="A_2001 제품_02반기조정" xfId="2379" xr:uid="{00000000-0005-0000-0000-000033090000}"/>
    <cellStyle name="A_2001 제품_02반기조정_110-1.04.3월_경영보고" xfId="2380" xr:uid="{00000000-0005-0000-0000-000034090000}"/>
    <cellStyle name="A_2001 제품_02반기조정_111.04.6월 경영보고" xfId="2381" xr:uid="{00000000-0005-0000-0000-000035090000}"/>
    <cellStyle name="A_2001 제품_02반기조정_111.04.6월 경영보고(구성)" xfId="2382" xr:uid="{00000000-0005-0000-0000-000036090000}"/>
    <cellStyle name="A_2001 제품_02반기조정_112.04.7월 경영보고" xfId="2383" xr:uid="{00000000-0005-0000-0000-000037090000}"/>
    <cellStyle name="A_2001 제품_02반기조정_112.경영보고(주)이순" xfId="2384" xr:uid="{00000000-0005-0000-0000-000038090000}"/>
    <cellStyle name="A_2001 제품_02반기조정_경영보고(주)이순" xfId="2385" xr:uid="{00000000-0005-0000-0000-000039090000}"/>
    <cellStyle name="A_2001 제품_110.04.3월 경영보고" xfId="2386" xr:uid="{00000000-0005-0000-0000-00003A090000}"/>
    <cellStyle name="A_2001 제품_110.04.3월 경영보고_110-1.04.3월_경영보고" xfId="2387" xr:uid="{00000000-0005-0000-0000-00003B090000}"/>
    <cellStyle name="A_2001 제품_110.04.3월 경영보고_111.04.6월 경영보고" xfId="2388" xr:uid="{00000000-0005-0000-0000-00003C090000}"/>
    <cellStyle name="A_2001 제품_110.04.3월 경영보고_111.04.6월 경영보고(구성)" xfId="2389" xr:uid="{00000000-0005-0000-0000-00003D090000}"/>
    <cellStyle name="A_2001 제품_110.04.3월 경영보고_112.04.7월 경영보고" xfId="2390" xr:uid="{00000000-0005-0000-0000-00003E090000}"/>
    <cellStyle name="A_2001 제품_110.04.3월 경영보고_112.경영보고(주)이순" xfId="2391" xr:uid="{00000000-0005-0000-0000-00003F090000}"/>
    <cellStyle name="A_2001 제품_110.04.3월 경영보고_경영보고(주)이순" xfId="2392" xr:uid="{00000000-0005-0000-0000-000040090000}"/>
    <cellStyle name="A_2001 제품_110-1.04.3월_경영보고" xfId="2393" xr:uid="{00000000-0005-0000-0000-000041090000}"/>
    <cellStyle name="A_2001 제품_200.04년월별재무제표" xfId="2394" xr:uid="{00000000-0005-0000-0000-000042090000}"/>
    <cellStyle name="A_2001 제품_200.04년월별재무제표_110-1.04.3월_경영보고" xfId="2395" xr:uid="{00000000-0005-0000-0000-000043090000}"/>
    <cellStyle name="A_2001 제품_200.04년월별재무제표_111.04.6월 경영보고" xfId="2396" xr:uid="{00000000-0005-0000-0000-000044090000}"/>
    <cellStyle name="A_2001 제품_200.04년월별재무제표_111.04.6월 경영보고(구성)" xfId="2397" xr:uid="{00000000-0005-0000-0000-000045090000}"/>
    <cellStyle name="A_2001 제품_200.04년월별재무제표_112.04.7월 경영보고" xfId="2398" xr:uid="{00000000-0005-0000-0000-000046090000}"/>
    <cellStyle name="A_2001 제품_200.04년월별재무제표_112.경영보고(주)이순" xfId="2399" xr:uid="{00000000-0005-0000-0000-000047090000}"/>
    <cellStyle name="A_2001 제품_200.04년월별재무제표_경영보고(주)이순" xfId="2400" xr:uid="{00000000-0005-0000-0000-000048090000}"/>
    <cellStyle name="A_2001 제품_200.04월별재무제표" xfId="2401" xr:uid="{00000000-0005-0000-0000-000049090000}"/>
    <cellStyle name="A_2001 제품_200.04월별재무제표_110-1.04.3월_경영보고" xfId="2402" xr:uid="{00000000-0005-0000-0000-00004A090000}"/>
    <cellStyle name="A_2001 제품_200.04월별재무제표_111.04.6월 경영보고" xfId="2403" xr:uid="{00000000-0005-0000-0000-00004B090000}"/>
    <cellStyle name="A_2001 제품_200.04월별재무제표_111.04.6월 경영보고(구성)" xfId="2404" xr:uid="{00000000-0005-0000-0000-00004C090000}"/>
    <cellStyle name="A_2001 제품_200.04월별재무제표_112.04.7월 경영보고" xfId="2405" xr:uid="{00000000-0005-0000-0000-00004D090000}"/>
    <cellStyle name="A_2001 제품_200.04월별재무제표_112.경영보고(주)이순" xfId="2406" xr:uid="{00000000-0005-0000-0000-00004E090000}"/>
    <cellStyle name="A_2001 제품_200.04월별재무제표_경영보고(주)이순" xfId="2407" xr:uid="{00000000-0005-0000-0000-00004F090000}"/>
    <cellStyle name="A_2001 제품_경영보고(주)이순" xfId="2408" xr:uid="{00000000-0005-0000-0000-000050090000}"/>
    <cellStyle name="A_2001 제품_비교재무제표" xfId="2409" xr:uid="{00000000-0005-0000-0000-000051090000}"/>
    <cellStyle name="A_2001 제품_비교재무제표_110-1.04.3월_경영보고" xfId="2410" xr:uid="{00000000-0005-0000-0000-000052090000}"/>
    <cellStyle name="A_2001 제품_비교재무제표_111.04.6월 경영보고" xfId="2411" xr:uid="{00000000-0005-0000-0000-000053090000}"/>
    <cellStyle name="A_2001 제품_비교재무제표_111.04.6월 경영보고(구성)" xfId="2412" xr:uid="{00000000-0005-0000-0000-000054090000}"/>
    <cellStyle name="A_2001 제품_비교재무제표_112.04.7월 경영보고" xfId="2413" xr:uid="{00000000-0005-0000-0000-000055090000}"/>
    <cellStyle name="A_2001 제품_비교재무제표_112.경영보고(주)이순" xfId="2414" xr:uid="{00000000-0005-0000-0000-000056090000}"/>
    <cellStyle name="A_2001 제품_비교재무제표_경영보고(주)이순" xfId="2415" xr:uid="{00000000-0005-0000-0000-000057090000}"/>
    <cellStyle name="A_2001 제품1" xfId="2416" xr:uid="{00000000-0005-0000-0000-000058090000}"/>
    <cellStyle name="A_2001 제품1_02반기조정" xfId="2417" xr:uid="{00000000-0005-0000-0000-000059090000}"/>
    <cellStyle name="A_2001 제품1_02반기조정_110-1.04.3월_경영보고" xfId="2418" xr:uid="{00000000-0005-0000-0000-00005A090000}"/>
    <cellStyle name="A_2001 제품1_02반기조정_111.04.6월 경영보고" xfId="2419" xr:uid="{00000000-0005-0000-0000-00005B090000}"/>
    <cellStyle name="A_2001 제품1_02반기조정_111.04.6월 경영보고(구성)" xfId="2420" xr:uid="{00000000-0005-0000-0000-00005C090000}"/>
    <cellStyle name="A_2001 제품1_02반기조정_112.04.7월 경영보고" xfId="2421" xr:uid="{00000000-0005-0000-0000-00005D090000}"/>
    <cellStyle name="A_2001 제품1_02반기조정_112.경영보고(주)이순" xfId="2422" xr:uid="{00000000-0005-0000-0000-00005E090000}"/>
    <cellStyle name="A_2001 제품1_02반기조정_경영보고(주)이순" xfId="2423" xr:uid="{00000000-0005-0000-0000-00005F090000}"/>
    <cellStyle name="A_2001 제품1_110.04.3월 경영보고" xfId="2424" xr:uid="{00000000-0005-0000-0000-000060090000}"/>
    <cellStyle name="A_2001 제품1_110.04.3월 경영보고_110-1.04.3월_경영보고" xfId="2425" xr:uid="{00000000-0005-0000-0000-000061090000}"/>
    <cellStyle name="A_2001 제품1_110.04.3월 경영보고_111.04.6월 경영보고" xfId="2426" xr:uid="{00000000-0005-0000-0000-000062090000}"/>
    <cellStyle name="A_2001 제품1_110.04.3월 경영보고_111.04.6월 경영보고(구성)" xfId="2427" xr:uid="{00000000-0005-0000-0000-000063090000}"/>
    <cellStyle name="A_2001 제품1_110.04.3월 경영보고_112.04.7월 경영보고" xfId="2428" xr:uid="{00000000-0005-0000-0000-000064090000}"/>
    <cellStyle name="A_2001 제품1_110.04.3월 경영보고_112.경영보고(주)이순" xfId="2429" xr:uid="{00000000-0005-0000-0000-000065090000}"/>
    <cellStyle name="A_2001 제품1_110.04.3월 경영보고_경영보고(주)이순" xfId="2430" xr:uid="{00000000-0005-0000-0000-000066090000}"/>
    <cellStyle name="A_2001 제품1_110-1.04.3월_경영보고" xfId="2431" xr:uid="{00000000-0005-0000-0000-000067090000}"/>
    <cellStyle name="A_2001 제품1_200.04년월별재무제표" xfId="2432" xr:uid="{00000000-0005-0000-0000-000068090000}"/>
    <cellStyle name="A_2001 제품1_200.04년월별재무제표_110-1.04.3월_경영보고" xfId="2433" xr:uid="{00000000-0005-0000-0000-000069090000}"/>
    <cellStyle name="A_2001 제품1_200.04년월별재무제표_111.04.6월 경영보고" xfId="2434" xr:uid="{00000000-0005-0000-0000-00006A090000}"/>
    <cellStyle name="A_2001 제품1_200.04년월별재무제표_111.04.6월 경영보고(구성)" xfId="2435" xr:uid="{00000000-0005-0000-0000-00006B090000}"/>
    <cellStyle name="A_2001 제품1_200.04년월별재무제표_112.04.7월 경영보고" xfId="2436" xr:uid="{00000000-0005-0000-0000-00006C090000}"/>
    <cellStyle name="A_2001 제품1_200.04년월별재무제표_112.경영보고(주)이순" xfId="2437" xr:uid="{00000000-0005-0000-0000-00006D090000}"/>
    <cellStyle name="A_2001 제품1_200.04년월별재무제표_경영보고(주)이순" xfId="2438" xr:uid="{00000000-0005-0000-0000-00006E090000}"/>
    <cellStyle name="A_2001 제품1_200.04월별재무제표" xfId="2439" xr:uid="{00000000-0005-0000-0000-00006F090000}"/>
    <cellStyle name="A_2001 제품1_200.04월별재무제표_110-1.04.3월_경영보고" xfId="2440" xr:uid="{00000000-0005-0000-0000-000070090000}"/>
    <cellStyle name="A_2001 제품1_200.04월별재무제표_111.04.6월 경영보고" xfId="2441" xr:uid="{00000000-0005-0000-0000-000071090000}"/>
    <cellStyle name="A_2001 제품1_200.04월별재무제표_111.04.6월 경영보고(구성)" xfId="2442" xr:uid="{00000000-0005-0000-0000-000072090000}"/>
    <cellStyle name="A_2001 제품1_200.04월별재무제표_112.04.7월 경영보고" xfId="2443" xr:uid="{00000000-0005-0000-0000-000073090000}"/>
    <cellStyle name="A_2001 제품1_200.04월별재무제표_112.경영보고(주)이순" xfId="2444" xr:uid="{00000000-0005-0000-0000-000074090000}"/>
    <cellStyle name="A_2001 제품1_200.04월별재무제표_경영보고(주)이순" xfId="2445" xr:uid="{00000000-0005-0000-0000-000075090000}"/>
    <cellStyle name="A_2001 제품1_경영보고(주)이순" xfId="2446" xr:uid="{00000000-0005-0000-0000-000076090000}"/>
    <cellStyle name="A_2001 제품1_비교재무제표" xfId="2447" xr:uid="{00000000-0005-0000-0000-000077090000}"/>
    <cellStyle name="A_2001 제품1_비교재무제표_110-1.04.3월_경영보고" xfId="2448" xr:uid="{00000000-0005-0000-0000-000078090000}"/>
    <cellStyle name="A_2001 제품1_비교재무제표_111.04.6월 경영보고" xfId="2449" xr:uid="{00000000-0005-0000-0000-000079090000}"/>
    <cellStyle name="A_2001 제품1_비교재무제표_111.04.6월 경영보고(구성)" xfId="2450" xr:uid="{00000000-0005-0000-0000-00007A090000}"/>
    <cellStyle name="A_2001 제품1_비교재무제표_112.04.7월 경영보고" xfId="2451" xr:uid="{00000000-0005-0000-0000-00007B090000}"/>
    <cellStyle name="A_2001 제품1_비교재무제표_112.경영보고(주)이순" xfId="2452" xr:uid="{00000000-0005-0000-0000-00007C090000}"/>
    <cellStyle name="A_2001 제품1_비교재무제표_경영보고(주)이순" xfId="2453" xr:uid="{00000000-0005-0000-0000-00007D090000}"/>
    <cellStyle name="A_99상반기 원가계산" xfId="2454" xr:uid="{00000000-0005-0000-0000-00007E090000}"/>
    <cellStyle name="A_99상반기 원가계산(완결)" xfId="2455" xr:uid="{00000000-0005-0000-0000-00007F090000}"/>
    <cellStyle name="A_99상반기 원가계산(완결)_01상반기 결산보고(j)" xfId="2456" xr:uid="{00000000-0005-0000-0000-000080090000}"/>
    <cellStyle name="A_99상반기 원가계산(완결)_01상반기 결산보고(j)_110-1.04.3월_경영보고" xfId="2457" xr:uid="{00000000-0005-0000-0000-000081090000}"/>
    <cellStyle name="A_99상반기 원가계산(완결)_01상반기 결산보고(j)_111.04.6월 경영보고" xfId="2458" xr:uid="{00000000-0005-0000-0000-000082090000}"/>
    <cellStyle name="A_99상반기 원가계산(완결)_01상반기 결산보고(j)_111.04.6월 경영보고(구성)" xfId="2459" xr:uid="{00000000-0005-0000-0000-000083090000}"/>
    <cellStyle name="A_99상반기 원가계산(완결)_01상반기 결산보고(j)_112.04.7월 경영보고" xfId="2460" xr:uid="{00000000-0005-0000-0000-000084090000}"/>
    <cellStyle name="A_99상반기 원가계산(완결)_01상반기 결산보고(j)_112.경영보고(주)이순" xfId="2461" xr:uid="{00000000-0005-0000-0000-000085090000}"/>
    <cellStyle name="A_99상반기 원가계산(완결)_01상반기 결산보고(j)_경영보고(주)이순" xfId="2462" xr:uid="{00000000-0005-0000-0000-000086090000}"/>
    <cellStyle name="A_99상반기 원가계산(완결)_01상반기 결산보고(japan" xfId="2463" xr:uid="{00000000-0005-0000-0000-000087090000}"/>
    <cellStyle name="A_99상반기 원가계산(완결)_01상반기 결산보고(japan)수정" xfId="2464" xr:uid="{00000000-0005-0000-0000-000088090000}"/>
    <cellStyle name="A_99상반기 원가계산(완결)_01상반기 결산보고(japan)수정_110-1.04.3월_경영보고" xfId="2465" xr:uid="{00000000-0005-0000-0000-000089090000}"/>
    <cellStyle name="A_99상반기 원가계산(완결)_01상반기 결산보고(japan)수정_111.04.6월 경영보고" xfId="2466" xr:uid="{00000000-0005-0000-0000-00008A090000}"/>
    <cellStyle name="A_99상반기 원가계산(완결)_01상반기 결산보고(japan)수정_111.04.6월 경영보고(구성)" xfId="2467" xr:uid="{00000000-0005-0000-0000-00008B090000}"/>
    <cellStyle name="A_99상반기 원가계산(완결)_01상반기 결산보고(japan)수정_112.04.7월 경영보고" xfId="2468" xr:uid="{00000000-0005-0000-0000-00008C090000}"/>
    <cellStyle name="A_99상반기 원가계산(완결)_01상반기 결산보고(japan)수정_112.경영보고(주)이순" xfId="2469" xr:uid="{00000000-0005-0000-0000-00008D090000}"/>
    <cellStyle name="A_99상반기 원가계산(완결)_01상반기 결산보고(japan)수정_경영보고(주)이순" xfId="2470" xr:uid="{00000000-0005-0000-0000-00008E090000}"/>
    <cellStyle name="A_99상반기 원가계산(완결)_01상반기 결산보고(japan_110-1.04.3월_경영보고" xfId="2471" xr:uid="{00000000-0005-0000-0000-00008F090000}"/>
    <cellStyle name="A_99상반기 원가계산(완결)_01상반기 결산보고(japan_111.04.6월 경영보고" xfId="2472" xr:uid="{00000000-0005-0000-0000-000090090000}"/>
    <cellStyle name="A_99상반기 원가계산(완결)_01상반기 결산보고(japan_111.04.6월 경영보고(구성)" xfId="2473" xr:uid="{00000000-0005-0000-0000-000091090000}"/>
    <cellStyle name="A_99상반기 원가계산(완결)_01상반기 결산보고(japan_112.04.7월 경영보고" xfId="2474" xr:uid="{00000000-0005-0000-0000-000092090000}"/>
    <cellStyle name="A_99상반기 원가계산(완결)_01상반기 결산보고(japan_112.경영보고(주)이순" xfId="2475" xr:uid="{00000000-0005-0000-0000-000093090000}"/>
    <cellStyle name="A_99상반기 원가계산(완결)_01상반기 결산보고(japan_경영보고(주)이순" xfId="2476" xr:uid="{00000000-0005-0000-0000-000094090000}"/>
    <cellStyle name="A_99상반기 원가계산(완결)_01상반기결산보고(J)" xfId="2477" xr:uid="{00000000-0005-0000-0000-000095090000}"/>
    <cellStyle name="A_99상반기 원가계산(완결)_01상반기결산보고(J)_110-1.04.3월_경영보고" xfId="2478" xr:uid="{00000000-0005-0000-0000-000096090000}"/>
    <cellStyle name="A_99상반기 원가계산(완결)_01상반기결산보고(J)_111.04.6월 경영보고" xfId="2479" xr:uid="{00000000-0005-0000-0000-000097090000}"/>
    <cellStyle name="A_99상반기 원가계산(완결)_01상반기결산보고(J)_111.04.6월 경영보고(구성)" xfId="2480" xr:uid="{00000000-0005-0000-0000-000098090000}"/>
    <cellStyle name="A_99상반기 원가계산(완결)_01상반기결산보고(J)_112.04.7월 경영보고" xfId="2481" xr:uid="{00000000-0005-0000-0000-000099090000}"/>
    <cellStyle name="A_99상반기 원가계산(완결)_01상반기결산보고(J)_112.경영보고(주)이순" xfId="2482" xr:uid="{00000000-0005-0000-0000-00009A090000}"/>
    <cellStyle name="A_99상반기 원가계산(완결)_01상반기결산보고(J)_경영보고(주)이순" xfId="2483" xr:uid="{00000000-0005-0000-0000-00009B090000}"/>
    <cellStyle name="A_99상반기 원가계산(완결)_02반기조정" xfId="2484" xr:uid="{00000000-0005-0000-0000-00009C090000}"/>
    <cellStyle name="A_99상반기 원가계산(완결)_02반기조정_110-1.04.3월_경영보고" xfId="2485" xr:uid="{00000000-0005-0000-0000-00009D090000}"/>
    <cellStyle name="A_99상반기 원가계산(완결)_02반기조정_111.04.6월 경영보고" xfId="2486" xr:uid="{00000000-0005-0000-0000-00009E090000}"/>
    <cellStyle name="A_99상반기 원가계산(완결)_02반기조정_111.04.6월 경영보고(구성)" xfId="2487" xr:uid="{00000000-0005-0000-0000-00009F090000}"/>
    <cellStyle name="A_99상반기 원가계산(완결)_02반기조정_112.04.7월 경영보고" xfId="2488" xr:uid="{00000000-0005-0000-0000-0000A0090000}"/>
    <cellStyle name="A_99상반기 원가계산(완결)_02반기조정_112.경영보고(주)이순" xfId="2489" xr:uid="{00000000-0005-0000-0000-0000A1090000}"/>
    <cellStyle name="A_99상반기 원가계산(완결)_02반기조정_경영보고(주)이순" xfId="2490" xr:uid="{00000000-0005-0000-0000-0000A2090000}"/>
    <cellStyle name="A_99상반기 원가계산(완결)_110.04.3월 경영보고" xfId="2491" xr:uid="{00000000-0005-0000-0000-0000A3090000}"/>
    <cellStyle name="A_99상반기 원가계산(완결)_110.04.3월 경영보고_110-1.04.3월_경영보고" xfId="2492" xr:uid="{00000000-0005-0000-0000-0000A4090000}"/>
    <cellStyle name="A_99상반기 원가계산(완결)_110.04.3월 경영보고_111.04.6월 경영보고" xfId="2493" xr:uid="{00000000-0005-0000-0000-0000A5090000}"/>
    <cellStyle name="A_99상반기 원가계산(완결)_110.04.3월 경영보고_111.04.6월 경영보고(구성)" xfId="2494" xr:uid="{00000000-0005-0000-0000-0000A6090000}"/>
    <cellStyle name="A_99상반기 원가계산(완결)_110.04.3월 경영보고_112.04.7월 경영보고" xfId="2495" xr:uid="{00000000-0005-0000-0000-0000A7090000}"/>
    <cellStyle name="A_99상반기 원가계산(완결)_110.04.3월 경영보고_112.경영보고(주)이순" xfId="2496" xr:uid="{00000000-0005-0000-0000-0000A8090000}"/>
    <cellStyle name="A_99상반기 원가계산(완결)_110.04.3월 경영보고_경영보고(주)이순" xfId="2497" xr:uid="{00000000-0005-0000-0000-0000A9090000}"/>
    <cellStyle name="A_99상반기 원가계산(완결)_110-1.04.3월_경영보고" xfId="2498" xr:uid="{00000000-0005-0000-0000-0000AA090000}"/>
    <cellStyle name="A_99상반기 원가계산(완결)_200.04년월별재무제표" xfId="2499" xr:uid="{00000000-0005-0000-0000-0000AB090000}"/>
    <cellStyle name="A_99상반기 원가계산(완결)_200.04년월별재무제표_110-1.04.3월_경영보고" xfId="2500" xr:uid="{00000000-0005-0000-0000-0000AC090000}"/>
    <cellStyle name="A_99상반기 원가계산(완결)_200.04년월별재무제표_111.04.6월 경영보고" xfId="2501" xr:uid="{00000000-0005-0000-0000-0000AD090000}"/>
    <cellStyle name="A_99상반기 원가계산(완결)_200.04년월별재무제표_111.04.6월 경영보고(구성)" xfId="2502" xr:uid="{00000000-0005-0000-0000-0000AE090000}"/>
    <cellStyle name="A_99상반기 원가계산(완결)_200.04년월별재무제표_112.04.7월 경영보고" xfId="2503" xr:uid="{00000000-0005-0000-0000-0000AF090000}"/>
    <cellStyle name="A_99상반기 원가계산(완결)_200.04년월별재무제표_112.경영보고(주)이순" xfId="2504" xr:uid="{00000000-0005-0000-0000-0000B0090000}"/>
    <cellStyle name="A_99상반기 원가계산(완결)_200.04년월별재무제표_경영보고(주)이순" xfId="2505" xr:uid="{00000000-0005-0000-0000-0000B1090000}"/>
    <cellStyle name="A_99상반기 원가계산(완결)_200.04월별재무제표" xfId="2506" xr:uid="{00000000-0005-0000-0000-0000B2090000}"/>
    <cellStyle name="A_99상반기 원가계산(완결)_200.04월별재무제표_110-1.04.3월_경영보고" xfId="2507" xr:uid="{00000000-0005-0000-0000-0000B3090000}"/>
    <cellStyle name="A_99상반기 원가계산(완결)_200.04월별재무제표_111.04.6월 경영보고" xfId="2508" xr:uid="{00000000-0005-0000-0000-0000B4090000}"/>
    <cellStyle name="A_99상반기 원가계산(완결)_200.04월별재무제표_111.04.6월 경영보고(구성)" xfId="2509" xr:uid="{00000000-0005-0000-0000-0000B5090000}"/>
    <cellStyle name="A_99상반기 원가계산(완결)_200.04월별재무제표_112.04.7월 경영보고" xfId="2510" xr:uid="{00000000-0005-0000-0000-0000B6090000}"/>
    <cellStyle name="A_99상반기 원가계산(완결)_200.04월별재무제표_112.경영보고(주)이순" xfId="2511" xr:uid="{00000000-0005-0000-0000-0000B7090000}"/>
    <cellStyle name="A_99상반기 원가계산(완결)_200.04월별재무제표_경영보고(주)이순" xfId="2512" xr:uid="{00000000-0005-0000-0000-0000B8090000}"/>
    <cellStyle name="A_99상반기 원가계산(완결)_2001 제품1" xfId="2513" xr:uid="{00000000-0005-0000-0000-0000B9090000}"/>
    <cellStyle name="A_99상반기 원가계산(완결)_2001 제품1_02반기조정" xfId="2514" xr:uid="{00000000-0005-0000-0000-0000BA090000}"/>
    <cellStyle name="A_99상반기 원가계산(완결)_2001 제품1_02반기조정_110-1.04.3월_경영보고" xfId="2515" xr:uid="{00000000-0005-0000-0000-0000BB090000}"/>
    <cellStyle name="A_99상반기 원가계산(완결)_2001 제품1_02반기조정_111.04.6월 경영보고" xfId="2516" xr:uid="{00000000-0005-0000-0000-0000BC090000}"/>
    <cellStyle name="A_99상반기 원가계산(완결)_2001 제품1_02반기조정_111.04.6월 경영보고(구성)" xfId="2517" xr:uid="{00000000-0005-0000-0000-0000BD090000}"/>
    <cellStyle name="A_99상반기 원가계산(완결)_2001 제품1_02반기조정_112.04.7월 경영보고" xfId="2518" xr:uid="{00000000-0005-0000-0000-0000BE090000}"/>
    <cellStyle name="A_99상반기 원가계산(완결)_2001 제품1_02반기조정_112.경영보고(주)이순" xfId="2519" xr:uid="{00000000-0005-0000-0000-0000BF090000}"/>
    <cellStyle name="A_99상반기 원가계산(완결)_2001 제품1_02반기조정_경영보고(주)이순" xfId="2520" xr:uid="{00000000-0005-0000-0000-0000C0090000}"/>
    <cellStyle name="A_99상반기 원가계산(완결)_2001 제품1_110.04.3월 경영보고" xfId="2521" xr:uid="{00000000-0005-0000-0000-0000C1090000}"/>
    <cellStyle name="A_99상반기 원가계산(완결)_2001 제품1_110.04.3월 경영보고_110-1.04.3월_경영보고" xfId="2522" xr:uid="{00000000-0005-0000-0000-0000C2090000}"/>
    <cellStyle name="A_99상반기 원가계산(완결)_2001 제품1_110.04.3월 경영보고_111.04.6월 경영보고" xfId="2523" xr:uid="{00000000-0005-0000-0000-0000C3090000}"/>
    <cellStyle name="A_99상반기 원가계산(완결)_2001 제품1_110.04.3월 경영보고_111.04.6월 경영보고(구성)" xfId="2524" xr:uid="{00000000-0005-0000-0000-0000C4090000}"/>
    <cellStyle name="A_99상반기 원가계산(완결)_2001 제품1_110.04.3월 경영보고_112.04.7월 경영보고" xfId="2525" xr:uid="{00000000-0005-0000-0000-0000C5090000}"/>
    <cellStyle name="A_99상반기 원가계산(완결)_2001 제품1_110.04.3월 경영보고_112.경영보고(주)이순" xfId="2526" xr:uid="{00000000-0005-0000-0000-0000C6090000}"/>
    <cellStyle name="A_99상반기 원가계산(완결)_2001 제품1_110.04.3월 경영보고_경영보고(주)이순" xfId="2527" xr:uid="{00000000-0005-0000-0000-0000C7090000}"/>
    <cellStyle name="A_99상반기 원가계산(완결)_2001 제품1_110-1.04.3월_경영보고" xfId="2528" xr:uid="{00000000-0005-0000-0000-0000C8090000}"/>
    <cellStyle name="A_99상반기 원가계산(완결)_2001 제품1_200.04년월별재무제표" xfId="2529" xr:uid="{00000000-0005-0000-0000-0000C9090000}"/>
    <cellStyle name="A_99상반기 원가계산(완결)_2001 제품1_200.04년월별재무제표_110-1.04.3월_경영보고" xfId="2530" xr:uid="{00000000-0005-0000-0000-0000CA090000}"/>
    <cellStyle name="A_99상반기 원가계산(완결)_2001 제품1_200.04년월별재무제표_111.04.6월 경영보고" xfId="2531" xr:uid="{00000000-0005-0000-0000-0000CB090000}"/>
    <cellStyle name="A_99상반기 원가계산(완결)_2001 제품1_200.04년월별재무제표_111.04.6월 경영보고(구성)" xfId="2532" xr:uid="{00000000-0005-0000-0000-0000CC090000}"/>
    <cellStyle name="A_99상반기 원가계산(완결)_2001 제품1_200.04년월별재무제표_112.04.7월 경영보고" xfId="2533" xr:uid="{00000000-0005-0000-0000-0000CD090000}"/>
    <cellStyle name="A_99상반기 원가계산(완결)_2001 제품1_200.04년월별재무제표_112.경영보고(주)이순" xfId="2534" xr:uid="{00000000-0005-0000-0000-0000CE090000}"/>
    <cellStyle name="A_99상반기 원가계산(완결)_2001 제품1_200.04년월별재무제표_경영보고(주)이순" xfId="2535" xr:uid="{00000000-0005-0000-0000-0000CF090000}"/>
    <cellStyle name="A_99상반기 원가계산(완결)_2001 제품1_200.04월별재무제표" xfId="2536" xr:uid="{00000000-0005-0000-0000-0000D0090000}"/>
    <cellStyle name="A_99상반기 원가계산(완결)_2001 제품1_200.04월별재무제표_110-1.04.3월_경영보고" xfId="2537" xr:uid="{00000000-0005-0000-0000-0000D1090000}"/>
    <cellStyle name="A_99상반기 원가계산(완결)_2001 제품1_200.04월별재무제표_111.04.6월 경영보고" xfId="2538" xr:uid="{00000000-0005-0000-0000-0000D2090000}"/>
    <cellStyle name="A_99상반기 원가계산(완결)_2001 제품1_200.04월별재무제표_111.04.6월 경영보고(구성)" xfId="2539" xr:uid="{00000000-0005-0000-0000-0000D3090000}"/>
    <cellStyle name="A_99상반기 원가계산(완결)_2001 제품1_200.04월별재무제표_112.04.7월 경영보고" xfId="2540" xr:uid="{00000000-0005-0000-0000-0000D4090000}"/>
    <cellStyle name="A_99상반기 원가계산(완결)_2001 제품1_200.04월별재무제표_112.경영보고(주)이순" xfId="2541" xr:uid="{00000000-0005-0000-0000-0000D5090000}"/>
    <cellStyle name="A_99상반기 원가계산(완결)_2001 제품1_200.04월별재무제표_경영보고(주)이순" xfId="2542" xr:uid="{00000000-0005-0000-0000-0000D6090000}"/>
    <cellStyle name="A_99상반기 원가계산(완결)_2001 제품1_경영보고(주)이순" xfId="2543" xr:uid="{00000000-0005-0000-0000-0000D7090000}"/>
    <cellStyle name="A_99상반기 원가계산(완결)_2001 제품1_비교재무제표" xfId="2544" xr:uid="{00000000-0005-0000-0000-0000D8090000}"/>
    <cellStyle name="A_99상반기 원가계산(완결)_2001 제품1_비교재무제표_110-1.04.3월_경영보고" xfId="2545" xr:uid="{00000000-0005-0000-0000-0000D9090000}"/>
    <cellStyle name="A_99상반기 원가계산(완결)_2001 제품1_비교재무제표_111.04.6월 경영보고" xfId="2546" xr:uid="{00000000-0005-0000-0000-0000DA090000}"/>
    <cellStyle name="A_99상반기 원가계산(완결)_2001 제품1_비교재무제표_111.04.6월 경영보고(구성)" xfId="2547" xr:uid="{00000000-0005-0000-0000-0000DB090000}"/>
    <cellStyle name="A_99상반기 원가계산(완결)_2001 제품1_비교재무제표_112.04.7월 경영보고" xfId="2548" xr:uid="{00000000-0005-0000-0000-0000DC090000}"/>
    <cellStyle name="A_99상반기 원가계산(완결)_2001 제품1_비교재무제표_112.경영보고(주)이순" xfId="2549" xr:uid="{00000000-0005-0000-0000-0000DD090000}"/>
    <cellStyle name="A_99상반기 원가계산(완결)_2001 제품1_비교재무제표_경영보고(주)이순" xfId="2550" xr:uid="{00000000-0005-0000-0000-0000DE090000}"/>
    <cellStyle name="A_99상반기 원가계산(완결)_erp(일문)" xfId="2551" xr:uid="{00000000-0005-0000-0000-0000DF090000}"/>
    <cellStyle name="A_99상반기 원가계산(완결)_erp(일문)_110-1.04.3월_경영보고" xfId="2552" xr:uid="{00000000-0005-0000-0000-0000E0090000}"/>
    <cellStyle name="A_99상반기 원가계산(완결)_erp(일문)_111.04.6월 경영보고" xfId="2553" xr:uid="{00000000-0005-0000-0000-0000E1090000}"/>
    <cellStyle name="A_99상반기 원가계산(완결)_erp(일문)_111.04.6월 경영보고(구성)" xfId="2554" xr:uid="{00000000-0005-0000-0000-0000E2090000}"/>
    <cellStyle name="A_99상반기 원가계산(완결)_erp(일문)_112.04.7월 경영보고" xfId="2555" xr:uid="{00000000-0005-0000-0000-0000E3090000}"/>
    <cellStyle name="A_99상반기 원가계산(완결)_erp(일문)_112.경영보고(주)이순" xfId="2556" xr:uid="{00000000-0005-0000-0000-0000E4090000}"/>
    <cellStyle name="A_99상반기 원가계산(완결)_erp(일문)_경영보고(주)이순" xfId="2557" xr:uid="{00000000-0005-0000-0000-0000E5090000}"/>
    <cellStyle name="A_99상반기 원가계산(완결)_경영보고(주)이순" xfId="2558" xr:uid="{00000000-0005-0000-0000-0000E6090000}"/>
    <cellStyle name="A_99상반기 원가계산(완결)_비교재무제표" xfId="2559" xr:uid="{00000000-0005-0000-0000-0000E7090000}"/>
    <cellStyle name="A_99상반기 원가계산(완결)_비교재무제표_110-1.04.3월_경영보고" xfId="2560" xr:uid="{00000000-0005-0000-0000-0000E8090000}"/>
    <cellStyle name="A_99상반기 원가계산(완결)_비교재무제표_111.04.6월 경영보고" xfId="2561" xr:uid="{00000000-0005-0000-0000-0000E9090000}"/>
    <cellStyle name="A_99상반기 원가계산(완결)_비교재무제표_111.04.6월 경영보고(구성)" xfId="2562" xr:uid="{00000000-0005-0000-0000-0000EA090000}"/>
    <cellStyle name="A_99상반기 원가계산(완결)_비교재무제표_112.04.7월 경영보고" xfId="2563" xr:uid="{00000000-0005-0000-0000-0000EB090000}"/>
    <cellStyle name="A_99상반기 원가계산(완결)_비교재무제표_112.경영보고(주)이순" xfId="2564" xr:uid="{00000000-0005-0000-0000-0000EC090000}"/>
    <cellStyle name="A_99상반기 원가계산(완결)_비교재무제표_경영보고(주)이순" xfId="2565" xr:uid="{00000000-0005-0000-0000-0000ED090000}"/>
    <cellStyle name="A_99상반기 원가계산(완결)_상반기제품" xfId="2566" xr:uid="{00000000-0005-0000-0000-0000EE090000}"/>
    <cellStyle name="A_99상반기 원가계산(완결)_상반기제품_01상반기 결산보고(j)" xfId="2567" xr:uid="{00000000-0005-0000-0000-0000EF090000}"/>
    <cellStyle name="A_99상반기 원가계산(완결)_상반기제품_01상반기 결산보고(j)_110-1.04.3월_경영보고" xfId="2568" xr:uid="{00000000-0005-0000-0000-0000F0090000}"/>
    <cellStyle name="A_99상반기 원가계산(완결)_상반기제품_01상반기 결산보고(j)_111.04.6월 경영보고" xfId="2569" xr:uid="{00000000-0005-0000-0000-0000F1090000}"/>
    <cellStyle name="A_99상반기 원가계산(완결)_상반기제품_01상반기 결산보고(j)_111.04.6월 경영보고(구성)" xfId="2570" xr:uid="{00000000-0005-0000-0000-0000F2090000}"/>
    <cellStyle name="A_99상반기 원가계산(완결)_상반기제품_01상반기 결산보고(j)_112.04.7월 경영보고" xfId="2571" xr:uid="{00000000-0005-0000-0000-0000F3090000}"/>
    <cellStyle name="A_99상반기 원가계산(완결)_상반기제품_01상반기 결산보고(j)_112.경영보고(주)이순" xfId="2572" xr:uid="{00000000-0005-0000-0000-0000F4090000}"/>
    <cellStyle name="A_99상반기 원가계산(완결)_상반기제품_01상반기 결산보고(j)_경영보고(주)이순" xfId="2573" xr:uid="{00000000-0005-0000-0000-0000F5090000}"/>
    <cellStyle name="A_99상반기 원가계산(완결)_상반기제품_02반기조정" xfId="2574" xr:uid="{00000000-0005-0000-0000-0000F6090000}"/>
    <cellStyle name="A_99상반기 원가계산(완결)_상반기제품_02반기조정_110-1.04.3월_경영보고" xfId="2575" xr:uid="{00000000-0005-0000-0000-0000F7090000}"/>
    <cellStyle name="A_99상반기 원가계산(완결)_상반기제품_02반기조정_111.04.6월 경영보고" xfId="2576" xr:uid="{00000000-0005-0000-0000-0000F8090000}"/>
    <cellStyle name="A_99상반기 원가계산(완결)_상반기제품_02반기조정_111.04.6월 경영보고(구성)" xfId="2577" xr:uid="{00000000-0005-0000-0000-0000F9090000}"/>
    <cellStyle name="A_99상반기 원가계산(완결)_상반기제품_02반기조정_112.04.7월 경영보고" xfId="2578" xr:uid="{00000000-0005-0000-0000-0000FA090000}"/>
    <cellStyle name="A_99상반기 원가계산(완결)_상반기제품_02반기조정_112.경영보고(주)이순" xfId="2579" xr:uid="{00000000-0005-0000-0000-0000FB090000}"/>
    <cellStyle name="A_99상반기 원가계산(완결)_상반기제품_02반기조정_경영보고(주)이순" xfId="2580" xr:uid="{00000000-0005-0000-0000-0000FC090000}"/>
    <cellStyle name="A_99상반기 원가계산(완결)_상반기제품_110.04.3월 경영보고" xfId="2581" xr:uid="{00000000-0005-0000-0000-0000FD090000}"/>
    <cellStyle name="A_99상반기 원가계산(완결)_상반기제품_110.04.3월 경영보고_110-1.04.3월_경영보고" xfId="2582" xr:uid="{00000000-0005-0000-0000-0000FE090000}"/>
    <cellStyle name="A_99상반기 원가계산(완결)_상반기제품_110.04.3월 경영보고_111.04.6월 경영보고" xfId="2583" xr:uid="{00000000-0005-0000-0000-0000FF090000}"/>
    <cellStyle name="A_99상반기 원가계산(완결)_상반기제품_110.04.3월 경영보고_111.04.6월 경영보고(구성)" xfId="2584" xr:uid="{00000000-0005-0000-0000-0000000A0000}"/>
    <cellStyle name="A_99상반기 원가계산(완결)_상반기제품_110.04.3월 경영보고_112.04.7월 경영보고" xfId="2585" xr:uid="{00000000-0005-0000-0000-0000010A0000}"/>
    <cellStyle name="A_99상반기 원가계산(완결)_상반기제품_110.04.3월 경영보고_112.경영보고(주)이순" xfId="2586" xr:uid="{00000000-0005-0000-0000-0000020A0000}"/>
    <cellStyle name="A_99상반기 원가계산(완결)_상반기제품_110.04.3월 경영보고_경영보고(주)이순" xfId="2587" xr:uid="{00000000-0005-0000-0000-0000030A0000}"/>
    <cellStyle name="A_99상반기 원가계산(완결)_상반기제품_110-1.04.3월_경영보고" xfId="2588" xr:uid="{00000000-0005-0000-0000-0000040A0000}"/>
    <cellStyle name="A_99상반기 원가계산(완결)_상반기제품_200.04년월별재무제표" xfId="2589" xr:uid="{00000000-0005-0000-0000-0000050A0000}"/>
    <cellStyle name="A_99상반기 원가계산(완결)_상반기제품_200.04년월별재무제표_110-1.04.3월_경영보고" xfId="2590" xr:uid="{00000000-0005-0000-0000-0000060A0000}"/>
    <cellStyle name="A_99상반기 원가계산(완결)_상반기제품_200.04년월별재무제표_111.04.6월 경영보고" xfId="2591" xr:uid="{00000000-0005-0000-0000-0000070A0000}"/>
    <cellStyle name="A_99상반기 원가계산(완결)_상반기제품_200.04년월별재무제표_111.04.6월 경영보고(구성)" xfId="2592" xr:uid="{00000000-0005-0000-0000-0000080A0000}"/>
    <cellStyle name="A_99상반기 원가계산(완결)_상반기제품_200.04년월별재무제표_112.04.7월 경영보고" xfId="2593" xr:uid="{00000000-0005-0000-0000-0000090A0000}"/>
    <cellStyle name="A_99상반기 원가계산(완결)_상반기제품_200.04년월별재무제표_112.경영보고(주)이순" xfId="2594" xr:uid="{00000000-0005-0000-0000-00000A0A0000}"/>
    <cellStyle name="A_99상반기 원가계산(완결)_상반기제품_200.04년월별재무제표_경영보고(주)이순" xfId="2595" xr:uid="{00000000-0005-0000-0000-00000B0A0000}"/>
    <cellStyle name="A_99상반기 원가계산(완결)_상반기제품_200.04월별재무제표" xfId="2596" xr:uid="{00000000-0005-0000-0000-00000C0A0000}"/>
    <cellStyle name="A_99상반기 원가계산(완결)_상반기제품_200.04월별재무제표_110-1.04.3월_경영보고" xfId="2597" xr:uid="{00000000-0005-0000-0000-00000D0A0000}"/>
    <cellStyle name="A_99상반기 원가계산(완결)_상반기제품_200.04월별재무제표_111.04.6월 경영보고" xfId="2598" xr:uid="{00000000-0005-0000-0000-00000E0A0000}"/>
    <cellStyle name="A_99상반기 원가계산(완결)_상반기제품_200.04월별재무제표_111.04.6월 경영보고(구성)" xfId="2599" xr:uid="{00000000-0005-0000-0000-00000F0A0000}"/>
    <cellStyle name="A_99상반기 원가계산(완결)_상반기제품_200.04월별재무제표_112.04.7월 경영보고" xfId="2600" xr:uid="{00000000-0005-0000-0000-0000100A0000}"/>
    <cellStyle name="A_99상반기 원가계산(완결)_상반기제품_200.04월별재무제표_112.경영보고(주)이순" xfId="2601" xr:uid="{00000000-0005-0000-0000-0000110A0000}"/>
    <cellStyle name="A_99상반기 원가계산(완결)_상반기제품_200.04월별재무제표_경영보고(주)이순" xfId="2602" xr:uid="{00000000-0005-0000-0000-0000120A0000}"/>
    <cellStyle name="A_99상반기 원가계산(완결)_상반기제품_경영보고(주)이순" xfId="2603" xr:uid="{00000000-0005-0000-0000-0000130A0000}"/>
    <cellStyle name="A_99상반기 원가계산(완결)_상반기제품_비교재무제표" xfId="2604" xr:uid="{00000000-0005-0000-0000-0000140A0000}"/>
    <cellStyle name="A_99상반기 원가계산(완결)_상반기제품_비교재무제표_110-1.04.3월_경영보고" xfId="2605" xr:uid="{00000000-0005-0000-0000-0000150A0000}"/>
    <cellStyle name="A_99상반기 원가계산(완결)_상반기제품_비교재무제표_111.04.6월 경영보고" xfId="2606" xr:uid="{00000000-0005-0000-0000-0000160A0000}"/>
    <cellStyle name="A_99상반기 원가계산(완결)_상반기제품_비교재무제표_111.04.6월 경영보고(구성)" xfId="2607" xr:uid="{00000000-0005-0000-0000-0000170A0000}"/>
    <cellStyle name="A_99상반기 원가계산(완결)_상반기제품_비교재무제표_112.04.7월 경영보고" xfId="2608" xr:uid="{00000000-0005-0000-0000-0000180A0000}"/>
    <cellStyle name="A_99상반기 원가계산(완결)_상반기제품_비교재무제표_112.경영보고(주)이순" xfId="2609" xr:uid="{00000000-0005-0000-0000-0000190A0000}"/>
    <cellStyle name="A_99상반기 원가계산(완결)_상반기제품_비교재무제표_경영보고(주)이순" xfId="2610" xr:uid="{00000000-0005-0000-0000-00001A0A0000}"/>
    <cellStyle name="A_99상반기 원가계산_01상반기 결산보고(j)" xfId="2611" xr:uid="{00000000-0005-0000-0000-00001B0A0000}"/>
    <cellStyle name="A_99상반기 원가계산_01상반기 결산보고(j)_110-1.04.3월_경영보고" xfId="2612" xr:uid="{00000000-0005-0000-0000-00001C0A0000}"/>
    <cellStyle name="A_99상반기 원가계산_01상반기 결산보고(j)_111.04.6월 경영보고" xfId="2613" xr:uid="{00000000-0005-0000-0000-00001D0A0000}"/>
    <cellStyle name="A_99상반기 원가계산_01상반기 결산보고(j)_111.04.6월 경영보고(구성)" xfId="2614" xr:uid="{00000000-0005-0000-0000-00001E0A0000}"/>
    <cellStyle name="A_99상반기 원가계산_01상반기 결산보고(j)_112.04.7월 경영보고" xfId="2615" xr:uid="{00000000-0005-0000-0000-00001F0A0000}"/>
    <cellStyle name="A_99상반기 원가계산_01상반기 결산보고(j)_112.경영보고(주)이순" xfId="2616" xr:uid="{00000000-0005-0000-0000-0000200A0000}"/>
    <cellStyle name="A_99상반기 원가계산_01상반기 결산보고(j)_경영보고(주)이순" xfId="2617" xr:uid="{00000000-0005-0000-0000-0000210A0000}"/>
    <cellStyle name="A_99상반기 원가계산_01상반기 결산보고(japan" xfId="2618" xr:uid="{00000000-0005-0000-0000-0000220A0000}"/>
    <cellStyle name="A_99상반기 원가계산_01상반기 결산보고(japan)수정" xfId="2619" xr:uid="{00000000-0005-0000-0000-0000230A0000}"/>
    <cellStyle name="A_99상반기 원가계산_01상반기 결산보고(japan)수정_110-1.04.3월_경영보고" xfId="2620" xr:uid="{00000000-0005-0000-0000-0000240A0000}"/>
    <cellStyle name="A_99상반기 원가계산_01상반기 결산보고(japan)수정_111.04.6월 경영보고" xfId="2621" xr:uid="{00000000-0005-0000-0000-0000250A0000}"/>
    <cellStyle name="A_99상반기 원가계산_01상반기 결산보고(japan)수정_111.04.6월 경영보고(구성)" xfId="2622" xr:uid="{00000000-0005-0000-0000-0000260A0000}"/>
    <cellStyle name="A_99상반기 원가계산_01상반기 결산보고(japan)수정_112.04.7월 경영보고" xfId="2623" xr:uid="{00000000-0005-0000-0000-0000270A0000}"/>
    <cellStyle name="A_99상반기 원가계산_01상반기 결산보고(japan)수정_112.경영보고(주)이순" xfId="2624" xr:uid="{00000000-0005-0000-0000-0000280A0000}"/>
    <cellStyle name="A_99상반기 원가계산_01상반기 결산보고(japan)수정_경영보고(주)이순" xfId="2625" xr:uid="{00000000-0005-0000-0000-0000290A0000}"/>
    <cellStyle name="A_99상반기 원가계산_01상반기 결산보고(japan_110-1.04.3월_경영보고" xfId="2626" xr:uid="{00000000-0005-0000-0000-00002A0A0000}"/>
    <cellStyle name="A_99상반기 원가계산_01상반기 결산보고(japan_111.04.6월 경영보고" xfId="2627" xr:uid="{00000000-0005-0000-0000-00002B0A0000}"/>
    <cellStyle name="A_99상반기 원가계산_01상반기 결산보고(japan_111.04.6월 경영보고(구성)" xfId="2628" xr:uid="{00000000-0005-0000-0000-00002C0A0000}"/>
    <cellStyle name="A_99상반기 원가계산_01상반기 결산보고(japan_112.04.7월 경영보고" xfId="2629" xr:uid="{00000000-0005-0000-0000-00002D0A0000}"/>
    <cellStyle name="A_99상반기 원가계산_01상반기 결산보고(japan_112.경영보고(주)이순" xfId="2630" xr:uid="{00000000-0005-0000-0000-00002E0A0000}"/>
    <cellStyle name="A_99상반기 원가계산_01상반기 결산보고(japan_경영보고(주)이순" xfId="2631" xr:uid="{00000000-0005-0000-0000-00002F0A0000}"/>
    <cellStyle name="A_99상반기 원가계산_01상반기결산보고(J)" xfId="2632" xr:uid="{00000000-0005-0000-0000-0000300A0000}"/>
    <cellStyle name="A_99상반기 원가계산_01상반기결산보고(J)_110-1.04.3월_경영보고" xfId="2633" xr:uid="{00000000-0005-0000-0000-0000310A0000}"/>
    <cellStyle name="A_99상반기 원가계산_01상반기결산보고(J)_111.04.6월 경영보고" xfId="2634" xr:uid="{00000000-0005-0000-0000-0000320A0000}"/>
    <cellStyle name="A_99상반기 원가계산_01상반기결산보고(J)_111.04.6월 경영보고(구성)" xfId="2635" xr:uid="{00000000-0005-0000-0000-0000330A0000}"/>
    <cellStyle name="A_99상반기 원가계산_01상반기결산보고(J)_112.04.7월 경영보고" xfId="2636" xr:uid="{00000000-0005-0000-0000-0000340A0000}"/>
    <cellStyle name="A_99상반기 원가계산_01상반기결산보고(J)_112.경영보고(주)이순" xfId="2637" xr:uid="{00000000-0005-0000-0000-0000350A0000}"/>
    <cellStyle name="A_99상반기 원가계산_01상반기결산보고(J)_경영보고(주)이순" xfId="2638" xr:uid="{00000000-0005-0000-0000-0000360A0000}"/>
    <cellStyle name="A_99상반기 원가계산_02반기조정" xfId="2639" xr:uid="{00000000-0005-0000-0000-0000370A0000}"/>
    <cellStyle name="A_99상반기 원가계산_02반기조정_110-1.04.3월_경영보고" xfId="2640" xr:uid="{00000000-0005-0000-0000-0000380A0000}"/>
    <cellStyle name="A_99상반기 원가계산_02반기조정_111.04.6월 경영보고" xfId="2641" xr:uid="{00000000-0005-0000-0000-0000390A0000}"/>
    <cellStyle name="A_99상반기 원가계산_02반기조정_111.04.6월 경영보고(구성)" xfId="2642" xr:uid="{00000000-0005-0000-0000-00003A0A0000}"/>
    <cellStyle name="A_99상반기 원가계산_02반기조정_112.04.7월 경영보고" xfId="2643" xr:uid="{00000000-0005-0000-0000-00003B0A0000}"/>
    <cellStyle name="A_99상반기 원가계산_02반기조정_112.경영보고(주)이순" xfId="2644" xr:uid="{00000000-0005-0000-0000-00003C0A0000}"/>
    <cellStyle name="A_99상반기 원가계산_02반기조정_경영보고(주)이순" xfId="2645" xr:uid="{00000000-0005-0000-0000-00003D0A0000}"/>
    <cellStyle name="A_99상반기 원가계산_110.04.3월 경영보고" xfId="2646" xr:uid="{00000000-0005-0000-0000-00003E0A0000}"/>
    <cellStyle name="A_99상반기 원가계산_110.04.3월 경영보고_110-1.04.3월_경영보고" xfId="2647" xr:uid="{00000000-0005-0000-0000-00003F0A0000}"/>
    <cellStyle name="A_99상반기 원가계산_110.04.3월 경영보고_111.04.6월 경영보고" xfId="2648" xr:uid="{00000000-0005-0000-0000-0000400A0000}"/>
    <cellStyle name="A_99상반기 원가계산_110.04.3월 경영보고_111.04.6월 경영보고(구성)" xfId="2649" xr:uid="{00000000-0005-0000-0000-0000410A0000}"/>
    <cellStyle name="A_99상반기 원가계산_110.04.3월 경영보고_112.04.7월 경영보고" xfId="2650" xr:uid="{00000000-0005-0000-0000-0000420A0000}"/>
    <cellStyle name="A_99상반기 원가계산_110.04.3월 경영보고_112.경영보고(주)이순" xfId="2651" xr:uid="{00000000-0005-0000-0000-0000430A0000}"/>
    <cellStyle name="A_99상반기 원가계산_110.04.3월 경영보고_경영보고(주)이순" xfId="2652" xr:uid="{00000000-0005-0000-0000-0000440A0000}"/>
    <cellStyle name="A_99상반기 원가계산_110-1.04.3월_경영보고" xfId="2653" xr:uid="{00000000-0005-0000-0000-0000450A0000}"/>
    <cellStyle name="A_99상반기 원가계산_200.04년월별재무제표" xfId="2654" xr:uid="{00000000-0005-0000-0000-0000460A0000}"/>
    <cellStyle name="A_99상반기 원가계산_200.04년월별재무제표_110-1.04.3월_경영보고" xfId="2655" xr:uid="{00000000-0005-0000-0000-0000470A0000}"/>
    <cellStyle name="A_99상반기 원가계산_200.04년월별재무제표_111.04.6월 경영보고" xfId="2656" xr:uid="{00000000-0005-0000-0000-0000480A0000}"/>
    <cellStyle name="A_99상반기 원가계산_200.04년월별재무제표_111.04.6월 경영보고(구성)" xfId="2657" xr:uid="{00000000-0005-0000-0000-0000490A0000}"/>
    <cellStyle name="A_99상반기 원가계산_200.04년월별재무제표_112.04.7월 경영보고" xfId="2658" xr:uid="{00000000-0005-0000-0000-00004A0A0000}"/>
    <cellStyle name="A_99상반기 원가계산_200.04년월별재무제표_112.경영보고(주)이순" xfId="2659" xr:uid="{00000000-0005-0000-0000-00004B0A0000}"/>
    <cellStyle name="A_99상반기 원가계산_200.04년월별재무제표_경영보고(주)이순" xfId="2660" xr:uid="{00000000-0005-0000-0000-00004C0A0000}"/>
    <cellStyle name="A_99상반기 원가계산_200.04월별재무제표" xfId="2661" xr:uid="{00000000-0005-0000-0000-00004D0A0000}"/>
    <cellStyle name="A_99상반기 원가계산_200.04월별재무제표_110-1.04.3월_경영보고" xfId="2662" xr:uid="{00000000-0005-0000-0000-00004E0A0000}"/>
    <cellStyle name="A_99상반기 원가계산_200.04월별재무제표_111.04.6월 경영보고" xfId="2663" xr:uid="{00000000-0005-0000-0000-00004F0A0000}"/>
    <cellStyle name="A_99상반기 원가계산_200.04월별재무제표_111.04.6월 경영보고(구성)" xfId="2664" xr:uid="{00000000-0005-0000-0000-0000500A0000}"/>
    <cellStyle name="A_99상반기 원가계산_200.04월별재무제표_112.04.7월 경영보고" xfId="2665" xr:uid="{00000000-0005-0000-0000-0000510A0000}"/>
    <cellStyle name="A_99상반기 원가계산_200.04월별재무제표_112.경영보고(주)이순" xfId="2666" xr:uid="{00000000-0005-0000-0000-0000520A0000}"/>
    <cellStyle name="A_99상반기 원가계산_200.04월별재무제표_경영보고(주)이순" xfId="2667" xr:uid="{00000000-0005-0000-0000-0000530A0000}"/>
    <cellStyle name="A_99상반기 원가계산_2001 제품1" xfId="2668" xr:uid="{00000000-0005-0000-0000-0000540A0000}"/>
    <cellStyle name="A_99상반기 원가계산_2001 제품1_02반기조정" xfId="2669" xr:uid="{00000000-0005-0000-0000-0000550A0000}"/>
    <cellStyle name="A_99상반기 원가계산_2001 제품1_02반기조정_110-1.04.3월_경영보고" xfId="2670" xr:uid="{00000000-0005-0000-0000-0000560A0000}"/>
    <cellStyle name="A_99상반기 원가계산_2001 제품1_02반기조정_111.04.6월 경영보고" xfId="2671" xr:uid="{00000000-0005-0000-0000-0000570A0000}"/>
    <cellStyle name="A_99상반기 원가계산_2001 제품1_02반기조정_111.04.6월 경영보고(구성)" xfId="2672" xr:uid="{00000000-0005-0000-0000-0000580A0000}"/>
    <cellStyle name="A_99상반기 원가계산_2001 제품1_02반기조정_112.04.7월 경영보고" xfId="2673" xr:uid="{00000000-0005-0000-0000-0000590A0000}"/>
    <cellStyle name="A_99상반기 원가계산_2001 제품1_02반기조정_112.경영보고(주)이순" xfId="2674" xr:uid="{00000000-0005-0000-0000-00005A0A0000}"/>
    <cellStyle name="A_99상반기 원가계산_2001 제품1_02반기조정_경영보고(주)이순" xfId="2675" xr:uid="{00000000-0005-0000-0000-00005B0A0000}"/>
    <cellStyle name="A_99상반기 원가계산_2001 제품1_110.04.3월 경영보고" xfId="2676" xr:uid="{00000000-0005-0000-0000-00005C0A0000}"/>
    <cellStyle name="A_99상반기 원가계산_2001 제품1_110.04.3월 경영보고_110-1.04.3월_경영보고" xfId="2677" xr:uid="{00000000-0005-0000-0000-00005D0A0000}"/>
    <cellStyle name="A_99상반기 원가계산_2001 제품1_110.04.3월 경영보고_111.04.6월 경영보고" xfId="2678" xr:uid="{00000000-0005-0000-0000-00005E0A0000}"/>
    <cellStyle name="A_99상반기 원가계산_2001 제품1_110.04.3월 경영보고_111.04.6월 경영보고(구성)" xfId="2679" xr:uid="{00000000-0005-0000-0000-00005F0A0000}"/>
    <cellStyle name="A_99상반기 원가계산_2001 제품1_110.04.3월 경영보고_112.04.7월 경영보고" xfId="2680" xr:uid="{00000000-0005-0000-0000-0000600A0000}"/>
    <cellStyle name="A_99상반기 원가계산_2001 제품1_110.04.3월 경영보고_112.경영보고(주)이순" xfId="2681" xr:uid="{00000000-0005-0000-0000-0000610A0000}"/>
    <cellStyle name="A_99상반기 원가계산_2001 제품1_110.04.3월 경영보고_경영보고(주)이순" xfId="2682" xr:uid="{00000000-0005-0000-0000-0000620A0000}"/>
    <cellStyle name="A_99상반기 원가계산_2001 제품1_110-1.04.3월_경영보고" xfId="2683" xr:uid="{00000000-0005-0000-0000-0000630A0000}"/>
    <cellStyle name="A_99상반기 원가계산_2001 제품1_200.04년월별재무제표" xfId="2684" xr:uid="{00000000-0005-0000-0000-0000640A0000}"/>
    <cellStyle name="A_99상반기 원가계산_2001 제품1_200.04년월별재무제표_110-1.04.3월_경영보고" xfId="2685" xr:uid="{00000000-0005-0000-0000-0000650A0000}"/>
    <cellStyle name="A_99상반기 원가계산_2001 제품1_200.04년월별재무제표_111.04.6월 경영보고" xfId="2686" xr:uid="{00000000-0005-0000-0000-0000660A0000}"/>
    <cellStyle name="A_99상반기 원가계산_2001 제품1_200.04년월별재무제표_111.04.6월 경영보고(구성)" xfId="2687" xr:uid="{00000000-0005-0000-0000-0000670A0000}"/>
    <cellStyle name="A_99상반기 원가계산_2001 제품1_200.04년월별재무제표_112.04.7월 경영보고" xfId="2688" xr:uid="{00000000-0005-0000-0000-0000680A0000}"/>
    <cellStyle name="A_99상반기 원가계산_2001 제품1_200.04년월별재무제표_112.경영보고(주)이순" xfId="2689" xr:uid="{00000000-0005-0000-0000-0000690A0000}"/>
    <cellStyle name="A_99상반기 원가계산_2001 제품1_200.04년월별재무제표_경영보고(주)이순" xfId="2690" xr:uid="{00000000-0005-0000-0000-00006A0A0000}"/>
    <cellStyle name="A_99상반기 원가계산_2001 제품1_200.04월별재무제표" xfId="2691" xr:uid="{00000000-0005-0000-0000-00006B0A0000}"/>
    <cellStyle name="A_99상반기 원가계산_2001 제품1_200.04월별재무제표_110-1.04.3월_경영보고" xfId="2692" xr:uid="{00000000-0005-0000-0000-00006C0A0000}"/>
    <cellStyle name="A_99상반기 원가계산_2001 제품1_200.04월별재무제표_111.04.6월 경영보고" xfId="2693" xr:uid="{00000000-0005-0000-0000-00006D0A0000}"/>
    <cellStyle name="A_99상반기 원가계산_2001 제품1_200.04월별재무제표_111.04.6월 경영보고(구성)" xfId="2694" xr:uid="{00000000-0005-0000-0000-00006E0A0000}"/>
    <cellStyle name="A_99상반기 원가계산_2001 제품1_200.04월별재무제표_112.04.7월 경영보고" xfId="2695" xr:uid="{00000000-0005-0000-0000-00006F0A0000}"/>
    <cellStyle name="A_99상반기 원가계산_2001 제품1_200.04월별재무제표_112.경영보고(주)이순" xfId="2696" xr:uid="{00000000-0005-0000-0000-0000700A0000}"/>
    <cellStyle name="A_99상반기 원가계산_2001 제품1_200.04월별재무제표_경영보고(주)이순" xfId="2697" xr:uid="{00000000-0005-0000-0000-0000710A0000}"/>
    <cellStyle name="A_99상반기 원가계산_2001 제품1_경영보고(주)이순" xfId="2698" xr:uid="{00000000-0005-0000-0000-0000720A0000}"/>
    <cellStyle name="A_99상반기 원가계산_2001 제품1_비교재무제표" xfId="2699" xr:uid="{00000000-0005-0000-0000-0000730A0000}"/>
    <cellStyle name="A_99상반기 원가계산_2001 제품1_비교재무제표_110-1.04.3월_경영보고" xfId="2700" xr:uid="{00000000-0005-0000-0000-0000740A0000}"/>
    <cellStyle name="A_99상반기 원가계산_2001 제품1_비교재무제표_111.04.6월 경영보고" xfId="2701" xr:uid="{00000000-0005-0000-0000-0000750A0000}"/>
    <cellStyle name="A_99상반기 원가계산_2001 제품1_비교재무제표_111.04.6월 경영보고(구성)" xfId="2702" xr:uid="{00000000-0005-0000-0000-0000760A0000}"/>
    <cellStyle name="A_99상반기 원가계산_2001 제품1_비교재무제표_112.04.7월 경영보고" xfId="2703" xr:uid="{00000000-0005-0000-0000-0000770A0000}"/>
    <cellStyle name="A_99상반기 원가계산_2001 제품1_비교재무제표_112.경영보고(주)이순" xfId="2704" xr:uid="{00000000-0005-0000-0000-0000780A0000}"/>
    <cellStyle name="A_99상반기 원가계산_2001 제품1_비교재무제표_경영보고(주)이순" xfId="2705" xr:uid="{00000000-0005-0000-0000-0000790A0000}"/>
    <cellStyle name="A_99상반기 원가계산_erp(일문)" xfId="2706" xr:uid="{00000000-0005-0000-0000-00007A0A0000}"/>
    <cellStyle name="A_99상반기 원가계산_erp(일문)_110-1.04.3월_경영보고" xfId="2707" xr:uid="{00000000-0005-0000-0000-00007B0A0000}"/>
    <cellStyle name="A_99상반기 원가계산_erp(일문)_111.04.6월 경영보고" xfId="2708" xr:uid="{00000000-0005-0000-0000-00007C0A0000}"/>
    <cellStyle name="A_99상반기 원가계산_erp(일문)_111.04.6월 경영보고(구성)" xfId="2709" xr:uid="{00000000-0005-0000-0000-00007D0A0000}"/>
    <cellStyle name="A_99상반기 원가계산_erp(일문)_112.04.7월 경영보고" xfId="2710" xr:uid="{00000000-0005-0000-0000-00007E0A0000}"/>
    <cellStyle name="A_99상반기 원가계산_erp(일문)_112.경영보고(주)이순" xfId="2711" xr:uid="{00000000-0005-0000-0000-00007F0A0000}"/>
    <cellStyle name="A_99상반기 원가계산_erp(일문)_경영보고(주)이순" xfId="2712" xr:uid="{00000000-0005-0000-0000-0000800A0000}"/>
    <cellStyle name="A_99상반기 원가계산_경영보고(주)이순" xfId="2713" xr:uid="{00000000-0005-0000-0000-0000810A0000}"/>
    <cellStyle name="A_99상반기 원가계산_비교재무제표" xfId="2714" xr:uid="{00000000-0005-0000-0000-0000820A0000}"/>
    <cellStyle name="A_99상반기 원가계산_비교재무제표_110-1.04.3월_경영보고" xfId="2715" xr:uid="{00000000-0005-0000-0000-0000830A0000}"/>
    <cellStyle name="A_99상반기 원가계산_비교재무제표_111.04.6월 경영보고" xfId="2716" xr:uid="{00000000-0005-0000-0000-0000840A0000}"/>
    <cellStyle name="A_99상반기 원가계산_비교재무제표_111.04.6월 경영보고(구성)" xfId="2717" xr:uid="{00000000-0005-0000-0000-0000850A0000}"/>
    <cellStyle name="A_99상반기 원가계산_비교재무제표_112.04.7월 경영보고" xfId="2718" xr:uid="{00000000-0005-0000-0000-0000860A0000}"/>
    <cellStyle name="A_99상반기 원가계산_비교재무제표_112.경영보고(주)이순" xfId="2719" xr:uid="{00000000-0005-0000-0000-0000870A0000}"/>
    <cellStyle name="A_99상반기 원가계산_비교재무제표_경영보고(주)이순" xfId="2720" xr:uid="{00000000-0005-0000-0000-0000880A0000}"/>
    <cellStyle name="A_99상반기 원가계산_상반기제품" xfId="2721" xr:uid="{00000000-0005-0000-0000-0000890A0000}"/>
    <cellStyle name="A_99상반기 원가계산_상반기제품_01상반기 결산보고(j)" xfId="2722" xr:uid="{00000000-0005-0000-0000-00008A0A0000}"/>
    <cellStyle name="A_99상반기 원가계산_상반기제품_01상반기 결산보고(j)_110-1.04.3월_경영보고" xfId="2723" xr:uid="{00000000-0005-0000-0000-00008B0A0000}"/>
    <cellStyle name="A_99상반기 원가계산_상반기제품_01상반기 결산보고(j)_111.04.6월 경영보고" xfId="2724" xr:uid="{00000000-0005-0000-0000-00008C0A0000}"/>
    <cellStyle name="A_99상반기 원가계산_상반기제품_01상반기 결산보고(j)_111.04.6월 경영보고(구성)" xfId="2725" xr:uid="{00000000-0005-0000-0000-00008D0A0000}"/>
    <cellStyle name="A_99상반기 원가계산_상반기제품_01상반기 결산보고(j)_112.04.7월 경영보고" xfId="2726" xr:uid="{00000000-0005-0000-0000-00008E0A0000}"/>
    <cellStyle name="A_99상반기 원가계산_상반기제품_01상반기 결산보고(j)_112.경영보고(주)이순" xfId="2727" xr:uid="{00000000-0005-0000-0000-00008F0A0000}"/>
    <cellStyle name="A_99상반기 원가계산_상반기제품_01상반기 결산보고(j)_경영보고(주)이순" xfId="2728" xr:uid="{00000000-0005-0000-0000-0000900A0000}"/>
    <cellStyle name="A_99상반기 원가계산_상반기제품_02반기조정" xfId="2729" xr:uid="{00000000-0005-0000-0000-0000910A0000}"/>
    <cellStyle name="A_99상반기 원가계산_상반기제품_02반기조정_110-1.04.3월_경영보고" xfId="2730" xr:uid="{00000000-0005-0000-0000-0000920A0000}"/>
    <cellStyle name="A_99상반기 원가계산_상반기제품_02반기조정_111.04.6월 경영보고" xfId="2731" xr:uid="{00000000-0005-0000-0000-0000930A0000}"/>
    <cellStyle name="A_99상반기 원가계산_상반기제품_02반기조정_111.04.6월 경영보고(구성)" xfId="2732" xr:uid="{00000000-0005-0000-0000-0000940A0000}"/>
    <cellStyle name="A_99상반기 원가계산_상반기제품_02반기조정_112.04.7월 경영보고" xfId="2733" xr:uid="{00000000-0005-0000-0000-0000950A0000}"/>
    <cellStyle name="A_99상반기 원가계산_상반기제품_02반기조정_112.경영보고(주)이순" xfId="2734" xr:uid="{00000000-0005-0000-0000-0000960A0000}"/>
    <cellStyle name="A_99상반기 원가계산_상반기제품_02반기조정_경영보고(주)이순" xfId="2735" xr:uid="{00000000-0005-0000-0000-0000970A0000}"/>
    <cellStyle name="A_99상반기 원가계산_상반기제품_110.04.3월 경영보고" xfId="2736" xr:uid="{00000000-0005-0000-0000-0000980A0000}"/>
    <cellStyle name="A_99상반기 원가계산_상반기제품_110.04.3월 경영보고_110-1.04.3월_경영보고" xfId="2737" xr:uid="{00000000-0005-0000-0000-0000990A0000}"/>
    <cellStyle name="A_99상반기 원가계산_상반기제품_110.04.3월 경영보고_111.04.6월 경영보고" xfId="2738" xr:uid="{00000000-0005-0000-0000-00009A0A0000}"/>
    <cellStyle name="A_99상반기 원가계산_상반기제품_110.04.3월 경영보고_111.04.6월 경영보고(구성)" xfId="2739" xr:uid="{00000000-0005-0000-0000-00009B0A0000}"/>
    <cellStyle name="A_99상반기 원가계산_상반기제품_110.04.3월 경영보고_112.04.7월 경영보고" xfId="2740" xr:uid="{00000000-0005-0000-0000-00009C0A0000}"/>
    <cellStyle name="A_99상반기 원가계산_상반기제품_110.04.3월 경영보고_112.경영보고(주)이순" xfId="2741" xr:uid="{00000000-0005-0000-0000-00009D0A0000}"/>
    <cellStyle name="A_99상반기 원가계산_상반기제품_110.04.3월 경영보고_경영보고(주)이순" xfId="2742" xr:uid="{00000000-0005-0000-0000-00009E0A0000}"/>
    <cellStyle name="A_99상반기 원가계산_상반기제품_110-1.04.3월_경영보고" xfId="2743" xr:uid="{00000000-0005-0000-0000-00009F0A0000}"/>
    <cellStyle name="A_99상반기 원가계산_상반기제품_200.04년월별재무제표" xfId="2744" xr:uid="{00000000-0005-0000-0000-0000A00A0000}"/>
    <cellStyle name="A_99상반기 원가계산_상반기제품_200.04년월별재무제표_110-1.04.3월_경영보고" xfId="2745" xr:uid="{00000000-0005-0000-0000-0000A10A0000}"/>
    <cellStyle name="A_99상반기 원가계산_상반기제품_200.04년월별재무제표_111.04.6월 경영보고" xfId="2746" xr:uid="{00000000-0005-0000-0000-0000A20A0000}"/>
    <cellStyle name="A_99상반기 원가계산_상반기제품_200.04년월별재무제표_111.04.6월 경영보고(구성)" xfId="2747" xr:uid="{00000000-0005-0000-0000-0000A30A0000}"/>
    <cellStyle name="A_99상반기 원가계산_상반기제품_200.04년월별재무제표_112.04.7월 경영보고" xfId="2748" xr:uid="{00000000-0005-0000-0000-0000A40A0000}"/>
    <cellStyle name="A_99상반기 원가계산_상반기제품_200.04년월별재무제표_112.경영보고(주)이순" xfId="2749" xr:uid="{00000000-0005-0000-0000-0000A50A0000}"/>
    <cellStyle name="A_99상반기 원가계산_상반기제품_200.04년월별재무제표_경영보고(주)이순" xfId="2750" xr:uid="{00000000-0005-0000-0000-0000A60A0000}"/>
    <cellStyle name="A_99상반기 원가계산_상반기제품_200.04월별재무제표" xfId="2751" xr:uid="{00000000-0005-0000-0000-0000A70A0000}"/>
    <cellStyle name="A_99상반기 원가계산_상반기제품_200.04월별재무제표_110-1.04.3월_경영보고" xfId="2752" xr:uid="{00000000-0005-0000-0000-0000A80A0000}"/>
    <cellStyle name="A_99상반기 원가계산_상반기제품_200.04월별재무제표_111.04.6월 경영보고" xfId="2753" xr:uid="{00000000-0005-0000-0000-0000A90A0000}"/>
    <cellStyle name="A_99상반기 원가계산_상반기제품_200.04월별재무제표_111.04.6월 경영보고(구성)" xfId="2754" xr:uid="{00000000-0005-0000-0000-0000AA0A0000}"/>
    <cellStyle name="A_99상반기 원가계산_상반기제품_200.04월별재무제표_112.04.7월 경영보고" xfId="2755" xr:uid="{00000000-0005-0000-0000-0000AB0A0000}"/>
    <cellStyle name="A_99상반기 원가계산_상반기제품_200.04월별재무제표_112.경영보고(주)이순" xfId="2756" xr:uid="{00000000-0005-0000-0000-0000AC0A0000}"/>
    <cellStyle name="A_99상반기 원가계산_상반기제품_200.04월별재무제표_경영보고(주)이순" xfId="2757" xr:uid="{00000000-0005-0000-0000-0000AD0A0000}"/>
    <cellStyle name="A_99상반기 원가계산_상반기제품_경영보고(주)이순" xfId="2758" xr:uid="{00000000-0005-0000-0000-0000AE0A0000}"/>
    <cellStyle name="A_99상반기 원가계산_상반기제품_비교재무제표" xfId="2759" xr:uid="{00000000-0005-0000-0000-0000AF0A0000}"/>
    <cellStyle name="A_99상반기 원가계산_상반기제품_비교재무제표_110-1.04.3월_경영보고" xfId="2760" xr:uid="{00000000-0005-0000-0000-0000B00A0000}"/>
    <cellStyle name="A_99상반기 원가계산_상반기제품_비교재무제표_111.04.6월 경영보고" xfId="2761" xr:uid="{00000000-0005-0000-0000-0000B10A0000}"/>
    <cellStyle name="A_99상반기 원가계산_상반기제품_비교재무제표_111.04.6월 경영보고(구성)" xfId="2762" xr:uid="{00000000-0005-0000-0000-0000B20A0000}"/>
    <cellStyle name="A_99상반기 원가계산_상반기제품_비교재무제표_112.04.7월 경영보고" xfId="2763" xr:uid="{00000000-0005-0000-0000-0000B30A0000}"/>
    <cellStyle name="A_99상반기 원가계산_상반기제품_비교재무제표_112.경영보고(주)이순" xfId="2764" xr:uid="{00000000-0005-0000-0000-0000B40A0000}"/>
    <cellStyle name="A_99상반기 원가계산_상반기제품_비교재무제표_경영보고(주)이순" xfId="2765" xr:uid="{00000000-0005-0000-0000-0000B50A0000}"/>
    <cellStyle name="A_CODE별" xfId="2766" xr:uid="{00000000-0005-0000-0000-0000B60A0000}"/>
    <cellStyle name="A_erp(일문)" xfId="2767" xr:uid="{00000000-0005-0000-0000-0000B70A0000}"/>
    <cellStyle name="A_erp(일문)_110-1.04.3월_경영보고" xfId="2768" xr:uid="{00000000-0005-0000-0000-0000B80A0000}"/>
    <cellStyle name="A_erp(일문)_111.04.6월 경영보고" xfId="2769" xr:uid="{00000000-0005-0000-0000-0000B90A0000}"/>
    <cellStyle name="A_erp(일문)_111.04.6월 경영보고(구성)" xfId="2770" xr:uid="{00000000-0005-0000-0000-0000BA0A0000}"/>
    <cellStyle name="A_erp(일문)_112.04.7월 경영보고" xfId="2771" xr:uid="{00000000-0005-0000-0000-0000BB0A0000}"/>
    <cellStyle name="A_erp(일문)_112.경영보고(주)이순" xfId="2772" xr:uid="{00000000-0005-0000-0000-0000BC0A0000}"/>
    <cellStyle name="A_erp(일문)_경영보고(주)이순" xfId="2773" xr:uid="{00000000-0005-0000-0000-0000BD0A0000}"/>
    <cellStyle name="A_결산자료" xfId="2774" xr:uid="{00000000-0005-0000-0000-0000BE0A0000}"/>
    <cellStyle name="A_경영보고(주)이순" xfId="2775" xr:uid="{00000000-0005-0000-0000-0000BF0A0000}"/>
    <cellStyle name="A_명세DATA (2)" xfId="2776" xr:uid="{00000000-0005-0000-0000-0000C00A0000}"/>
    <cellStyle name="A_명세서 (2)" xfId="2777" xr:uid="{00000000-0005-0000-0000-0000C10A0000}"/>
    <cellStyle name="A_비교재무제표" xfId="2778" xr:uid="{00000000-0005-0000-0000-0000C20A0000}"/>
    <cellStyle name="A_비교재무제표_110-1.04.3월_경영보고" xfId="2779" xr:uid="{00000000-0005-0000-0000-0000C30A0000}"/>
    <cellStyle name="A_비교재무제표_111.04.6월 경영보고" xfId="2780" xr:uid="{00000000-0005-0000-0000-0000C40A0000}"/>
    <cellStyle name="A_비교재무제표_111.04.6월 경영보고(구성)" xfId="2781" xr:uid="{00000000-0005-0000-0000-0000C50A0000}"/>
    <cellStyle name="A_비교재무제표_112.04.7월 경영보고" xfId="2782" xr:uid="{00000000-0005-0000-0000-0000C60A0000}"/>
    <cellStyle name="A_비교재무제표_112.경영보고(주)이순" xfId="2783" xr:uid="{00000000-0005-0000-0000-0000C70A0000}"/>
    <cellStyle name="A_비교재무제표_경영보고(주)이순" xfId="2784" xr:uid="{00000000-0005-0000-0000-0000C80A0000}"/>
    <cellStyle name="A_상반기원재료" xfId="2785" xr:uid="{00000000-0005-0000-0000-0000C90A0000}"/>
    <cellStyle name="A_상반기원재료_01상반기 결산보고(j)" xfId="2786" xr:uid="{00000000-0005-0000-0000-0000CA0A0000}"/>
    <cellStyle name="A_상반기원재료_01상반기 결산보고(j)_110-1.04.3월_경영보고" xfId="2787" xr:uid="{00000000-0005-0000-0000-0000CB0A0000}"/>
    <cellStyle name="A_상반기원재료_01상반기 결산보고(j)_111.04.6월 경영보고" xfId="2788" xr:uid="{00000000-0005-0000-0000-0000CC0A0000}"/>
    <cellStyle name="A_상반기원재료_01상반기 결산보고(j)_111.04.6월 경영보고(구성)" xfId="2789" xr:uid="{00000000-0005-0000-0000-0000CD0A0000}"/>
    <cellStyle name="A_상반기원재료_01상반기 결산보고(j)_112.04.7월 경영보고" xfId="2790" xr:uid="{00000000-0005-0000-0000-0000CE0A0000}"/>
    <cellStyle name="A_상반기원재료_01상반기 결산보고(j)_112.경영보고(주)이순" xfId="2791" xr:uid="{00000000-0005-0000-0000-0000CF0A0000}"/>
    <cellStyle name="A_상반기원재료_01상반기 결산보고(j)_경영보고(주)이순" xfId="2792" xr:uid="{00000000-0005-0000-0000-0000D00A0000}"/>
    <cellStyle name="A_상반기원재료_01상반기 결산보고(japan" xfId="2793" xr:uid="{00000000-0005-0000-0000-0000D10A0000}"/>
    <cellStyle name="A_상반기원재료_01상반기 결산보고(japan)수정" xfId="2794" xr:uid="{00000000-0005-0000-0000-0000D20A0000}"/>
    <cellStyle name="A_상반기원재료_01상반기 결산보고(japan)수정_110-1.04.3월_경영보고" xfId="2795" xr:uid="{00000000-0005-0000-0000-0000D30A0000}"/>
    <cellStyle name="A_상반기원재료_01상반기 결산보고(japan)수정_111.04.6월 경영보고" xfId="2796" xr:uid="{00000000-0005-0000-0000-0000D40A0000}"/>
    <cellStyle name="A_상반기원재료_01상반기 결산보고(japan)수정_111.04.6월 경영보고(구성)" xfId="2797" xr:uid="{00000000-0005-0000-0000-0000D50A0000}"/>
    <cellStyle name="A_상반기원재료_01상반기 결산보고(japan)수정_112.04.7월 경영보고" xfId="2798" xr:uid="{00000000-0005-0000-0000-0000D60A0000}"/>
    <cellStyle name="A_상반기원재료_01상반기 결산보고(japan)수정_112.경영보고(주)이순" xfId="2799" xr:uid="{00000000-0005-0000-0000-0000D70A0000}"/>
    <cellStyle name="A_상반기원재료_01상반기 결산보고(japan)수정_경영보고(주)이순" xfId="2800" xr:uid="{00000000-0005-0000-0000-0000D80A0000}"/>
    <cellStyle name="A_상반기원재료_01상반기 결산보고(japan_110-1.04.3월_경영보고" xfId="2801" xr:uid="{00000000-0005-0000-0000-0000D90A0000}"/>
    <cellStyle name="A_상반기원재료_01상반기 결산보고(japan_111.04.6월 경영보고" xfId="2802" xr:uid="{00000000-0005-0000-0000-0000DA0A0000}"/>
    <cellStyle name="A_상반기원재료_01상반기 결산보고(japan_111.04.6월 경영보고(구성)" xfId="2803" xr:uid="{00000000-0005-0000-0000-0000DB0A0000}"/>
    <cellStyle name="A_상반기원재료_01상반기 결산보고(japan_112.04.7월 경영보고" xfId="2804" xr:uid="{00000000-0005-0000-0000-0000DC0A0000}"/>
    <cellStyle name="A_상반기원재료_01상반기 결산보고(japan_112.경영보고(주)이순" xfId="2805" xr:uid="{00000000-0005-0000-0000-0000DD0A0000}"/>
    <cellStyle name="A_상반기원재료_01상반기 결산보고(japan_경영보고(주)이순" xfId="2806" xr:uid="{00000000-0005-0000-0000-0000DE0A0000}"/>
    <cellStyle name="A_상반기원재료_02반기조정" xfId="2807" xr:uid="{00000000-0005-0000-0000-0000DF0A0000}"/>
    <cellStyle name="A_상반기원재료_02반기조정_110-1.04.3월_경영보고" xfId="2808" xr:uid="{00000000-0005-0000-0000-0000E00A0000}"/>
    <cellStyle name="A_상반기원재료_02반기조정_111.04.6월 경영보고" xfId="2809" xr:uid="{00000000-0005-0000-0000-0000E10A0000}"/>
    <cellStyle name="A_상반기원재료_02반기조정_111.04.6월 경영보고(구성)" xfId="2810" xr:uid="{00000000-0005-0000-0000-0000E20A0000}"/>
    <cellStyle name="A_상반기원재료_02반기조정_112.04.7월 경영보고" xfId="2811" xr:uid="{00000000-0005-0000-0000-0000E30A0000}"/>
    <cellStyle name="A_상반기원재료_02반기조정_112.경영보고(주)이순" xfId="2812" xr:uid="{00000000-0005-0000-0000-0000E40A0000}"/>
    <cellStyle name="A_상반기원재료_02반기조정_경영보고(주)이순" xfId="2813" xr:uid="{00000000-0005-0000-0000-0000E50A0000}"/>
    <cellStyle name="A_상반기원재료_110.04.3월 경영보고" xfId="2814" xr:uid="{00000000-0005-0000-0000-0000E60A0000}"/>
    <cellStyle name="A_상반기원재료_110.04.3월 경영보고_110-1.04.3월_경영보고" xfId="2815" xr:uid="{00000000-0005-0000-0000-0000E70A0000}"/>
    <cellStyle name="A_상반기원재료_110.04.3월 경영보고_111.04.6월 경영보고" xfId="2816" xr:uid="{00000000-0005-0000-0000-0000E80A0000}"/>
    <cellStyle name="A_상반기원재료_110.04.3월 경영보고_111.04.6월 경영보고(구성)" xfId="2817" xr:uid="{00000000-0005-0000-0000-0000E90A0000}"/>
    <cellStyle name="A_상반기원재료_110.04.3월 경영보고_112.04.7월 경영보고" xfId="2818" xr:uid="{00000000-0005-0000-0000-0000EA0A0000}"/>
    <cellStyle name="A_상반기원재료_110.04.3월 경영보고_112.경영보고(주)이순" xfId="2819" xr:uid="{00000000-0005-0000-0000-0000EB0A0000}"/>
    <cellStyle name="A_상반기원재료_110.04.3월 경영보고_경영보고(주)이순" xfId="2820" xr:uid="{00000000-0005-0000-0000-0000EC0A0000}"/>
    <cellStyle name="A_상반기원재료_110-1.04.3월_경영보고" xfId="2821" xr:uid="{00000000-0005-0000-0000-0000ED0A0000}"/>
    <cellStyle name="A_상반기원재료_200.04년월별재무제표" xfId="2822" xr:uid="{00000000-0005-0000-0000-0000EE0A0000}"/>
    <cellStyle name="A_상반기원재료_200.04년월별재무제표_110-1.04.3월_경영보고" xfId="2823" xr:uid="{00000000-0005-0000-0000-0000EF0A0000}"/>
    <cellStyle name="A_상반기원재료_200.04년월별재무제표_111.04.6월 경영보고" xfId="2824" xr:uid="{00000000-0005-0000-0000-0000F00A0000}"/>
    <cellStyle name="A_상반기원재료_200.04년월별재무제표_111.04.6월 경영보고(구성)" xfId="2825" xr:uid="{00000000-0005-0000-0000-0000F10A0000}"/>
    <cellStyle name="A_상반기원재료_200.04년월별재무제표_112.04.7월 경영보고" xfId="2826" xr:uid="{00000000-0005-0000-0000-0000F20A0000}"/>
    <cellStyle name="A_상반기원재료_200.04년월별재무제표_112.경영보고(주)이순" xfId="2827" xr:uid="{00000000-0005-0000-0000-0000F30A0000}"/>
    <cellStyle name="A_상반기원재료_200.04년월별재무제표_경영보고(주)이순" xfId="2828" xr:uid="{00000000-0005-0000-0000-0000F40A0000}"/>
    <cellStyle name="A_상반기원재료_200.04월별재무제표" xfId="2829" xr:uid="{00000000-0005-0000-0000-0000F50A0000}"/>
    <cellStyle name="A_상반기원재료_200.04월별재무제표_110-1.04.3월_경영보고" xfId="2830" xr:uid="{00000000-0005-0000-0000-0000F60A0000}"/>
    <cellStyle name="A_상반기원재료_200.04월별재무제표_111.04.6월 경영보고" xfId="2831" xr:uid="{00000000-0005-0000-0000-0000F70A0000}"/>
    <cellStyle name="A_상반기원재료_200.04월별재무제표_111.04.6월 경영보고(구성)" xfId="2832" xr:uid="{00000000-0005-0000-0000-0000F80A0000}"/>
    <cellStyle name="A_상반기원재료_200.04월별재무제표_112.04.7월 경영보고" xfId="2833" xr:uid="{00000000-0005-0000-0000-0000F90A0000}"/>
    <cellStyle name="A_상반기원재료_200.04월별재무제표_112.경영보고(주)이순" xfId="2834" xr:uid="{00000000-0005-0000-0000-0000FA0A0000}"/>
    <cellStyle name="A_상반기원재료_200.04월별재무제표_경영보고(주)이순" xfId="2835" xr:uid="{00000000-0005-0000-0000-0000FB0A0000}"/>
    <cellStyle name="A_상반기원재료_erp(일문)" xfId="2836" xr:uid="{00000000-0005-0000-0000-0000FC0A0000}"/>
    <cellStyle name="A_상반기원재료_erp(일문)_110-1.04.3월_경영보고" xfId="2837" xr:uid="{00000000-0005-0000-0000-0000FD0A0000}"/>
    <cellStyle name="A_상반기원재료_erp(일문)_111.04.6월 경영보고" xfId="2838" xr:uid="{00000000-0005-0000-0000-0000FE0A0000}"/>
    <cellStyle name="A_상반기원재료_erp(일문)_111.04.6월 경영보고(구성)" xfId="2839" xr:uid="{00000000-0005-0000-0000-0000FF0A0000}"/>
    <cellStyle name="A_상반기원재료_erp(일문)_112.04.7월 경영보고" xfId="2840" xr:uid="{00000000-0005-0000-0000-0000000B0000}"/>
    <cellStyle name="A_상반기원재료_erp(일문)_112.경영보고(주)이순" xfId="2841" xr:uid="{00000000-0005-0000-0000-0000010B0000}"/>
    <cellStyle name="A_상반기원재료_erp(일문)_경영보고(주)이순" xfId="2842" xr:uid="{00000000-0005-0000-0000-0000020B0000}"/>
    <cellStyle name="A_상반기원재료_경영보고(주)이순" xfId="2843" xr:uid="{00000000-0005-0000-0000-0000030B0000}"/>
    <cellStyle name="A_상반기원재료_비교재무제표" xfId="2844" xr:uid="{00000000-0005-0000-0000-0000040B0000}"/>
    <cellStyle name="A_상반기원재료_비교재무제표_110-1.04.3월_경영보고" xfId="2845" xr:uid="{00000000-0005-0000-0000-0000050B0000}"/>
    <cellStyle name="A_상반기원재료_비교재무제표_111.04.6월 경영보고" xfId="2846" xr:uid="{00000000-0005-0000-0000-0000060B0000}"/>
    <cellStyle name="A_상반기원재료_비교재무제표_111.04.6월 경영보고(구성)" xfId="2847" xr:uid="{00000000-0005-0000-0000-0000070B0000}"/>
    <cellStyle name="A_상반기원재료_비교재무제표_112.04.7월 경영보고" xfId="2848" xr:uid="{00000000-0005-0000-0000-0000080B0000}"/>
    <cellStyle name="A_상반기원재료_비교재무제표_112.경영보고(주)이순" xfId="2849" xr:uid="{00000000-0005-0000-0000-0000090B0000}"/>
    <cellStyle name="A_상반기원재료_비교재무제표_경영보고(주)이순" xfId="2850" xr:uid="{00000000-0005-0000-0000-00000A0B0000}"/>
    <cellStyle name="A_상반기원재료_하반기결산" xfId="2851" xr:uid="{00000000-0005-0000-0000-00000B0B0000}"/>
    <cellStyle name="A_상반기원재료_하반기결산_02반기조정" xfId="2852" xr:uid="{00000000-0005-0000-0000-00000C0B0000}"/>
    <cellStyle name="A_상반기원재료_하반기결산_02반기조정_110-1.04.3월_경영보고" xfId="2853" xr:uid="{00000000-0005-0000-0000-00000D0B0000}"/>
    <cellStyle name="A_상반기원재료_하반기결산_02반기조정_111.04.6월 경영보고" xfId="2854" xr:uid="{00000000-0005-0000-0000-00000E0B0000}"/>
    <cellStyle name="A_상반기원재료_하반기결산_02반기조정_111.04.6월 경영보고(구성)" xfId="2855" xr:uid="{00000000-0005-0000-0000-00000F0B0000}"/>
    <cellStyle name="A_상반기원재료_하반기결산_02반기조정_112.04.7월 경영보고" xfId="2856" xr:uid="{00000000-0005-0000-0000-0000100B0000}"/>
    <cellStyle name="A_상반기원재료_하반기결산_02반기조정_112.경영보고(주)이순" xfId="2857" xr:uid="{00000000-0005-0000-0000-0000110B0000}"/>
    <cellStyle name="A_상반기원재료_하반기결산_02반기조정_경영보고(주)이순" xfId="2858" xr:uid="{00000000-0005-0000-0000-0000120B0000}"/>
    <cellStyle name="A_상반기원재료_하반기결산_110.04.3월 경영보고" xfId="2859" xr:uid="{00000000-0005-0000-0000-0000130B0000}"/>
    <cellStyle name="A_상반기원재료_하반기결산_110.04.3월 경영보고_110-1.04.3월_경영보고" xfId="2860" xr:uid="{00000000-0005-0000-0000-0000140B0000}"/>
    <cellStyle name="A_상반기원재료_하반기결산_110.04.3월 경영보고_111.04.6월 경영보고" xfId="2861" xr:uid="{00000000-0005-0000-0000-0000150B0000}"/>
    <cellStyle name="A_상반기원재료_하반기결산_110.04.3월 경영보고_111.04.6월 경영보고(구성)" xfId="2862" xr:uid="{00000000-0005-0000-0000-0000160B0000}"/>
    <cellStyle name="A_상반기원재료_하반기결산_110.04.3월 경영보고_112.04.7월 경영보고" xfId="2863" xr:uid="{00000000-0005-0000-0000-0000170B0000}"/>
    <cellStyle name="A_상반기원재료_하반기결산_110.04.3월 경영보고_112.경영보고(주)이순" xfId="2864" xr:uid="{00000000-0005-0000-0000-0000180B0000}"/>
    <cellStyle name="A_상반기원재료_하반기결산_110.04.3월 경영보고_경영보고(주)이순" xfId="2865" xr:uid="{00000000-0005-0000-0000-0000190B0000}"/>
    <cellStyle name="A_상반기원재료_하반기결산_110-1.04.3월_경영보고" xfId="2866" xr:uid="{00000000-0005-0000-0000-00001A0B0000}"/>
    <cellStyle name="A_상반기원재료_하반기결산_200.04년월별재무제표" xfId="2867" xr:uid="{00000000-0005-0000-0000-00001B0B0000}"/>
    <cellStyle name="A_상반기원재료_하반기결산_200.04년월별재무제표_110-1.04.3월_경영보고" xfId="2868" xr:uid="{00000000-0005-0000-0000-00001C0B0000}"/>
    <cellStyle name="A_상반기원재료_하반기결산_200.04년월별재무제표_111.04.6월 경영보고" xfId="2869" xr:uid="{00000000-0005-0000-0000-00001D0B0000}"/>
    <cellStyle name="A_상반기원재료_하반기결산_200.04년월별재무제표_111.04.6월 경영보고(구성)" xfId="2870" xr:uid="{00000000-0005-0000-0000-00001E0B0000}"/>
    <cellStyle name="A_상반기원재료_하반기결산_200.04년월별재무제표_112.04.7월 경영보고" xfId="2871" xr:uid="{00000000-0005-0000-0000-00001F0B0000}"/>
    <cellStyle name="A_상반기원재료_하반기결산_200.04년월별재무제표_112.경영보고(주)이순" xfId="2872" xr:uid="{00000000-0005-0000-0000-0000200B0000}"/>
    <cellStyle name="A_상반기원재료_하반기결산_200.04년월별재무제표_경영보고(주)이순" xfId="2873" xr:uid="{00000000-0005-0000-0000-0000210B0000}"/>
    <cellStyle name="A_상반기원재료_하반기결산_200.04월별재무제표" xfId="2874" xr:uid="{00000000-0005-0000-0000-0000220B0000}"/>
    <cellStyle name="A_상반기원재료_하반기결산_200.04월별재무제표_110-1.04.3월_경영보고" xfId="2875" xr:uid="{00000000-0005-0000-0000-0000230B0000}"/>
    <cellStyle name="A_상반기원재료_하반기결산_200.04월별재무제표_111.04.6월 경영보고" xfId="2876" xr:uid="{00000000-0005-0000-0000-0000240B0000}"/>
    <cellStyle name="A_상반기원재료_하반기결산_200.04월별재무제표_111.04.6월 경영보고(구성)" xfId="2877" xr:uid="{00000000-0005-0000-0000-0000250B0000}"/>
    <cellStyle name="A_상반기원재료_하반기결산_200.04월별재무제표_112.04.7월 경영보고" xfId="2878" xr:uid="{00000000-0005-0000-0000-0000260B0000}"/>
    <cellStyle name="A_상반기원재료_하반기결산_200.04월별재무제표_112.경영보고(주)이순" xfId="2879" xr:uid="{00000000-0005-0000-0000-0000270B0000}"/>
    <cellStyle name="A_상반기원재료_하반기결산_200.04월별재무제표_경영보고(주)이순" xfId="2880" xr:uid="{00000000-0005-0000-0000-0000280B0000}"/>
    <cellStyle name="A_상반기원재료_하반기결산_경영보고(주)이순" xfId="2881" xr:uid="{00000000-0005-0000-0000-0000290B0000}"/>
    <cellStyle name="A_상반기원재료_하반기결산_비교재무제표" xfId="2882" xr:uid="{00000000-0005-0000-0000-00002A0B0000}"/>
    <cellStyle name="A_상반기원재료_하반기결산_비교재무제표_110-1.04.3월_경영보고" xfId="2883" xr:uid="{00000000-0005-0000-0000-00002B0B0000}"/>
    <cellStyle name="A_상반기원재료_하반기결산_비교재무제표_111.04.6월 경영보고" xfId="2884" xr:uid="{00000000-0005-0000-0000-00002C0B0000}"/>
    <cellStyle name="A_상반기원재료_하반기결산_비교재무제표_111.04.6월 경영보고(구성)" xfId="2885" xr:uid="{00000000-0005-0000-0000-00002D0B0000}"/>
    <cellStyle name="A_상반기원재료_하반기결산_비교재무제표_112.04.7월 경영보고" xfId="2886" xr:uid="{00000000-0005-0000-0000-00002E0B0000}"/>
    <cellStyle name="A_상반기원재료_하반기결산_비교재무제표_112.경영보고(주)이순" xfId="2887" xr:uid="{00000000-0005-0000-0000-00002F0B0000}"/>
    <cellStyle name="A_상반기원재료_하반기결산_비교재무제표_경영보고(주)이순" xfId="2888" xr:uid="{00000000-0005-0000-0000-0000300B0000}"/>
    <cellStyle name="A_상반기원재료2" xfId="2889" xr:uid="{00000000-0005-0000-0000-0000310B0000}"/>
    <cellStyle name="A_상반기원재료2_01상반기 결산보고(j)" xfId="2890" xr:uid="{00000000-0005-0000-0000-0000320B0000}"/>
    <cellStyle name="A_상반기원재료2_01상반기 결산보고(j)_110-1.04.3월_경영보고" xfId="2891" xr:uid="{00000000-0005-0000-0000-0000330B0000}"/>
    <cellStyle name="A_상반기원재료2_01상반기 결산보고(j)_111.04.6월 경영보고" xfId="2892" xr:uid="{00000000-0005-0000-0000-0000340B0000}"/>
    <cellStyle name="A_상반기원재료2_01상반기 결산보고(j)_111.04.6월 경영보고(구성)" xfId="2893" xr:uid="{00000000-0005-0000-0000-0000350B0000}"/>
    <cellStyle name="A_상반기원재료2_01상반기 결산보고(j)_112.04.7월 경영보고" xfId="2894" xr:uid="{00000000-0005-0000-0000-0000360B0000}"/>
    <cellStyle name="A_상반기원재료2_01상반기 결산보고(j)_112.경영보고(주)이순" xfId="2895" xr:uid="{00000000-0005-0000-0000-0000370B0000}"/>
    <cellStyle name="A_상반기원재료2_01상반기 결산보고(j)_경영보고(주)이순" xfId="2896" xr:uid="{00000000-0005-0000-0000-0000380B0000}"/>
    <cellStyle name="A_상반기원재료2_02반기조정" xfId="2897" xr:uid="{00000000-0005-0000-0000-0000390B0000}"/>
    <cellStyle name="A_상반기원재료2_02반기조정_110-1.04.3월_경영보고" xfId="2898" xr:uid="{00000000-0005-0000-0000-00003A0B0000}"/>
    <cellStyle name="A_상반기원재료2_02반기조정_111.04.6월 경영보고" xfId="2899" xr:uid="{00000000-0005-0000-0000-00003B0B0000}"/>
    <cellStyle name="A_상반기원재료2_02반기조정_111.04.6월 경영보고(구성)" xfId="2900" xr:uid="{00000000-0005-0000-0000-00003C0B0000}"/>
    <cellStyle name="A_상반기원재료2_02반기조정_112.04.7월 경영보고" xfId="2901" xr:uid="{00000000-0005-0000-0000-00003D0B0000}"/>
    <cellStyle name="A_상반기원재료2_02반기조정_112.경영보고(주)이순" xfId="2902" xr:uid="{00000000-0005-0000-0000-00003E0B0000}"/>
    <cellStyle name="A_상반기원재료2_02반기조정_경영보고(주)이순" xfId="2903" xr:uid="{00000000-0005-0000-0000-00003F0B0000}"/>
    <cellStyle name="A_상반기원재료2_110.04.3월 경영보고" xfId="2904" xr:uid="{00000000-0005-0000-0000-0000400B0000}"/>
    <cellStyle name="A_상반기원재료2_110.04.3월 경영보고_110-1.04.3월_경영보고" xfId="2905" xr:uid="{00000000-0005-0000-0000-0000410B0000}"/>
    <cellStyle name="A_상반기원재료2_110.04.3월 경영보고_111.04.6월 경영보고" xfId="2906" xr:uid="{00000000-0005-0000-0000-0000420B0000}"/>
    <cellStyle name="A_상반기원재료2_110.04.3월 경영보고_111.04.6월 경영보고(구성)" xfId="2907" xr:uid="{00000000-0005-0000-0000-0000430B0000}"/>
    <cellStyle name="A_상반기원재료2_110.04.3월 경영보고_112.04.7월 경영보고" xfId="2908" xr:uid="{00000000-0005-0000-0000-0000440B0000}"/>
    <cellStyle name="A_상반기원재료2_110.04.3월 경영보고_112.경영보고(주)이순" xfId="2909" xr:uid="{00000000-0005-0000-0000-0000450B0000}"/>
    <cellStyle name="A_상반기원재료2_110.04.3월 경영보고_경영보고(주)이순" xfId="2910" xr:uid="{00000000-0005-0000-0000-0000460B0000}"/>
    <cellStyle name="A_상반기원재료2_110-1.04.3월_경영보고" xfId="2911" xr:uid="{00000000-0005-0000-0000-0000470B0000}"/>
    <cellStyle name="A_상반기원재료2_200.04년월별재무제표" xfId="2912" xr:uid="{00000000-0005-0000-0000-0000480B0000}"/>
    <cellStyle name="A_상반기원재료2_200.04년월별재무제표_110-1.04.3월_경영보고" xfId="2913" xr:uid="{00000000-0005-0000-0000-0000490B0000}"/>
    <cellStyle name="A_상반기원재료2_200.04년월별재무제표_111.04.6월 경영보고" xfId="2914" xr:uid="{00000000-0005-0000-0000-00004A0B0000}"/>
    <cellStyle name="A_상반기원재료2_200.04년월별재무제표_111.04.6월 경영보고(구성)" xfId="2915" xr:uid="{00000000-0005-0000-0000-00004B0B0000}"/>
    <cellStyle name="A_상반기원재료2_200.04년월별재무제표_112.04.7월 경영보고" xfId="2916" xr:uid="{00000000-0005-0000-0000-00004C0B0000}"/>
    <cellStyle name="A_상반기원재료2_200.04년월별재무제표_112.경영보고(주)이순" xfId="2917" xr:uid="{00000000-0005-0000-0000-00004D0B0000}"/>
    <cellStyle name="A_상반기원재료2_200.04년월별재무제표_경영보고(주)이순" xfId="2918" xr:uid="{00000000-0005-0000-0000-00004E0B0000}"/>
    <cellStyle name="A_상반기원재료2_200.04월별재무제표" xfId="2919" xr:uid="{00000000-0005-0000-0000-00004F0B0000}"/>
    <cellStyle name="A_상반기원재료2_200.04월별재무제표_110-1.04.3월_경영보고" xfId="2920" xr:uid="{00000000-0005-0000-0000-0000500B0000}"/>
    <cellStyle name="A_상반기원재료2_200.04월별재무제표_111.04.6월 경영보고" xfId="2921" xr:uid="{00000000-0005-0000-0000-0000510B0000}"/>
    <cellStyle name="A_상반기원재료2_200.04월별재무제표_111.04.6월 경영보고(구성)" xfId="2922" xr:uid="{00000000-0005-0000-0000-0000520B0000}"/>
    <cellStyle name="A_상반기원재료2_200.04월별재무제표_112.04.7월 경영보고" xfId="2923" xr:uid="{00000000-0005-0000-0000-0000530B0000}"/>
    <cellStyle name="A_상반기원재료2_200.04월별재무제표_112.경영보고(주)이순" xfId="2924" xr:uid="{00000000-0005-0000-0000-0000540B0000}"/>
    <cellStyle name="A_상반기원재료2_200.04월별재무제표_경영보고(주)이순" xfId="2925" xr:uid="{00000000-0005-0000-0000-0000550B0000}"/>
    <cellStyle name="A_상반기원재료2_경영보고(주)이순" xfId="2926" xr:uid="{00000000-0005-0000-0000-0000560B0000}"/>
    <cellStyle name="A_상반기원재료2_비교재무제표" xfId="2927" xr:uid="{00000000-0005-0000-0000-0000570B0000}"/>
    <cellStyle name="A_상반기원재료2_비교재무제표_110-1.04.3월_경영보고" xfId="2928" xr:uid="{00000000-0005-0000-0000-0000580B0000}"/>
    <cellStyle name="A_상반기원재료2_비교재무제표_111.04.6월 경영보고" xfId="2929" xr:uid="{00000000-0005-0000-0000-0000590B0000}"/>
    <cellStyle name="A_상반기원재료2_비교재무제표_111.04.6월 경영보고(구성)" xfId="2930" xr:uid="{00000000-0005-0000-0000-00005A0B0000}"/>
    <cellStyle name="A_상반기원재료2_비교재무제표_112.04.7월 경영보고" xfId="2931" xr:uid="{00000000-0005-0000-0000-00005B0B0000}"/>
    <cellStyle name="A_상반기원재료2_비교재무제표_112.경영보고(주)이순" xfId="2932" xr:uid="{00000000-0005-0000-0000-00005C0B0000}"/>
    <cellStyle name="A_상반기원재료2_비교재무제표_경영보고(주)이순" xfId="2933" xr:uid="{00000000-0005-0000-0000-00005D0B0000}"/>
    <cellStyle name="A_상반기제품" xfId="2934" xr:uid="{00000000-0005-0000-0000-00005E0B0000}"/>
    <cellStyle name="A_상반기제품(3)" xfId="2935" xr:uid="{00000000-0005-0000-0000-00005F0B0000}"/>
    <cellStyle name="A_상반기제품(3)_01상반기 결산보고(j)" xfId="2936" xr:uid="{00000000-0005-0000-0000-0000600B0000}"/>
    <cellStyle name="A_상반기제품(3)_01상반기 결산보고(j)_110-1.04.3월_경영보고" xfId="2937" xr:uid="{00000000-0005-0000-0000-0000610B0000}"/>
    <cellStyle name="A_상반기제품(3)_01상반기 결산보고(j)_111.04.6월 경영보고" xfId="2938" xr:uid="{00000000-0005-0000-0000-0000620B0000}"/>
    <cellStyle name="A_상반기제품(3)_01상반기 결산보고(j)_111.04.6월 경영보고(구성)" xfId="2939" xr:uid="{00000000-0005-0000-0000-0000630B0000}"/>
    <cellStyle name="A_상반기제품(3)_01상반기 결산보고(j)_112.04.7월 경영보고" xfId="2940" xr:uid="{00000000-0005-0000-0000-0000640B0000}"/>
    <cellStyle name="A_상반기제품(3)_01상반기 결산보고(j)_112.경영보고(주)이순" xfId="2941" xr:uid="{00000000-0005-0000-0000-0000650B0000}"/>
    <cellStyle name="A_상반기제품(3)_01상반기 결산보고(j)_경영보고(주)이순" xfId="2942" xr:uid="{00000000-0005-0000-0000-0000660B0000}"/>
    <cellStyle name="A_상반기제품(3)_02반기조정" xfId="2943" xr:uid="{00000000-0005-0000-0000-0000670B0000}"/>
    <cellStyle name="A_상반기제품(3)_02반기조정_110-1.04.3월_경영보고" xfId="2944" xr:uid="{00000000-0005-0000-0000-0000680B0000}"/>
    <cellStyle name="A_상반기제품(3)_02반기조정_111.04.6월 경영보고" xfId="2945" xr:uid="{00000000-0005-0000-0000-0000690B0000}"/>
    <cellStyle name="A_상반기제품(3)_02반기조정_111.04.6월 경영보고(구성)" xfId="2946" xr:uid="{00000000-0005-0000-0000-00006A0B0000}"/>
    <cellStyle name="A_상반기제품(3)_02반기조정_112.04.7월 경영보고" xfId="2947" xr:uid="{00000000-0005-0000-0000-00006B0B0000}"/>
    <cellStyle name="A_상반기제품(3)_02반기조정_112.경영보고(주)이순" xfId="2948" xr:uid="{00000000-0005-0000-0000-00006C0B0000}"/>
    <cellStyle name="A_상반기제품(3)_02반기조정_경영보고(주)이순" xfId="2949" xr:uid="{00000000-0005-0000-0000-00006D0B0000}"/>
    <cellStyle name="A_상반기제품(3)_110.04.3월 경영보고" xfId="2950" xr:uid="{00000000-0005-0000-0000-00006E0B0000}"/>
    <cellStyle name="A_상반기제품(3)_110.04.3월 경영보고_110-1.04.3월_경영보고" xfId="2951" xr:uid="{00000000-0005-0000-0000-00006F0B0000}"/>
    <cellStyle name="A_상반기제품(3)_110.04.3월 경영보고_111.04.6월 경영보고" xfId="2952" xr:uid="{00000000-0005-0000-0000-0000700B0000}"/>
    <cellStyle name="A_상반기제품(3)_110.04.3월 경영보고_111.04.6월 경영보고(구성)" xfId="2953" xr:uid="{00000000-0005-0000-0000-0000710B0000}"/>
    <cellStyle name="A_상반기제품(3)_110.04.3월 경영보고_112.04.7월 경영보고" xfId="2954" xr:uid="{00000000-0005-0000-0000-0000720B0000}"/>
    <cellStyle name="A_상반기제품(3)_110.04.3월 경영보고_112.경영보고(주)이순" xfId="2955" xr:uid="{00000000-0005-0000-0000-0000730B0000}"/>
    <cellStyle name="A_상반기제품(3)_110.04.3월 경영보고_경영보고(주)이순" xfId="2956" xr:uid="{00000000-0005-0000-0000-0000740B0000}"/>
    <cellStyle name="A_상반기제품(3)_110-1.04.3월_경영보고" xfId="2957" xr:uid="{00000000-0005-0000-0000-0000750B0000}"/>
    <cellStyle name="A_상반기제품(3)_200.04년월별재무제표" xfId="2958" xr:uid="{00000000-0005-0000-0000-0000760B0000}"/>
    <cellStyle name="A_상반기제품(3)_200.04년월별재무제표_110-1.04.3월_경영보고" xfId="2959" xr:uid="{00000000-0005-0000-0000-0000770B0000}"/>
    <cellStyle name="A_상반기제품(3)_200.04년월별재무제표_111.04.6월 경영보고" xfId="2960" xr:uid="{00000000-0005-0000-0000-0000780B0000}"/>
    <cellStyle name="A_상반기제품(3)_200.04년월별재무제표_111.04.6월 경영보고(구성)" xfId="2961" xr:uid="{00000000-0005-0000-0000-0000790B0000}"/>
    <cellStyle name="A_상반기제품(3)_200.04년월별재무제표_112.04.7월 경영보고" xfId="2962" xr:uid="{00000000-0005-0000-0000-00007A0B0000}"/>
    <cellStyle name="A_상반기제품(3)_200.04년월별재무제표_112.경영보고(주)이순" xfId="2963" xr:uid="{00000000-0005-0000-0000-00007B0B0000}"/>
    <cellStyle name="A_상반기제품(3)_200.04년월별재무제표_경영보고(주)이순" xfId="2964" xr:uid="{00000000-0005-0000-0000-00007C0B0000}"/>
    <cellStyle name="A_상반기제품(3)_200.04월별재무제표" xfId="2965" xr:uid="{00000000-0005-0000-0000-00007D0B0000}"/>
    <cellStyle name="A_상반기제품(3)_200.04월별재무제표_110-1.04.3월_경영보고" xfId="2966" xr:uid="{00000000-0005-0000-0000-00007E0B0000}"/>
    <cellStyle name="A_상반기제품(3)_200.04월별재무제표_111.04.6월 경영보고" xfId="2967" xr:uid="{00000000-0005-0000-0000-00007F0B0000}"/>
    <cellStyle name="A_상반기제품(3)_200.04월별재무제표_111.04.6월 경영보고(구성)" xfId="2968" xr:uid="{00000000-0005-0000-0000-0000800B0000}"/>
    <cellStyle name="A_상반기제품(3)_200.04월별재무제표_112.04.7월 경영보고" xfId="2969" xr:uid="{00000000-0005-0000-0000-0000810B0000}"/>
    <cellStyle name="A_상반기제품(3)_200.04월별재무제표_112.경영보고(주)이순" xfId="2970" xr:uid="{00000000-0005-0000-0000-0000820B0000}"/>
    <cellStyle name="A_상반기제품(3)_200.04월별재무제표_경영보고(주)이순" xfId="2971" xr:uid="{00000000-0005-0000-0000-0000830B0000}"/>
    <cellStyle name="A_상반기제품(3)_경영보고(주)이순" xfId="2972" xr:uid="{00000000-0005-0000-0000-0000840B0000}"/>
    <cellStyle name="A_상반기제품(3)_비교재무제표" xfId="2973" xr:uid="{00000000-0005-0000-0000-0000850B0000}"/>
    <cellStyle name="A_상반기제품(3)_비교재무제표_110-1.04.3월_경영보고" xfId="2974" xr:uid="{00000000-0005-0000-0000-0000860B0000}"/>
    <cellStyle name="A_상반기제품(3)_비교재무제표_111.04.6월 경영보고" xfId="2975" xr:uid="{00000000-0005-0000-0000-0000870B0000}"/>
    <cellStyle name="A_상반기제품(3)_비교재무제표_111.04.6월 경영보고(구성)" xfId="2976" xr:uid="{00000000-0005-0000-0000-0000880B0000}"/>
    <cellStyle name="A_상반기제품(3)_비교재무제표_112.04.7월 경영보고" xfId="2977" xr:uid="{00000000-0005-0000-0000-0000890B0000}"/>
    <cellStyle name="A_상반기제품(3)_비교재무제표_112.경영보고(주)이순" xfId="2978" xr:uid="{00000000-0005-0000-0000-00008A0B0000}"/>
    <cellStyle name="A_상반기제품(3)_비교재무제표_경영보고(주)이순" xfId="2979" xr:uid="{00000000-0005-0000-0000-00008B0B0000}"/>
    <cellStyle name="A_상반기제품_01상반기 결산보고(j)" xfId="2980" xr:uid="{00000000-0005-0000-0000-00008C0B0000}"/>
    <cellStyle name="A_상반기제품_01상반기 결산보고(j)_110-1.04.3월_경영보고" xfId="2981" xr:uid="{00000000-0005-0000-0000-00008D0B0000}"/>
    <cellStyle name="A_상반기제품_01상반기 결산보고(j)_111.04.6월 경영보고" xfId="2982" xr:uid="{00000000-0005-0000-0000-00008E0B0000}"/>
    <cellStyle name="A_상반기제품_01상반기 결산보고(j)_111.04.6월 경영보고(구성)" xfId="2983" xr:uid="{00000000-0005-0000-0000-00008F0B0000}"/>
    <cellStyle name="A_상반기제품_01상반기 결산보고(j)_112.04.7월 경영보고" xfId="2984" xr:uid="{00000000-0005-0000-0000-0000900B0000}"/>
    <cellStyle name="A_상반기제품_01상반기 결산보고(j)_112.경영보고(주)이순" xfId="2985" xr:uid="{00000000-0005-0000-0000-0000910B0000}"/>
    <cellStyle name="A_상반기제품_01상반기 결산보고(j)_경영보고(주)이순" xfId="2986" xr:uid="{00000000-0005-0000-0000-0000920B0000}"/>
    <cellStyle name="A_상반기제품_02반기조정" xfId="2987" xr:uid="{00000000-0005-0000-0000-0000930B0000}"/>
    <cellStyle name="A_상반기제품_02반기조정_110-1.04.3월_경영보고" xfId="2988" xr:uid="{00000000-0005-0000-0000-0000940B0000}"/>
    <cellStyle name="A_상반기제품_02반기조정_111.04.6월 경영보고" xfId="2989" xr:uid="{00000000-0005-0000-0000-0000950B0000}"/>
    <cellStyle name="A_상반기제품_02반기조정_111.04.6월 경영보고(구성)" xfId="2990" xr:uid="{00000000-0005-0000-0000-0000960B0000}"/>
    <cellStyle name="A_상반기제품_02반기조정_112.04.7월 경영보고" xfId="2991" xr:uid="{00000000-0005-0000-0000-0000970B0000}"/>
    <cellStyle name="A_상반기제품_02반기조정_112.경영보고(주)이순" xfId="2992" xr:uid="{00000000-0005-0000-0000-0000980B0000}"/>
    <cellStyle name="A_상반기제품_02반기조정_경영보고(주)이순" xfId="2993" xr:uid="{00000000-0005-0000-0000-0000990B0000}"/>
    <cellStyle name="A_상반기제품_110.04.3월 경영보고" xfId="2994" xr:uid="{00000000-0005-0000-0000-00009A0B0000}"/>
    <cellStyle name="A_상반기제품_110.04.3월 경영보고_110-1.04.3월_경영보고" xfId="2995" xr:uid="{00000000-0005-0000-0000-00009B0B0000}"/>
    <cellStyle name="A_상반기제품_110.04.3월 경영보고_111.04.6월 경영보고" xfId="2996" xr:uid="{00000000-0005-0000-0000-00009C0B0000}"/>
    <cellStyle name="A_상반기제품_110.04.3월 경영보고_111.04.6월 경영보고(구성)" xfId="2997" xr:uid="{00000000-0005-0000-0000-00009D0B0000}"/>
    <cellStyle name="A_상반기제품_110.04.3월 경영보고_112.04.7월 경영보고" xfId="2998" xr:uid="{00000000-0005-0000-0000-00009E0B0000}"/>
    <cellStyle name="A_상반기제품_110.04.3월 경영보고_112.경영보고(주)이순" xfId="2999" xr:uid="{00000000-0005-0000-0000-00009F0B0000}"/>
    <cellStyle name="A_상반기제품_110.04.3월 경영보고_경영보고(주)이순" xfId="3000" xr:uid="{00000000-0005-0000-0000-0000A00B0000}"/>
    <cellStyle name="A_상반기제품_110-1.04.3월_경영보고" xfId="3001" xr:uid="{00000000-0005-0000-0000-0000A10B0000}"/>
    <cellStyle name="A_상반기제품_200.04년월별재무제표" xfId="3002" xr:uid="{00000000-0005-0000-0000-0000A20B0000}"/>
    <cellStyle name="A_상반기제품_200.04년월별재무제표_110-1.04.3월_경영보고" xfId="3003" xr:uid="{00000000-0005-0000-0000-0000A30B0000}"/>
    <cellStyle name="A_상반기제품_200.04년월별재무제표_111.04.6월 경영보고" xfId="3004" xr:uid="{00000000-0005-0000-0000-0000A40B0000}"/>
    <cellStyle name="A_상반기제품_200.04년월별재무제표_111.04.6월 경영보고(구성)" xfId="3005" xr:uid="{00000000-0005-0000-0000-0000A50B0000}"/>
    <cellStyle name="A_상반기제품_200.04년월별재무제표_112.04.7월 경영보고" xfId="3006" xr:uid="{00000000-0005-0000-0000-0000A60B0000}"/>
    <cellStyle name="A_상반기제품_200.04년월별재무제표_112.경영보고(주)이순" xfId="3007" xr:uid="{00000000-0005-0000-0000-0000A70B0000}"/>
    <cellStyle name="A_상반기제품_200.04년월별재무제표_경영보고(주)이순" xfId="3008" xr:uid="{00000000-0005-0000-0000-0000A80B0000}"/>
    <cellStyle name="A_상반기제품_200.04월별재무제표" xfId="3009" xr:uid="{00000000-0005-0000-0000-0000A90B0000}"/>
    <cellStyle name="A_상반기제품_200.04월별재무제표_110-1.04.3월_경영보고" xfId="3010" xr:uid="{00000000-0005-0000-0000-0000AA0B0000}"/>
    <cellStyle name="A_상반기제품_200.04월별재무제표_111.04.6월 경영보고" xfId="3011" xr:uid="{00000000-0005-0000-0000-0000AB0B0000}"/>
    <cellStyle name="A_상반기제품_200.04월별재무제표_111.04.6월 경영보고(구성)" xfId="3012" xr:uid="{00000000-0005-0000-0000-0000AC0B0000}"/>
    <cellStyle name="A_상반기제품_200.04월별재무제표_112.04.7월 경영보고" xfId="3013" xr:uid="{00000000-0005-0000-0000-0000AD0B0000}"/>
    <cellStyle name="A_상반기제품_200.04월별재무제표_112.경영보고(주)이순" xfId="3014" xr:uid="{00000000-0005-0000-0000-0000AE0B0000}"/>
    <cellStyle name="A_상반기제품_200.04월별재무제표_경영보고(주)이순" xfId="3015" xr:uid="{00000000-0005-0000-0000-0000AF0B0000}"/>
    <cellStyle name="A_상반기제품_경영보고(주)이순" xfId="3016" xr:uid="{00000000-0005-0000-0000-0000B00B0000}"/>
    <cellStyle name="A_상반기제품_비교재무제표" xfId="3017" xr:uid="{00000000-0005-0000-0000-0000B10B0000}"/>
    <cellStyle name="A_상반기제품_비교재무제표_110-1.04.3월_경영보고" xfId="3018" xr:uid="{00000000-0005-0000-0000-0000B20B0000}"/>
    <cellStyle name="A_상반기제품_비교재무제표_111.04.6월 경영보고" xfId="3019" xr:uid="{00000000-0005-0000-0000-0000B30B0000}"/>
    <cellStyle name="A_상반기제품_비교재무제표_111.04.6월 경영보고(구성)" xfId="3020" xr:uid="{00000000-0005-0000-0000-0000B40B0000}"/>
    <cellStyle name="A_상반기제품_비교재무제표_112.04.7월 경영보고" xfId="3021" xr:uid="{00000000-0005-0000-0000-0000B50B0000}"/>
    <cellStyle name="A_상반기제품_비교재무제표_112.경영보고(주)이순" xfId="3022" xr:uid="{00000000-0005-0000-0000-0000B60B0000}"/>
    <cellStyle name="A_상반기제품_비교재무제표_경영보고(주)이순" xfId="3023" xr:uid="{00000000-0005-0000-0000-0000B70B0000}"/>
    <cellStyle name="A_외상매입금정리" xfId="3024" xr:uid="{00000000-0005-0000-0000-0000B80B0000}"/>
    <cellStyle name="A_외상매입금정리_110-1.04.3월_경영보고" xfId="3025" xr:uid="{00000000-0005-0000-0000-0000B90B0000}"/>
    <cellStyle name="A_외상매입금정리_111.04.6월 경영보고" xfId="3026" xr:uid="{00000000-0005-0000-0000-0000BA0B0000}"/>
    <cellStyle name="A_외상매입금정리_111.04.6월 경영보고(구성)" xfId="3027" xr:uid="{00000000-0005-0000-0000-0000BB0B0000}"/>
    <cellStyle name="A_외상매입금정리_112.04.7월 경영보고" xfId="3028" xr:uid="{00000000-0005-0000-0000-0000BC0B0000}"/>
    <cellStyle name="A_외상매입금정리_112.경영보고(주)이순" xfId="3029" xr:uid="{00000000-0005-0000-0000-0000BD0B0000}"/>
    <cellStyle name="A_외상매입금정리_경영보고(주)이순" xfId="3030" xr:uid="{00000000-0005-0000-0000-0000BE0B0000}"/>
    <cellStyle name="A_원가계산02" xfId="3031" xr:uid="{00000000-0005-0000-0000-0000BF0B0000}"/>
    <cellStyle name="A_원가계산02_110-1.04.3월_경영보고" xfId="3032" xr:uid="{00000000-0005-0000-0000-0000C00B0000}"/>
    <cellStyle name="A_원가계산02_111.04.6월 경영보고" xfId="3033" xr:uid="{00000000-0005-0000-0000-0000C10B0000}"/>
    <cellStyle name="A_원가계산02_111.04.6월 경영보고(구성)" xfId="3034" xr:uid="{00000000-0005-0000-0000-0000C20B0000}"/>
    <cellStyle name="A_원가계산02_112.04.7월 경영보고" xfId="3035" xr:uid="{00000000-0005-0000-0000-0000C30B0000}"/>
    <cellStyle name="A_원가계산02_112.경영보고(주)이순" xfId="3036" xr:uid="{00000000-0005-0000-0000-0000C40B0000}"/>
    <cellStyle name="A_원가계산02_경영보고(주)이순" xfId="3037" xr:uid="{00000000-0005-0000-0000-0000C50B0000}"/>
    <cellStyle name="A_원가계산03(저장품)" xfId="3038" xr:uid="{00000000-0005-0000-0000-0000C60B0000}"/>
    <cellStyle name="A_원가계산03(저장품)_110-1.04.3월_경영보고" xfId="3039" xr:uid="{00000000-0005-0000-0000-0000C70B0000}"/>
    <cellStyle name="A_원가계산03(저장품)_111.04.6월 경영보고" xfId="3040" xr:uid="{00000000-0005-0000-0000-0000C80B0000}"/>
    <cellStyle name="A_원가계산03(저장품)_111.04.6월 경영보고(구성)" xfId="3041" xr:uid="{00000000-0005-0000-0000-0000C90B0000}"/>
    <cellStyle name="A_원가계산03(저장품)_112.04.7월 경영보고" xfId="3042" xr:uid="{00000000-0005-0000-0000-0000CA0B0000}"/>
    <cellStyle name="A_원가계산03(저장품)_112.경영보고(주)이순" xfId="3043" xr:uid="{00000000-0005-0000-0000-0000CB0B0000}"/>
    <cellStyle name="A_원가계산03(저장품)_경영보고(주)이순" xfId="3044" xr:uid="{00000000-0005-0000-0000-0000CC0B0000}"/>
    <cellStyle name="A_원가계산04" xfId="3045" xr:uid="{00000000-0005-0000-0000-0000CD0B0000}"/>
    <cellStyle name="A_원가계산04_110-1.04.3월_경영보고" xfId="3046" xr:uid="{00000000-0005-0000-0000-0000CE0B0000}"/>
    <cellStyle name="A_원가계산04_111.04.6월 경영보고" xfId="3047" xr:uid="{00000000-0005-0000-0000-0000CF0B0000}"/>
    <cellStyle name="A_원가계산04_111.04.6월 경영보고(구성)" xfId="3048" xr:uid="{00000000-0005-0000-0000-0000D00B0000}"/>
    <cellStyle name="A_원가계산04_112.04.7월 경영보고" xfId="3049" xr:uid="{00000000-0005-0000-0000-0000D10B0000}"/>
    <cellStyle name="A_원가계산04_112.경영보고(주)이순" xfId="3050" xr:uid="{00000000-0005-0000-0000-0000D20B0000}"/>
    <cellStyle name="A_원가계산04_경영보고(주)이순" xfId="3051" xr:uid="{00000000-0005-0000-0000-0000D30B0000}"/>
    <cellStyle name="A_원가계산rev1" xfId="3052" xr:uid="{00000000-0005-0000-0000-0000D40B0000}"/>
    <cellStyle name="A_원가계산rev1_110-1.04.3월_경영보고" xfId="3053" xr:uid="{00000000-0005-0000-0000-0000D50B0000}"/>
    <cellStyle name="A_원가계산rev1_111.04.6월 경영보고" xfId="3054" xr:uid="{00000000-0005-0000-0000-0000D60B0000}"/>
    <cellStyle name="A_원가계산rev1_111.04.6월 경영보고(구성)" xfId="3055" xr:uid="{00000000-0005-0000-0000-0000D70B0000}"/>
    <cellStyle name="A_원가계산rev1_112.04.7월 경영보고" xfId="3056" xr:uid="{00000000-0005-0000-0000-0000D80B0000}"/>
    <cellStyle name="A_원가계산rev1_112.경영보고(주)이순" xfId="3057" xr:uid="{00000000-0005-0000-0000-0000D90B0000}"/>
    <cellStyle name="A_원가계산rev1_경영보고(주)이순" xfId="3058" xr:uid="{00000000-0005-0000-0000-0000DA0B0000}"/>
    <cellStyle name="A_원재료" xfId="3059" xr:uid="{00000000-0005-0000-0000-0000DB0B0000}"/>
    <cellStyle name="A_원재료 (3)" xfId="3060" xr:uid="{00000000-0005-0000-0000-0000DC0B0000}"/>
    <cellStyle name="A_원재료 (3)_110-1.04.3월_경영보고" xfId="3061" xr:uid="{00000000-0005-0000-0000-0000DD0B0000}"/>
    <cellStyle name="A_원재료 (3)_111.04.6월 경영보고" xfId="3062" xr:uid="{00000000-0005-0000-0000-0000DE0B0000}"/>
    <cellStyle name="A_원재료 (3)_111.04.6월 경영보고(구성)" xfId="3063" xr:uid="{00000000-0005-0000-0000-0000DF0B0000}"/>
    <cellStyle name="A_원재료 (3)_112.04.7월 경영보고" xfId="3064" xr:uid="{00000000-0005-0000-0000-0000E00B0000}"/>
    <cellStyle name="A_원재료 (3)_112.경영보고(주)이순" xfId="3065" xr:uid="{00000000-0005-0000-0000-0000E10B0000}"/>
    <cellStyle name="A_원재료 (3)_경영보고(주)이순" xfId="3066" xr:uid="{00000000-0005-0000-0000-0000E20B0000}"/>
    <cellStyle name="A_원재료1" xfId="3067" xr:uid="{00000000-0005-0000-0000-0000E30B0000}"/>
    <cellStyle name="A_원재료1_110-1.04.3월_경영보고" xfId="3068" xr:uid="{00000000-0005-0000-0000-0000E40B0000}"/>
    <cellStyle name="A_원재료1_111.04.6월 경영보고" xfId="3069" xr:uid="{00000000-0005-0000-0000-0000E50B0000}"/>
    <cellStyle name="A_원재료1_111.04.6월 경영보고(구성)" xfId="3070" xr:uid="{00000000-0005-0000-0000-0000E60B0000}"/>
    <cellStyle name="A_원재료1_112.04.7월 경영보고" xfId="3071" xr:uid="{00000000-0005-0000-0000-0000E70B0000}"/>
    <cellStyle name="A_원재료1_112.경영보고(주)이순" xfId="3072" xr:uid="{00000000-0005-0000-0000-0000E80B0000}"/>
    <cellStyle name="A_원재료1_경영보고(주)이순" xfId="3073" xr:uid="{00000000-0005-0000-0000-0000E90B0000}"/>
    <cellStyle name="A_원재료정리" xfId="3074" xr:uid="{00000000-0005-0000-0000-0000EA0B0000}"/>
    <cellStyle name="A_원재료정리_110-1.04.3월_경영보고" xfId="3075" xr:uid="{00000000-0005-0000-0000-0000EB0B0000}"/>
    <cellStyle name="A_원재료정리_111.04.6월 경영보고" xfId="3076" xr:uid="{00000000-0005-0000-0000-0000EC0B0000}"/>
    <cellStyle name="A_원재료정리_111.04.6월 경영보고(구성)" xfId="3077" xr:uid="{00000000-0005-0000-0000-0000ED0B0000}"/>
    <cellStyle name="A_원재료정리_112.04.7월 경영보고" xfId="3078" xr:uid="{00000000-0005-0000-0000-0000EE0B0000}"/>
    <cellStyle name="A_원재료정리_112.경영보고(주)이순" xfId="3079" xr:uid="{00000000-0005-0000-0000-0000EF0B0000}"/>
    <cellStyle name="A_원재료정리_경영보고(주)이순" xfId="3080" xr:uid="{00000000-0005-0000-0000-0000F00B0000}"/>
    <cellStyle name="A_재고자산" xfId="3081" xr:uid="{00000000-0005-0000-0000-0000F10B0000}"/>
    <cellStyle name="A_재고자산_01상반기 결산보고(japan" xfId="3082" xr:uid="{00000000-0005-0000-0000-0000F20B0000}"/>
    <cellStyle name="A_재고자산_01상반기 결산보고(japan)수정" xfId="3083" xr:uid="{00000000-0005-0000-0000-0000F30B0000}"/>
    <cellStyle name="A_재고자산_01상반기 결산보고(japan)수정_110-1.04.3월_경영보고" xfId="3084" xr:uid="{00000000-0005-0000-0000-0000F40B0000}"/>
    <cellStyle name="A_재고자산_01상반기 결산보고(japan)수정_111.04.6월 경영보고" xfId="3085" xr:uid="{00000000-0005-0000-0000-0000F50B0000}"/>
    <cellStyle name="A_재고자산_01상반기 결산보고(japan)수정_111.04.6월 경영보고(구성)" xfId="3086" xr:uid="{00000000-0005-0000-0000-0000F60B0000}"/>
    <cellStyle name="A_재고자산_01상반기 결산보고(japan)수정_112.04.7월 경영보고" xfId="3087" xr:uid="{00000000-0005-0000-0000-0000F70B0000}"/>
    <cellStyle name="A_재고자산_01상반기 결산보고(japan)수정_112.경영보고(주)이순" xfId="3088" xr:uid="{00000000-0005-0000-0000-0000F80B0000}"/>
    <cellStyle name="A_재고자산_01상반기 결산보고(japan)수정_경영보고(주)이순" xfId="3089" xr:uid="{00000000-0005-0000-0000-0000F90B0000}"/>
    <cellStyle name="A_재고자산_01상반기 결산보고(japan_110-1.04.3월_경영보고" xfId="3090" xr:uid="{00000000-0005-0000-0000-0000FA0B0000}"/>
    <cellStyle name="A_재고자산_01상반기 결산보고(japan_111.04.6월 경영보고" xfId="3091" xr:uid="{00000000-0005-0000-0000-0000FB0B0000}"/>
    <cellStyle name="A_재고자산_01상반기 결산보고(japan_111.04.6월 경영보고(구성)" xfId="3092" xr:uid="{00000000-0005-0000-0000-0000FC0B0000}"/>
    <cellStyle name="A_재고자산_01상반기 결산보고(japan_112.04.7월 경영보고" xfId="3093" xr:uid="{00000000-0005-0000-0000-0000FD0B0000}"/>
    <cellStyle name="A_재고자산_01상반기 결산보고(japan_112.경영보고(주)이순" xfId="3094" xr:uid="{00000000-0005-0000-0000-0000FE0B0000}"/>
    <cellStyle name="A_재고자산_01상반기 결산보고(japan_경영보고(주)이순" xfId="3095" xr:uid="{00000000-0005-0000-0000-0000FF0B0000}"/>
    <cellStyle name="A_재고자산_110-1.04.3월_경영보고" xfId="3096" xr:uid="{00000000-0005-0000-0000-0000000C0000}"/>
    <cellStyle name="A_재고자산_111.04.6월 경영보고" xfId="3097" xr:uid="{00000000-0005-0000-0000-0000010C0000}"/>
    <cellStyle name="A_재고자산_111.04.6월 경영보고(구성)" xfId="3098" xr:uid="{00000000-0005-0000-0000-0000020C0000}"/>
    <cellStyle name="A_재고자산_112.04.7월 경영보고" xfId="3099" xr:uid="{00000000-0005-0000-0000-0000030C0000}"/>
    <cellStyle name="A_재고자산_112.경영보고(주)이순" xfId="3100" xr:uid="{00000000-0005-0000-0000-0000040C0000}"/>
    <cellStyle name="A_재고자산_erp(일문)" xfId="3101" xr:uid="{00000000-0005-0000-0000-0000050C0000}"/>
    <cellStyle name="A_재고자산_erp(일문)_110-1.04.3월_경영보고" xfId="3102" xr:uid="{00000000-0005-0000-0000-0000060C0000}"/>
    <cellStyle name="A_재고자산_erp(일문)_111.04.6월 경영보고" xfId="3103" xr:uid="{00000000-0005-0000-0000-0000070C0000}"/>
    <cellStyle name="A_재고자산_erp(일문)_111.04.6월 경영보고(구성)" xfId="3104" xr:uid="{00000000-0005-0000-0000-0000080C0000}"/>
    <cellStyle name="A_재고자산_erp(일문)_112.04.7월 경영보고" xfId="3105" xr:uid="{00000000-0005-0000-0000-0000090C0000}"/>
    <cellStyle name="A_재고자산_erp(일문)_112.경영보고(주)이순" xfId="3106" xr:uid="{00000000-0005-0000-0000-00000A0C0000}"/>
    <cellStyle name="A_재고자산_erp(일문)_경영보고(주)이순" xfId="3107" xr:uid="{00000000-0005-0000-0000-00000B0C0000}"/>
    <cellStyle name="A_재고자산_경영보고(주)이순" xfId="3108" xr:uid="{00000000-0005-0000-0000-00000C0C0000}"/>
    <cellStyle name="A_저장품1" xfId="3109" xr:uid="{00000000-0005-0000-0000-00000D0C0000}"/>
    <cellStyle name="A_저장품1_110-1.04.3월_경영보고" xfId="3110" xr:uid="{00000000-0005-0000-0000-00000E0C0000}"/>
    <cellStyle name="A_저장품1_111.04.6월 경영보고" xfId="3111" xr:uid="{00000000-0005-0000-0000-00000F0C0000}"/>
    <cellStyle name="A_저장품1_111.04.6월 경영보고(구성)" xfId="3112" xr:uid="{00000000-0005-0000-0000-0000100C0000}"/>
    <cellStyle name="A_저장품1_112.04.7월 경영보고" xfId="3113" xr:uid="{00000000-0005-0000-0000-0000110C0000}"/>
    <cellStyle name="A_저장품1_112.경영보고(주)이순" xfId="3114" xr:uid="{00000000-0005-0000-0000-0000120C0000}"/>
    <cellStyle name="A_저장품1_경영보고(주)이순" xfId="3115" xr:uid="{00000000-0005-0000-0000-0000130C0000}"/>
    <cellStyle name="A_저장품data (2)" xfId="3116" xr:uid="{00000000-0005-0000-0000-0000140C0000}"/>
    <cellStyle name="A_저장품data (2)_110-1.04.3월_경영보고" xfId="3117" xr:uid="{00000000-0005-0000-0000-0000150C0000}"/>
    <cellStyle name="A_저장품data (2)_111.04.6월 경영보고" xfId="3118" xr:uid="{00000000-0005-0000-0000-0000160C0000}"/>
    <cellStyle name="A_저장품data (2)_111.04.6월 경영보고(구성)" xfId="3119" xr:uid="{00000000-0005-0000-0000-0000170C0000}"/>
    <cellStyle name="A_저장품data (2)_112.04.7월 경영보고" xfId="3120" xr:uid="{00000000-0005-0000-0000-0000180C0000}"/>
    <cellStyle name="A_저장품data (2)_112.경영보고(주)이순" xfId="3121" xr:uid="{00000000-0005-0000-0000-0000190C0000}"/>
    <cellStyle name="A_저장품data (2)_경영보고(주)이순" xfId="3122" xr:uid="{00000000-0005-0000-0000-00001A0C0000}"/>
    <cellStyle name="A_제품" xfId="3123" xr:uid="{00000000-0005-0000-0000-00001B0C0000}"/>
    <cellStyle name="A_제품_110-1.04.3월_경영보고" xfId="3124" xr:uid="{00000000-0005-0000-0000-00001C0C0000}"/>
    <cellStyle name="A_제품_111.04.6월 경영보고" xfId="3125" xr:uid="{00000000-0005-0000-0000-00001D0C0000}"/>
    <cellStyle name="A_제품_111.04.6월 경영보고(구성)" xfId="3126" xr:uid="{00000000-0005-0000-0000-00001E0C0000}"/>
    <cellStyle name="A_제품_112.04.7월 경영보고" xfId="3127" xr:uid="{00000000-0005-0000-0000-00001F0C0000}"/>
    <cellStyle name="A_제품_112.경영보고(주)이순" xfId="3128" xr:uid="{00000000-0005-0000-0000-0000200C0000}"/>
    <cellStyle name="A_제품_경영보고(주)이순" xfId="3129" xr:uid="{00000000-0005-0000-0000-0000210C0000}"/>
    <cellStyle name="A_제품1" xfId="3130" xr:uid="{00000000-0005-0000-0000-0000220C0000}"/>
    <cellStyle name="A_제품1_110-1.04.3월_경영보고" xfId="3131" xr:uid="{00000000-0005-0000-0000-0000230C0000}"/>
    <cellStyle name="A_제품1_111.04.6월 경영보고" xfId="3132" xr:uid="{00000000-0005-0000-0000-0000240C0000}"/>
    <cellStyle name="A_제품1_111.04.6월 경영보고(구성)" xfId="3133" xr:uid="{00000000-0005-0000-0000-0000250C0000}"/>
    <cellStyle name="A_제품1_112.04.7월 경영보고" xfId="3134" xr:uid="{00000000-0005-0000-0000-0000260C0000}"/>
    <cellStyle name="A_제품1_112.경영보고(주)이순" xfId="3135" xr:uid="{00000000-0005-0000-0000-0000270C0000}"/>
    <cellStyle name="A_제품1_경영보고(주)이순" xfId="3136" xr:uid="{00000000-0005-0000-0000-0000280C0000}"/>
    <cellStyle name="A_제품2(전송용)" xfId="3137" xr:uid="{00000000-0005-0000-0000-0000290C0000}"/>
    <cellStyle name="A_하반기결산" xfId="3138" xr:uid="{00000000-0005-0000-0000-00002A0C0000}"/>
    <cellStyle name="A_하반기결산_02반기조정" xfId="3139" xr:uid="{00000000-0005-0000-0000-00002B0C0000}"/>
    <cellStyle name="A_하반기결산_02반기조정_110-1.04.3월_경영보고" xfId="3140" xr:uid="{00000000-0005-0000-0000-00002C0C0000}"/>
    <cellStyle name="A_하반기결산_02반기조정_111.04.6월 경영보고" xfId="3141" xr:uid="{00000000-0005-0000-0000-00002D0C0000}"/>
    <cellStyle name="A_하반기결산_02반기조정_111.04.6월 경영보고(구성)" xfId="3142" xr:uid="{00000000-0005-0000-0000-00002E0C0000}"/>
    <cellStyle name="A_하반기결산_02반기조정_112.04.7월 경영보고" xfId="3143" xr:uid="{00000000-0005-0000-0000-00002F0C0000}"/>
    <cellStyle name="A_하반기결산_02반기조정_112.경영보고(주)이순" xfId="3144" xr:uid="{00000000-0005-0000-0000-0000300C0000}"/>
    <cellStyle name="A_하반기결산_02반기조정_경영보고(주)이순" xfId="3145" xr:uid="{00000000-0005-0000-0000-0000310C0000}"/>
    <cellStyle name="A_하반기결산_110.04.3월 경영보고" xfId="3146" xr:uid="{00000000-0005-0000-0000-0000320C0000}"/>
    <cellStyle name="A_하반기결산_110.04.3월 경영보고_110-1.04.3월_경영보고" xfId="3147" xr:uid="{00000000-0005-0000-0000-0000330C0000}"/>
    <cellStyle name="A_하반기결산_110.04.3월 경영보고_111.04.6월 경영보고" xfId="3148" xr:uid="{00000000-0005-0000-0000-0000340C0000}"/>
    <cellStyle name="A_하반기결산_110.04.3월 경영보고_111.04.6월 경영보고(구성)" xfId="3149" xr:uid="{00000000-0005-0000-0000-0000350C0000}"/>
    <cellStyle name="A_하반기결산_110.04.3월 경영보고_112.04.7월 경영보고" xfId="3150" xr:uid="{00000000-0005-0000-0000-0000360C0000}"/>
    <cellStyle name="A_하반기결산_110.04.3월 경영보고_112.경영보고(주)이순" xfId="3151" xr:uid="{00000000-0005-0000-0000-0000370C0000}"/>
    <cellStyle name="A_하반기결산_110.04.3월 경영보고_경영보고(주)이순" xfId="3152" xr:uid="{00000000-0005-0000-0000-0000380C0000}"/>
    <cellStyle name="A_하반기결산_110-1.04.3월_경영보고" xfId="3153" xr:uid="{00000000-0005-0000-0000-0000390C0000}"/>
    <cellStyle name="A_하반기결산_200.04년월별재무제표" xfId="3154" xr:uid="{00000000-0005-0000-0000-00003A0C0000}"/>
    <cellStyle name="A_하반기결산_200.04년월별재무제표_110-1.04.3월_경영보고" xfId="3155" xr:uid="{00000000-0005-0000-0000-00003B0C0000}"/>
    <cellStyle name="A_하반기결산_200.04년월별재무제표_111.04.6월 경영보고" xfId="3156" xr:uid="{00000000-0005-0000-0000-00003C0C0000}"/>
    <cellStyle name="A_하반기결산_200.04년월별재무제표_111.04.6월 경영보고(구성)" xfId="3157" xr:uid="{00000000-0005-0000-0000-00003D0C0000}"/>
    <cellStyle name="A_하반기결산_200.04년월별재무제표_112.04.7월 경영보고" xfId="3158" xr:uid="{00000000-0005-0000-0000-00003E0C0000}"/>
    <cellStyle name="A_하반기결산_200.04년월별재무제표_112.경영보고(주)이순" xfId="3159" xr:uid="{00000000-0005-0000-0000-00003F0C0000}"/>
    <cellStyle name="A_하반기결산_200.04년월별재무제표_경영보고(주)이순" xfId="3160" xr:uid="{00000000-0005-0000-0000-0000400C0000}"/>
    <cellStyle name="A_하반기결산_200.04월별재무제표" xfId="3161" xr:uid="{00000000-0005-0000-0000-0000410C0000}"/>
    <cellStyle name="A_하반기결산_200.04월별재무제표_110-1.04.3월_경영보고" xfId="3162" xr:uid="{00000000-0005-0000-0000-0000420C0000}"/>
    <cellStyle name="A_하반기결산_200.04월별재무제표_111.04.6월 경영보고" xfId="3163" xr:uid="{00000000-0005-0000-0000-0000430C0000}"/>
    <cellStyle name="A_하반기결산_200.04월별재무제표_111.04.6월 경영보고(구성)" xfId="3164" xr:uid="{00000000-0005-0000-0000-0000440C0000}"/>
    <cellStyle name="A_하반기결산_200.04월별재무제표_112.04.7월 경영보고" xfId="3165" xr:uid="{00000000-0005-0000-0000-0000450C0000}"/>
    <cellStyle name="A_하반기결산_200.04월별재무제표_112.경영보고(주)이순" xfId="3166" xr:uid="{00000000-0005-0000-0000-0000460C0000}"/>
    <cellStyle name="A_하반기결산_200.04월별재무제표_경영보고(주)이순" xfId="3167" xr:uid="{00000000-0005-0000-0000-0000470C0000}"/>
    <cellStyle name="A_하반기결산_경영보고(주)이순" xfId="3168" xr:uid="{00000000-0005-0000-0000-0000480C0000}"/>
    <cellStyle name="A_하반기결산_비교재무제표" xfId="3169" xr:uid="{00000000-0005-0000-0000-0000490C0000}"/>
    <cellStyle name="A_하반기결산_비교재무제표_110-1.04.3월_경영보고" xfId="3170" xr:uid="{00000000-0005-0000-0000-00004A0C0000}"/>
    <cellStyle name="A_하반기결산_비교재무제표_111.04.6월 경영보고" xfId="3171" xr:uid="{00000000-0005-0000-0000-00004B0C0000}"/>
    <cellStyle name="A_하반기결산_비교재무제표_111.04.6월 경영보고(구성)" xfId="3172" xr:uid="{00000000-0005-0000-0000-00004C0C0000}"/>
    <cellStyle name="A_하반기결산_비교재무제표_112.04.7월 경영보고" xfId="3173" xr:uid="{00000000-0005-0000-0000-00004D0C0000}"/>
    <cellStyle name="A_하반기결산_비교재무제표_112.경영보고(주)이순" xfId="3174" xr:uid="{00000000-0005-0000-0000-00004E0C0000}"/>
    <cellStyle name="A_하반기결산_비교재무제표_경영보고(주)이순" xfId="3175" xr:uid="{00000000-0005-0000-0000-00004F0C0000}"/>
    <cellStyle name="A¡§¡ⓒ¡E¡þ¡EO [0]_¡§￠Ri¡§u¡§¡þ¡§¡þI¡§u￠R¨I" xfId="3176" xr:uid="{00000000-0005-0000-0000-0000500C0000}"/>
    <cellStyle name="A¡§¡ⓒ¡E¡þ¡EO_¡§￠Ri¡§u¡§¡þ¡§¡þI¡§u￠R¨I" xfId="3177" xr:uid="{00000000-0005-0000-0000-0000510C0000}"/>
    <cellStyle name="A¨­???? [0]_2000¨?OER " xfId="3178" xr:uid="{00000000-0005-0000-0000-0000520C0000}"/>
    <cellStyle name="A¨­????_2000¨?OER " xfId="3179" xr:uid="{00000000-0005-0000-0000-0000530C0000}"/>
    <cellStyle name="A¨­￠￢￠O [0]_ ¨¡?¨¡CAⓒ­¨￢¡Æ " xfId="3180" xr:uid="{00000000-0005-0000-0000-0000540C0000}"/>
    <cellStyle name="A¨­¢¬¢Ò [0]_2000¨ùOER " xfId="3181" xr:uid="{00000000-0005-0000-0000-0000550C0000}"/>
    <cellStyle name="A¨­￠￢￠O [0]_INQUIRY ￠?￥i¨u¡AAⓒ￢Aⓒª " xfId="3182" xr:uid="{00000000-0005-0000-0000-0000560C0000}"/>
    <cellStyle name="A¨­￠￢￠O_ ¨¡?¨¡CAⓒ­¨￢¡Æ " xfId="3183" xr:uid="{00000000-0005-0000-0000-0000570C0000}"/>
    <cellStyle name="A¨­¢¬¢Ò_2000¨ùOER " xfId="3184" xr:uid="{00000000-0005-0000-0000-0000580C0000}"/>
    <cellStyle name="A¨­￠￢￠O_INQUIRY ￠?￥i¨u¡AAⓒ￢Aⓒª " xfId="3185" xr:uid="{00000000-0005-0000-0000-0000590C0000}"/>
    <cellStyle name="A9쇠스랑" xfId="3186" xr:uid="{00000000-0005-0000-0000-00005A0C0000}"/>
    <cellStyle name="Accent1" xfId="3187" xr:uid="{00000000-0005-0000-0000-00005B0C0000}"/>
    <cellStyle name="Accent2" xfId="3188" xr:uid="{00000000-0005-0000-0000-00005C0C0000}"/>
    <cellStyle name="Accent3" xfId="3189" xr:uid="{00000000-0005-0000-0000-00005D0C0000}"/>
    <cellStyle name="Accent4" xfId="3190" xr:uid="{00000000-0005-0000-0000-00005E0C0000}"/>
    <cellStyle name="Accent5" xfId="3191" xr:uid="{00000000-0005-0000-0000-00005F0C0000}"/>
    <cellStyle name="Accent6" xfId="3192" xr:uid="{00000000-0005-0000-0000-0000600C0000}"/>
    <cellStyle name="active" xfId="3193" xr:uid="{00000000-0005-0000-0000-0000610C0000}"/>
    <cellStyle name="Actual Date" xfId="3194" xr:uid="{00000000-0005-0000-0000-0000620C0000}"/>
    <cellStyle name="AeE­ [0]" xfId="3195" xr:uid="{00000000-0005-0000-0000-0000630C0000}"/>
    <cellStyle name="AeE- [0]_?c?A " xfId="3196" xr:uid="{00000000-0005-0000-0000-0000640C0000}"/>
    <cellStyle name="ÅëÈ­ [0]_´ë¿©±Ý" xfId="3197" xr:uid="{00000000-0005-0000-0000-0000650C0000}"/>
    <cellStyle name="AeE­ [0]_´eºnC￥" xfId="3198" xr:uid="{00000000-0005-0000-0000-0000660C0000}"/>
    <cellStyle name="ÅëÈ­ [0]_´ëºñÇ¥" xfId="3199" xr:uid="{00000000-0005-0000-0000-0000670C0000}"/>
    <cellStyle name="AeE­ [0]_´eºnC￥_(그룹)차입금 관련지표 051005" xfId="3200" xr:uid="{00000000-0005-0000-0000-0000680C0000}"/>
    <cellStyle name="ÅëÈ­ [0]_´ëºñÇ¥_(그룹)차입금 관련지표 051005" xfId="3201" xr:uid="{00000000-0005-0000-0000-0000690C0000}"/>
    <cellStyle name="AeE­ [0]_´eºnC￥_04. 1.14" xfId="3202" xr:uid="{00000000-0005-0000-0000-00006A0C0000}"/>
    <cellStyle name="ÅëÈ­ [0]_´ëºñÇ¥_04. 1.14" xfId="3203" xr:uid="{00000000-0005-0000-0000-00006B0C0000}"/>
    <cellStyle name="AeE­ [0]_´eºnC￥_04.12.21" xfId="3204" xr:uid="{00000000-0005-0000-0000-00006C0C0000}"/>
    <cellStyle name="ÅëÈ­ [0]_´ëºñÇ¥_04.12.21" xfId="3205" xr:uid="{00000000-0005-0000-0000-00006D0C0000}"/>
    <cellStyle name="AeE­ [0]_´eºnC￥_05.1.18재무(회장님수정)" xfId="3206" xr:uid="{00000000-0005-0000-0000-00006E0C0000}"/>
    <cellStyle name="ÅëÈ­ [0]_´ëºñÇ¥_05.1.18재무(회장님수정)" xfId="3207" xr:uid="{00000000-0005-0000-0000-00006F0C0000}"/>
    <cellStyle name="AeE­ [0]_´eºnC￥_3.계량부문" xfId="3208" xr:uid="{00000000-0005-0000-0000-0000700C0000}"/>
    <cellStyle name="ÅëÈ­ [0]_´ëºñÇ¥_손익분석목표대비" xfId="3209" xr:uid="{00000000-0005-0000-0000-0000710C0000}"/>
    <cellStyle name="AeE­ [0]_´eºnC￥_재무대책양식05. 3.15" xfId="3210" xr:uid="{00000000-0005-0000-0000-0000720C0000}"/>
    <cellStyle name="ÅëÈ­ [0]_´ëºñÇ¥_재무대책양식05. 3.15" xfId="3211" xr:uid="{00000000-0005-0000-0000-0000730C0000}"/>
    <cellStyle name="AeE­ [0]_´eºnC￥_차입금 관련지표 051005" xfId="3212" xr:uid="{00000000-0005-0000-0000-0000740C0000}"/>
    <cellStyle name="ÅëÈ­ [0]_´ëºñÇ¥_차입금 관련지표 051005" xfId="3213" xr:uid="{00000000-0005-0000-0000-0000750C0000}"/>
    <cellStyle name="AeE­ [0]_´eºnC￥_차입금및금리지수" xfId="3214" xr:uid="{00000000-0005-0000-0000-0000760C0000}"/>
    <cellStyle name="ÅëÈ­ [0]_´ëºñÇ¥_차입금및금리지수" xfId="3215" xr:uid="{00000000-0005-0000-0000-0000770C0000}"/>
    <cellStyle name="AeE­ [0]_¿­¸° INT" xfId="3216" xr:uid="{00000000-0005-0000-0000-0000780C0000}"/>
    <cellStyle name="ÅëÈ­ [0]_¿ù°£" xfId="3217" xr:uid="{00000000-0005-0000-0000-0000790C0000}"/>
    <cellStyle name="AeE­ [0]_¿μ¾÷AIAIAß°ø¾÷ " xfId="3218" xr:uid="{00000000-0005-0000-0000-00007A0C0000}"/>
    <cellStyle name="ÅëÈ­ [0]_¥±- 2 " xfId="3219" xr:uid="{00000000-0005-0000-0000-00007B0C0000}"/>
    <cellStyle name="AeE­ [0]_°u¸RC×¸n_¾÷A¾º° " xfId="3220" xr:uid="{00000000-0005-0000-0000-00007C0C0000}"/>
    <cellStyle name="ÅëÈ­ [0]_µ¿ºÎ" xfId="3221" xr:uid="{00000000-0005-0000-0000-00007D0C0000}"/>
    <cellStyle name="AeE­ [0]_¼oAa½CAu " xfId="3222" xr:uid="{00000000-0005-0000-0000-00007E0C0000}"/>
    <cellStyle name="ÅëÈ­ [0]_¼öÃâ½ÇÀû _Çö´ë¾÷¹«ÃßÁø " xfId="3223" xr:uid="{00000000-0005-0000-0000-00007F0C0000}"/>
    <cellStyle name="AeE­ [0]_¼oAa½CAu _Co´e¾÷¹≪AßAø " xfId="3224" xr:uid="{00000000-0005-0000-0000-0000800C0000}"/>
    <cellStyle name="ÅëÈ­ [0]_¼ÕÀÍ¾ç½Ä (2)" xfId="3225" xr:uid="{00000000-0005-0000-0000-0000810C0000}"/>
    <cellStyle name="AeE­ [0]_¼OAI¹I´o _02투자계획" xfId="3226" xr:uid="{00000000-0005-0000-0000-0000820C0000}"/>
    <cellStyle name="ÅëÈ­ [0]_¼ÕÀÍ¹Î´ö _Cross_Valuation worksheet_Final_112505" xfId="3227" xr:uid="{00000000-0005-0000-0000-0000830C0000}"/>
    <cellStyle name="AeE­ [0]_¾÷A¾º° " xfId="3228" xr:uid="{00000000-0005-0000-0000-0000840C0000}"/>
    <cellStyle name="ÅëÈ­ [0]_¾÷Á¾º° " xfId="3229" xr:uid="{00000000-0005-0000-0000-0000850C0000}"/>
    <cellStyle name="AeE­ [0]_¾c½A " xfId="3230" xr:uid="{00000000-0005-0000-0000-0000860C0000}"/>
    <cellStyle name="ÅëÈ­ [0]_¾ç½Ä1" xfId="3231" xr:uid="{00000000-0005-0000-0000-0000870C0000}"/>
    <cellStyle name="AeE­ [0]_³≫ºI°eE¹´e AßA¤A÷AI " xfId="3232" xr:uid="{00000000-0005-0000-0000-0000880C0000}"/>
    <cellStyle name="AeE- [0]_4PART " xfId="3233" xr:uid="{00000000-0005-0000-0000-0000890C0000}"/>
    <cellStyle name="AeE­ [0]_6¿u2A°AO " xfId="3234" xr:uid="{00000000-0005-0000-0000-00008A0C0000}"/>
    <cellStyle name="ÅëÈ­ [0]_6-3°æÀï·Â " xfId="3235" xr:uid="{00000000-0005-0000-0000-00008B0C0000}"/>
    <cellStyle name="AeE- [0]_64-C STEPPER 줩!줩o?A줩줗(PHOTO) " xfId="3236" xr:uid="{00000000-0005-0000-0000-00008C0C0000}"/>
    <cellStyle name="AeE­ [0]_95³aAN°y¼o·R " xfId="3237" xr:uid="{00000000-0005-0000-0000-00008D0C0000}"/>
    <cellStyle name="AeE- [0]_953aAN줩y?o좵R " xfId="3238" xr:uid="{00000000-0005-0000-0000-00008E0C0000}"/>
    <cellStyle name="AeE­ [0]_96°eE¹ " xfId="3239" xr:uid="{00000000-0005-0000-0000-00008F0C0000}"/>
    <cellStyle name="ÅëÈ­ [0]_96°èÈ¹ " xfId="3240" xr:uid="{00000000-0005-0000-0000-0000900C0000}"/>
    <cellStyle name="AeE­ [0]_96³a½A´cº°¼OAI " xfId="3241" xr:uid="{00000000-0005-0000-0000-0000910C0000}"/>
    <cellStyle name="ÅëÈ­ [0]_Á¦Á¶1ºÎ1°ú ÇöÈ² " xfId="3242" xr:uid="{00000000-0005-0000-0000-0000920C0000}"/>
    <cellStyle name="AeE­ [0]_A¾CO½A¼³ " xfId="3243" xr:uid="{00000000-0005-0000-0000-0000930C0000}"/>
    <cellStyle name="ÅëÈ­ [0]_ÆÀÇ¥Áö_°èÈ¹3 " xfId="3244" xr:uid="{00000000-0005-0000-0000-0000940C0000}"/>
    <cellStyle name="AeE­ [0]_AMT " xfId="3245" xr:uid="{00000000-0005-0000-0000-0000950C0000}"/>
    <cellStyle name="ÅëÈ­ [0]_AMT " xfId="3246" xr:uid="{00000000-0005-0000-0000-0000960C0000}"/>
    <cellStyle name="AeE­ [0]_AMT _¹≪¿ª10¿u " xfId="3247" xr:uid="{00000000-0005-0000-0000-0000970C0000}"/>
    <cellStyle name="ÅëÈ­ [0]_ÃÑ°ýÇ¥ " xfId="3248" xr:uid="{00000000-0005-0000-0000-0000980C0000}"/>
    <cellStyle name="AeE­ [0]_C°¸nº° " xfId="3249" xr:uid="{00000000-0005-0000-0000-0000990C0000}"/>
    <cellStyle name="AeE- [0]_C줩좲no줩 " xfId="3250" xr:uid="{00000000-0005-0000-0000-00009A0C0000}"/>
    <cellStyle name="ÅëÈ­ [0]_INQUIRY ¿µ¾÷ÃßÁø " xfId="3251" xr:uid="{00000000-0005-0000-0000-00009B0C0000}"/>
    <cellStyle name="AeE­ [0]_INQUIRY ¿μ¾÷AßAø " xfId="3252" xr:uid="{00000000-0005-0000-0000-00009C0C0000}"/>
    <cellStyle name="ÅëÈ­ [0]_lx-taxi " xfId="3253" xr:uid="{00000000-0005-0000-0000-00009D0C0000}"/>
    <cellStyle name="AeE­ [0]_XD±aAØ " xfId="3254" xr:uid="{00000000-0005-0000-0000-00009E0C0000}"/>
    <cellStyle name="ÅëÈ­ [0]_XD±âÁØ " xfId="3255" xr:uid="{00000000-0005-0000-0000-00009F0C0000}"/>
    <cellStyle name="AeE­_ ´IÆR " xfId="3256" xr:uid="{00000000-0005-0000-0000-0000A00C0000}"/>
    <cellStyle name="AeE-_?c?A " xfId="3257" xr:uid="{00000000-0005-0000-0000-0000A10C0000}"/>
    <cellStyle name="ÅëÈ­_´ë¿©±Ý" xfId="3258" xr:uid="{00000000-0005-0000-0000-0000A20C0000}"/>
    <cellStyle name="AeE­_´eºnC￥" xfId="3259" xr:uid="{00000000-0005-0000-0000-0000A30C0000}"/>
    <cellStyle name="ÅëÈ­_´ëºñÇ¥" xfId="3260" xr:uid="{00000000-0005-0000-0000-0000A40C0000}"/>
    <cellStyle name="AeE­_´eºnC￥_(그룹)차입금 관련지표 051005" xfId="3261" xr:uid="{00000000-0005-0000-0000-0000A50C0000}"/>
    <cellStyle name="ÅëÈ­_´ëºñÇ¥_(그룹)차입금 관련지표 051005" xfId="3262" xr:uid="{00000000-0005-0000-0000-0000A60C0000}"/>
    <cellStyle name="AeE­_´eºnC￥_04. 1.14" xfId="3263" xr:uid="{00000000-0005-0000-0000-0000A70C0000}"/>
    <cellStyle name="ÅëÈ­_´ëºñÇ¥_04. 1.14" xfId="3264" xr:uid="{00000000-0005-0000-0000-0000A80C0000}"/>
    <cellStyle name="AeE­_´eºnC￥_04.12.21" xfId="3265" xr:uid="{00000000-0005-0000-0000-0000A90C0000}"/>
    <cellStyle name="ÅëÈ­_´ëºñÇ¥_04.12.21" xfId="3266" xr:uid="{00000000-0005-0000-0000-0000AA0C0000}"/>
    <cellStyle name="AeE­_´eºnC￥_05.1.18재무(회장님수정)" xfId="3267" xr:uid="{00000000-0005-0000-0000-0000AB0C0000}"/>
    <cellStyle name="ÅëÈ­_´ëºñÇ¥_05.1.18재무(회장님수정)" xfId="3268" xr:uid="{00000000-0005-0000-0000-0000AC0C0000}"/>
    <cellStyle name="AeE­_´eºnC￥_3.계량부문" xfId="3269" xr:uid="{00000000-0005-0000-0000-0000AD0C0000}"/>
    <cellStyle name="ÅëÈ­_´ëºñÇ¥_손익분석목표대비" xfId="3270" xr:uid="{00000000-0005-0000-0000-0000AE0C0000}"/>
    <cellStyle name="AeE­_´eºnC￥_재무대책양식05. 3.15" xfId="3271" xr:uid="{00000000-0005-0000-0000-0000AF0C0000}"/>
    <cellStyle name="ÅëÈ­_´ëºñÇ¥_재무대책양식05. 3.15" xfId="3272" xr:uid="{00000000-0005-0000-0000-0000B00C0000}"/>
    <cellStyle name="AeE­_´eºnC￥_차입금 관련지표 051005" xfId="3273" xr:uid="{00000000-0005-0000-0000-0000B10C0000}"/>
    <cellStyle name="ÅëÈ­_´ëºñÇ¥_차입금 관련지표 051005" xfId="3274" xr:uid="{00000000-0005-0000-0000-0000B20C0000}"/>
    <cellStyle name="AeE­_´eºnC￥_차입금및금리지수" xfId="3275" xr:uid="{00000000-0005-0000-0000-0000B30C0000}"/>
    <cellStyle name="ÅëÈ­_´ëºñÇ¥_차입금및금리지수" xfId="3276" xr:uid="{00000000-0005-0000-0000-0000B40C0000}"/>
    <cellStyle name="AeE­_¸Þ¸ðAa" xfId="3277" xr:uid="{00000000-0005-0000-0000-0000B50C0000}"/>
    <cellStyle name="ÅëÈ­_¿µ¾÷ÀÌÀÍÁß°ø¾÷ " xfId="3278" xr:uid="{00000000-0005-0000-0000-0000B60C0000}"/>
    <cellStyle name="AeE­_¿μ¾÷AIAIAß°ø¾÷ " xfId="3279" xr:uid="{00000000-0005-0000-0000-0000B70C0000}"/>
    <cellStyle name="ÅëÈ­_¥±- 2 " xfId="3280" xr:uid="{00000000-0005-0000-0000-0000B80C0000}"/>
    <cellStyle name="AeE­_°u¸RC×¸n_¾÷A¾º° " xfId="3281" xr:uid="{00000000-0005-0000-0000-0000B90C0000}"/>
    <cellStyle name="ÅëÈ­_µ¿ºÎ" xfId="3282" xr:uid="{00000000-0005-0000-0000-0000BA0C0000}"/>
    <cellStyle name="AeE­_¼oAa½CAu " xfId="3283" xr:uid="{00000000-0005-0000-0000-0000BB0C0000}"/>
    <cellStyle name="ÅëÈ­_¼öÃâ½ÇÀû " xfId="3284" xr:uid="{00000000-0005-0000-0000-0000BC0C0000}"/>
    <cellStyle name="AeE­_¼oAa½CAu _¹≪¿ª10¿u " xfId="3285" xr:uid="{00000000-0005-0000-0000-0000BD0C0000}"/>
    <cellStyle name="ÅëÈ­_¼öÃâ½ÇÀû _Çö´ë¾÷¹«ÃßÁø " xfId="3286" xr:uid="{00000000-0005-0000-0000-0000BE0C0000}"/>
    <cellStyle name="AeE­_¼oAa½CAu _Co´e¾÷¹≪AßAø " xfId="3287" xr:uid="{00000000-0005-0000-0000-0000BF0C0000}"/>
    <cellStyle name="ÅëÈ­_¼ÕÀÍ¾ç½Ä (2)" xfId="3288" xr:uid="{00000000-0005-0000-0000-0000C00C0000}"/>
    <cellStyle name="AeE­_¼OAI¹I´o _02투자계획" xfId="3289" xr:uid="{00000000-0005-0000-0000-0000C10C0000}"/>
    <cellStyle name="ÅëÈ­_¼ÕÀÍ¹Î´ö _Cross_Valuation worksheet_Final_112505" xfId="3290" xr:uid="{00000000-0005-0000-0000-0000C20C0000}"/>
    <cellStyle name="AeE­_¾÷A¾º° " xfId="3291" xr:uid="{00000000-0005-0000-0000-0000C30C0000}"/>
    <cellStyle name="ÅëÈ­_¾÷Á¾º° " xfId="3292" xr:uid="{00000000-0005-0000-0000-0000C40C0000}"/>
    <cellStyle name="AeE­_¾c½A " xfId="3293" xr:uid="{00000000-0005-0000-0000-0000C50C0000}"/>
    <cellStyle name="ÅëÈ­_¾ç½Ä1" xfId="3294" xr:uid="{00000000-0005-0000-0000-0000C60C0000}"/>
    <cellStyle name="AeE­_³≫ºI°eE¹´e AßA¤A÷AI " xfId="3295" xr:uid="{00000000-0005-0000-0000-0000C70C0000}"/>
    <cellStyle name="AeE-_4PART " xfId="3296" xr:uid="{00000000-0005-0000-0000-0000C80C0000}"/>
    <cellStyle name="AeE­_6¿u2A°AO " xfId="3297" xr:uid="{00000000-0005-0000-0000-0000C90C0000}"/>
    <cellStyle name="ÅëÈ­_6-3°æÀï·Â " xfId="3298" xr:uid="{00000000-0005-0000-0000-0000CA0C0000}"/>
    <cellStyle name="AeE-_64-C STEPPER 줩!줩o?A줩줗(PHOTO) " xfId="3299" xr:uid="{00000000-0005-0000-0000-0000CB0C0000}"/>
    <cellStyle name="AeE­_95³aAN°y¼o·R " xfId="3300" xr:uid="{00000000-0005-0000-0000-0000CC0C0000}"/>
    <cellStyle name="AeE-_953aAN줩y?o좵R " xfId="3301" xr:uid="{00000000-0005-0000-0000-0000CD0C0000}"/>
    <cellStyle name="AeE­_96°eE¹ " xfId="3302" xr:uid="{00000000-0005-0000-0000-0000CE0C0000}"/>
    <cellStyle name="ÅëÈ­_96°èÈ¹ " xfId="3303" xr:uid="{00000000-0005-0000-0000-0000CF0C0000}"/>
    <cellStyle name="AeE­_96³a½A´cº°¼OAI " xfId="3304" xr:uid="{00000000-0005-0000-0000-0000D00C0000}"/>
    <cellStyle name="ÅëÈ­_97MBO" xfId="3305" xr:uid="{00000000-0005-0000-0000-0000D10C0000}"/>
    <cellStyle name="AeE­_A?Cuº°AuA¼(¿i≫e°øAa)  " xfId="3306" xr:uid="{00000000-0005-0000-0000-0000D20C0000}"/>
    <cellStyle name="ÅëÈ­_À¯Çüº°ÀüÃ¼(¿ï»ê°øÀå)  " xfId="3307" xr:uid="{00000000-0005-0000-0000-0000D30C0000}"/>
    <cellStyle name="AeE­_A¾CO½A¼³ " xfId="3308" xr:uid="{00000000-0005-0000-0000-0000D40C0000}"/>
    <cellStyle name="ÅëÈ­_ÆÀÇ¥Áö_°èÈ¹3 " xfId="3309" xr:uid="{00000000-0005-0000-0000-0000D50C0000}"/>
    <cellStyle name="AeE­_AMT " xfId="3310" xr:uid="{00000000-0005-0000-0000-0000D60C0000}"/>
    <cellStyle name="ÅëÈ­_AMT " xfId="3311" xr:uid="{00000000-0005-0000-0000-0000D70C0000}"/>
    <cellStyle name="AeE­_AMT _¹≪¿ª10¿u " xfId="3312" xr:uid="{00000000-0005-0000-0000-0000D80C0000}"/>
    <cellStyle name="ÅëÈ­_ÃÑ°ýÇ¥ " xfId="3313" xr:uid="{00000000-0005-0000-0000-0000D90C0000}"/>
    <cellStyle name="AeE­_AO¼RCN±U " xfId="3314" xr:uid="{00000000-0005-0000-0000-0000DA0C0000}"/>
    <cellStyle name="ÅëÈ­_Àü»êTB " xfId="3315" xr:uid="{00000000-0005-0000-0000-0000DB0C0000}"/>
    <cellStyle name="AeE­_C°¸nº° " xfId="3316" xr:uid="{00000000-0005-0000-0000-0000DC0C0000}"/>
    <cellStyle name="ÅëÈ­_COVER97" xfId="3317" xr:uid="{00000000-0005-0000-0000-0000DD0C0000}"/>
    <cellStyle name="AeE-_C줩좲no줩 " xfId="3318" xr:uid="{00000000-0005-0000-0000-0000DE0C0000}"/>
    <cellStyle name="AeE­_INQUIRY ¿μ¾÷AßAø " xfId="3319" xr:uid="{00000000-0005-0000-0000-0000DF0C0000}"/>
    <cellStyle name="ÅëÈ­_lx-taxi " xfId="3320" xr:uid="{00000000-0005-0000-0000-0000E00C0000}"/>
    <cellStyle name="AeE­_XD±aAØ " xfId="3321" xr:uid="{00000000-0005-0000-0000-0000E10C0000}"/>
    <cellStyle name="ÅëÈ­_XD±âÁØ " xfId="3322" xr:uid="{00000000-0005-0000-0000-0000E20C0000}"/>
    <cellStyle name="AeE­_XG¿ø´UA§ " xfId="3323" xr:uid="{00000000-0005-0000-0000-0000E30C0000}"/>
    <cellStyle name="ÅëÈ­_XG¿ø´ÜÀ§ " xfId="3324" xr:uid="{00000000-0005-0000-0000-0000E40C0000}"/>
    <cellStyle name="AeE¡? [0]_2000¨?OER " xfId="3325" xr:uid="{00000000-0005-0000-0000-0000E50C0000}"/>
    <cellStyle name="AeE¡?_2000¨?OER " xfId="3326" xr:uid="{00000000-0005-0000-0000-0000E60C0000}"/>
    <cellStyle name="AeE¡© [0]_2000¨ùOER " xfId="3327" xr:uid="{00000000-0005-0000-0000-0000E70C0000}"/>
    <cellStyle name="AeE¡©_2000¨ùOER " xfId="3328" xr:uid="{00000000-0005-0000-0000-0000E80C0000}"/>
    <cellStyle name="AeE¡ⓒ [0]_ ¨¡?¨¡CAⓒ­¨￢¡Æ " xfId="3329" xr:uid="{00000000-0005-0000-0000-0000E90C0000}"/>
    <cellStyle name="AeE¡ⓒ_ ¨¡?¨¡CAⓒ­¨￢¡Æ " xfId="3330" xr:uid="{00000000-0005-0000-0000-0000EA0C0000}"/>
    <cellStyle name="AeE¡ERERERER¡ERERER￠RERER¡ERER¡ERE?I [0]_¡ERERERER¡ERERER￠RERER¡ERER¡ERE?￠RERERER¡ERERER￠RERER¡ERER¡ERE?I¡ERERER￠RERER¡ERER¡ERE?¡ERERERI¡ERERER￠RERER¡ERER¡ERE?IoR" xfId="3331" xr:uid="{00000000-0005-0000-0000-0000EB0C0000}"/>
    <cellStyle name="AeE¡ERERERER¡ERERER￠RERER¡ERER¡ERE?I_¡ERERERER¡ERERER￠RERER¡ERER¡ERE?￠RERERER¡ERERER￠RERER¡ERER¡ERE?I¡ERERER￠RERER¡ERER¡ERE?¡ERERERI¡ERERER￠RERER¡ERER¡ERE?IoR" xfId="3332" xr:uid="{00000000-0005-0000-0000-0000EC0C0000}"/>
    <cellStyle name="AeE￠R¨I [0]_¡§￠Ri¡§u¡§¡þ¡§¡þI¡§u￠R¨I" xfId="3333" xr:uid="{00000000-0005-0000-0000-0000ED0C0000}"/>
    <cellStyle name="AeE￠R¨I_¡§￠Ri¡§u¡§¡þ¡§¡þI¡§u￠R¨I" xfId="3334" xr:uid="{00000000-0005-0000-0000-0000EE0C0000}"/>
    <cellStyle name="ALIGNMENT" xfId="3335" xr:uid="{00000000-0005-0000-0000-0000EF0C0000}"/>
    <cellStyle name="annee semestre" xfId="3336" xr:uid="{00000000-0005-0000-0000-0000F00C0000}"/>
    <cellStyle name="Año" xfId="3337" xr:uid="{00000000-0005-0000-0000-0000F10C0000}"/>
    <cellStyle name="AoA¤μCAo ¾EA½" xfId="3338" xr:uid="{00000000-0005-0000-0000-0000F20C0000}"/>
    <cellStyle name="args.style" xfId="3339" xr:uid="{00000000-0005-0000-0000-0000F30C0000}"/>
    <cellStyle name="Arial 10" xfId="3340" xr:uid="{00000000-0005-0000-0000-0000F40C0000}"/>
    <cellStyle name="Arial 12" xfId="3341" xr:uid="{00000000-0005-0000-0000-0000F50C0000}"/>
    <cellStyle name="Arial Narrow" xfId="3342" xr:uid="{00000000-0005-0000-0000-0000F60C0000}"/>
    <cellStyle name="Arial6Bold" xfId="3343" xr:uid="{00000000-0005-0000-0000-0000F70C0000}"/>
    <cellStyle name="Arial8Bold" xfId="3344" xr:uid="{00000000-0005-0000-0000-0000F80C0000}"/>
    <cellStyle name="Arial8Italic" xfId="3345" xr:uid="{00000000-0005-0000-0000-0000F90C0000}"/>
    <cellStyle name="ArialNormal" xfId="3346" xr:uid="{00000000-0005-0000-0000-0000FA0C0000}"/>
    <cellStyle name="Assumptions % 1 dp" xfId="3347" xr:uid="{00000000-0005-0000-0000-0000FB0C0000}"/>
    <cellStyle name="Assumptions 0 dp" xfId="3348" xr:uid="{00000000-0005-0000-0000-0000FC0C0000}"/>
    <cellStyle name="AÞ¸¶ [0]" xfId="3349" xr:uid="{00000000-0005-0000-0000-0000FD0C0000}"/>
    <cellStyle name="ÄÞ¸¶ [0]_´ëºñÇ¥" xfId="3350" xr:uid="{00000000-0005-0000-0000-0000FE0C0000}"/>
    <cellStyle name="AÞ¸¶ [0]_´eºnC￥_(그룹)차입금 관련지표 051005" xfId="3351" xr:uid="{00000000-0005-0000-0000-0000FF0C0000}"/>
    <cellStyle name="ÄÞ¸¶ [0]_´ëºñÇ¥_(그룹)차입금 관련지표 051005" xfId="3352" xr:uid="{00000000-0005-0000-0000-0000000D0000}"/>
    <cellStyle name="AÞ¸¶ [0]_´eºnC￥_04. 1.14" xfId="3353" xr:uid="{00000000-0005-0000-0000-0000010D0000}"/>
    <cellStyle name="ÄÞ¸¶ [0]_´ëºñÇ¥_04. 1.14" xfId="3354" xr:uid="{00000000-0005-0000-0000-0000020D0000}"/>
    <cellStyle name="AÞ¸¶ [0]_´eºnC￥_04.12.21" xfId="3355" xr:uid="{00000000-0005-0000-0000-0000030D0000}"/>
    <cellStyle name="ÄÞ¸¶ [0]_´ëºñÇ¥_04.12.21" xfId="3356" xr:uid="{00000000-0005-0000-0000-0000040D0000}"/>
    <cellStyle name="AÞ¸¶ [0]_´eºnC￥_05.1.18재무(회장님수정)" xfId="3357" xr:uid="{00000000-0005-0000-0000-0000050D0000}"/>
    <cellStyle name="ÄÞ¸¶ [0]_´ëºñÇ¥_05.1.18재무(회장님수정)" xfId="3358" xr:uid="{00000000-0005-0000-0000-0000060D0000}"/>
    <cellStyle name="AÞ¸¶ [0]_´eºnC￥_3.계량부문" xfId="3359" xr:uid="{00000000-0005-0000-0000-0000070D0000}"/>
    <cellStyle name="ÄÞ¸¶ [0]_´ëºñÇ¥_손익분석목표대비" xfId="3360" xr:uid="{00000000-0005-0000-0000-0000080D0000}"/>
    <cellStyle name="AÞ¸¶ [0]_´eºnC￥_재무대책양식05. 3.15" xfId="3361" xr:uid="{00000000-0005-0000-0000-0000090D0000}"/>
    <cellStyle name="ÄÞ¸¶ [0]_´ëºñÇ¥_재무대책양식05. 3.15" xfId="3362" xr:uid="{00000000-0005-0000-0000-00000A0D0000}"/>
    <cellStyle name="AÞ¸¶ [0]_´eºnC￥_차입금 관련지표 051005" xfId="3363" xr:uid="{00000000-0005-0000-0000-00000B0D0000}"/>
    <cellStyle name="ÄÞ¸¶ [0]_´ëºñÇ¥_차입금 관련지표 051005" xfId="3364" xr:uid="{00000000-0005-0000-0000-00000C0D0000}"/>
    <cellStyle name="AÞ¸¶ [0]_´eºnC￥_차입금및금리지수" xfId="3365" xr:uid="{00000000-0005-0000-0000-00000D0D0000}"/>
    <cellStyle name="ÄÞ¸¶ [0]_´ëºñÇ¥_차입금및금리지수" xfId="3366" xr:uid="{00000000-0005-0000-0000-00000E0D0000}"/>
    <cellStyle name="AÞ¸¶ [0]_¿­¸° INT" xfId="3367" xr:uid="{00000000-0005-0000-0000-00000F0D0000}"/>
    <cellStyle name="ÄÞ¸¶ [0]_¿ù°£" xfId="3368" xr:uid="{00000000-0005-0000-0000-0000100D0000}"/>
    <cellStyle name="AÞ¸¶ [0]_¿μ¾÷AIAIAß°ø¾÷ " xfId="3369" xr:uid="{00000000-0005-0000-0000-0000110D0000}"/>
    <cellStyle name="ÄÞ¸¶ [0]_¥±- 2 " xfId="3370" xr:uid="{00000000-0005-0000-0000-0000120D0000}"/>
    <cellStyle name="AÞ¸¶ [0]_¼oAa½CAu " xfId="3371" xr:uid="{00000000-0005-0000-0000-0000130D0000}"/>
    <cellStyle name="ÄÞ¸¶ [0]_¾ç½Ä1" xfId="3372" xr:uid="{00000000-0005-0000-0000-0000140D0000}"/>
    <cellStyle name="AÞ¸¶ [0]_3¿u´ⓒ°e " xfId="3373" xr:uid="{00000000-0005-0000-0000-0000150D0000}"/>
    <cellStyle name="ÄÞ¸¶ [0]_³»ºÎ°èÈ¹´ë ÃßÁ¤Â÷ÀÌ " xfId="3374" xr:uid="{00000000-0005-0000-0000-0000160D0000}"/>
    <cellStyle name="AÞ¸¶ [0]_³≫ºI°eE¹´e AßA¤A÷AI " xfId="3375" xr:uid="{00000000-0005-0000-0000-0000170D0000}"/>
    <cellStyle name="ÄÞ¸¶ [0]_6-3°æÀï·Â " xfId="3376" xr:uid="{00000000-0005-0000-0000-0000180D0000}"/>
    <cellStyle name="AÞ¸¶ [0]_96°eE¹ " xfId="3377" xr:uid="{00000000-0005-0000-0000-0000190D0000}"/>
    <cellStyle name="ÄÞ¸¶ [0]_96°èÈ¹ " xfId="3378" xr:uid="{00000000-0005-0000-0000-00001A0D0000}"/>
    <cellStyle name="AÞ¸¶ [0]_A?Cuº°AuA¼(¿i≫e°øAa)  " xfId="3379" xr:uid="{00000000-0005-0000-0000-00001B0D0000}"/>
    <cellStyle name="ÄÞ¸¶ [0]_À¯Çüº°ÀüÃ¼(¿ï»ê°øÀå)  " xfId="3380" xr:uid="{00000000-0005-0000-0000-00001C0D0000}"/>
    <cellStyle name="AÞ¸¶ [0]_A¾CO½A¼³ " xfId="3381" xr:uid="{00000000-0005-0000-0000-00001D0D0000}"/>
    <cellStyle name="ÄÞ¸¶ [0]_ÀÎ¿ø¹× Á¶Á÷(96.5.2.) " xfId="3382" xr:uid="{00000000-0005-0000-0000-00001E0D0000}"/>
    <cellStyle name="AÞ¸¶ [0]_AN°yC￥ " xfId="3383" xr:uid="{00000000-0005-0000-0000-00001F0D0000}"/>
    <cellStyle name="ÄÞ¸¶ [0]_ÃÑ°ýÇ¥ " xfId="3384" xr:uid="{00000000-0005-0000-0000-0000200D0000}"/>
    <cellStyle name="AÞ¸¶ [0]_AO¼RCN±U " xfId="3385" xr:uid="{00000000-0005-0000-0000-0000210D0000}"/>
    <cellStyle name="ÄÞ¸¶ [0]_COVER97" xfId="3386" xr:uid="{00000000-0005-0000-0000-0000220D0000}"/>
    <cellStyle name="AÞ¸¶ [0]_INQUIRY ¿μ¾÷AßAø " xfId="3387" xr:uid="{00000000-0005-0000-0000-0000230D0000}"/>
    <cellStyle name="ÄÞ¸¶ [0]_lx-taxi " xfId="3388" xr:uid="{00000000-0005-0000-0000-0000240D0000}"/>
    <cellStyle name="AÞ¸¶ [0]_XD±aAØ " xfId="3389" xr:uid="{00000000-0005-0000-0000-0000250D0000}"/>
    <cellStyle name="ÄÞ¸¶ [0]_XD±âÁØ " xfId="3390" xr:uid="{00000000-0005-0000-0000-0000260D0000}"/>
    <cellStyle name="AÞ¸¶_´e¿i" xfId="3391" xr:uid="{00000000-0005-0000-0000-0000270D0000}"/>
    <cellStyle name="ÄÞ¸¶_´ëºñÇ¥" xfId="3392" xr:uid="{00000000-0005-0000-0000-0000280D0000}"/>
    <cellStyle name="AÞ¸¶_´eºnC￥_(그룹)차입금 관련지표 051005" xfId="3393" xr:uid="{00000000-0005-0000-0000-0000290D0000}"/>
    <cellStyle name="ÄÞ¸¶_´ëºñÇ¥_(그룹)차입금 관련지표 051005" xfId="3394" xr:uid="{00000000-0005-0000-0000-00002A0D0000}"/>
    <cellStyle name="AÞ¸¶_´eºnC￥_030401-IR배포자료(구조조정수정)" xfId="3395" xr:uid="{00000000-0005-0000-0000-00002B0D0000}"/>
    <cellStyle name="ÄÞ¸¶_´ëºñÇ¥_04. 1.14" xfId="3396" xr:uid="{00000000-0005-0000-0000-00002C0D0000}"/>
    <cellStyle name="AÞ¸¶_´eºnC￥_04.12.21" xfId="3397" xr:uid="{00000000-0005-0000-0000-00002D0D0000}"/>
    <cellStyle name="ÄÞ¸¶_´ëºñÇ¥_04.12.21" xfId="3398" xr:uid="{00000000-0005-0000-0000-00002E0D0000}"/>
    <cellStyle name="AÞ¸¶_´eºnC￥_05.1.18재무(회장님수정)" xfId="3399" xr:uid="{00000000-0005-0000-0000-00002F0D0000}"/>
    <cellStyle name="ÄÞ¸¶_´ëºñÇ¥_05.1.18재무(회장님수정)" xfId="3400" xr:uid="{00000000-0005-0000-0000-0000300D0000}"/>
    <cellStyle name="AÞ¸¶_´eºnC￥_NC104743E2" xfId="3401" xr:uid="{00000000-0005-0000-0000-0000310D0000}"/>
    <cellStyle name="ÄÞ¸¶_6-3°æÀï·Â " xfId="3402" xr:uid="{00000000-0005-0000-0000-0000320D0000}"/>
    <cellStyle name="AÞ¸¶_96°eE¹ " xfId="3403" xr:uid="{00000000-0005-0000-0000-0000330D0000}"/>
    <cellStyle name="ÄÞ¸¶_96°èÈ¹ " xfId="3404" xr:uid="{00000000-0005-0000-0000-0000340D0000}"/>
    <cellStyle name="AÞ¸¶_A?Cuº°AuA¼(¿i≫e°øAa)  " xfId="3405" xr:uid="{00000000-0005-0000-0000-0000350D0000}"/>
    <cellStyle name="ÄÞ¸¶_À¯Çüº°ÀüÃ¼(¿ï»ê°øÀå)  " xfId="3406" xr:uid="{00000000-0005-0000-0000-0000360D0000}"/>
    <cellStyle name="AÞ¸¶_A¾CO½A¼³ " xfId="3407" xr:uid="{00000000-0005-0000-0000-0000370D0000}"/>
    <cellStyle name="ÄÞ¸¶_ÀÎ¿ø¹× Á¶Á÷(96.5.2.) " xfId="3408" xr:uid="{00000000-0005-0000-0000-0000380D0000}"/>
    <cellStyle name="AÞ¸¶_AN°yC￥ " xfId="3409" xr:uid="{00000000-0005-0000-0000-0000390D0000}"/>
    <cellStyle name="ÄÞ¸¶_ÃÑ°ýÇ¥ " xfId="3410" xr:uid="{00000000-0005-0000-0000-00003A0D0000}"/>
    <cellStyle name="AÞ¸¶_AO¼RCN±U " xfId="3411" xr:uid="{00000000-0005-0000-0000-00003B0D0000}"/>
    <cellStyle name="ÄÞ¸¶_COVER97" xfId="3412" xr:uid="{00000000-0005-0000-0000-00003C0D0000}"/>
    <cellStyle name="AÞ¸¶_INQUIRY ¿μ¾÷AßAø " xfId="3413" xr:uid="{00000000-0005-0000-0000-00003D0D0000}"/>
    <cellStyle name="ÄÞ¸¶_lx-taxi " xfId="3414" xr:uid="{00000000-0005-0000-0000-00003E0D0000}"/>
    <cellStyle name="AÞ¸¶_XD±aAØ " xfId="3415" xr:uid="{00000000-0005-0000-0000-00003F0D0000}"/>
    <cellStyle name="ÄÞ¸¶_XD±âÁØ " xfId="3416" xr:uid="{00000000-0005-0000-0000-0000400D0000}"/>
    <cellStyle name="AÞ¸¶_XG¿ø´UA§ " xfId="3417" xr:uid="{00000000-0005-0000-0000-0000410D0000}"/>
    <cellStyle name="ÄÞ¸¶_XG¿ø´ÜÀ§ " xfId="3418" xr:uid="{00000000-0005-0000-0000-0000420D0000}"/>
    <cellStyle name="_x0001_b" xfId="3419" xr:uid="{00000000-0005-0000-0000-0000430D0000}"/>
    <cellStyle name="Bad" xfId="3420" xr:uid="{00000000-0005-0000-0000-0000440D0000}"/>
    <cellStyle name="blank" xfId="3421" xr:uid="{00000000-0005-0000-0000-0000450D0000}"/>
    <cellStyle name="blank - Style1" xfId="3422" xr:uid="{00000000-0005-0000-0000-0000460D0000}"/>
    <cellStyle name="Body" xfId="3423" xr:uid="{00000000-0005-0000-0000-0000470D0000}"/>
    <cellStyle name="Border" xfId="3424" xr:uid="{00000000-0005-0000-0000-0000480D0000}"/>
    <cellStyle name="Bottom single border" xfId="3425" xr:uid="{00000000-0005-0000-0000-0000490D0000}"/>
    <cellStyle name="Bottom single border 2" xfId="3426" xr:uid="{00000000-0005-0000-0000-00004A0D0000}"/>
    <cellStyle name="BOYLGOTHIC" xfId="3427" xr:uid="{00000000-0005-0000-0000-00004B0D0000}"/>
    <cellStyle name="BOYSTYLE" xfId="3428" xr:uid="{00000000-0005-0000-0000-00004C0D0000}"/>
    <cellStyle name="Brand Default" xfId="3429" xr:uid="{00000000-0005-0000-0000-00004D0D0000}"/>
    <cellStyle name="Brand Subtitle with Underline_DataPack" xfId="3430" xr:uid="{00000000-0005-0000-0000-00004E0D0000}"/>
    <cellStyle name="Brand Title" xfId="3431" xr:uid="{00000000-0005-0000-0000-00004F0D0000}"/>
    <cellStyle name="C¡?A¨ª_2000¨?OER " xfId="3432" xr:uid="{00000000-0005-0000-0000-0000500D0000}"/>
    <cellStyle name="C¡ERERERERIA￠RERERER¡ERERER￠RERER￠RERE?¡ERERER￠RERER¡ERER¡ERE?¡ERERERI_¡ERERER￠RERER¡ERER¡ERE?I￠RERER¡ERER￠RER￠RE?I￠RERER¡ERER￠RER￠RE?￠RERERIiA￠RERERER¡ERERER￠RERER￠RERE?o¡ERERERER¡ERERER￠RERER¡ERER¡ERE?ua" xfId="3433" xr:uid="{00000000-0005-0000-0000-0000510D0000}"/>
    <cellStyle name="C¡IA¨ª_#1,2" xfId="3434" xr:uid="{00000000-0005-0000-0000-0000520D0000}"/>
    <cellStyle name="C¡ÍA¨ª_2000¨ùOER " xfId="3435" xr:uid="{00000000-0005-0000-0000-0000530D0000}"/>
    <cellStyle name="C¡IA¨ª_2000¨uOER _1월채권" xfId="3436" xr:uid="{00000000-0005-0000-0000-0000540D0000}"/>
    <cellStyle name="C￠RIA¡§¨￡_#1,2" xfId="3437" xr:uid="{00000000-0005-0000-0000-0000550D0000}"/>
    <cellStyle name="C￥AØ_ AOAA" xfId="3438" xr:uid="{00000000-0005-0000-0000-0000560D0000}"/>
    <cellStyle name="Ç¥ÁØ_´ë±¸¹ÌÁ¤¸®" xfId="3439" xr:uid="{00000000-0005-0000-0000-0000570D0000}"/>
    <cellStyle name="C￥AØ_´eºnC￥" xfId="3440" xr:uid="{00000000-0005-0000-0000-0000580D0000}"/>
    <cellStyle name="Ç¥ÁØ_´ëºñÇ¥" xfId="3441" xr:uid="{00000000-0005-0000-0000-0000590D0000}"/>
    <cellStyle name="C￥AØ_´eºnC￥ (2)_1_ºI´eAa°ø " xfId="3442" xr:uid="{00000000-0005-0000-0000-00005A0D0000}"/>
    <cellStyle name="Ç¥ÁØ_´ëºñÇ¥ (2)_1_ºÎ´ëÅä°ø " xfId="3443" xr:uid="{00000000-0005-0000-0000-00005B0D0000}"/>
    <cellStyle name="C￥AØ_´eºnC￥ (2)_1_ºI´eAa°ø _(그룹)차입금 관련지표 051005" xfId="3444" xr:uid="{00000000-0005-0000-0000-00005C0D0000}"/>
    <cellStyle name="Ç¥ÁØ_´ëºñÇ¥ (2)_1_ºÎ´ëÅä°ø _(그룹)차입금 관련지표 051005" xfId="3445" xr:uid="{00000000-0005-0000-0000-00005D0D0000}"/>
    <cellStyle name="C￥AØ_´eºnC￥ (2)_1_ºI´eAa°ø _04.12.21" xfId="3446" xr:uid="{00000000-0005-0000-0000-00005E0D0000}"/>
    <cellStyle name="Ç¥ÁØ_´ëºñÇ¥ (2)_1_ºÎ´ëÅä°ø _04.12.21" xfId="3447" xr:uid="{00000000-0005-0000-0000-00005F0D0000}"/>
    <cellStyle name="C￥AØ_´eºnC￥ (2)_1_ºI´eAa°ø _05.1.18재무(회장님수정)" xfId="3448" xr:uid="{00000000-0005-0000-0000-0000600D0000}"/>
    <cellStyle name="Ç¥ÁØ_´ëºñÇ¥ (2)_1_ºÎ´ëÅä°ø _05.1.18재무(회장님수정)" xfId="3449" xr:uid="{00000000-0005-0000-0000-0000610D0000}"/>
    <cellStyle name="C￥AØ_´eºnC￥ (2)_1_ºI´eAa°ø _1.차입금현황" xfId="3450" xr:uid="{00000000-0005-0000-0000-0000620D0000}"/>
    <cellStyle name="Ç¥ÁØ_´ëºñÇ¥ (2)_1_ºÎ´ëÅä°ø _1.차입금현황" xfId="3451" xr:uid="{00000000-0005-0000-0000-0000630D0000}"/>
    <cellStyle name="C￥AØ_´eºnC￥ (2)_1_ºI´eAa°ø _2003. 2.11" xfId="3452" xr:uid="{00000000-0005-0000-0000-0000640D0000}"/>
    <cellStyle name="Ç¥ÁØ_´ëºñÇ¥ (2)_1_ºÎ´ëÅä°ø _2003. 2.11" xfId="3453" xr:uid="{00000000-0005-0000-0000-0000650D0000}"/>
    <cellStyle name="C￥AØ_´eºnC￥ (2)_1_ºI´eAa°ø _NC702978" xfId="3454" xr:uid="{00000000-0005-0000-0000-0000660D0000}"/>
    <cellStyle name="Ç¥ÁØ_´ëºñÇ¥ (2)_1_ºÎ´ëÅä°ø _NC702978" xfId="3455" xr:uid="{00000000-0005-0000-0000-0000670D0000}"/>
    <cellStyle name="C￥AØ_´eºnC￥ (2)_1_ºI´eAa°ø _재무대책(2.17)" xfId="3456" xr:uid="{00000000-0005-0000-0000-0000680D0000}"/>
    <cellStyle name="Ç¥ÁØ_´ëºñÇ¥ (2)_1_ºÎ´ëÅä°ø _재무대책(2.17)" xfId="3457" xr:uid="{00000000-0005-0000-0000-0000690D0000}"/>
    <cellStyle name="C￥AØ_´eºnC￥ (2)_1_ºI´eAa°ø _재무대책양식05. 3.15" xfId="3458" xr:uid="{00000000-0005-0000-0000-00006A0D0000}"/>
    <cellStyle name="Ç¥ÁØ_´ëºñÇ¥ (2)_1_ºÎ´ëÅä°ø _재무대책양식05. 3.15" xfId="3459" xr:uid="{00000000-0005-0000-0000-00006B0D0000}"/>
    <cellStyle name="C￥AØ_´eºnC￥ (2)_1_ºI´eAa°ø _차입금 관련지표 051005" xfId="3460" xr:uid="{00000000-0005-0000-0000-00006C0D0000}"/>
    <cellStyle name="Ç¥ÁØ_´ëºñÇ¥ (2)_1_ºÎ´ëÅä°ø _차입금 관련지표 051005" xfId="3461" xr:uid="{00000000-0005-0000-0000-00006D0D0000}"/>
    <cellStyle name="C￥AØ_´eºnC￥ (2)_1_ºI´eAa°ø _차입금및금리지수" xfId="3462" xr:uid="{00000000-0005-0000-0000-00006E0D0000}"/>
    <cellStyle name="Ç¥ÁØ_´ëºñÇ¥ (2)_1_ºÎ´ëÅä°ø _차입금및금리지수" xfId="3463" xr:uid="{00000000-0005-0000-0000-00006F0D0000}"/>
    <cellStyle name="C￥AØ_´eºnC￥ (2)_ºI´eAa°ø " xfId="3464" xr:uid="{00000000-0005-0000-0000-0000700D0000}"/>
    <cellStyle name="Ç¥ÁØ_´ëºñÇ¥ (2)_ºÎ´ëÅä°ø " xfId="3465" xr:uid="{00000000-0005-0000-0000-0000710D0000}"/>
    <cellStyle name="C￥AØ_´eºnC￥ (2)_ºI´eAa°ø _(그룹)차입금 관련지표 051005" xfId="3466" xr:uid="{00000000-0005-0000-0000-0000720D0000}"/>
    <cellStyle name="Ç¥ÁØ_´ëºñÇ¥ (2)_ºÎ´ëÅä°ø _(그룹)차입금 관련지표 051005" xfId="3467" xr:uid="{00000000-0005-0000-0000-0000730D0000}"/>
    <cellStyle name="C￥AØ_´eºnC￥ (2)_ºI´eAa°ø _04.12.21" xfId="3468" xr:uid="{00000000-0005-0000-0000-0000740D0000}"/>
    <cellStyle name="Ç¥ÁØ_´ëºñÇ¥ (2)_ºÎ´ëÅä°ø _04.12.21" xfId="3469" xr:uid="{00000000-0005-0000-0000-0000750D0000}"/>
    <cellStyle name="C￥AØ_´eºnC￥ (2)_ºI´eAa°ø _05.1.18재무(회장님수정)" xfId="3470" xr:uid="{00000000-0005-0000-0000-0000760D0000}"/>
    <cellStyle name="Ç¥ÁØ_´ëºñÇ¥ (2)_ºÎ´ëÅä°ø _05.1.18재무(회장님수정)" xfId="3471" xr:uid="{00000000-0005-0000-0000-0000770D0000}"/>
    <cellStyle name="C￥AØ_´eºnC￥ (2)_ºI´eAa°ø _1.차입금현황" xfId="3472" xr:uid="{00000000-0005-0000-0000-0000780D0000}"/>
    <cellStyle name="Ç¥ÁØ_´ëºñÇ¥ (2)_ºÎ´ëÅä°ø _1.차입금현황" xfId="3473" xr:uid="{00000000-0005-0000-0000-0000790D0000}"/>
    <cellStyle name="C￥AØ_´eºnC￥ (2)_ºI´eAa°ø _2003. 2.11" xfId="3474" xr:uid="{00000000-0005-0000-0000-00007A0D0000}"/>
    <cellStyle name="Ç¥ÁØ_´ëºñÇ¥ (2)_ºÎ´ëÅä°ø _2003. 2.11" xfId="3475" xr:uid="{00000000-0005-0000-0000-00007B0D0000}"/>
    <cellStyle name="C￥AØ_´eºnC￥ (2)_ºI´eAa°ø _NC702978" xfId="3476" xr:uid="{00000000-0005-0000-0000-00007C0D0000}"/>
    <cellStyle name="Ç¥ÁØ_´ëºñÇ¥ (2)_ºÎ´ëÅä°ø _NC702978" xfId="3477" xr:uid="{00000000-0005-0000-0000-00007D0D0000}"/>
    <cellStyle name="C￥AØ_´eºnC￥ (2)_ºI´eAa°ø _재무대책(2.17)" xfId="3478" xr:uid="{00000000-0005-0000-0000-00007E0D0000}"/>
    <cellStyle name="Ç¥ÁØ_´ëºñÇ¥ (2)_ºÎ´ëÅä°ø _재무대책(2.17)" xfId="3479" xr:uid="{00000000-0005-0000-0000-00007F0D0000}"/>
    <cellStyle name="C￥AØ_´eºnC￥ (2)_ºI´eAa°ø _재무대책양식05. 3.15" xfId="3480" xr:uid="{00000000-0005-0000-0000-0000800D0000}"/>
    <cellStyle name="Ç¥ÁØ_´ëºñÇ¥ (2)_ºÎ´ëÅä°ø _재무대책양식05. 3.15" xfId="3481" xr:uid="{00000000-0005-0000-0000-0000810D0000}"/>
    <cellStyle name="C￥AØ_´eºnC￥ (2)_ºI´eAa°ø _차입금 관련지표 051005" xfId="3482" xr:uid="{00000000-0005-0000-0000-0000820D0000}"/>
    <cellStyle name="Ç¥ÁØ_´ëºñÇ¥ (2)_ºÎ´ëÅä°ø _차입금 관련지표 051005" xfId="3483" xr:uid="{00000000-0005-0000-0000-0000830D0000}"/>
    <cellStyle name="C￥AØ_´eºnC￥ (2)_ºI´eAa°ø _차입금및금리지수" xfId="3484" xr:uid="{00000000-0005-0000-0000-0000840D0000}"/>
    <cellStyle name="Ç¥ÁØ_´ëºñÇ¥ (2)_ºÎ´ëÅä°ø _차입금및금리지수" xfId="3485" xr:uid="{00000000-0005-0000-0000-0000850D0000}"/>
    <cellStyle name="C￥AØ_¸AAa.¼OAI " xfId="3486" xr:uid="{00000000-0005-0000-0000-0000860D0000}"/>
    <cellStyle name="Ç¥ÁØ_¸ÅÃâ¿ø°¡ " xfId="3487" xr:uid="{00000000-0005-0000-0000-0000870D0000}"/>
    <cellStyle name="C￥AØ_¸nA÷ " xfId="3488" xr:uid="{00000000-0005-0000-0000-0000880D0000}"/>
    <cellStyle name="Ç¥ÁØ_¸ñÂ÷ " xfId="3489" xr:uid="{00000000-0005-0000-0000-0000890D0000}"/>
    <cellStyle name="C￥AØ_¸Þ¸ðAa" xfId="3490" xr:uid="{00000000-0005-0000-0000-00008A0D0000}"/>
    <cellStyle name="Ç¥ÁØ_¿µ¾÷ÀÌÀÍÁß°ø¾÷ " xfId="3491" xr:uid="{00000000-0005-0000-0000-00008B0D0000}"/>
    <cellStyle name="C￥AØ_¿ø´UA§ " xfId="3492" xr:uid="{00000000-0005-0000-0000-00008C0D0000}"/>
    <cellStyle name="Ç¥ÁØ_¿ø´ÜÀ§ " xfId="3493" xr:uid="{00000000-0005-0000-0000-00008D0D0000}"/>
    <cellStyle name="C￥AØ_¿u°￡¿a¾aº¸°i" xfId="3494" xr:uid="{00000000-0005-0000-0000-00008E0D0000}"/>
    <cellStyle name="Ç¥ÁØ_±â¾È¿ëÁö_KDº¯µ¿ " xfId="3495" xr:uid="{00000000-0005-0000-0000-00008F0D0000}"/>
    <cellStyle name="C￥AØ_±aAØ " xfId="3496" xr:uid="{00000000-0005-0000-0000-0000900D0000}"/>
    <cellStyle name="Ç¥ÁØ_±âÁØ " xfId="3497" xr:uid="{00000000-0005-0000-0000-0000910D0000}"/>
    <cellStyle name="C￥AØ_≫c¾÷ºIº° AN°e " xfId="3498" xr:uid="{00000000-0005-0000-0000-0000920D0000}"/>
    <cellStyle name="Ç¥ÁØ_°³¹ßÀÏÁ¤ " xfId="3499" xr:uid="{00000000-0005-0000-0000-0000930D0000}"/>
    <cellStyle name="C￥AØ_°³¹ßAIA¤  (2)_°³¹ßAIA¤ " xfId="3500" xr:uid="{00000000-0005-0000-0000-0000940D0000}"/>
    <cellStyle name="Ç¥ÁØ_°³¹ßÀÏÁ¤  (2)_°³¹ßÀÏÁ¤ " xfId="3501" xr:uid="{00000000-0005-0000-0000-0000950D0000}"/>
    <cellStyle name="C￥AØ_¼±AoAc°i_1_³≫ºI°eE¹´e AßA¤A÷AI " xfId="3502" xr:uid="{00000000-0005-0000-0000-0000960D0000}"/>
    <cellStyle name="Ç¥ÁØ_¼±ÅõÀç°í_³»ºÎ°èÈ¹´ë ÃßÁ¤Â÷ÀÌ " xfId="3503" xr:uid="{00000000-0005-0000-0000-0000970D0000}"/>
    <cellStyle name="C￥AØ_¼±AoAc°i_³≫ºI°eE¹´e AßA¤A÷AI " xfId="3504" xr:uid="{00000000-0005-0000-0000-0000980D0000}"/>
    <cellStyle name="Ç¥ÁØ_¼ÕÀÍ" xfId="3505" xr:uid="{00000000-0005-0000-0000-0000990D0000}"/>
    <cellStyle name="C￥AØ_¼OAIA÷ (2)_1_³≫ºI°eE¹´e AßA¤A÷AI " xfId="3506" xr:uid="{00000000-0005-0000-0000-00009A0D0000}"/>
    <cellStyle name="Ç¥ÁØ_¼ÕÀÍÂ÷ (2)_³»ºÎ°èÈ¹´ë ÃßÁ¤Â÷ÀÌ " xfId="3507" xr:uid="{00000000-0005-0000-0000-00009B0D0000}"/>
    <cellStyle name="C￥AØ_¼OAIA÷ (2)_³≫ºI°eE¹´e AßA¤A÷AI " xfId="3508" xr:uid="{00000000-0005-0000-0000-00009C0D0000}"/>
    <cellStyle name="Ç¥ÁØ_¹®¼­Ã³" xfId="3509" xr:uid="{00000000-0005-0000-0000-00009D0D0000}"/>
    <cellStyle name="C￥AØ_10+10 " xfId="3510" xr:uid="{00000000-0005-0000-0000-00009E0D0000}"/>
    <cellStyle name="Ç¥ÁØ_10+10 " xfId="3511" xr:uid="{00000000-0005-0000-0000-00009F0D0000}"/>
    <cellStyle name="C￥AØ_1A÷ ¼³°e¿ø°¡ºÐ¼R_KDº?μ¿ " xfId="3512" xr:uid="{00000000-0005-0000-0000-0000A00D0000}"/>
    <cellStyle name="Ç¥ÁØ_2.0GLS_¿ø´ÜÀ§ " xfId="3513" xr:uid="{00000000-0005-0000-0000-0000A10D0000}"/>
    <cellStyle name="C￥AØ_2.5GLS_¿ø´UA§ " xfId="3514" xr:uid="{00000000-0005-0000-0000-0000A20D0000}"/>
    <cellStyle name="Ç¥ÁØ_2.5GLS_¿ø´ÜÀ§ " xfId="3515" xr:uid="{00000000-0005-0000-0000-0000A30D0000}"/>
    <cellStyle name="C￥AØ_³≫ºI°eE¹´e AßA¤A÷AI " xfId="3516" xr:uid="{00000000-0005-0000-0000-0000A40D0000}"/>
    <cellStyle name="Ç¥ÁØ_5-1±¤°í " xfId="3517" xr:uid="{00000000-0005-0000-0000-0000A50D0000}"/>
    <cellStyle name="C￥AØ_5-1±¤°i _▣ 중장기계획'06년_HMC 최종(060601)-첨부" xfId="3518" xr:uid="{00000000-0005-0000-0000-0000A60D0000}"/>
    <cellStyle name="Ç¥ÁØ_5-1±¤°í _▣ 중장기계획'06년_HMC 최종(060601)-첨부" xfId="3519" xr:uid="{00000000-0005-0000-0000-0000A70D0000}"/>
    <cellStyle name="C￥AØ_5-1±¤°i _021106국내영업본부중장기계획-2003714" xfId="3520" xr:uid="{00000000-0005-0000-0000-0000A80D0000}"/>
    <cellStyle name="Ç¥ÁØ_5-1±¤°í _사장단회의(1월)(1)" xfId="3521" xr:uid="{00000000-0005-0000-0000-0000A90D0000}"/>
    <cellStyle name="C￥AØ_5-1±¤°i _시장점유율(영업팀0605)-장기계획" xfId="3522" xr:uid="{00000000-0005-0000-0000-0000AA0D0000}"/>
    <cellStyle name="Ç¥ÁØ_5-1±¤°í _시장점유율(영업팀0605)-장기계획" xfId="3523" xr:uid="{00000000-0005-0000-0000-0000AB0D0000}"/>
    <cellStyle name="C￥AØ_5-1±¤°i _재무팀종합" xfId="3524" xr:uid="{00000000-0005-0000-0000-0000AC0D0000}"/>
    <cellStyle name="Ç¥ÁØ_5-1±¤°í _재무팀종합" xfId="3525" xr:uid="{00000000-0005-0000-0000-0000AD0D0000}"/>
    <cellStyle name="C￥AØ_5-1±¤°i _중장기 사업계획&amp;전략 작성-(060530)" xfId="3526" xr:uid="{00000000-0005-0000-0000-0000AE0D0000}"/>
    <cellStyle name="Ç¥ÁØ_5-1±¤°í _중장기 사업계획&amp;전략 작성-(060530)" xfId="3527" xr:uid="{00000000-0005-0000-0000-0000AF0D0000}"/>
    <cellStyle name="C￥AØ_5-1±¤°i _중장기계획양식(총괄본부)" xfId="3528" xr:uid="{00000000-0005-0000-0000-0000B00D0000}"/>
    <cellStyle name="Ç¥ÁØ_5-1±¤°í _중장기계획양식(총괄본부)" xfId="3529" xr:uid="{00000000-0005-0000-0000-0000B10D0000}"/>
    <cellStyle name="C￥AØ_6-3°æAi·A " xfId="3530" xr:uid="{00000000-0005-0000-0000-0000B20D0000}"/>
    <cellStyle name="Ç¥ÁØ_6-3°æÀï·Â " xfId="3531" xr:uid="{00000000-0005-0000-0000-0000B30D0000}"/>
    <cellStyle name="C￥AØ_8HR " xfId="3532" xr:uid="{00000000-0005-0000-0000-0000B40D0000}"/>
    <cellStyle name="Ç¥ÁØ_8HR " xfId="3533" xr:uid="{00000000-0005-0000-0000-0000B50D0000}"/>
    <cellStyle name="C￥AØ_A¸≫cºÐ_³≫ºI°eE¹´e AßA¤A÷AI " xfId="3534" xr:uid="{00000000-0005-0000-0000-0000B60D0000}"/>
    <cellStyle name="Ç¥ÁØ_Á¶Á÷µµ(12.31) " xfId="3535" xr:uid="{00000000-0005-0000-0000-0000B70D0000}"/>
    <cellStyle name="C￥AØ_A¶A÷μμ(12.31) " xfId="3536" xr:uid="{00000000-0005-0000-0000-0000B80D0000}"/>
    <cellStyle name="Ç¥ÁØ_Á¾ÇÕ_8HR " xfId="3537" xr:uid="{00000000-0005-0000-0000-0000B90D0000}"/>
    <cellStyle name="C￥AØ_AeCO°eA¤" xfId="3538" xr:uid="{00000000-0005-0000-0000-0000BA0D0000}"/>
    <cellStyle name="Ç¥ÁØ_ÀÎ¿ø¹× Á¶Á÷(96.5.2.) " xfId="3539" xr:uid="{00000000-0005-0000-0000-0000BB0D0000}"/>
    <cellStyle name="C￥AØ_AI¿øCoE² " xfId="3540" xr:uid="{00000000-0005-0000-0000-0000BC0D0000}"/>
    <cellStyle name="Ç¥ÁØ_ÁÖ¿äITEMÂ÷ÀÌºñ±³-1_ÀüÈÄ Â÷ÀÌºñ±³ " xfId="3541" xr:uid="{00000000-0005-0000-0000-0000BD0D0000}"/>
    <cellStyle name="C￥AØ_AO¿aITEMA÷AIºn±³-2_AuEA A÷AIºn±³ " xfId="3542" xr:uid="{00000000-0005-0000-0000-0000BE0D0000}"/>
    <cellStyle name="Ç¥ÁØ_ÁÖ¿äITEMÂ÷ÀÌºñ±³-2_ÀüÈÄ Â÷ÀÌºñ±³ " xfId="3543" xr:uid="{00000000-0005-0000-0000-0000BF0D0000}"/>
    <cellStyle name="C￥AØ_AoAUAy°eC￥ " xfId="3544" xr:uid="{00000000-0005-0000-0000-0000C00D0000}"/>
    <cellStyle name="Ç¥ÁØ_Àü·«°èÈ¹" xfId="3545" xr:uid="{00000000-0005-0000-0000-0000C10D0000}"/>
    <cellStyle name="C￥AØ_Ay°eC￥(2¿u) " xfId="3546" xr:uid="{00000000-0005-0000-0000-0000C20D0000}"/>
    <cellStyle name="Ç¥ÁØ_Áý°èÇ¥(2¿ù) " xfId="3547" xr:uid="{00000000-0005-0000-0000-0000C30D0000}"/>
    <cellStyle name="C￥AØ_Ay°eC￥(2¿u) _계열사현황" xfId="3548" xr:uid="{00000000-0005-0000-0000-0000C40D0000}"/>
    <cellStyle name="Ç¥ÁØ_Áý°èÇ¥(2¿ù) _계열사현황" xfId="3549" xr:uid="{00000000-0005-0000-0000-0000C50D0000}"/>
    <cellStyle name="C￥AØ_Ay°eC￥(2¿u) _사장단회의(1월)(1)" xfId="3550" xr:uid="{00000000-0005-0000-0000-0000C60D0000}"/>
    <cellStyle name="Ç¥ÁØ_Áý°èÇ¥(2¿ù) _사장단회의(1월)(1)" xfId="3551" xr:uid="{00000000-0005-0000-0000-0000C70D0000}"/>
    <cellStyle name="C￥AØ_Ay°eC￥(2¿u) _재무팀종합" xfId="3552" xr:uid="{00000000-0005-0000-0000-0000C80D0000}"/>
    <cellStyle name="Ç¥ÁØ_Áý°èÇ¥(2¿ù) _재무팀종합" xfId="3553" xr:uid="{00000000-0005-0000-0000-0000C90D0000}"/>
    <cellStyle name="C￥AØ_BRK¿ø´U.XLS " xfId="3554" xr:uid="{00000000-0005-0000-0000-0000CA0D0000}"/>
    <cellStyle name="Ç¥ÁØ_BRK¿ø´Ü.XLS " xfId="3555" xr:uid="{00000000-0005-0000-0000-0000CB0D0000}"/>
    <cellStyle name="C￥AØ_C￥1_¿ø´UA§ " xfId="3556" xr:uid="{00000000-0005-0000-0000-0000CC0D0000}"/>
    <cellStyle name="Ç¥ÁØ_Ç¥1_¿ø´ÜÀ§ " xfId="3557" xr:uid="{00000000-0005-0000-0000-0000CD0D0000}"/>
    <cellStyle name="C￥AØ_C￥2_¿ø´UA§ " xfId="3558" xr:uid="{00000000-0005-0000-0000-0000CE0D0000}"/>
    <cellStyle name="Ç¥ÁØ_Ç¥2_¿ø´ÜÀ§ " xfId="3559" xr:uid="{00000000-0005-0000-0000-0000CF0D0000}"/>
    <cellStyle name="C￥AØ_C￥3_¿ø´UA§ " xfId="3560" xr:uid="{00000000-0005-0000-0000-0000D00D0000}"/>
    <cellStyle name="Ç¥ÁØ_Ç¥3_¿ø´ÜÀ§ " xfId="3561" xr:uid="{00000000-0005-0000-0000-0000D10D0000}"/>
    <cellStyle name="C￥AØ_C￥4_¿ø´UA§ " xfId="3562" xr:uid="{00000000-0005-0000-0000-0000D20D0000}"/>
    <cellStyle name="Ç¥ÁØ_Ç¥4_¿ø´ÜÀ§ " xfId="3563" xr:uid="{00000000-0005-0000-0000-0000D30D0000}"/>
    <cellStyle name="C￥AØ_CoAo¹yAI °A¾×¿ⓒ½A " xfId="3564" xr:uid="{00000000-0005-0000-0000-0000D40D0000}"/>
    <cellStyle name="Ç¥ÁØ_CON¿ø´Ü.XLS " xfId="3565" xr:uid="{00000000-0005-0000-0000-0000D50D0000}"/>
    <cellStyle name="C￥AØ_CuA¶Au_96°eE¹ " xfId="3566" xr:uid="{00000000-0005-0000-0000-0000D60D0000}"/>
    <cellStyle name="Ç¥ÁØ_ÇùÁ¶Àü_96°èÈ¹ " xfId="3567" xr:uid="{00000000-0005-0000-0000-0000D70D0000}"/>
    <cellStyle name="C￥AØ_EFAuEAAßA¤¿ø´UA§ " xfId="3568" xr:uid="{00000000-0005-0000-0000-0000D80D0000}"/>
    <cellStyle name="Ç¥ÁØ_EFÀüÈÄÃßÁ¤¿ø´ÜÀ§ " xfId="3569" xr:uid="{00000000-0005-0000-0000-0000D90D0000}"/>
    <cellStyle name="C￥AØ_H1 ´e XG ¿ø´UA§ " xfId="3570" xr:uid="{00000000-0005-0000-0000-0000DA0D0000}"/>
    <cellStyle name="Ç¥ÁØ_H1 ´ë XG ¿ø´ÜÀ§ " xfId="3571" xr:uid="{00000000-0005-0000-0000-0000DB0D0000}"/>
    <cellStyle name="C￥AØ_H1VSXGAßA¤¿ø´UA§_¿ø´UA§ " xfId="3572" xr:uid="{00000000-0005-0000-0000-0000DC0D0000}"/>
    <cellStyle name="Ç¥ÁØ_H1VSXGÃßÁ¤¿ø´ÜÀ§_¿ø´ÜÀ§ " xfId="3573" xr:uid="{00000000-0005-0000-0000-0000DD0D0000}"/>
    <cellStyle name="C￥AØ_KD LIST_¿ø´UA§ " xfId="3574" xr:uid="{00000000-0005-0000-0000-0000DE0D0000}"/>
    <cellStyle name="Ç¥ÁØ_KD LIST_¿ø´ÜÀ§ " xfId="3575" xr:uid="{00000000-0005-0000-0000-0000DF0D0000}"/>
    <cellStyle name="C￥AØ_KD LIST_AuEA A÷AIºn±³ " xfId="3576" xr:uid="{00000000-0005-0000-0000-0000E00D0000}"/>
    <cellStyle name="Ç¥ÁØ_KD LIST_ÀüÈÄ Â÷ÀÌºñ±³ " xfId="3577" xr:uid="{00000000-0005-0000-0000-0000E10D0000}"/>
    <cellStyle name="C￥AØ_LX A÷AIºn±³_¿ø´UA§ " xfId="3578" xr:uid="{00000000-0005-0000-0000-0000E20D0000}"/>
    <cellStyle name="Ç¥ÁØ_LX Â÷ÀÌºñ±³_¿ø´ÜÀ§ " xfId="3579" xr:uid="{00000000-0005-0000-0000-0000E30D0000}"/>
    <cellStyle name="C￥AØ_LX A÷AIºn±³_AuEA A÷AIºn±³ " xfId="3580" xr:uid="{00000000-0005-0000-0000-0000E40D0000}"/>
    <cellStyle name="Ç¥ÁØ_LX Â÷ÀÌºñ±³_ÀüÈÄ Â÷ÀÌºñ±³ " xfId="3581" xr:uid="{00000000-0005-0000-0000-0000E50D0000}"/>
    <cellStyle name="C￥AØ_LXLZ3.0 " xfId="3582" xr:uid="{00000000-0005-0000-0000-0000E60D0000}"/>
    <cellStyle name="Ç¥ÁØ_LXLZ3.0 " xfId="3583" xr:uid="{00000000-0005-0000-0000-0000E70D0000}"/>
    <cellStyle name="C￥AØ_LXLZ3.5 " xfId="3584" xr:uid="{00000000-0005-0000-0000-0000E80D0000}"/>
    <cellStyle name="Ç¥ÁØ_LXLZ3.5 " xfId="3585" xr:uid="{00000000-0005-0000-0000-0000E90D0000}"/>
    <cellStyle name="C￥AØ_LXLZ4.5 " xfId="3586" xr:uid="{00000000-0005-0000-0000-0000EA0D0000}"/>
    <cellStyle name="Ç¥ÁØ_LXLZ4.5 " xfId="3587" xr:uid="{00000000-0005-0000-0000-0000EB0D0000}"/>
    <cellStyle name="C￥AØ_LXLZEXH_AuEA A÷AIºn±³ " xfId="3588" xr:uid="{00000000-0005-0000-0000-0000EC0D0000}"/>
    <cellStyle name="Ç¥ÁØ_LXLZEXH_ÀüÈÄ Â÷ÀÌºñ±³ " xfId="3589" xr:uid="{00000000-0005-0000-0000-0000ED0D0000}"/>
    <cellStyle name="C￥AØ_lx-taxi " xfId="3590" xr:uid="{00000000-0005-0000-0000-0000EE0D0000}"/>
    <cellStyle name="Ç¥ÁØ_lx-taxi " xfId="3591" xr:uid="{00000000-0005-0000-0000-0000EF0D0000}"/>
    <cellStyle name="C￥AØ_LZ3.5´e4.5_AuEA A÷AIºn±³ " xfId="3592" xr:uid="{00000000-0005-0000-0000-0000F00D0000}"/>
    <cellStyle name="Ç¥ÁØ_LZ3.5´ë4.5_ÀüÈÄ Â÷ÀÌºñ±³ " xfId="3593" xr:uid="{00000000-0005-0000-0000-0000F10D0000}"/>
    <cellStyle name="C￥AØ_MIP LIST_¿ø´UA§ " xfId="3594" xr:uid="{00000000-0005-0000-0000-0000F20D0000}"/>
    <cellStyle name="Ç¥ÁØ_MIP LIST_¿ø´ÜÀ§ " xfId="3595" xr:uid="{00000000-0005-0000-0000-0000F30D0000}"/>
    <cellStyle name="C￥AØ_º?³≫_¿ø´UA§ " xfId="3596" xr:uid="{00000000-0005-0000-0000-0000F40D0000}"/>
    <cellStyle name="Ç¥ÁØ_º¯µ¿XG-±¸ºÐ,³»¿ë¼öÁ¤_KDº¯µ¿ " xfId="3597" xr:uid="{00000000-0005-0000-0000-0000F50D0000}"/>
    <cellStyle name="C￥AØ_º¸°i_KDº?μ¿ " xfId="3598" xr:uid="{00000000-0005-0000-0000-0000F60D0000}"/>
    <cellStyle name="Ç¥ÁØ_º¸°í_KDº¯µ¿ " xfId="3599" xr:uid="{00000000-0005-0000-0000-0000F70D0000}"/>
    <cellStyle name="C￥AØ_ºn±³    " xfId="3600" xr:uid="{00000000-0005-0000-0000-0000F80D0000}"/>
    <cellStyle name="Ç¥ÁØ_ºñ±³    " xfId="3601" xr:uid="{00000000-0005-0000-0000-0000F90D0000}"/>
    <cellStyle name="C￥AØ_Sheet1(2)_¿ø´UA§ " xfId="3602" xr:uid="{00000000-0005-0000-0000-0000FA0D0000}"/>
    <cellStyle name="Ç¥ÁØ_Sheet1(2)_¿ø´ÜÀ§ " xfId="3603" xr:uid="{00000000-0005-0000-0000-0000FB0D0000}"/>
    <cellStyle name="C￥AØ_Sheet1_¿ø´UA§ " xfId="3604" xr:uid="{00000000-0005-0000-0000-0000FC0D0000}"/>
    <cellStyle name="Ç¥ÁØ_Sheet1_¿ø´ÜÀ§ " xfId="3605" xr:uid="{00000000-0005-0000-0000-0000FD0D0000}"/>
    <cellStyle name="C￥AØ_Sheet1_¿μ¾÷CoE² " xfId="3606" xr:uid="{00000000-0005-0000-0000-0000FE0D0000}"/>
    <cellStyle name="Ç¥ÁØ_Sheet1_0N-HANDLING " xfId="3607" xr:uid="{00000000-0005-0000-0000-0000FF0D0000}"/>
    <cellStyle name="C￥AØ_Sheet1_Ay°eC￥(2¿u) " xfId="3608" xr:uid="{00000000-0005-0000-0000-0000000E0000}"/>
    <cellStyle name="Ç¥ÁØ_Sheet1_Áý°èÇ¥(2¿ù) " xfId="3609" xr:uid="{00000000-0005-0000-0000-0000010E0000}"/>
    <cellStyle name="C￥AØ_Sheet1_Ay°eC￥(2¿u) _▣ 중장기계획'06년_HMC 최종(060601)-첨부" xfId="3610" xr:uid="{00000000-0005-0000-0000-0000020E0000}"/>
    <cellStyle name="Ç¥ÁØ_Sheet1_Áý°èÇ¥(2¿ù) _▣ 중장기계획'06년_HMC 최종(060601)-첨부" xfId="3611" xr:uid="{00000000-0005-0000-0000-0000030E0000}"/>
    <cellStyle name="C￥AØ_Sheet1_Ay°eC￥(2¿u) _021106국내영업본부중장기계획-2003714" xfId="3612" xr:uid="{00000000-0005-0000-0000-0000040E0000}"/>
    <cellStyle name="Ç¥ÁØ_Sheet1_Áý°èÇ¥(2¿ù) _021106국내영업본부중장기계획-2003714" xfId="3613" xr:uid="{00000000-0005-0000-0000-0000050E0000}"/>
    <cellStyle name="C￥AØ_Sheet1_Ay°eC￥(2¿u) _iTEM별 수량_060605(★)" xfId="3614" xr:uid="{00000000-0005-0000-0000-0000060E0000}"/>
    <cellStyle name="Ç¥ÁØ_XD±âÁØ " xfId="3615" xr:uid="{00000000-0005-0000-0000-0000070E0000}"/>
    <cellStyle name="C￥AØ_XG¿ø´UA§ " xfId="3616" xr:uid="{00000000-0005-0000-0000-0000080E0000}"/>
    <cellStyle name="Ç¥ÁØ_XG¿ø´ÜÀ§ " xfId="3617" xr:uid="{00000000-0005-0000-0000-0000090E0000}"/>
    <cellStyle name="C￥AØ_XG3A÷°e≫e¿ø´UA§ " xfId="3618" xr:uid="{00000000-0005-0000-0000-00000A0E0000}"/>
    <cellStyle name="C00A" xfId="3619" xr:uid="{00000000-0005-0000-0000-00000B0E0000}"/>
    <cellStyle name="C00B" xfId="3620" xr:uid="{00000000-0005-0000-0000-00000C0E0000}"/>
    <cellStyle name="C00L" xfId="3621" xr:uid="{00000000-0005-0000-0000-00000D0E0000}"/>
    <cellStyle name="C01A" xfId="3622" xr:uid="{00000000-0005-0000-0000-00000E0E0000}"/>
    <cellStyle name="C01B" xfId="3623" xr:uid="{00000000-0005-0000-0000-00000F0E0000}"/>
    <cellStyle name="C01H" xfId="3624" xr:uid="{00000000-0005-0000-0000-0000100E0000}"/>
    <cellStyle name="C01L" xfId="3625" xr:uid="{00000000-0005-0000-0000-0000110E0000}"/>
    <cellStyle name="C02A" xfId="3626" xr:uid="{00000000-0005-0000-0000-0000120E0000}"/>
    <cellStyle name="C02B" xfId="3627" xr:uid="{00000000-0005-0000-0000-0000130E0000}"/>
    <cellStyle name="C02H" xfId="3628" xr:uid="{00000000-0005-0000-0000-0000140E0000}"/>
    <cellStyle name="C02L" xfId="3629" xr:uid="{00000000-0005-0000-0000-0000150E0000}"/>
    <cellStyle name="C03A" xfId="3630" xr:uid="{00000000-0005-0000-0000-0000160E0000}"/>
    <cellStyle name="C03B" xfId="3631" xr:uid="{00000000-0005-0000-0000-0000170E0000}"/>
    <cellStyle name="C03H" xfId="3632" xr:uid="{00000000-0005-0000-0000-0000180E0000}"/>
    <cellStyle name="C03L" xfId="3633" xr:uid="{00000000-0005-0000-0000-0000190E0000}"/>
    <cellStyle name="C04A" xfId="3634" xr:uid="{00000000-0005-0000-0000-00001A0E0000}"/>
    <cellStyle name="C04B" xfId="3635" xr:uid="{00000000-0005-0000-0000-00001B0E0000}"/>
    <cellStyle name="C04H" xfId="3636" xr:uid="{00000000-0005-0000-0000-00001C0E0000}"/>
    <cellStyle name="C04L" xfId="3637" xr:uid="{00000000-0005-0000-0000-00001D0E0000}"/>
    <cellStyle name="C05A" xfId="3638" xr:uid="{00000000-0005-0000-0000-00001E0E0000}"/>
    <cellStyle name="C05B" xfId="3639" xr:uid="{00000000-0005-0000-0000-00001F0E0000}"/>
    <cellStyle name="C05H" xfId="3640" xr:uid="{00000000-0005-0000-0000-0000200E0000}"/>
    <cellStyle name="C05L" xfId="3641" xr:uid="{00000000-0005-0000-0000-0000210E0000}"/>
    <cellStyle name="C06A" xfId="3642" xr:uid="{00000000-0005-0000-0000-0000220E0000}"/>
    <cellStyle name="C06B" xfId="3643" xr:uid="{00000000-0005-0000-0000-0000230E0000}"/>
    <cellStyle name="C06H" xfId="3644" xr:uid="{00000000-0005-0000-0000-0000240E0000}"/>
    <cellStyle name="C06L" xfId="3645" xr:uid="{00000000-0005-0000-0000-0000250E0000}"/>
    <cellStyle name="C07A" xfId="3646" xr:uid="{00000000-0005-0000-0000-0000260E0000}"/>
    <cellStyle name="C07B" xfId="3647" xr:uid="{00000000-0005-0000-0000-0000270E0000}"/>
    <cellStyle name="C07H" xfId="3648" xr:uid="{00000000-0005-0000-0000-0000280E0000}"/>
    <cellStyle name="C07L" xfId="3649" xr:uid="{00000000-0005-0000-0000-0000290E0000}"/>
    <cellStyle name="Calc Currency (0)" xfId="3650" xr:uid="{00000000-0005-0000-0000-00002A0E0000}"/>
    <cellStyle name="Calc Currency (2)" xfId="3651" xr:uid="{00000000-0005-0000-0000-00002B0E0000}"/>
    <cellStyle name="Calc Percent (0)" xfId="3652" xr:uid="{00000000-0005-0000-0000-00002C0E0000}"/>
    <cellStyle name="Calc Percent (1)" xfId="3653" xr:uid="{00000000-0005-0000-0000-00002D0E0000}"/>
    <cellStyle name="Calc Percent (2)" xfId="3654" xr:uid="{00000000-0005-0000-0000-00002E0E0000}"/>
    <cellStyle name="Calc Units (0)" xfId="3655" xr:uid="{00000000-0005-0000-0000-00002F0E0000}"/>
    <cellStyle name="Calc Units (1)" xfId="3656" xr:uid="{00000000-0005-0000-0000-0000300E0000}"/>
    <cellStyle name="Calc Units (2)" xfId="3657" xr:uid="{00000000-0005-0000-0000-0000310E0000}"/>
    <cellStyle name="Calculation" xfId="3658" xr:uid="{00000000-0005-0000-0000-0000320E0000}"/>
    <cellStyle name="category" xfId="3659" xr:uid="{00000000-0005-0000-0000-0000330E0000}"/>
    <cellStyle name="Check Cell" xfId="3660" xr:uid="{00000000-0005-0000-0000-0000340E0000}"/>
    <cellStyle name="Co" xfId="3661" xr:uid="{00000000-0005-0000-0000-0000350E0000}"/>
    <cellStyle name="Code" xfId="3662" xr:uid="{00000000-0005-0000-0000-0000360E0000}"/>
    <cellStyle name="ⓒøfⓒoo [0]_RESULTS" xfId="3663" xr:uid="{00000000-0005-0000-0000-0000370E0000}"/>
    <cellStyle name="ⓒøfⓒoo_RESULTS" xfId="3664" xr:uid="{00000000-0005-0000-0000-0000380E0000}"/>
    <cellStyle name="Column Heading" xfId="3665" xr:uid="{00000000-0005-0000-0000-0000390E0000}"/>
    <cellStyle name="Column_Title" xfId="3666" xr:uid="{00000000-0005-0000-0000-00003A0E0000}"/>
    <cellStyle name="columns_array" xfId="3667" xr:uid="{00000000-0005-0000-0000-00003B0E0000}"/>
    <cellStyle name="Comma" xfId="3668" xr:uid="{00000000-0005-0000-0000-00003C0E0000}"/>
    <cellStyle name="Comma  - Style1" xfId="3669" xr:uid="{00000000-0005-0000-0000-00003D0E0000}"/>
    <cellStyle name="Comma  - Style2" xfId="3670" xr:uid="{00000000-0005-0000-0000-00003E0E0000}"/>
    <cellStyle name="Comma  - Style3" xfId="3671" xr:uid="{00000000-0005-0000-0000-00003F0E0000}"/>
    <cellStyle name="Comma  - Style4" xfId="3672" xr:uid="{00000000-0005-0000-0000-0000400E0000}"/>
    <cellStyle name="Comma  - Style5" xfId="3673" xr:uid="{00000000-0005-0000-0000-0000410E0000}"/>
    <cellStyle name="Comma  - Style6" xfId="3674" xr:uid="{00000000-0005-0000-0000-0000420E0000}"/>
    <cellStyle name="Comma  - Style7" xfId="3675" xr:uid="{00000000-0005-0000-0000-0000430E0000}"/>
    <cellStyle name="Comma  - Style8" xfId="3676" xr:uid="{00000000-0005-0000-0000-0000440E0000}"/>
    <cellStyle name="Comma [0]" xfId="3677" xr:uid="{00000000-0005-0000-0000-0000450E0000}"/>
    <cellStyle name="Comma [0] 2" xfId="3678" xr:uid="{00000000-0005-0000-0000-0000460E0000}"/>
    <cellStyle name="Comma [0] 3" xfId="3679" xr:uid="{00000000-0005-0000-0000-0000470E0000}"/>
    <cellStyle name="Comma [0][[heet1_FY96" xfId="3680" xr:uid="{00000000-0005-0000-0000-0000480E0000}"/>
    <cellStyle name="Comma [0]_ SG&amp;A Bridge " xfId="3681" xr:uid="{00000000-0005-0000-0000-0000490E0000}"/>
    <cellStyle name="Comma [00]" xfId="3682" xr:uid="{00000000-0005-0000-0000-00004A0E0000}"/>
    <cellStyle name="Comma 0" xfId="3683" xr:uid="{00000000-0005-0000-0000-00004B0E0000}"/>
    <cellStyle name="Comma 0*" xfId="3684" xr:uid="{00000000-0005-0000-0000-00004C0E0000}"/>
    <cellStyle name="Comma 0_SG&amp;A Actual Input per Sector" xfId="3685" xr:uid="{00000000-0005-0000-0000-00004D0E0000}"/>
    <cellStyle name="Comma 2" xfId="3686" xr:uid="{00000000-0005-0000-0000-00004E0E0000}"/>
    <cellStyle name="Comma h0]_MATERAL2" xfId="3687" xr:uid="{00000000-0005-0000-0000-00004F0E0000}"/>
    <cellStyle name="comma zerodec" xfId="3688" xr:uid="{00000000-0005-0000-0000-0000500E0000}"/>
    <cellStyle name="Comma_  address" xfId="3689" xr:uid="{00000000-0005-0000-0000-0000510E0000}"/>
    <cellStyle name="Comma0" xfId="3690" xr:uid="{00000000-0005-0000-0000-0000520E0000}"/>
    <cellStyle name="Copied" xfId="3691" xr:uid="{00000000-0005-0000-0000-0000530E0000}"/>
    <cellStyle name="COST1" xfId="3692" xr:uid="{00000000-0005-0000-0000-0000540E0000}"/>
    <cellStyle name="Curren?_x0012_퐀_x0017_?" xfId="3693" xr:uid="{00000000-0005-0000-0000-0000550E0000}"/>
    <cellStyle name="Curren?_x0012_퐀_x0017_? 2" xfId="3694" xr:uid="{00000000-0005-0000-0000-0000560E0000}"/>
    <cellStyle name="Curren?_x0012_퐀_x0017_? 3" xfId="3695" xr:uid="{00000000-0005-0000-0000-0000570E0000}"/>
    <cellStyle name="Curren?_x0012_퐀_x0017_? 4" xfId="3696" xr:uid="{00000000-0005-0000-0000-0000580E0000}"/>
    <cellStyle name="Currency" xfId="3697" xr:uid="{00000000-0005-0000-0000-0000590E0000}"/>
    <cellStyle name="Currency [0]" xfId="3698" xr:uid="{00000000-0005-0000-0000-00005A0E0000}"/>
    <cellStyle name="Currency [0]შQ3 FY96_재고관리 _2000년 인원운용 계획" xfId="3699" xr:uid="{00000000-0005-0000-0000-00005B0E0000}"/>
    <cellStyle name="Currency [0]䙈Q2 FY96" xfId="3700" xr:uid="{00000000-0005-0000-0000-00005C0E0000}"/>
    <cellStyle name="Currency [00]" xfId="3701" xr:uid="{00000000-0005-0000-0000-00005D0E0000}"/>
    <cellStyle name="Currency [敐]_laroux_3_97회비_laroux" xfId="3702" xr:uid="{00000000-0005-0000-0000-00005E0E0000}"/>
    <cellStyle name="Currency 0" xfId="3703" xr:uid="{00000000-0005-0000-0000-00005F0E0000}"/>
    <cellStyle name="Currency 2" xfId="3704" xr:uid="{00000000-0005-0000-0000-0000600E0000}"/>
    <cellStyle name="currency-$_표지 " xfId="3705" xr:uid="{00000000-0005-0000-0000-0000610E0000}"/>
    <cellStyle name="Currency_  address" xfId="3706" xr:uid="{00000000-0005-0000-0000-0000620E0000}"/>
    <cellStyle name="Currency`[0]_P&amp;L" xfId="3707" xr:uid="{00000000-0005-0000-0000-0000630E0000}"/>
    <cellStyle name="Currency0" xfId="3708" xr:uid="{00000000-0005-0000-0000-0000640E0000}"/>
    <cellStyle name="Currency1" xfId="3709" xr:uid="{00000000-0005-0000-0000-0000650E0000}"/>
    <cellStyle name="Currenѣ䀃 䴀礀䰀愀猀攀爀 " xfId="3710" xr:uid="{00000000-0005-0000-0000-0000660E0000}"/>
    <cellStyle name="Custom - Style1" xfId="3711" xr:uid="{00000000-0005-0000-0000-0000670E0000}"/>
    <cellStyle name="Custom - Style8" xfId="3712" xr:uid="{00000000-0005-0000-0000-0000680E0000}"/>
    <cellStyle name="dak" xfId="3713" xr:uid="{00000000-0005-0000-0000-0000690E0000}"/>
    <cellStyle name="Data   - Style2" xfId="3714" xr:uid="{00000000-0005-0000-0000-00006A0E0000}"/>
    <cellStyle name="database" xfId="3715" xr:uid="{00000000-0005-0000-0000-00006B0E0000}"/>
    <cellStyle name="DataBases" xfId="3716" xr:uid="{00000000-0005-0000-0000-00006C0E0000}"/>
    <cellStyle name="DataToHide" xfId="3717" xr:uid="{00000000-0005-0000-0000-00006D0E0000}"/>
    <cellStyle name="Date" xfId="3718" xr:uid="{00000000-0005-0000-0000-00006E0E0000}"/>
    <cellStyle name="Date Aligned" xfId="3719" xr:uid="{00000000-0005-0000-0000-00006F0E0000}"/>
    <cellStyle name="Date Short" xfId="3720" xr:uid="{00000000-0005-0000-0000-0000700E0000}"/>
    <cellStyle name="Date_2002년 1분기결산명세1" xfId="3721" xr:uid="{00000000-0005-0000-0000-0000710E0000}"/>
    <cellStyle name="Datum" xfId="3722" xr:uid="{00000000-0005-0000-0000-0000720E0000}"/>
    <cellStyle name="DELTA" xfId="3723" xr:uid="{00000000-0005-0000-0000-0000730E0000}"/>
    <cellStyle name="Description" xfId="3724" xr:uid="{00000000-0005-0000-0000-0000740E0000}"/>
    <cellStyle name="Dezimal (4)" xfId="3725" xr:uid="{00000000-0005-0000-0000-0000750E0000}"/>
    <cellStyle name="Dezimal (6)" xfId="3726" xr:uid="{00000000-0005-0000-0000-0000760E0000}"/>
    <cellStyle name="Dezimal [0]_Aktenbewertung 1994" xfId="3727" xr:uid="{00000000-0005-0000-0000-0000770E0000}"/>
    <cellStyle name="Dezimal_Aktenbewertung 1994" xfId="3728" xr:uid="{00000000-0005-0000-0000-0000780E0000}"/>
    <cellStyle name="División" xfId="3729" xr:uid="{00000000-0005-0000-0000-0000790E0000}"/>
    <cellStyle name="Dollar (zero dec)" xfId="3730" xr:uid="{00000000-0005-0000-0000-00007A0E0000}"/>
    <cellStyle name="Dotted Line" xfId="3731" xr:uid="{00000000-0005-0000-0000-00007B0E0000}"/>
    <cellStyle name="Enter Currency (0)" xfId="3732" xr:uid="{00000000-0005-0000-0000-00007C0E0000}"/>
    <cellStyle name="Enter Currency (2)" xfId="3733" xr:uid="{00000000-0005-0000-0000-00007D0E0000}"/>
    <cellStyle name="Enter Units (0)" xfId="3734" xr:uid="{00000000-0005-0000-0000-00007E0E0000}"/>
    <cellStyle name="Enter Units (1)" xfId="3735" xr:uid="{00000000-0005-0000-0000-00007F0E0000}"/>
    <cellStyle name="Enter Units (2)" xfId="3736" xr:uid="{00000000-0005-0000-0000-0000800E0000}"/>
    <cellStyle name="Entered" xfId="3737" xr:uid="{00000000-0005-0000-0000-0000810E0000}"/>
    <cellStyle name="Entities" xfId="3738" xr:uid="{00000000-0005-0000-0000-0000820E0000}"/>
    <cellStyle name="Euro" xfId="3739" xr:uid="{00000000-0005-0000-0000-0000830E0000}"/>
    <cellStyle name="Explanatory Text" xfId="3740" xr:uid="{00000000-0005-0000-0000-0000840E0000}"/>
    <cellStyle name="EY House" xfId="3741" xr:uid="{00000000-0005-0000-0000-0000850E0000}"/>
    <cellStyle name="F2" xfId="3742" xr:uid="{00000000-0005-0000-0000-0000860E0000}"/>
    <cellStyle name="F3" xfId="3743" xr:uid="{00000000-0005-0000-0000-0000870E0000}"/>
    <cellStyle name="F4" xfId="3744" xr:uid="{00000000-0005-0000-0000-0000880E0000}"/>
    <cellStyle name="F5" xfId="3745" xr:uid="{00000000-0005-0000-0000-0000890E0000}"/>
    <cellStyle name="F6" xfId="3746" xr:uid="{00000000-0005-0000-0000-00008A0E0000}"/>
    <cellStyle name="F7" xfId="3747" xr:uid="{00000000-0005-0000-0000-00008B0E0000}"/>
    <cellStyle name="F8" xfId="3748" xr:uid="{00000000-0005-0000-0000-00008C0E0000}"/>
    <cellStyle name="FacNo" xfId="3749" xr:uid="{00000000-0005-0000-0000-00008D0E0000}"/>
    <cellStyle name="Final_Data" xfId="3750" xr:uid="{00000000-0005-0000-0000-00008E0E0000}"/>
    <cellStyle name="Fixed" xfId="3751" xr:uid="{00000000-0005-0000-0000-00008F0E0000}"/>
    <cellStyle name="Followed Hyperlink" xfId="3752" xr:uid="{00000000-0005-0000-0000-0000900E0000}"/>
    <cellStyle name="Footnote" xfId="3753" xr:uid="{00000000-0005-0000-0000-0000910E0000}"/>
    <cellStyle name="G10" xfId="3754" xr:uid="{00000000-0005-0000-0000-0000920E0000}"/>
    <cellStyle name="Good" xfId="3755" xr:uid="{00000000-0005-0000-0000-0000930E0000}"/>
    <cellStyle name="Grey" xfId="3756" xr:uid="{00000000-0005-0000-0000-0000940E0000}"/>
    <cellStyle name="Grey 2" xfId="3757" xr:uid="{00000000-0005-0000-0000-0000950E0000}"/>
    <cellStyle name="Grey 3" xfId="3758" xr:uid="{00000000-0005-0000-0000-0000960E0000}"/>
    <cellStyle name="Grey 4" xfId="3759" xr:uid="{00000000-0005-0000-0000-0000970E0000}"/>
    <cellStyle name="Hard Percent" xfId="3760" xr:uid="{00000000-0005-0000-0000-0000980E0000}"/>
    <cellStyle name="HDR" xfId="3761" xr:uid="{00000000-0005-0000-0000-0000990E0000}"/>
    <cellStyle name="Header" xfId="3762" xr:uid="{00000000-0005-0000-0000-00009A0E0000}"/>
    <cellStyle name="Header1" xfId="3763" xr:uid="{00000000-0005-0000-0000-00009B0E0000}"/>
    <cellStyle name="Header2" xfId="3764" xr:uid="{00000000-0005-0000-0000-00009C0E0000}"/>
    <cellStyle name="Heading" xfId="3765" xr:uid="{00000000-0005-0000-0000-00009D0E0000}"/>
    <cellStyle name="Heading 1" xfId="3766" xr:uid="{00000000-0005-0000-0000-00009E0E0000}"/>
    <cellStyle name="Heading 2" xfId="3767" xr:uid="{00000000-0005-0000-0000-00009F0E0000}"/>
    <cellStyle name="Heading 3" xfId="3768" xr:uid="{00000000-0005-0000-0000-0000A00E0000}"/>
    <cellStyle name="Heading 4" xfId="3769" xr:uid="{00000000-0005-0000-0000-0000A10E0000}"/>
    <cellStyle name="heading, 1,A MAJOR/BOLD" xfId="3770" xr:uid="{00000000-0005-0000-0000-0000A20E0000}"/>
    <cellStyle name="Heading_연도별 요약재무제표(05-07)" xfId="3771" xr:uid="{00000000-0005-0000-0000-0000A30E0000}"/>
    <cellStyle name="HEADING1" xfId="3772" xr:uid="{00000000-0005-0000-0000-0000A40E0000}"/>
    <cellStyle name="HEADING2" xfId="3773" xr:uid="{00000000-0005-0000-0000-0000A50E0000}"/>
    <cellStyle name="HEADINGS" xfId="3774" xr:uid="{00000000-0005-0000-0000-0000A60E0000}"/>
    <cellStyle name="HEADINGSTOP" xfId="3775" xr:uid="{00000000-0005-0000-0000-0000A70E0000}"/>
    <cellStyle name="Hyperlink" xfId="3776" xr:uid="{00000000-0005-0000-0000-0000A80E0000}"/>
    <cellStyle name="Hyperlink seguido" xfId="3777" xr:uid="{00000000-0005-0000-0000-0000A90E0000}"/>
    <cellStyle name="Hyperlink_NEGS" xfId="3778" xr:uid="{00000000-0005-0000-0000-0000AA0E0000}"/>
    <cellStyle name="Input" xfId="3779" xr:uid="{00000000-0005-0000-0000-0000AB0E0000}"/>
    <cellStyle name="Input [yellow]" xfId="3780" xr:uid="{00000000-0005-0000-0000-0000AC0E0000}"/>
    <cellStyle name="Input [yellow] 2" xfId="3781" xr:uid="{00000000-0005-0000-0000-0000AD0E0000}"/>
    <cellStyle name="Input [yellow] 3" xfId="3782" xr:uid="{00000000-0005-0000-0000-0000AE0E0000}"/>
    <cellStyle name="Input [yellow] 4" xfId="3783" xr:uid="{00000000-0005-0000-0000-0000AF0E0000}"/>
    <cellStyle name="Input Cells" xfId="3784" xr:uid="{00000000-0005-0000-0000-0000B00E0000}"/>
    <cellStyle name="InputNormal" xfId="3785" xr:uid="{00000000-0005-0000-0000-0000B10E0000}"/>
    <cellStyle name="Instructions" xfId="3786" xr:uid="{00000000-0005-0000-0000-0000B20E0000}"/>
    <cellStyle name="KAGE" xfId="3787" xr:uid="{00000000-0005-0000-0000-0000B30E0000}"/>
    <cellStyle name="ŀ???ŀ???ŀ???ŀ???ŀ???ŀ???ŀ???ŀ???ŀ???ŀ??ŀŀ??ŀŀ??ŀ" xfId="3788" xr:uid="{00000000-0005-0000-0000-0000B40E0000}"/>
    <cellStyle name="ŀ???ŀ??ŀŀ???ŀ???ŀ???ŀ???ŀ???ŀ???ŀ???ŀ???ŀ???ŀ???ŀ???ŀ??ŀŀ??ŀŀ??ŀ" xfId="3789" xr:uid="{00000000-0005-0000-0000-0000B50E0000}"/>
    <cellStyle name="Labels - Style3" xfId="3790" xr:uid="{00000000-0005-0000-0000-0000B60E0000}"/>
    <cellStyle name="ļƂࠚbŘƂࠪbƄƂ࠺bƤƂࡊbǈƂ࡚b׌ƂࡪbװƂࡺb؜ƂࢊbشƂ࢚bٔƂࢪbǸƂࢺbȰƂ࣊bɤƂࣚbʠƂ࣪bːƂࣺbڄƂऊbڬƂचbۘƂपb۬Ƃऺb܄ƂॊbܜƂग़bܴƂ४b݌ƂॺbݤƂঊbݼƂ" xfId="3791" xr:uid="{00000000-0005-0000-0000-0000B70E0000}"/>
    <cellStyle name="left" xfId="3792" xr:uid="{00000000-0005-0000-0000-0000B80E0000}"/>
    <cellStyle name="Link Currency (0)" xfId="3793" xr:uid="{00000000-0005-0000-0000-0000B90E0000}"/>
    <cellStyle name="Link Currency (2)" xfId="3794" xr:uid="{00000000-0005-0000-0000-0000BA0E0000}"/>
    <cellStyle name="Link Units (0)" xfId="3795" xr:uid="{00000000-0005-0000-0000-0000BB0E0000}"/>
    <cellStyle name="Link Units (1)" xfId="3796" xr:uid="{00000000-0005-0000-0000-0000BC0E0000}"/>
    <cellStyle name="Link Units (2)" xfId="3797" xr:uid="{00000000-0005-0000-0000-0000BD0E0000}"/>
    <cellStyle name="Linked Cell" xfId="3798" xr:uid="{00000000-0005-0000-0000-0000BE0E0000}"/>
    <cellStyle name="Linked Cells" xfId="3799" xr:uid="{00000000-0005-0000-0000-0000BF0E0000}"/>
    <cellStyle name="LookUpText" xfId="3800" xr:uid="{00000000-0005-0000-0000-0000C00E0000}"/>
    <cellStyle name="_x0001_ŀɀ䅀" xfId="3801" xr:uid="{00000000-0005-0000-0000-0000C10E0000}"/>
    <cellStyle name="ŀ䀉ഁŀŀ䀉ԁᄀŀ䅀ഀᄀŀ䅀ഀŀŀ䀉ԁᄀŀ䀉ԁᄀŀ䅀ഀᄀŀ䅀ഀŀŀ䅀ഀ" xfId="3802" xr:uid="{00000000-0005-0000-0000-0000C20E0000}"/>
    <cellStyle name="ŀ䀉ԁᄀŀ䅀ഀᄀŀ䅀ഀŀŀ䀉ԁᄀŀ䀉ԁᄀŀ䅀ഀᄀŀ䅀ഀŀŀ䅀ഀ" xfId="3803" xr:uid="{00000000-0005-0000-0000-0000C30E0000}"/>
    <cellStyle name="ŀ䁁ഁᄀŀ䅀ഀŀŀ䁁ഁᄀŀ䅀ഒŀᄀ䅀ഒᄀᄀ䅀ഒᄀᄀ䅀ഒᄀᄀ䅀ഒŀᄀ䅀ഒᄀᄀ䅀ഀŀŀ䅀ഀ" xfId="3804" xr:uid="{00000000-0005-0000-0000-0000C40E0000}"/>
    <cellStyle name="ŀ䅀ഀ" xfId="3805" xr:uid="{00000000-0005-0000-0000-0000C50E0000}"/>
    <cellStyle name="Millares [0]_laroux" xfId="3806" xr:uid="{00000000-0005-0000-0000-0000C60E0000}"/>
    <cellStyle name="Millares_Costos" xfId="3807" xr:uid="{00000000-0005-0000-0000-0000C70E0000}"/>
    <cellStyle name="Milliers [0]_!!!GO" xfId="3808" xr:uid="{00000000-0005-0000-0000-0000C80E0000}"/>
    <cellStyle name="Milliers_!!!GO" xfId="3809" xr:uid="{00000000-0005-0000-0000-0000C90E0000}"/>
    <cellStyle name="Model" xfId="3810" xr:uid="{00000000-0005-0000-0000-0000CA0E0000}"/>
    <cellStyle name="Moeda [0]_aola" xfId="3811" xr:uid="{00000000-0005-0000-0000-0000CB0E0000}"/>
    <cellStyle name="Moeda_aola" xfId="3812" xr:uid="{00000000-0005-0000-0000-0000CC0E0000}"/>
    <cellStyle name="Mon?aire [0]_!!!GO" xfId="3813" xr:uid="{00000000-0005-0000-0000-0000CD0E0000}"/>
    <cellStyle name="Mon?aire_!!!GO" xfId="3814" xr:uid="{00000000-0005-0000-0000-0000CE0E0000}"/>
    <cellStyle name="Moneda [0]_CONTENCION CONDELL 25.051" xfId="3815" xr:uid="{00000000-0005-0000-0000-0000CF0E0000}"/>
    <cellStyle name="Moneda_CONTENCION CONDELL 25.051" xfId="3816" xr:uid="{00000000-0005-0000-0000-0000D00E0000}"/>
    <cellStyle name="Monétaire [0]_ActPerso" xfId="3817" xr:uid="{00000000-0005-0000-0000-0000D10E0000}"/>
    <cellStyle name="Monétaire_ActPerso" xfId="3818" xr:uid="{00000000-0005-0000-0000-0000D20E0000}"/>
    <cellStyle name="MS Proofing Tools" xfId="3819" xr:uid="{00000000-0005-0000-0000-0000D30E0000}"/>
    <cellStyle name="Multiple" xfId="3820" xr:uid="{00000000-0005-0000-0000-0000D40E0000}"/>
    <cellStyle name="My-수량" xfId="3821" xr:uid="{00000000-0005-0000-0000-0000D50E0000}"/>
    <cellStyle name="N`r_x000d_a`" xfId="3822" xr:uid="{00000000-0005-0000-0000-0000D60E0000}"/>
    <cellStyle name="Nar_x000d_a`__x0004_aqa" xfId="3823" xr:uid="{00000000-0005-0000-0000-0000D70E0000}"/>
    <cellStyle name="Nar-a`__x0003_upt" xfId="3824" xr:uid="{00000000-0005-0000-0000-0000D80E0000}"/>
    <cellStyle name="Ncr_x000d_a`__x0003_PU0_x0003_10" xfId="3825" xr:uid="{00000000-0005-0000-0000-0000D90E0000}"/>
    <cellStyle name="Ner_x000d_a`_CPQ-_x0002_" xfId="3826" xr:uid="{00000000-0005-0000-0000-0000DA0E0000}"/>
    <cellStyle name="Neutral" xfId="3827" xr:uid="{00000000-0005-0000-0000-0000DB0E0000}"/>
    <cellStyle name="new" xfId="3828" xr:uid="{00000000-0005-0000-0000-0000DC0E0000}"/>
    <cellStyle name="Nkr_x000d_a`_4e`l_x0005_r" xfId="3829" xr:uid="{00000000-0005-0000-0000-0000DD0E0000}"/>
    <cellStyle name="Nnr_x000d_a`_Sore_x0002_" xfId="3830" xr:uid="{00000000-0005-0000-0000-0000DE0E0000}"/>
    <cellStyle name="No Border" xfId="3831" xr:uid="{00000000-0005-0000-0000-0000DF0E0000}"/>
    <cellStyle name="no dec" xfId="3832" xr:uid="{00000000-0005-0000-0000-0000E00E0000}"/>
    <cellStyle name="nohs" xfId="3833" xr:uid="{00000000-0005-0000-0000-0000E10E0000}"/>
    <cellStyle name="Non d‚fini" xfId="3834" xr:uid="{00000000-0005-0000-0000-0000E20E0000}"/>
    <cellStyle name="normal" xfId="3835" xr:uid="{00000000-0005-0000-0000-0000E30E0000}"/>
    <cellStyle name="Normal - Formatvorlage1" xfId="3836" xr:uid="{00000000-0005-0000-0000-0000E40E0000}"/>
    <cellStyle name="Normal - Formatvorlage2" xfId="3837" xr:uid="{00000000-0005-0000-0000-0000E50E0000}"/>
    <cellStyle name="Normal - Formatvorlage3" xfId="3838" xr:uid="{00000000-0005-0000-0000-0000E60E0000}"/>
    <cellStyle name="Normal - Formatvorlage4" xfId="3839" xr:uid="{00000000-0005-0000-0000-0000E70E0000}"/>
    <cellStyle name="Normal - Formatvorlage5" xfId="3840" xr:uid="{00000000-0005-0000-0000-0000E80E0000}"/>
    <cellStyle name="Normal - Formatvorlage6" xfId="3841" xr:uid="{00000000-0005-0000-0000-0000E90E0000}"/>
    <cellStyle name="Normal - Formatvorlage7" xfId="3842" xr:uid="{00000000-0005-0000-0000-0000EA0E0000}"/>
    <cellStyle name="Normal - Formatvorlage8" xfId="3843" xr:uid="{00000000-0005-0000-0000-0000EB0E0000}"/>
    <cellStyle name="Normal - Style1" xfId="3844" xr:uid="{00000000-0005-0000-0000-0000EC0E0000}"/>
    <cellStyle name="Normal - Style1 2" xfId="3845" xr:uid="{00000000-0005-0000-0000-0000ED0E0000}"/>
    <cellStyle name="Normal - Style1 3" xfId="3846" xr:uid="{00000000-0005-0000-0000-0000EE0E0000}"/>
    <cellStyle name="Normal - Style1 4" xfId="3847" xr:uid="{00000000-0005-0000-0000-0000EF0E0000}"/>
    <cellStyle name="Normal - Style2" xfId="3848" xr:uid="{00000000-0005-0000-0000-0000F00E0000}"/>
    <cellStyle name="Normal - Style3" xfId="3849" xr:uid="{00000000-0005-0000-0000-0000F10E0000}"/>
    <cellStyle name="Normal - Style4" xfId="3850" xr:uid="{00000000-0005-0000-0000-0000F20E0000}"/>
    <cellStyle name="Normal - Style5" xfId="3851" xr:uid="{00000000-0005-0000-0000-0000F30E0000}"/>
    <cellStyle name="Normal - Style6" xfId="3852" xr:uid="{00000000-0005-0000-0000-0000F40E0000}"/>
    <cellStyle name="Normal - Style7" xfId="3853" xr:uid="{00000000-0005-0000-0000-0000F50E0000}"/>
    <cellStyle name="Normal - Style8" xfId="3854" xr:uid="{00000000-0005-0000-0000-0000F60E0000}"/>
    <cellStyle name="Normal - 유형1" xfId="3855" xr:uid="{00000000-0005-0000-0000-0000F70E0000}"/>
    <cellStyle name="Normal 2" xfId="3856" xr:uid="{00000000-0005-0000-0000-0000F80E0000}"/>
    <cellStyle name="Normal 3" xfId="3857" xr:uid="{00000000-0005-0000-0000-0000F90E0000}"/>
    <cellStyle name="Normal_  address" xfId="3858" xr:uid="{00000000-0005-0000-0000-0000FA0E0000}"/>
    <cellStyle name="Normal1" xfId="3859" xr:uid="{00000000-0005-0000-0000-0000FB0E0000}"/>
    <cellStyle name="Normal1 2" xfId="3860" xr:uid="{00000000-0005-0000-0000-0000FC0E0000}"/>
    <cellStyle name="Normal1 2 2" xfId="3861" xr:uid="{00000000-0005-0000-0000-0000FD0E0000}"/>
    <cellStyle name="Normal2" xfId="3862" xr:uid="{00000000-0005-0000-0000-0000FE0E0000}"/>
    <cellStyle name="Normal2 2" xfId="3863" xr:uid="{00000000-0005-0000-0000-0000FF0E0000}"/>
    <cellStyle name="Normal3" xfId="3864" xr:uid="{00000000-0005-0000-0000-0000000F0000}"/>
    <cellStyle name="Normal3 2" xfId="3865" xr:uid="{00000000-0005-0000-0000-0000010F0000}"/>
    <cellStyle name="Normal4" xfId="3866" xr:uid="{00000000-0005-0000-0000-0000020F0000}"/>
    <cellStyle name="Normal4 2" xfId="3867" xr:uid="{00000000-0005-0000-0000-0000030F0000}"/>
    <cellStyle name="Normale_END JUL '02 P&amp;L(revised0822)" xfId="3868" xr:uid="{00000000-0005-0000-0000-0000040F0000}"/>
    <cellStyle name="Note" xfId="3869" xr:uid="{00000000-0005-0000-0000-0000050F0000}"/>
    <cellStyle name="Number" xfId="3870" xr:uid="{00000000-0005-0000-0000-0000060F0000}"/>
    <cellStyle name="o¶eEYAI°[0]_RESULTS" xfId="3871" xr:uid="{00000000-0005-0000-0000-0000070F0000}"/>
    <cellStyle name="o¶eEYAI°_RESULTS" xfId="3872" xr:uid="{00000000-0005-0000-0000-0000080F0000}"/>
    <cellStyle name="Œ…?æ맖?e [0.00]_laroux" xfId="3873" xr:uid="{00000000-0005-0000-0000-0000090F0000}"/>
    <cellStyle name="Œ…?æ맖?e_laroux" xfId="3874" xr:uid="{00000000-0005-0000-0000-00000A0F0000}"/>
    <cellStyle name="oft Excel]_x000d__x000a_Comment=The open=/f lines load custom functions into the Paste Function list._x000d__x000a_Maximized=3_x000d__x000a_AutoFormat=" xfId="3875" xr:uid="{00000000-0005-0000-0000-00000B0F0000}"/>
    <cellStyle name="OScommands" xfId="3876" xr:uid="{00000000-0005-0000-0000-00000C0F0000}"/>
    <cellStyle name="Output" xfId="3877" xr:uid="{00000000-0005-0000-0000-00000D0F0000}"/>
    <cellStyle name="Output Amounts" xfId="3878" xr:uid="{00000000-0005-0000-0000-00000E0F0000}"/>
    <cellStyle name="Output Column Headings" xfId="3879" xr:uid="{00000000-0005-0000-0000-00000F0F0000}"/>
    <cellStyle name="Output Line Items" xfId="3880" xr:uid="{00000000-0005-0000-0000-0000100F0000}"/>
    <cellStyle name="Output Line Items 2" xfId="3881" xr:uid="{00000000-0005-0000-0000-0000110F0000}"/>
    <cellStyle name="Output Report Heading" xfId="3882" xr:uid="{00000000-0005-0000-0000-0000120F0000}"/>
    <cellStyle name="Output Report Title" xfId="3883" xr:uid="{00000000-0005-0000-0000-0000130F0000}"/>
    <cellStyle name="Page Number" xfId="3884" xr:uid="{00000000-0005-0000-0000-0000140F0000}"/>
    <cellStyle name="paint" xfId="3885" xr:uid="{00000000-0005-0000-0000-0000150F0000}"/>
    <cellStyle name="ƤƂࡊbǈƂ࡚b׌ƂࡪbװƂࡺb؜ƂࢊbشƂ࢚bٔƂࢪbǸƂࢺbȰƂ࣊bɤƂࣚbʠƂ࣪bːƂࣺbڄƂऊbڬƂचbۘƂपb۬Ƃऺb܄ƂॊbܜƂग़bܴƂ४b݌ƂॺbݤƂঊbݼƂচbఈƂপbఠƂ঺bసƂ" xfId="3886" xr:uid="{00000000-0005-0000-0000-0000160F0000}"/>
    <cellStyle name="per.style" xfId="3887" xr:uid="{00000000-0005-0000-0000-0000170F0000}"/>
    <cellStyle name="Percent" xfId="3888" xr:uid="{00000000-0005-0000-0000-0000180F0000}"/>
    <cellStyle name="Percent (0)" xfId="3889" xr:uid="{00000000-0005-0000-0000-0000190F0000}"/>
    <cellStyle name="Percent [0%]" xfId="3890" xr:uid="{00000000-0005-0000-0000-00001A0F0000}"/>
    <cellStyle name="Percent [0.00%]" xfId="3891" xr:uid="{00000000-0005-0000-0000-00001B0F0000}"/>
    <cellStyle name="Percent [0]" xfId="3892" xr:uid="{00000000-0005-0000-0000-00001C0F0000}"/>
    <cellStyle name="Percent [00]" xfId="3893" xr:uid="{00000000-0005-0000-0000-00001D0F0000}"/>
    <cellStyle name="Percent [2]" xfId="3894" xr:uid="{00000000-0005-0000-0000-00001E0F0000}"/>
    <cellStyle name="Percent 2" xfId="3895" xr:uid="{00000000-0005-0000-0000-00001F0F0000}"/>
    <cellStyle name="Percent_!!!GO" xfId="3896" xr:uid="{00000000-0005-0000-0000-0000200F0000}"/>
    <cellStyle name="Periods" xfId="3897" xr:uid="{00000000-0005-0000-0000-0000210F0000}"/>
    <cellStyle name="PLAN97" xfId="3898" xr:uid="{00000000-0005-0000-0000-0000220F0000}"/>
    <cellStyle name="PrePop Currency (0)" xfId="3899" xr:uid="{00000000-0005-0000-0000-0000230F0000}"/>
    <cellStyle name="PrePop Currency (2)" xfId="3900" xr:uid="{00000000-0005-0000-0000-0000240F0000}"/>
    <cellStyle name="PrePop Units (0)" xfId="3901" xr:uid="{00000000-0005-0000-0000-0000250F0000}"/>
    <cellStyle name="PrePop Units (1)" xfId="3902" xr:uid="{00000000-0005-0000-0000-0000260F0000}"/>
    <cellStyle name="PrePop Units (2)" xfId="3903" xr:uid="{00000000-0005-0000-0000-0000270F0000}"/>
    <cellStyle name="Pricing" xfId="3904" xr:uid="{00000000-0005-0000-0000-0000280F0000}"/>
    <cellStyle name="PSChar" xfId="3905" xr:uid="{00000000-0005-0000-0000-0000290F0000}"/>
    <cellStyle name="PSDate" xfId="3906" xr:uid="{00000000-0005-0000-0000-00002A0F0000}"/>
    <cellStyle name="PSDec" xfId="3907" xr:uid="{00000000-0005-0000-0000-00002B0F0000}"/>
    <cellStyle name="PSHeading" xfId="3908" xr:uid="{00000000-0005-0000-0000-00002C0F0000}"/>
    <cellStyle name="PSInt" xfId="3909" xr:uid="{00000000-0005-0000-0000-00002D0F0000}"/>
    <cellStyle name="PSSpacer" xfId="3910" xr:uid="{00000000-0005-0000-0000-00002E0F0000}"/>
    <cellStyle name="qbh_x0003__x000c_bh_x0017_&quot;blTT０_x0008__x0003__x0008_?)(일)" xfId="3911" xr:uid="{00000000-0005-0000-0000-00002F0F0000}"/>
    <cellStyle name="qbh_x0003__x000c_bh_x0017_&quot;blTT０_x0008__x0003__x0008_磚)(일)" xfId="3912" xr:uid="{00000000-0005-0000-0000-0000300F0000}"/>
    <cellStyle name="QDF" xfId="3913" xr:uid="{00000000-0005-0000-0000-0000310F0000}"/>
    <cellStyle name="Qty" xfId="3914" xr:uid="{00000000-0005-0000-0000-0000320F0000}"/>
    <cellStyle name="R00A" xfId="3915" xr:uid="{00000000-0005-0000-0000-0000330F0000}"/>
    <cellStyle name="R00B" xfId="3916" xr:uid="{00000000-0005-0000-0000-0000340F0000}"/>
    <cellStyle name="R00L" xfId="3917" xr:uid="{00000000-0005-0000-0000-0000350F0000}"/>
    <cellStyle name="R01A" xfId="3918" xr:uid="{00000000-0005-0000-0000-0000360F0000}"/>
    <cellStyle name="R01A 2" xfId="3919" xr:uid="{00000000-0005-0000-0000-0000370F0000}"/>
    <cellStyle name="R01B" xfId="3920" xr:uid="{00000000-0005-0000-0000-0000380F0000}"/>
    <cellStyle name="R01H" xfId="3921" xr:uid="{00000000-0005-0000-0000-0000390F0000}"/>
    <cellStyle name="R01L" xfId="3922" xr:uid="{00000000-0005-0000-0000-00003A0F0000}"/>
    <cellStyle name="R02A" xfId="3923" xr:uid="{00000000-0005-0000-0000-00003B0F0000}"/>
    <cellStyle name="R02A 2" xfId="3924" xr:uid="{00000000-0005-0000-0000-00003C0F0000}"/>
    <cellStyle name="R02B" xfId="3925" xr:uid="{00000000-0005-0000-0000-00003D0F0000}"/>
    <cellStyle name="R02H" xfId="3926" xr:uid="{00000000-0005-0000-0000-00003E0F0000}"/>
    <cellStyle name="R02L" xfId="3927" xr:uid="{00000000-0005-0000-0000-00003F0F0000}"/>
    <cellStyle name="R03A" xfId="3928" xr:uid="{00000000-0005-0000-0000-0000400F0000}"/>
    <cellStyle name="R03B" xfId="3929" xr:uid="{00000000-0005-0000-0000-0000410F0000}"/>
    <cellStyle name="R03H" xfId="3930" xr:uid="{00000000-0005-0000-0000-0000420F0000}"/>
    <cellStyle name="R03L" xfId="3931" xr:uid="{00000000-0005-0000-0000-0000430F0000}"/>
    <cellStyle name="R04A" xfId="3932" xr:uid="{00000000-0005-0000-0000-0000440F0000}"/>
    <cellStyle name="R04B" xfId="3933" xr:uid="{00000000-0005-0000-0000-0000450F0000}"/>
    <cellStyle name="R04H" xfId="3934" xr:uid="{00000000-0005-0000-0000-0000460F0000}"/>
    <cellStyle name="R04L" xfId="3935" xr:uid="{00000000-0005-0000-0000-0000470F0000}"/>
    <cellStyle name="R05A" xfId="3936" xr:uid="{00000000-0005-0000-0000-0000480F0000}"/>
    <cellStyle name="R05B" xfId="3937" xr:uid="{00000000-0005-0000-0000-0000490F0000}"/>
    <cellStyle name="R05H" xfId="3938" xr:uid="{00000000-0005-0000-0000-00004A0F0000}"/>
    <cellStyle name="R05L" xfId="3939" xr:uid="{00000000-0005-0000-0000-00004B0F0000}"/>
    <cellStyle name="R06A" xfId="3940" xr:uid="{00000000-0005-0000-0000-00004C0F0000}"/>
    <cellStyle name="R06B" xfId="3941" xr:uid="{00000000-0005-0000-0000-00004D0F0000}"/>
    <cellStyle name="R06H" xfId="3942" xr:uid="{00000000-0005-0000-0000-00004E0F0000}"/>
    <cellStyle name="R06L" xfId="3943" xr:uid="{00000000-0005-0000-0000-00004F0F0000}"/>
    <cellStyle name="R07A" xfId="3944" xr:uid="{00000000-0005-0000-0000-0000500F0000}"/>
    <cellStyle name="R07B" xfId="3945" xr:uid="{00000000-0005-0000-0000-0000510F0000}"/>
    <cellStyle name="R07H" xfId="3946" xr:uid="{00000000-0005-0000-0000-0000520F0000}"/>
    <cellStyle name="R07L" xfId="3947" xr:uid="{00000000-0005-0000-0000-0000530F0000}"/>
    <cellStyle name="Ra" xfId="3948" xr:uid="{00000000-0005-0000-0000-0000540F0000}"/>
    <cellStyle name="ReadInData" xfId="3949" xr:uid="{00000000-0005-0000-0000-0000550F0000}"/>
    <cellStyle name="regstoresfromspecstores" xfId="3950" xr:uid="{00000000-0005-0000-0000-0000560F0000}"/>
    <cellStyle name="ReportNums" xfId="3951" xr:uid="{00000000-0005-0000-0000-0000570F0000}"/>
    <cellStyle name="Reset  - Style4" xfId="3952" xr:uid="{00000000-0005-0000-0000-0000580F0000}"/>
    <cellStyle name="Reset  - Style7" xfId="3953" xr:uid="{00000000-0005-0000-0000-0000590F0000}"/>
    <cellStyle name="RevList" xfId="3954" xr:uid="{00000000-0005-0000-0000-00005A0F0000}"/>
    <cellStyle name="ⓈƂךb⇤Ƃתb∐Ƃ׺b∬Ƃ؊b≈Ƃؚb≰ƂتbⓨƂغb┄Ƃيb┰Ƃٚb═Ƃ٪b╼Ƃٺb▔Ƃڊb▬Ƃښb◄Ƃڪb◤Ƃںb☌Ƃۊb⤼Ƃۚb⥨Ƃ۪b⦈Ƃۺb⦨Ƃ܊b⧌Ƃܚb☰Ƃܪb♈Ƃܺb♬Ƃ݊b⚜Ƃ" xfId="3955" xr:uid="{00000000-0005-0000-0000-00005B0F0000}"/>
    <cellStyle name="Separador de milhares [0]_Person" xfId="3956" xr:uid="{00000000-0005-0000-0000-00005C0F0000}"/>
    <cellStyle name="Separador de milhares_Person" xfId="3957" xr:uid="{00000000-0005-0000-0000-00005D0F0000}"/>
    <cellStyle name="SHADEDSTORES" xfId="3958" xr:uid="{00000000-0005-0000-0000-00005E0F0000}"/>
    <cellStyle name="Single Border" xfId="3959" xr:uid="{00000000-0005-0000-0000-00005F0F0000}"/>
    <cellStyle name="Single Border 2" xfId="3960" xr:uid="{00000000-0005-0000-0000-0000600F0000}"/>
    <cellStyle name="Source" xfId="3961" xr:uid="{00000000-0005-0000-0000-0000610F0000}"/>
    <cellStyle name="specstores" xfId="3962" xr:uid="{00000000-0005-0000-0000-0000620F0000}"/>
    <cellStyle name="ßE?_RESULTS" xfId="3963" xr:uid="{00000000-0005-0000-0000-0000630F0000}"/>
    <cellStyle name="STANDARD" xfId="3964" xr:uid="{00000000-0005-0000-0000-0000640F0000}"/>
    <cellStyle name="STFRM" xfId="3965" xr:uid="{00000000-0005-0000-0000-0000650F0000}"/>
    <cellStyle name="Strikethru" xfId="3966" xr:uid="{00000000-0005-0000-0000-0000660F0000}"/>
    <cellStyle name="Style 1" xfId="3967" xr:uid="{00000000-0005-0000-0000-0000670F0000}"/>
    <cellStyle name="Style 1 2" xfId="3968" xr:uid="{00000000-0005-0000-0000-0000680F0000}"/>
    <cellStyle name="Style 21" xfId="3969" xr:uid="{00000000-0005-0000-0000-0000690F0000}"/>
    <cellStyle name="Style 22" xfId="3970" xr:uid="{00000000-0005-0000-0000-00006A0F0000}"/>
    <cellStyle name="Style 23" xfId="3971" xr:uid="{00000000-0005-0000-0000-00006B0F0000}"/>
    <cellStyle name="Style 24" xfId="3972" xr:uid="{00000000-0005-0000-0000-00006C0F0000}"/>
    <cellStyle name="Style 25" xfId="3973" xr:uid="{00000000-0005-0000-0000-00006D0F0000}"/>
    <cellStyle name="Style 26" xfId="3974" xr:uid="{00000000-0005-0000-0000-00006E0F0000}"/>
    <cellStyle name="Style 27" xfId="3975" xr:uid="{00000000-0005-0000-0000-00006F0F0000}"/>
    <cellStyle name="Style 28" xfId="3976" xr:uid="{00000000-0005-0000-0000-0000700F0000}"/>
    <cellStyle name="Style 29" xfId="3977" xr:uid="{00000000-0005-0000-0000-0000710F0000}"/>
    <cellStyle name="Style 30" xfId="3978" xr:uid="{00000000-0005-0000-0000-0000720F0000}"/>
    <cellStyle name="Style 31" xfId="3979" xr:uid="{00000000-0005-0000-0000-0000730F0000}"/>
    <cellStyle name="Style 32" xfId="3980" xr:uid="{00000000-0005-0000-0000-0000740F0000}"/>
    <cellStyle name="Style 33" xfId="3981" xr:uid="{00000000-0005-0000-0000-0000750F0000}"/>
    <cellStyle name="Style 34" xfId="3982" xr:uid="{00000000-0005-0000-0000-0000760F0000}"/>
    <cellStyle name="Style 87" xfId="3983" xr:uid="{00000000-0005-0000-0000-0000770F0000}"/>
    <cellStyle name="subhead" xfId="3984" xr:uid="{00000000-0005-0000-0000-0000780F0000}"/>
    <cellStyle name="Subtotal" xfId="3985" xr:uid="{00000000-0005-0000-0000-0000790F0000}"/>
    <cellStyle name="T０_x0008__x0003__x0008_?)(일)" xfId="3986" xr:uid="{00000000-0005-0000-0000-00007A0F0000}"/>
    <cellStyle name="T０_x0008__x0003__x0008_磚)(일)" xfId="3987" xr:uid="{00000000-0005-0000-0000-00007B0F0000}"/>
    <cellStyle name="Table" xfId="3988" xr:uid="{00000000-0005-0000-0000-00007C0F0000}"/>
    <cellStyle name="Table  - Style5" xfId="3989" xr:uid="{00000000-0005-0000-0000-00007D0F0000}"/>
    <cellStyle name="Table  - Style6" xfId="3990" xr:uid="{00000000-0005-0000-0000-00007E0F0000}"/>
    <cellStyle name="Table Head" xfId="3991" xr:uid="{00000000-0005-0000-0000-00007F0F0000}"/>
    <cellStyle name="Table Head Aligned" xfId="3992" xr:uid="{00000000-0005-0000-0000-0000800F0000}"/>
    <cellStyle name="Table Head Aligned 2" xfId="3993" xr:uid="{00000000-0005-0000-0000-0000810F0000}"/>
    <cellStyle name="Table Head Blue" xfId="3994" xr:uid="{00000000-0005-0000-0000-0000820F0000}"/>
    <cellStyle name="Table Head Green" xfId="3995" xr:uid="{00000000-0005-0000-0000-0000830F0000}"/>
    <cellStyle name="Table Head Green 2" xfId="3996" xr:uid="{00000000-0005-0000-0000-0000840F0000}"/>
    <cellStyle name="Table Heading" xfId="3997" xr:uid="{00000000-0005-0000-0000-0000850F0000}"/>
    <cellStyle name="Table Title" xfId="3998" xr:uid="{00000000-0005-0000-0000-0000860F0000}"/>
    <cellStyle name="Table Units" xfId="3999" xr:uid="{00000000-0005-0000-0000-0000870F0000}"/>
    <cellStyle name="Table Units 2" xfId="4000" xr:uid="{00000000-0005-0000-0000-0000880F0000}"/>
    <cellStyle name="Text Indent A" xfId="4001" xr:uid="{00000000-0005-0000-0000-0000890F0000}"/>
    <cellStyle name="Text Indent B" xfId="4002" xr:uid="{00000000-0005-0000-0000-00008A0F0000}"/>
    <cellStyle name="Text Indent C" xfId="4003" xr:uid="{00000000-0005-0000-0000-00008B0F0000}"/>
    <cellStyle name="þ_x001d_ð'&amp;Oy?Hy9_x0008__x000f__x0007_æ_x0007__x0007__x0001__x0001_" xfId="4004" xr:uid="{00000000-0005-0000-0000-00008C0F0000}"/>
    <cellStyle name="Tickmark" xfId="4005" xr:uid="{00000000-0005-0000-0000-00008D0F0000}"/>
    <cellStyle name="Title" xfId="4006" xr:uid="{00000000-0005-0000-0000-00008E0F0000}"/>
    <cellStyle name="Title  - Style1" xfId="4007" xr:uid="{00000000-0005-0000-0000-00008F0F0000}"/>
    <cellStyle name="Title  - Style6" xfId="4008" xr:uid="{00000000-0005-0000-0000-0000900F0000}"/>
    <cellStyle name="title [1]" xfId="4009" xr:uid="{00000000-0005-0000-0000-0000910F0000}"/>
    <cellStyle name="title [2]" xfId="4010" xr:uid="{00000000-0005-0000-0000-0000920F0000}"/>
    <cellStyle name="Total" xfId="4011" xr:uid="{00000000-0005-0000-0000-0000930F0000}"/>
    <cellStyle name="TotCol - Style5" xfId="4012" xr:uid="{00000000-0005-0000-0000-0000940F0000}"/>
    <cellStyle name="TotCol - Style7" xfId="4013" xr:uid="{00000000-0005-0000-0000-0000950F0000}"/>
    <cellStyle name="TotRow - Style4" xfId="4014" xr:uid="{00000000-0005-0000-0000-0000960F0000}"/>
    <cellStyle name="TotRow - Style8" xfId="4015" xr:uid="{00000000-0005-0000-0000-0000970F0000}"/>
    <cellStyle name="UI Background" xfId="4016" xr:uid="{00000000-0005-0000-0000-0000980F0000}"/>
    <cellStyle name="UIScreenText" xfId="4017" xr:uid="{00000000-0005-0000-0000-0000990F0000}"/>
    <cellStyle name="Unprotect" xfId="4018" xr:uid="{00000000-0005-0000-0000-00009A0F0000}"/>
    <cellStyle name="Variables" xfId="4019" xr:uid="{00000000-0005-0000-0000-00009B0F0000}"/>
    <cellStyle name="W?rung [0]_Aktenbewertung 1994" xfId="4020" xr:uid="{00000000-0005-0000-0000-00009C0F0000}"/>
    <cellStyle name="W?rung_Aktenbewertung 1994" xfId="4021" xr:uid="{00000000-0005-0000-0000-00009D0F0000}"/>
    <cellStyle name="Währung [0]_pUkwOAZN4HpKs513Q0LYPiAvu" xfId="4022" xr:uid="{00000000-0005-0000-0000-00009E0F0000}"/>
    <cellStyle name="Währung_pUkwOAZN4HpKs513Q0LYPiAvu" xfId="4023" xr:uid="{00000000-0005-0000-0000-00009F0F0000}"/>
    <cellStyle name="Warning Text" xfId="4024" xr:uid="{00000000-0005-0000-0000-0000A00F0000}"/>
    <cellStyle name="wrap" xfId="4025" xr:uid="{00000000-0005-0000-0000-0000A10F0000}"/>
    <cellStyle name="W鋒rung [0]_laroux" xfId="4026" xr:uid="{00000000-0005-0000-0000-0000A20F0000}"/>
    <cellStyle name="W鋒rung_laroux" xfId="4027" xr:uid="{00000000-0005-0000-0000-0000A30F0000}"/>
    <cellStyle name="year" xfId="4028" xr:uid="{00000000-0005-0000-0000-0000A40F0000}"/>
    <cellStyle name="year 2" xfId="4029" xr:uid="{00000000-0005-0000-0000-0000A50F0000}"/>
    <cellStyle name="ɀ䀉_x0001_ᄀɀ䀉_x0001_ᄀɀ䅀" xfId="4030" xr:uid="{00000000-0005-0000-0000-0000A60F0000}"/>
    <cellStyle name="ɀ䅀" xfId="4031" xr:uid="{00000000-0005-0000-0000-0000A70F0000}"/>
    <cellStyle name="アクセント 1" xfId="4032" xr:uid="{00000000-0005-0000-0000-0000A80F0000}"/>
    <cellStyle name="アクセント 2" xfId="4033" xr:uid="{00000000-0005-0000-0000-0000A90F0000}"/>
    <cellStyle name="アクセント 3" xfId="4034" xr:uid="{00000000-0005-0000-0000-0000AA0F0000}"/>
    <cellStyle name="アクセント 4" xfId="4035" xr:uid="{00000000-0005-0000-0000-0000AB0F0000}"/>
    <cellStyle name="アクセント 5" xfId="4036" xr:uid="{00000000-0005-0000-0000-0000AC0F0000}"/>
    <cellStyle name="アクセント 6" xfId="4037" xr:uid="{00000000-0005-0000-0000-0000AD0F0000}"/>
    <cellStyle name="タイトル" xfId="4038" xr:uid="{00000000-0005-0000-0000-0000AE0F0000}"/>
    <cellStyle name="チェック セル" xfId="4039" xr:uid="{00000000-0005-0000-0000-0000AF0F0000}"/>
    <cellStyle name="ﾄﾞｸｶ [0]_ｰ豼ｵﾃﾟﾁ " xfId="4040" xr:uid="{00000000-0005-0000-0000-0000B00F0000}"/>
    <cellStyle name="ﾄﾞｸｶ_ｰ豼ｵﾃﾟﾁ " xfId="4041" xr:uid="{00000000-0005-0000-0000-0000B10F0000}"/>
    <cellStyle name="どちらでもない" xfId="4042" xr:uid="{00000000-0005-0000-0000-0000B20F0000}"/>
    <cellStyle name="ﾅ・ｭ [0]_ｰ豼ｵﾃﾟﾁ " xfId="4043" xr:uid="{00000000-0005-0000-0000-0000B30F0000}"/>
    <cellStyle name="ﾅ・ｭ_ｰ豼ｵﾃﾟﾁ " xfId="4044" xr:uid="{00000000-0005-0000-0000-0000B40F0000}"/>
    <cellStyle name="メモ" xfId="4045" xr:uid="{00000000-0005-0000-0000-0000B50F0000}"/>
    <cellStyle name="リンク セル" xfId="4046" xr:uid="{00000000-0005-0000-0000-0000B60F0000}"/>
    <cellStyle name="ۊb⤼Ƃۚb⥨Ƃ۪b⦈Ƃۺb⦨Ƃ܊b⧌Ƃܚb☰Ƃܪb♈Ƃܺb♬Ƃ݊b⚜Ƃݚb⛘Ƃݪb⧨Ƃݺb⨤Ƃފb⩔Ƃޚb⩸Ƃުb⪤Ƃ޺b ƂߊbÀƂߚbàƂߪbĄƂߺbĠƂࠊbļƂࠚbŘƂࠪbƄƂ࠺bƤƂࡊbǈƂ࡚b׌ƂࡪbװƂࡺb؜ƂࢊbشƂ࢚bٔƂࢪbǸƂࢺbȰƂ࣊bɤƂࣚbʠƂ࣪bːƂࣺbڄƂऊbڬƂचbۘƂपb۬Ƃऺb܄ƂॊbܜƂग़bܴƂ४b݌ƂॺbݤƂঊbݼƂচbఈƂপbఠƂ঺bసƂ৊b౐Ƃ৚b౴Ƃ৪bޔƂ৺bߌƂਊbߠƂਚb߰ƂਪbࠄƂ਺bಠƂ੊bರƂਗ਼bೀƂ੪b೜Ƃ੺b೴Ƃઊb唔Ƃચb唬Ƃપb啀Ƃ઺b啐" xfId="4047" xr:uid="{00000000-0005-0000-0000-0000B70F0000}"/>
    <cellStyle name="ܪb♈Ƃܺb♬Ƃ݊b⚜Ƃݚb⛘Ƃݪb⧨Ƃݺb⨤Ƃފb⩔Ƃޚb⩸Ƃުb⪤Ƃ޺b ƂߊbÀƂߚbàƂߪbĄƂߺbĠƂࠊbļƂࠚbŘƂࠪbƄƂ࠺bƤƂࡊbǈƂ࡚b׌ƂࡪbװƂࡺb؜ƂࢊbشƂ࢚bٔƂࢪbǸƂࢺbȰƂ࣊bɤƂࣚbʠƂ࣪bːƂࣺbڄƂऊbڬƂचbۘƂपb۬Ƃऺb܄ƂॊbܜƂग़bܴƂ४b݌ƂॺbݤƂঊbݼƂচbఈƂপbఠƂ঺bసƂ৊b౐Ƃ৚b౴Ƃ৪bޔƂ৺bߌƂਊbߠƂਚb߰ƂਪbࠄƂ਺bಠƂ੊bರƂਗ਼bೀƂ੪b೜Ƃ੺b೴Ƃઊb唔Ƃચb唬Ƃપb啀Ƃ઺b啐Ƃ૊b啨Ƃ૚bഄƂ૪bരƂૺbൔƂଊb൰Ƃଚb඘" xfId="4048" xr:uid="{00000000-0005-0000-0000-0000B80F0000}"/>
    <cellStyle name="ऊbڬƂचbۘƂपb۬Ƃऺb܄ƂॊbܜƂग़bܴƂ४b݌ƂॺbݤƂঊbݼƂচbఈƂপbఠƂ঺bసƂ৊b౐Ƃ৚b౴Ƃ৪bޔƂ৺bߌƂਊbߠƂਚb߰ƂਪbࠄƂ਺bಠƂ੊bರƂਗ਼bೀƂ੪b೜Ƃ੺b೴Ƃઊb唔Ƃચb唬Ƃપb啀Ƃ઺b啐Ƃ૊b啨Ƃ૚bഄƂ૪bരƂૺbൔƂଊb൰Ƃଚb඘Ƃପb喈Ƃ଺b喘Ƃ୊b喰Ƃ୚b嗔Ƃ୪b嗰Ƃ୺bමƂஊbැƂசb෠Ƃபb෸Ƃ஺bฐƂொb嘄Ƃ௚b嘬Ƃ௪b噀Ƃ௺b噘Ƃఊb器ƂచbะƂపbไƂ఺b๔Ƃొb๴ƂౚbຈƂ౪b噼Ƃ౺b嚠Ƃಊb嚴Ƃಚb囈Ƃಪb囨Ƃ಺bຠƂೊbິƂ೚b໘Ƃ೪b໰Ƃ೺b༔" xfId="4049" xr:uid="{00000000-0005-0000-0000-0000B90F0000}"/>
    <cellStyle name="पb۬Ƃऺb܄ƂॊbܜƂग़bܴƂ४b݌ƂॺbݤƂঊbݼƂচbఈƂপbఠƂ঺bసƂ৊b౐Ƃ৚b౴Ƃ৪bޔƂ৺bߌƂਊbߠƂਚb߰ƂਪbࠄƂ਺bಠƂ੊bರƂਗ਼bೀƂ੪b೜Ƃ੺b೴Ƃઊb唔Ƃચb唬Ƃપb啀Ƃ઺b啐Ƃ૊b啨Ƃ૚bഄƂ૪bരƂૺbൔƂଊb൰Ƃଚb඘Ƃପb喈Ƃ଺b喘Ƃ୊b喰Ƃ୚b嗔Ƃ୪b嗰Ƃ୺bමƂஊbැƂசb෠Ƃபb෸Ƃ஺bฐƂொb嘄Ƃ௚b嘬Ƃ௪b噀Ƃ௺b噘Ƃఊb器ƂచbะƂపbไƂ఺b๔Ƃొb๴ƂౚbຈƂ౪b噼Ƃ౺b嚠Ƃಊb嚴Ƃಚb囈Ƃಪb囨Ƃ಺bຠƂೊbິƂ೚b໘Ƃ೪b໰Ƃ೺b༔Ƃഊb團Ƃചb在" xfId="4050" xr:uid="{00000000-0005-0000-0000-0000BA0F0000}"/>
    <cellStyle name="ᄀ䅀ഒŀᄀ䅀ഒᄀᄀ䅀ഀŀŀ䅀ഀ" xfId="4051" xr:uid="{00000000-0005-0000-0000-0000BB0F0000}"/>
    <cellStyle name="감사조서" xfId="4052" xr:uid="{00000000-0005-0000-0000-0000BC0F0000}"/>
    <cellStyle name="강조색1 10" xfId="4053" xr:uid="{00000000-0005-0000-0000-0000BD0F0000}"/>
    <cellStyle name="강조색1 11" xfId="4054" xr:uid="{00000000-0005-0000-0000-0000BE0F0000}"/>
    <cellStyle name="강조색1 12" xfId="4055" xr:uid="{00000000-0005-0000-0000-0000BF0F0000}"/>
    <cellStyle name="강조색1 13" xfId="4056" xr:uid="{00000000-0005-0000-0000-0000C00F0000}"/>
    <cellStyle name="강조색1 14" xfId="4057" xr:uid="{00000000-0005-0000-0000-0000C10F0000}"/>
    <cellStyle name="강조색1 15" xfId="4058" xr:uid="{00000000-0005-0000-0000-0000C20F0000}"/>
    <cellStyle name="강조색1 16" xfId="4059" xr:uid="{00000000-0005-0000-0000-0000C30F0000}"/>
    <cellStyle name="강조색1 17" xfId="4060" xr:uid="{00000000-0005-0000-0000-0000C40F0000}"/>
    <cellStyle name="강조색1 18" xfId="4061" xr:uid="{00000000-0005-0000-0000-0000C50F0000}"/>
    <cellStyle name="강조색1 19" xfId="4062" xr:uid="{00000000-0005-0000-0000-0000C60F0000}"/>
    <cellStyle name="강조색1 2" xfId="4063" xr:uid="{00000000-0005-0000-0000-0000C70F0000}"/>
    <cellStyle name="강조색1 2 10" xfId="4064" xr:uid="{00000000-0005-0000-0000-0000C80F0000}"/>
    <cellStyle name="강조색1 2 11" xfId="4065" xr:uid="{00000000-0005-0000-0000-0000C90F0000}"/>
    <cellStyle name="강조색1 2 12" xfId="4066" xr:uid="{00000000-0005-0000-0000-0000CA0F0000}"/>
    <cellStyle name="강조색1 2 13" xfId="4067" xr:uid="{00000000-0005-0000-0000-0000CB0F0000}"/>
    <cellStyle name="강조색1 2 14" xfId="4068" xr:uid="{00000000-0005-0000-0000-0000CC0F0000}"/>
    <cellStyle name="강조색1 2 15" xfId="4069" xr:uid="{00000000-0005-0000-0000-0000CD0F0000}"/>
    <cellStyle name="강조색1 2 16" xfId="4070" xr:uid="{00000000-0005-0000-0000-0000CE0F0000}"/>
    <cellStyle name="강조색1 2 17" xfId="4071" xr:uid="{00000000-0005-0000-0000-0000CF0F0000}"/>
    <cellStyle name="강조색1 2 18" xfId="4072" xr:uid="{00000000-0005-0000-0000-0000D00F0000}"/>
    <cellStyle name="강조색1 2 19" xfId="4073" xr:uid="{00000000-0005-0000-0000-0000D10F0000}"/>
    <cellStyle name="강조색1 2 2" xfId="4074" xr:uid="{00000000-0005-0000-0000-0000D20F0000}"/>
    <cellStyle name="강조색1 2 2 10" xfId="4075" xr:uid="{00000000-0005-0000-0000-0000D30F0000}"/>
    <cellStyle name="강조색1 2 2 11" xfId="4076" xr:uid="{00000000-0005-0000-0000-0000D40F0000}"/>
    <cellStyle name="강조색1 2 2 12" xfId="4077" xr:uid="{00000000-0005-0000-0000-0000D50F0000}"/>
    <cellStyle name="강조색1 2 2 13" xfId="4078" xr:uid="{00000000-0005-0000-0000-0000D60F0000}"/>
    <cellStyle name="강조색1 2 2 14" xfId="4079" xr:uid="{00000000-0005-0000-0000-0000D70F0000}"/>
    <cellStyle name="강조색1 2 2 2" xfId="4080" xr:uid="{00000000-0005-0000-0000-0000D80F0000}"/>
    <cellStyle name="강조색1 2 2 3" xfId="4081" xr:uid="{00000000-0005-0000-0000-0000D90F0000}"/>
    <cellStyle name="강조색1 2 2 4" xfId="4082" xr:uid="{00000000-0005-0000-0000-0000DA0F0000}"/>
    <cellStyle name="강조색1 2 2 5" xfId="4083" xr:uid="{00000000-0005-0000-0000-0000DB0F0000}"/>
    <cellStyle name="강조색1 2 2 6" xfId="4084" xr:uid="{00000000-0005-0000-0000-0000DC0F0000}"/>
    <cellStyle name="강조색1 2 2 7" xfId="4085" xr:uid="{00000000-0005-0000-0000-0000DD0F0000}"/>
    <cellStyle name="강조색1 2 2 8" xfId="4086" xr:uid="{00000000-0005-0000-0000-0000DE0F0000}"/>
    <cellStyle name="강조색1 2 2 9" xfId="4087" xr:uid="{00000000-0005-0000-0000-0000DF0F0000}"/>
    <cellStyle name="강조색1 2 20" xfId="4088" xr:uid="{00000000-0005-0000-0000-0000E00F0000}"/>
    <cellStyle name="강조색1 2 21" xfId="4089" xr:uid="{00000000-0005-0000-0000-0000E10F0000}"/>
    <cellStyle name="강조색1 2 22" xfId="4090" xr:uid="{00000000-0005-0000-0000-0000E20F0000}"/>
    <cellStyle name="강조색1 2 23" xfId="4091" xr:uid="{00000000-0005-0000-0000-0000E30F0000}"/>
    <cellStyle name="강조색1 2 24" xfId="4092" xr:uid="{00000000-0005-0000-0000-0000E40F0000}"/>
    <cellStyle name="강조색1 2 3" xfId="4093" xr:uid="{00000000-0005-0000-0000-0000E50F0000}"/>
    <cellStyle name="강조색1 2 4" xfId="4094" xr:uid="{00000000-0005-0000-0000-0000E60F0000}"/>
    <cellStyle name="강조색1 2 5" xfId="4095" xr:uid="{00000000-0005-0000-0000-0000E70F0000}"/>
    <cellStyle name="강조색1 2 6" xfId="4096" xr:uid="{00000000-0005-0000-0000-0000E80F0000}"/>
    <cellStyle name="강조색1 2 7" xfId="4097" xr:uid="{00000000-0005-0000-0000-0000E90F0000}"/>
    <cellStyle name="강조색1 2 8" xfId="4098" xr:uid="{00000000-0005-0000-0000-0000EA0F0000}"/>
    <cellStyle name="강조색1 2 9" xfId="4099" xr:uid="{00000000-0005-0000-0000-0000EB0F0000}"/>
    <cellStyle name="강조색1 20" xfId="4100" xr:uid="{00000000-0005-0000-0000-0000EC0F0000}"/>
    <cellStyle name="강조색1 21" xfId="4101" xr:uid="{00000000-0005-0000-0000-0000ED0F0000}"/>
    <cellStyle name="강조색1 22" xfId="4102" xr:uid="{00000000-0005-0000-0000-0000EE0F0000}"/>
    <cellStyle name="강조색1 23" xfId="4103" xr:uid="{00000000-0005-0000-0000-0000EF0F0000}"/>
    <cellStyle name="강조색1 24" xfId="4104" xr:uid="{00000000-0005-0000-0000-0000F00F0000}"/>
    <cellStyle name="강조색1 3" xfId="4105" xr:uid="{00000000-0005-0000-0000-0000F10F0000}"/>
    <cellStyle name="강조색1 3 10" xfId="4106" xr:uid="{00000000-0005-0000-0000-0000F20F0000}"/>
    <cellStyle name="강조색1 3 11" xfId="4107" xr:uid="{00000000-0005-0000-0000-0000F30F0000}"/>
    <cellStyle name="강조색1 3 12" xfId="4108" xr:uid="{00000000-0005-0000-0000-0000F40F0000}"/>
    <cellStyle name="강조색1 3 13" xfId="4109" xr:uid="{00000000-0005-0000-0000-0000F50F0000}"/>
    <cellStyle name="강조색1 3 14" xfId="4110" xr:uid="{00000000-0005-0000-0000-0000F60F0000}"/>
    <cellStyle name="강조색1 3 2" xfId="4111" xr:uid="{00000000-0005-0000-0000-0000F70F0000}"/>
    <cellStyle name="강조색1 3 3" xfId="4112" xr:uid="{00000000-0005-0000-0000-0000F80F0000}"/>
    <cellStyle name="강조색1 3 4" xfId="4113" xr:uid="{00000000-0005-0000-0000-0000F90F0000}"/>
    <cellStyle name="강조색1 3 5" xfId="4114" xr:uid="{00000000-0005-0000-0000-0000FA0F0000}"/>
    <cellStyle name="강조색1 3 6" xfId="4115" xr:uid="{00000000-0005-0000-0000-0000FB0F0000}"/>
    <cellStyle name="강조색1 3 7" xfId="4116" xr:uid="{00000000-0005-0000-0000-0000FC0F0000}"/>
    <cellStyle name="강조색1 3 8" xfId="4117" xr:uid="{00000000-0005-0000-0000-0000FD0F0000}"/>
    <cellStyle name="강조색1 3 9" xfId="4118" xr:uid="{00000000-0005-0000-0000-0000FE0F0000}"/>
    <cellStyle name="강조색1 4" xfId="4119" xr:uid="{00000000-0005-0000-0000-0000FF0F0000}"/>
    <cellStyle name="강조색1 5" xfId="4120" xr:uid="{00000000-0005-0000-0000-000000100000}"/>
    <cellStyle name="강조색1 6" xfId="4121" xr:uid="{00000000-0005-0000-0000-000001100000}"/>
    <cellStyle name="강조색1 7" xfId="4122" xr:uid="{00000000-0005-0000-0000-000002100000}"/>
    <cellStyle name="강조색1 8" xfId="4123" xr:uid="{00000000-0005-0000-0000-000003100000}"/>
    <cellStyle name="강조색1 9" xfId="4124" xr:uid="{00000000-0005-0000-0000-000004100000}"/>
    <cellStyle name="강조색2 10" xfId="4125" xr:uid="{00000000-0005-0000-0000-000005100000}"/>
    <cellStyle name="강조색2 11" xfId="4126" xr:uid="{00000000-0005-0000-0000-000006100000}"/>
    <cellStyle name="강조색2 12" xfId="4127" xr:uid="{00000000-0005-0000-0000-000007100000}"/>
    <cellStyle name="강조색2 13" xfId="4128" xr:uid="{00000000-0005-0000-0000-000008100000}"/>
    <cellStyle name="강조색2 14" xfId="4129" xr:uid="{00000000-0005-0000-0000-000009100000}"/>
    <cellStyle name="강조색2 15" xfId="4130" xr:uid="{00000000-0005-0000-0000-00000A100000}"/>
    <cellStyle name="강조색2 16" xfId="4131" xr:uid="{00000000-0005-0000-0000-00000B100000}"/>
    <cellStyle name="강조색2 17" xfId="4132" xr:uid="{00000000-0005-0000-0000-00000C100000}"/>
    <cellStyle name="강조색2 18" xfId="4133" xr:uid="{00000000-0005-0000-0000-00000D100000}"/>
    <cellStyle name="강조색2 19" xfId="4134" xr:uid="{00000000-0005-0000-0000-00000E100000}"/>
    <cellStyle name="강조색2 2" xfId="4135" xr:uid="{00000000-0005-0000-0000-00000F100000}"/>
    <cellStyle name="강조색2 2 10" xfId="4136" xr:uid="{00000000-0005-0000-0000-000010100000}"/>
    <cellStyle name="강조색2 2 11" xfId="4137" xr:uid="{00000000-0005-0000-0000-000011100000}"/>
    <cellStyle name="강조색2 2 12" xfId="4138" xr:uid="{00000000-0005-0000-0000-000012100000}"/>
    <cellStyle name="강조색2 2 13" xfId="4139" xr:uid="{00000000-0005-0000-0000-000013100000}"/>
    <cellStyle name="강조색2 2 14" xfId="4140" xr:uid="{00000000-0005-0000-0000-000014100000}"/>
    <cellStyle name="강조색2 2 15" xfId="4141" xr:uid="{00000000-0005-0000-0000-000015100000}"/>
    <cellStyle name="강조색2 2 16" xfId="4142" xr:uid="{00000000-0005-0000-0000-000016100000}"/>
    <cellStyle name="강조색2 2 17" xfId="4143" xr:uid="{00000000-0005-0000-0000-000017100000}"/>
    <cellStyle name="강조색2 2 18" xfId="4144" xr:uid="{00000000-0005-0000-0000-000018100000}"/>
    <cellStyle name="강조색2 2 19" xfId="4145" xr:uid="{00000000-0005-0000-0000-000019100000}"/>
    <cellStyle name="강조색2 2 2" xfId="4146" xr:uid="{00000000-0005-0000-0000-00001A100000}"/>
    <cellStyle name="강조색2 2 2 10" xfId="4147" xr:uid="{00000000-0005-0000-0000-00001B100000}"/>
    <cellStyle name="강조색2 2 2 11" xfId="4148" xr:uid="{00000000-0005-0000-0000-00001C100000}"/>
    <cellStyle name="강조색2 2 2 12" xfId="4149" xr:uid="{00000000-0005-0000-0000-00001D100000}"/>
    <cellStyle name="강조색2 2 2 13" xfId="4150" xr:uid="{00000000-0005-0000-0000-00001E100000}"/>
    <cellStyle name="강조색2 2 2 14" xfId="4151" xr:uid="{00000000-0005-0000-0000-00001F100000}"/>
    <cellStyle name="강조색2 2 2 2" xfId="4152" xr:uid="{00000000-0005-0000-0000-000020100000}"/>
    <cellStyle name="강조색2 2 2 3" xfId="4153" xr:uid="{00000000-0005-0000-0000-000021100000}"/>
    <cellStyle name="강조색2 2 2 4" xfId="4154" xr:uid="{00000000-0005-0000-0000-000022100000}"/>
    <cellStyle name="강조색2 2 2 5" xfId="4155" xr:uid="{00000000-0005-0000-0000-000023100000}"/>
    <cellStyle name="강조색2 2 2 6" xfId="4156" xr:uid="{00000000-0005-0000-0000-000024100000}"/>
    <cellStyle name="강조색2 2 2 7" xfId="4157" xr:uid="{00000000-0005-0000-0000-000025100000}"/>
    <cellStyle name="강조색2 2 2 8" xfId="4158" xr:uid="{00000000-0005-0000-0000-000026100000}"/>
    <cellStyle name="강조색2 2 2 9" xfId="4159" xr:uid="{00000000-0005-0000-0000-000027100000}"/>
    <cellStyle name="강조색2 2 20" xfId="4160" xr:uid="{00000000-0005-0000-0000-000028100000}"/>
    <cellStyle name="강조색2 2 21" xfId="4161" xr:uid="{00000000-0005-0000-0000-000029100000}"/>
    <cellStyle name="강조색2 2 22" xfId="4162" xr:uid="{00000000-0005-0000-0000-00002A100000}"/>
    <cellStyle name="강조색2 2 23" xfId="4163" xr:uid="{00000000-0005-0000-0000-00002B100000}"/>
    <cellStyle name="강조색2 2 24" xfId="4164" xr:uid="{00000000-0005-0000-0000-00002C100000}"/>
    <cellStyle name="강조색2 2 3" xfId="4165" xr:uid="{00000000-0005-0000-0000-00002D100000}"/>
    <cellStyle name="강조색2 2 4" xfId="4166" xr:uid="{00000000-0005-0000-0000-00002E100000}"/>
    <cellStyle name="강조색2 2 5" xfId="4167" xr:uid="{00000000-0005-0000-0000-00002F100000}"/>
    <cellStyle name="강조색2 2 6" xfId="4168" xr:uid="{00000000-0005-0000-0000-000030100000}"/>
    <cellStyle name="강조색2 2 7" xfId="4169" xr:uid="{00000000-0005-0000-0000-000031100000}"/>
    <cellStyle name="강조색2 2 8" xfId="4170" xr:uid="{00000000-0005-0000-0000-000032100000}"/>
    <cellStyle name="강조색2 2 9" xfId="4171" xr:uid="{00000000-0005-0000-0000-000033100000}"/>
    <cellStyle name="강조색2 20" xfId="4172" xr:uid="{00000000-0005-0000-0000-000034100000}"/>
    <cellStyle name="강조색2 21" xfId="4173" xr:uid="{00000000-0005-0000-0000-000035100000}"/>
    <cellStyle name="강조색2 22" xfId="4174" xr:uid="{00000000-0005-0000-0000-000036100000}"/>
    <cellStyle name="강조색2 23" xfId="4175" xr:uid="{00000000-0005-0000-0000-000037100000}"/>
    <cellStyle name="강조색2 24" xfId="4176" xr:uid="{00000000-0005-0000-0000-000038100000}"/>
    <cellStyle name="강조색2 3" xfId="4177" xr:uid="{00000000-0005-0000-0000-000039100000}"/>
    <cellStyle name="강조색2 3 10" xfId="4178" xr:uid="{00000000-0005-0000-0000-00003A100000}"/>
    <cellStyle name="강조색2 3 11" xfId="4179" xr:uid="{00000000-0005-0000-0000-00003B100000}"/>
    <cellStyle name="강조색2 3 12" xfId="4180" xr:uid="{00000000-0005-0000-0000-00003C100000}"/>
    <cellStyle name="강조색2 3 13" xfId="4181" xr:uid="{00000000-0005-0000-0000-00003D100000}"/>
    <cellStyle name="강조색2 3 14" xfId="4182" xr:uid="{00000000-0005-0000-0000-00003E100000}"/>
    <cellStyle name="강조색2 3 2" xfId="4183" xr:uid="{00000000-0005-0000-0000-00003F100000}"/>
    <cellStyle name="강조색2 3 3" xfId="4184" xr:uid="{00000000-0005-0000-0000-000040100000}"/>
    <cellStyle name="강조색2 3 4" xfId="4185" xr:uid="{00000000-0005-0000-0000-000041100000}"/>
    <cellStyle name="강조색2 3 5" xfId="4186" xr:uid="{00000000-0005-0000-0000-000042100000}"/>
    <cellStyle name="강조색2 3 6" xfId="4187" xr:uid="{00000000-0005-0000-0000-000043100000}"/>
    <cellStyle name="강조색2 3 7" xfId="4188" xr:uid="{00000000-0005-0000-0000-000044100000}"/>
    <cellStyle name="강조색2 3 8" xfId="4189" xr:uid="{00000000-0005-0000-0000-000045100000}"/>
    <cellStyle name="강조색2 3 9" xfId="4190" xr:uid="{00000000-0005-0000-0000-000046100000}"/>
    <cellStyle name="강조색2 4" xfId="4191" xr:uid="{00000000-0005-0000-0000-000047100000}"/>
    <cellStyle name="강조색2 5" xfId="4192" xr:uid="{00000000-0005-0000-0000-000048100000}"/>
    <cellStyle name="강조색2 6" xfId="4193" xr:uid="{00000000-0005-0000-0000-000049100000}"/>
    <cellStyle name="강조색2 7" xfId="4194" xr:uid="{00000000-0005-0000-0000-00004A100000}"/>
    <cellStyle name="강조색2 8" xfId="4195" xr:uid="{00000000-0005-0000-0000-00004B100000}"/>
    <cellStyle name="강조색2 9" xfId="4196" xr:uid="{00000000-0005-0000-0000-00004C100000}"/>
    <cellStyle name="강조색3 10" xfId="4197" xr:uid="{00000000-0005-0000-0000-00004D100000}"/>
    <cellStyle name="강조색3 11" xfId="4198" xr:uid="{00000000-0005-0000-0000-00004E100000}"/>
    <cellStyle name="강조색3 12" xfId="4199" xr:uid="{00000000-0005-0000-0000-00004F100000}"/>
    <cellStyle name="강조색3 13" xfId="4200" xr:uid="{00000000-0005-0000-0000-000050100000}"/>
    <cellStyle name="강조색3 14" xfId="4201" xr:uid="{00000000-0005-0000-0000-000051100000}"/>
    <cellStyle name="강조색3 15" xfId="4202" xr:uid="{00000000-0005-0000-0000-000052100000}"/>
    <cellStyle name="강조색3 16" xfId="4203" xr:uid="{00000000-0005-0000-0000-000053100000}"/>
    <cellStyle name="강조색3 17" xfId="4204" xr:uid="{00000000-0005-0000-0000-000054100000}"/>
    <cellStyle name="강조색3 18" xfId="4205" xr:uid="{00000000-0005-0000-0000-000055100000}"/>
    <cellStyle name="강조색3 19" xfId="4206" xr:uid="{00000000-0005-0000-0000-000056100000}"/>
    <cellStyle name="강조색3 2" xfId="4207" xr:uid="{00000000-0005-0000-0000-000057100000}"/>
    <cellStyle name="강조색3 2 10" xfId="4208" xr:uid="{00000000-0005-0000-0000-000058100000}"/>
    <cellStyle name="강조색3 2 11" xfId="4209" xr:uid="{00000000-0005-0000-0000-000059100000}"/>
    <cellStyle name="강조색3 2 12" xfId="4210" xr:uid="{00000000-0005-0000-0000-00005A100000}"/>
    <cellStyle name="강조색3 2 13" xfId="4211" xr:uid="{00000000-0005-0000-0000-00005B100000}"/>
    <cellStyle name="강조색3 2 14" xfId="4212" xr:uid="{00000000-0005-0000-0000-00005C100000}"/>
    <cellStyle name="강조색3 2 15" xfId="4213" xr:uid="{00000000-0005-0000-0000-00005D100000}"/>
    <cellStyle name="강조색3 2 16" xfId="4214" xr:uid="{00000000-0005-0000-0000-00005E100000}"/>
    <cellStyle name="강조색3 2 17" xfId="4215" xr:uid="{00000000-0005-0000-0000-00005F100000}"/>
    <cellStyle name="강조색3 2 18" xfId="4216" xr:uid="{00000000-0005-0000-0000-000060100000}"/>
    <cellStyle name="강조색3 2 19" xfId="4217" xr:uid="{00000000-0005-0000-0000-000061100000}"/>
    <cellStyle name="강조색3 2 2" xfId="4218" xr:uid="{00000000-0005-0000-0000-000062100000}"/>
    <cellStyle name="강조색3 2 2 10" xfId="4219" xr:uid="{00000000-0005-0000-0000-000063100000}"/>
    <cellStyle name="강조색3 2 2 11" xfId="4220" xr:uid="{00000000-0005-0000-0000-000064100000}"/>
    <cellStyle name="강조색3 2 2 12" xfId="4221" xr:uid="{00000000-0005-0000-0000-000065100000}"/>
    <cellStyle name="강조색3 2 2 13" xfId="4222" xr:uid="{00000000-0005-0000-0000-000066100000}"/>
    <cellStyle name="강조색3 2 2 14" xfId="4223" xr:uid="{00000000-0005-0000-0000-000067100000}"/>
    <cellStyle name="강조색3 2 2 2" xfId="4224" xr:uid="{00000000-0005-0000-0000-000068100000}"/>
    <cellStyle name="강조색3 2 2 3" xfId="4225" xr:uid="{00000000-0005-0000-0000-000069100000}"/>
    <cellStyle name="강조색3 2 2 4" xfId="4226" xr:uid="{00000000-0005-0000-0000-00006A100000}"/>
    <cellStyle name="강조색3 2 2 5" xfId="4227" xr:uid="{00000000-0005-0000-0000-00006B100000}"/>
    <cellStyle name="강조색3 2 2 6" xfId="4228" xr:uid="{00000000-0005-0000-0000-00006C100000}"/>
    <cellStyle name="강조색3 2 2 7" xfId="4229" xr:uid="{00000000-0005-0000-0000-00006D100000}"/>
    <cellStyle name="강조색3 2 2 8" xfId="4230" xr:uid="{00000000-0005-0000-0000-00006E100000}"/>
    <cellStyle name="강조색3 2 2 9" xfId="4231" xr:uid="{00000000-0005-0000-0000-00006F100000}"/>
    <cellStyle name="강조색3 2 20" xfId="4232" xr:uid="{00000000-0005-0000-0000-000070100000}"/>
    <cellStyle name="강조색3 2 21" xfId="4233" xr:uid="{00000000-0005-0000-0000-000071100000}"/>
    <cellStyle name="강조색3 2 22" xfId="4234" xr:uid="{00000000-0005-0000-0000-000072100000}"/>
    <cellStyle name="강조색3 2 23" xfId="4235" xr:uid="{00000000-0005-0000-0000-000073100000}"/>
    <cellStyle name="강조색3 2 24" xfId="4236" xr:uid="{00000000-0005-0000-0000-000074100000}"/>
    <cellStyle name="강조색3 2 3" xfId="4237" xr:uid="{00000000-0005-0000-0000-000075100000}"/>
    <cellStyle name="강조색3 2 4" xfId="4238" xr:uid="{00000000-0005-0000-0000-000076100000}"/>
    <cellStyle name="강조색3 2 5" xfId="4239" xr:uid="{00000000-0005-0000-0000-000077100000}"/>
    <cellStyle name="강조색3 2 6" xfId="4240" xr:uid="{00000000-0005-0000-0000-000078100000}"/>
    <cellStyle name="강조색3 2 7" xfId="4241" xr:uid="{00000000-0005-0000-0000-000079100000}"/>
    <cellStyle name="강조색3 2 8" xfId="4242" xr:uid="{00000000-0005-0000-0000-00007A100000}"/>
    <cellStyle name="강조색3 2 9" xfId="4243" xr:uid="{00000000-0005-0000-0000-00007B100000}"/>
    <cellStyle name="강조색3 20" xfId="4244" xr:uid="{00000000-0005-0000-0000-00007C100000}"/>
    <cellStyle name="강조색3 21" xfId="4245" xr:uid="{00000000-0005-0000-0000-00007D100000}"/>
    <cellStyle name="강조색3 22" xfId="4246" xr:uid="{00000000-0005-0000-0000-00007E100000}"/>
    <cellStyle name="강조색3 23" xfId="4247" xr:uid="{00000000-0005-0000-0000-00007F100000}"/>
    <cellStyle name="강조색3 24" xfId="4248" xr:uid="{00000000-0005-0000-0000-000080100000}"/>
    <cellStyle name="강조색3 3" xfId="4249" xr:uid="{00000000-0005-0000-0000-000081100000}"/>
    <cellStyle name="강조색3 3 10" xfId="4250" xr:uid="{00000000-0005-0000-0000-000082100000}"/>
    <cellStyle name="강조색3 3 11" xfId="4251" xr:uid="{00000000-0005-0000-0000-000083100000}"/>
    <cellStyle name="강조색3 3 12" xfId="4252" xr:uid="{00000000-0005-0000-0000-000084100000}"/>
    <cellStyle name="강조색3 3 13" xfId="4253" xr:uid="{00000000-0005-0000-0000-000085100000}"/>
    <cellStyle name="강조색3 3 14" xfId="4254" xr:uid="{00000000-0005-0000-0000-000086100000}"/>
    <cellStyle name="강조색3 3 2" xfId="4255" xr:uid="{00000000-0005-0000-0000-000087100000}"/>
    <cellStyle name="강조색3 3 3" xfId="4256" xr:uid="{00000000-0005-0000-0000-000088100000}"/>
    <cellStyle name="강조색3 3 4" xfId="4257" xr:uid="{00000000-0005-0000-0000-000089100000}"/>
    <cellStyle name="강조색3 3 5" xfId="4258" xr:uid="{00000000-0005-0000-0000-00008A100000}"/>
    <cellStyle name="강조색3 3 6" xfId="4259" xr:uid="{00000000-0005-0000-0000-00008B100000}"/>
    <cellStyle name="강조색3 3 7" xfId="4260" xr:uid="{00000000-0005-0000-0000-00008C100000}"/>
    <cellStyle name="강조색3 3 8" xfId="4261" xr:uid="{00000000-0005-0000-0000-00008D100000}"/>
    <cellStyle name="강조색3 3 9" xfId="4262" xr:uid="{00000000-0005-0000-0000-00008E100000}"/>
    <cellStyle name="강조색3 4" xfId="4263" xr:uid="{00000000-0005-0000-0000-00008F100000}"/>
    <cellStyle name="강조색3 5" xfId="4264" xr:uid="{00000000-0005-0000-0000-000090100000}"/>
    <cellStyle name="강조색3 6" xfId="4265" xr:uid="{00000000-0005-0000-0000-000091100000}"/>
    <cellStyle name="강조색3 7" xfId="4266" xr:uid="{00000000-0005-0000-0000-000092100000}"/>
    <cellStyle name="강조색3 8" xfId="4267" xr:uid="{00000000-0005-0000-0000-000093100000}"/>
    <cellStyle name="강조색3 9" xfId="4268" xr:uid="{00000000-0005-0000-0000-000094100000}"/>
    <cellStyle name="강조색4 10" xfId="4269" xr:uid="{00000000-0005-0000-0000-000095100000}"/>
    <cellStyle name="강조색4 11" xfId="4270" xr:uid="{00000000-0005-0000-0000-000096100000}"/>
    <cellStyle name="강조색4 12" xfId="4271" xr:uid="{00000000-0005-0000-0000-000097100000}"/>
    <cellStyle name="강조색4 13" xfId="4272" xr:uid="{00000000-0005-0000-0000-000098100000}"/>
    <cellStyle name="강조색4 14" xfId="4273" xr:uid="{00000000-0005-0000-0000-000099100000}"/>
    <cellStyle name="강조색4 15" xfId="4274" xr:uid="{00000000-0005-0000-0000-00009A100000}"/>
    <cellStyle name="강조색4 16" xfId="4275" xr:uid="{00000000-0005-0000-0000-00009B100000}"/>
    <cellStyle name="강조색4 17" xfId="4276" xr:uid="{00000000-0005-0000-0000-00009C100000}"/>
    <cellStyle name="강조색4 18" xfId="4277" xr:uid="{00000000-0005-0000-0000-00009D100000}"/>
    <cellStyle name="강조색4 19" xfId="4278" xr:uid="{00000000-0005-0000-0000-00009E100000}"/>
    <cellStyle name="강조색4 2" xfId="4279" xr:uid="{00000000-0005-0000-0000-00009F100000}"/>
    <cellStyle name="강조색4 2 10" xfId="4280" xr:uid="{00000000-0005-0000-0000-0000A0100000}"/>
    <cellStyle name="강조색4 2 11" xfId="4281" xr:uid="{00000000-0005-0000-0000-0000A1100000}"/>
    <cellStyle name="강조색4 2 12" xfId="4282" xr:uid="{00000000-0005-0000-0000-0000A2100000}"/>
    <cellStyle name="강조색4 2 13" xfId="4283" xr:uid="{00000000-0005-0000-0000-0000A3100000}"/>
    <cellStyle name="강조색4 2 14" xfId="4284" xr:uid="{00000000-0005-0000-0000-0000A4100000}"/>
    <cellStyle name="강조색4 2 15" xfId="4285" xr:uid="{00000000-0005-0000-0000-0000A5100000}"/>
    <cellStyle name="강조색4 2 16" xfId="4286" xr:uid="{00000000-0005-0000-0000-0000A6100000}"/>
    <cellStyle name="강조색4 2 17" xfId="4287" xr:uid="{00000000-0005-0000-0000-0000A7100000}"/>
    <cellStyle name="강조색4 2 18" xfId="4288" xr:uid="{00000000-0005-0000-0000-0000A8100000}"/>
    <cellStyle name="강조색4 2 19" xfId="4289" xr:uid="{00000000-0005-0000-0000-0000A9100000}"/>
    <cellStyle name="강조색4 2 2" xfId="4290" xr:uid="{00000000-0005-0000-0000-0000AA100000}"/>
    <cellStyle name="강조색4 2 2 10" xfId="4291" xr:uid="{00000000-0005-0000-0000-0000AB100000}"/>
    <cellStyle name="강조색4 2 2 11" xfId="4292" xr:uid="{00000000-0005-0000-0000-0000AC100000}"/>
    <cellStyle name="강조색4 2 2 12" xfId="4293" xr:uid="{00000000-0005-0000-0000-0000AD100000}"/>
    <cellStyle name="강조색4 2 2 13" xfId="4294" xr:uid="{00000000-0005-0000-0000-0000AE100000}"/>
    <cellStyle name="강조색4 2 2 14" xfId="4295" xr:uid="{00000000-0005-0000-0000-0000AF100000}"/>
    <cellStyle name="강조색4 2 2 2" xfId="4296" xr:uid="{00000000-0005-0000-0000-0000B0100000}"/>
    <cellStyle name="강조색4 2 2 3" xfId="4297" xr:uid="{00000000-0005-0000-0000-0000B1100000}"/>
    <cellStyle name="강조색4 2 2 4" xfId="4298" xr:uid="{00000000-0005-0000-0000-0000B2100000}"/>
    <cellStyle name="강조색4 2 2 5" xfId="4299" xr:uid="{00000000-0005-0000-0000-0000B3100000}"/>
    <cellStyle name="강조색4 2 2 6" xfId="4300" xr:uid="{00000000-0005-0000-0000-0000B4100000}"/>
    <cellStyle name="강조색4 2 2 7" xfId="4301" xr:uid="{00000000-0005-0000-0000-0000B5100000}"/>
    <cellStyle name="강조색4 2 2 8" xfId="4302" xr:uid="{00000000-0005-0000-0000-0000B6100000}"/>
    <cellStyle name="강조색4 2 2 9" xfId="4303" xr:uid="{00000000-0005-0000-0000-0000B7100000}"/>
    <cellStyle name="강조색4 2 20" xfId="4304" xr:uid="{00000000-0005-0000-0000-0000B8100000}"/>
    <cellStyle name="강조색4 2 21" xfId="4305" xr:uid="{00000000-0005-0000-0000-0000B9100000}"/>
    <cellStyle name="강조색4 2 22" xfId="4306" xr:uid="{00000000-0005-0000-0000-0000BA100000}"/>
    <cellStyle name="강조색4 2 23" xfId="4307" xr:uid="{00000000-0005-0000-0000-0000BB100000}"/>
    <cellStyle name="강조색4 2 24" xfId="4308" xr:uid="{00000000-0005-0000-0000-0000BC100000}"/>
    <cellStyle name="강조색4 2 3" xfId="4309" xr:uid="{00000000-0005-0000-0000-0000BD100000}"/>
    <cellStyle name="강조색4 2 4" xfId="4310" xr:uid="{00000000-0005-0000-0000-0000BE100000}"/>
    <cellStyle name="강조색4 2 5" xfId="4311" xr:uid="{00000000-0005-0000-0000-0000BF100000}"/>
    <cellStyle name="강조색4 2 6" xfId="4312" xr:uid="{00000000-0005-0000-0000-0000C0100000}"/>
    <cellStyle name="강조색4 2 7" xfId="4313" xr:uid="{00000000-0005-0000-0000-0000C1100000}"/>
    <cellStyle name="강조색4 2 8" xfId="4314" xr:uid="{00000000-0005-0000-0000-0000C2100000}"/>
    <cellStyle name="강조색4 2 9" xfId="4315" xr:uid="{00000000-0005-0000-0000-0000C3100000}"/>
    <cellStyle name="강조색4 20" xfId="4316" xr:uid="{00000000-0005-0000-0000-0000C4100000}"/>
    <cellStyle name="강조색4 21" xfId="4317" xr:uid="{00000000-0005-0000-0000-0000C5100000}"/>
    <cellStyle name="강조색4 22" xfId="4318" xr:uid="{00000000-0005-0000-0000-0000C6100000}"/>
    <cellStyle name="강조색4 23" xfId="4319" xr:uid="{00000000-0005-0000-0000-0000C7100000}"/>
    <cellStyle name="강조색4 24" xfId="4320" xr:uid="{00000000-0005-0000-0000-0000C8100000}"/>
    <cellStyle name="강조색4 3" xfId="4321" xr:uid="{00000000-0005-0000-0000-0000C9100000}"/>
    <cellStyle name="강조색4 3 10" xfId="4322" xr:uid="{00000000-0005-0000-0000-0000CA100000}"/>
    <cellStyle name="강조색4 3 11" xfId="4323" xr:uid="{00000000-0005-0000-0000-0000CB100000}"/>
    <cellStyle name="강조색4 3 12" xfId="4324" xr:uid="{00000000-0005-0000-0000-0000CC100000}"/>
    <cellStyle name="강조색4 3 13" xfId="4325" xr:uid="{00000000-0005-0000-0000-0000CD100000}"/>
    <cellStyle name="강조색4 3 14" xfId="4326" xr:uid="{00000000-0005-0000-0000-0000CE100000}"/>
    <cellStyle name="강조색4 3 2" xfId="4327" xr:uid="{00000000-0005-0000-0000-0000CF100000}"/>
    <cellStyle name="강조색4 3 3" xfId="4328" xr:uid="{00000000-0005-0000-0000-0000D0100000}"/>
    <cellStyle name="강조색4 3 4" xfId="4329" xr:uid="{00000000-0005-0000-0000-0000D1100000}"/>
    <cellStyle name="강조색4 3 5" xfId="4330" xr:uid="{00000000-0005-0000-0000-0000D2100000}"/>
    <cellStyle name="강조색4 3 6" xfId="4331" xr:uid="{00000000-0005-0000-0000-0000D3100000}"/>
    <cellStyle name="강조색4 3 7" xfId="4332" xr:uid="{00000000-0005-0000-0000-0000D4100000}"/>
    <cellStyle name="강조색4 3 8" xfId="4333" xr:uid="{00000000-0005-0000-0000-0000D5100000}"/>
    <cellStyle name="강조색4 3 9" xfId="4334" xr:uid="{00000000-0005-0000-0000-0000D6100000}"/>
    <cellStyle name="강조색4 4" xfId="4335" xr:uid="{00000000-0005-0000-0000-0000D7100000}"/>
    <cellStyle name="강조색4 5" xfId="4336" xr:uid="{00000000-0005-0000-0000-0000D8100000}"/>
    <cellStyle name="강조색4 6" xfId="4337" xr:uid="{00000000-0005-0000-0000-0000D9100000}"/>
    <cellStyle name="강조색4 7" xfId="4338" xr:uid="{00000000-0005-0000-0000-0000DA100000}"/>
    <cellStyle name="강조색4 8" xfId="4339" xr:uid="{00000000-0005-0000-0000-0000DB100000}"/>
    <cellStyle name="강조색4 9" xfId="4340" xr:uid="{00000000-0005-0000-0000-0000DC100000}"/>
    <cellStyle name="강조색5 10" xfId="4341" xr:uid="{00000000-0005-0000-0000-0000DD100000}"/>
    <cellStyle name="강조색5 11" xfId="4342" xr:uid="{00000000-0005-0000-0000-0000DE100000}"/>
    <cellStyle name="강조색5 12" xfId="4343" xr:uid="{00000000-0005-0000-0000-0000DF100000}"/>
    <cellStyle name="강조색5 13" xfId="4344" xr:uid="{00000000-0005-0000-0000-0000E0100000}"/>
    <cellStyle name="강조색5 14" xfId="4345" xr:uid="{00000000-0005-0000-0000-0000E1100000}"/>
    <cellStyle name="강조색5 15" xfId="4346" xr:uid="{00000000-0005-0000-0000-0000E2100000}"/>
    <cellStyle name="강조색5 16" xfId="4347" xr:uid="{00000000-0005-0000-0000-0000E3100000}"/>
    <cellStyle name="강조색5 17" xfId="4348" xr:uid="{00000000-0005-0000-0000-0000E4100000}"/>
    <cellStyle name="강조색5 18" xfId="4349" xr:uid="{00000000-0005-0000-0000-0000E5100000}"/>
    <cellStyle name="강조색5 19" xfId="4350" xr:uid="{00000000-0005-0000-0000-0000E6100000}"/>
    <cellStyle name="강조색5 2" xfId="4351" xr:uid="{00000000-0005-0000-0000-0000E7100000}"/>
    <cellStyle name="강조색5 2 10" xfId="4352" xr:uid="{00000000-0005-0000-0000-0000E8100000}"/>
    <cellStyle name="강조색5 2 11" xfId="4353" xr:uid="{00000000-0005-0000-0000-0000E9100000}"/>
    <cellStyle name="강조색5 2 12" xfId="4354" xr:uid="{00000000-0005-0000-0000-0000EA100000}"/>
    <cellStyle name="강조색5 2 13" xfId="4355" xr:uid="{00000000-0005-0000-0000-0000EB100000}"/>
    <cellStyle name="강조색5 2 14" xfId="4356" xr:uid="{00000000-0005-0000-0000-0000EC100000}"/>
    <cellStyle name="강조색5 2 15" xfId="4357" xr:uid="{00000000-0005-0000-0000-0000ED100000}"/>
    <cellStyle name="강조색5 2 16" xfId="4358" xr:uid="{00000000-0005-0000-0000-0000EE100000}"/>
    <cellStyle name="강조색5 2 17" xfId="4359" xr:uid="{00000000-0005-0000-0000-0000EF100000}"/>
    <cellStyle name="강조색5 2 18" xfId="4360" xr:uid="{00000000-0005-0000-0000-0000F0100000}"/>
    <cellStyle name="강조색5 2 19" xfId="4361" xr:uid="{00000000-0005-0000-0000-0000F1100000}"/>
    <cellStyle name="강조색5 2 2" xfId="4362" xr:uid="{00000000-0005-0000-0000-0000F2100000}"/>
    <cellStyle name="강조색5 2 2 10" xfId="4363" xr:uid="{00000000-0005-0000-0000-0000F3100000}"/>
    <cellStyle name="강조색5 2 2 11" xfId="4364" xr:uid="{00000000-0005-0000-0000-0000F4100000}"/>
    <cellStyle name="강조색5 2 2 12" xfId="4365" xr:uid="{00000000-0005-0000-0000-0000F5100000}"/>
    <cellStyle name="강조색5 2 2 13" xfId="4366" xr:uid="{00000000-0005-0000-0000-0000F6100000}"/>
    <cellStyle name="강조색5 2 2 14" xfId="4367" xr:uid="{00000000-0005-0000-0000-0000F7100000}"/>
    <cellStyle name="강조색5 2 2 2" xfId="4368" xr:uid="{00000000-0005-0000-0000-0000F8100000}"/>
    <cellStyle name="강조색5 2 2 3" xfId="4369" xr:uid="{00000000-0005-0000-0000-0000F9100000}"/>
    <cellStyle name="강조색5 2 2 4" xfId="4370" xr:uid="{00000000-0005-0000-0000-0000FA100000}"/>
    <cellStyle name="강조색5 2 2 5" xfId="4371" xr:uid="{00000000-0005-0000-0000-0000FB100000}"/>
    <cellStyle name="강조색5 2 2 6" xfId="4372" xr:uid="{00000000-0005-0000-0000-0000FC100000}"/>
    <cellStyle name="강조색5 2 2 7" xfId="4373" xr:uid="{00000000-0005-0000-0000-0000FD100000}"/>
    <cellStyle name="강조색5 2 2 8" xfId="4374" xr:uid="{00000000-0005-0000-0000-0000FE100000}"/>
    <cellStyle name="강조색5 2 2 9" xfId="4375" xr:uid="{00000000-0005-0000-0000-0000FF100000}"/>
    <cellStyle name="강조색5 2 20" xfId="4376" xr:uid="{00000000-0005-0000-0000-000000110000}"/>
    <cellStyle name="강조색5 2 21" xfId="4377" xr:uid="{00000000-0005-0000-0000-000001110000}"/>
    <cellStyle name="강조색5 2 22" xfId="4378" xr:uid="{00000000-0005-0000-0000-000002110000}"/>
    <cellStyle name="강조색5 2 23" xfId="4379" xr:uid="{00000000-0005-0000-0000-000003110000}"/>
    <cellStyle name="강조색5 2 24" xfId="4380" xr:uid="{00000000-0005-0000-0000-000004110000}"/>
    <cellStyle name="강조색5 2 3" xfId="4381" xr:uid="{00000000-0005-0000-0000-000005110000}"/>
    <cellStyle name="강조색5 2 4" xfId="4382" xr:uid="{00000000-0005-0000-0000-000006110000}"/>
    <cellStyle name="강조색5 2 5" xfId="4383" xr:uid="{00000000-0005-0000-0000-000007110000}"/>
    <cellStyle name="강조색5 2 6" xfId="4384" xr:uid="{00000000-0005-0000-0000-000008110000}"/>
    <cellStyle name="강조색5 2 7" xfId="4385" xr:uid="{00000000-0005-0000-0000-000009110000}"/>
    <cellStyle name="강조색5 2 8" xfId="4386" xr:uid="{00000000-0005-0000-0000-00000A110000}"/>
    <cellStyle name="강조색5 2 9" xfId="4387" xr:uid="{00000000-0005-0000-0000-00000B110000}"/>
    <cellStyle name="강조색5 20" xfId="4388" xr:uid="{00000000-0005-0000-0000-00000C110000}"/>
    <cellStyle name="강조색5 21" xfId="4389" xr:uid="{00000000-0005-0000-0000-00000D110000}"/>
    <cellStyle name="강조색5 22" xfId="4390" xr:uid="{00000000-0005-0000-0000-00000E110000}"/>
    <cellStyle name="강조색5 23" xfId="4391" xr:uid="{00000000-0005-0000-0000-00000F110000}"/>
    <cellStyle name="강조색5 24" xfId="4392" xr:uid="{00000000-0005-0000-0000-000010110000}"/>
    <cellStyle name="강조색5 3" xfId="4393" xr:uid="{00000000-0005-0000-0000-000011110000}"/>
    <cellStyle name="강조색5 3 10" xfId="4394" xr:uid="{00000000-0005-0000-0000-000012110000}"/>
    <cellStyle name="강조색5 3 11" xfId="4395" xr:uid="{00000000-0005-0000-0000-000013110000}"/>
    <cellStyle name="강조색5 3 12" xfId="4396" xr:uid="{00000000-0005-0000-0000-000014110000}"/>
    <cellStyle name="강조색5 3 13" xfId="4397" xr:uid="{00000000-0005-0000-0000-000015110000}"/>
    <cellStyle name="강조색5 3 14" xfId="4398" xr:uid="{00000000-0005-0000-0000-000016110000}"/>
    <cellStyle name="강조색5 3 2" xfId="4399" xr:uid="{00000000-0005-0000-0000-000017110000}"/>
    <cellStyle name="강조색5 3 3" xfId="4400" xr:uid="{00000000-0005-0000-0000-000018110000}"/>
    <cellStyle name="강조색5 3 4" xfId="4401" xr:uid="{00000000-0005-0000-0000-000019110000}"/>
    <cellStyle name="강조색5 3 5" xfId="4402" xr:uid="{00000000-0005-0000-0000-00001A110000}"/>
    <cellStyle name="강조색5 3 6" xfId="4403" xr:uid="{00000000-0005-0000-0000-00001B110000}"/>
    <cellStyle name="강조색5 3 7" xfId="4404" xr:uid="{00000000-0005-0000-0000-00001C110000}"/>
    <cellStyle name="강조색5 3 8" xfId="4405" xr:uid="{00000000-0005-0000-0000-00001D110000}"/>
    <cellStyle name="강조색5 3 9" xfId="4406" xr:uid="{00000000-0005-0000-0000-00001E110000}"/>
    <cellStyle name="강조색5 4" xfId="4407" xr:uid="{00000000-0005-0000-0000-00001F110000}"/>
    <cellStyle name="강조색5 5" xfId="4408" xr:uid="{00000000-0005-0000-0000-000020110000}"/>
    <cellStyle name="강조색5 6" xfId="4409" xr:uid="{00000000-0005-0000-0000-000021110000}"/>
    <cellStyle name="강조색5 7" xfId="4410" xr:uid="{00000000-0005-0000-0000-000022110000}"/>
    <cellStyle name="강조색5 8" xfId="4411" xr:uid="{00000000-0005-0000-0000-000023110000}"/>
    <cellStyle name="강조색5 9" xfId="4412" xr:uid="{00000000-0005-0000-0000-000024110000}"/>
    <cellStyle name="강조색6 10" xfId="4413" xr:uid="{00000000-0005-0000-0000-000025110000}"/>
    <cellStyle name="강조색6 11" xfId="4414" xr:uid="{00000000-0005-0000-0000-000026110000}"/>
    <cellStyle name="강조색6 12" xfId="4415" xr:uid="{00000000-0005-0000-0000-000027110000}"/>
    <cellStyle name="강조색6 13" xfId="4416" xr:uid="{00000000-0005-0000-0000-000028110000}"/>
    <cellStyle name="강조색6 14" xfId="4417" xr:uid="{00000000-0005-0000-0000-000029110000}"/>
    <cellStyle name="강조색6 15" xfId="4418" xr:uid="{00000000-0005-0000-0000-00002A110000}"/>
    <cellStyle name="강조색6 16" xfId="4419" xr:uid="{00000000-0005-0000-0000-00002B110000}"/>
    <cellStyle name="강조색6 17" xfId="4420" xr:uid="{00000000-0005-0000-0000-00002C110000}"/>
    <cellStyle name="강조색6 18" xfId="4421" xr:uid="{00000000-0005-0000-0000-00002D110000}"/>
    <cellStyle name="강조색6 19" xfId="4422" xr:uid="{00000000-0005-0000-0000-00002E110000}"/>
    <cellStyle name="강조색6 2" xfId="4423" xr:uid="{00000000-0005-0000-0000-00002F110000}"/>
    <cellStyle name="강조색6 2 10" xfId="4424" xr:uid="{00000000-0005-0000-0000-000030110000}"/>
    <cellStyle name="강조색6 2 11" xfId="4425" xr:uid="{00000000-0005-0000-0000-000031110000}"/>
    <cellStyle name="강조색6 2 12" xfId="4426" xr:uid="{00000000-0005-0000-0000-000032110000}"/>
    <cellStyle name="강조색6 2 13" xfId="4427" xr:uid="{00000000-0005-0000-0000-000033110000}"/>
    <cellStyle name="강조색6 2 14" xfId="4428" xr:uid="{00000000-0005-0000-0000-000034110000}"/>
    <cellStyle name="강조색6 2 15" xfId="4429" xr:uid="{00000000-0005-0000-0000-000035110000}"/>
    <cellStyle name="강조색6 2 16" xfId="4430" xr:uid="{00000000-0005-0000-0000-000036110000}"/>
    <cellStyle name="강조색6 2 17" xfId="4431" xr:uid="{00000000-0005-0000-0000-000037110000}"/>
    <cellStyle name="강조색6 2 18" xfId="4432" xr:uid="{00000000-0005-0000-0000-000038110000}"/>
    <cellStyle name="강조색6 2 19" xfId="4433" xr:uid="{00000000-0005-0000-0000-000039110000}"/>
    <cellStyle name="강조색6 2 2" xfId="4434" xr:uid="{00000000-0005-0000-0000-00003A110000}"/>
    <cellStyle name="강조색6 2 2 10" xfId="4435" xr:uid="{00000000-0005-0000-0000-00003B110000}"/>
    <cellStyle name="강조색6 2 2 11" xfId="4436" xr:uid="{00000000-0005-0000-0000-00003C110000}"/>
    <cellStyle name="강조색6 2 2 12" xfId="4437" xr:uid="{00000000-0005-0000-0000-00003D110000}"/>
    <cellStyle name="강조색6 2 2 13" xfId="4438" xr:uid="{00000000-0005-0000-0000-00003E110000}"/>
    <cellStyle name="강조색6 2 2 14" xfId="4439" xr:uid="{00000000-0005-0000-0000-00003F110000}"/>
    <cellStyle name="강조색6 2 2 2" xfId="4440" xr:uid="{00000000-0005-0000-0000-000040110000}"/>
    <cellStyle name="강조색6 2 2 3" xfId="4441" xr:uid="{00000000-0005-0000-0000-000041110000}"/>
    <cellStyle name="강조색6 2 2 4" xfId="4442" xr:uid="{00000000-0005-0000-0000-000042110000}"/>
    <cellStyle name="강조색6 2 2 5" xfId="4443" xr:uid="{00000000-0005-0000-0000-000043110000}"/>
    <cellStyle name="강조색6 2 2 6" xfId="4444" xr:uid="{00000000-0005-0000-0000-000044110000}"/>
    <cellStyle name="강조색6 2 2 7" xfId="4445" xr:uid="{00000000-0005-0000-0000-000045110000}"/>
    <cellStyle name="강조색6 2 2 8" xfId="4446" xr:uid="{00000000-0005-0000-0000-000046110000}"/>
    <cellStyle name="강조색6 2 2 9" xfId="4447" xr:uid="{00000000-0005-0000-0000-000047110000}"/>
    <cellStyle name="강조색6 2 20" xfId="4448" xr:uid="{00000000-0005-0000-0000-000048110000}"/>
    <cellStyle name="강조색6 2 21" xfId="4449" xr:uid="{00000000-0005-0000-0000-000049110000}"/>
    <cellStyle name="강조색6 2 22" xfId="4450" xr:uid="{00000000-0005-0000-0000-00004A110000}"/>
    <cellStyle name="강조색6 2 23" xfId="4451" xr:uid="{00000000-0005-0000-0000-00004B110000}"/>
    <cellStyle name="강조색6 2 24" xfId="4452" xr:uid="{00000000-0005-0000-0000-00004C110000}"/>
    <cellStyle name="강조색6 2 3" xfId="4453" xr:uid="{00000000-0005-0000-0000-00004D110000}"/>
    <cellStyle name="강조색6 2 4" xfId="4454" xr:uid="{00000000-0005-0000-0000-00004E110000}"/>
    <cellStyle name="강조색6 2 5" xfId="4455" xr:uid="{00000000-0005-0000-0000-00004F110000}"/>
    <cellStyle name="강조색6 2 6" xfId="4456" xr:uid="{00000000-0005-0000-0000-000050110000}"/>
    <cellStyle name="강조색6 2 7" xfId="4457" xr:uid="{00000000-0005-0000-0000-000051110000}"/>
    <cellStyle name="강조색6 2 8" xfId="4458" xr:uid="{00000000-0005-0000-0000-000052110000}"/>
    <cellStyle name="강조색6 2 9" xfId="4459" xr:uid="{00000000-0005-0000-0000-000053110000}"/>
    <cellStyle name="강조색6 20" xfId="4460" xr:uid="{00000000-0005-0000-0000-000054110000}"/>
    <cellStyle name="강조색6 21" xfId="4461" xr:uid="{00000000-0005-0000-0000-000055110000}"/>
    <cellStyle name="강조색6 22" xfId="4462" xr:uid="{00000000-0005-0000-0000-000056110000}"/>
    <cellStyle name="강조색6 23" xfId="4463" xr:uid="{00000000-0005-0000-0000-000057110000}"/>
    <cellStyle name="강조색6 24" xfId="4464" xr:uid="{00000000-0005-0000-0000-000058110000}"/>
    <cellStyle name="강조색6 3" xfId="4465" xr:uid="{00000000-0005-0000-0000-000059110000}"/>
    <cellStyle name="강조색6 3 10" xfId="4466" xr:uid="{00000000-0005-0000-0000-00005A110000}"/>
    <cellStyle name="강조색6 3 11" xfId="4467" xr:uid="{00000000-0005-0000-0000-00005B110000}"/>
    <cellStyle name="강조색6 3 12" xfId="4468" xr:uid="{00000000-0005-0000-0000-00005C110000}"/>
    <cellStyle name="강조색6 3 13" xfId="4469" xr:uid="{00000000-0005-0000-0000-00005D110000}"/>
    <cellStyle name="강조색6 3 14" xfId="4470" xr:uid="{00000000-0005-0000-0000-00005E110000}"/>
    <cellStyle name="강조색6 3 2" xfId="4471" xr:uid="{00000000-0005-0000-0000-00005F110000}"/>
    <cellStyle name="강조색6 3 3" xfId="4472" xr:uid="{00000000-0005-0000-0000-000060110000}"/>
    <cellStyle name="강조색6 3 4" xfId="4473" xr:uid="{00000000-0005-0000-0000-000061110000}"/>
    <cellStyle name="강조색6 3 5" xfId="4474" xr:uid="{00000000-0005-0000-0000-000062110000}"/>
    <cellStyle name="강조색6 3 6" xfId="4475" xr:uid="{00000000-0005-0000-0000-000063110000}"/>
    <cellStyle name="강조색6 3 7" xfId="4476" xr:uid="{00000000-0005-0000-0000-000064110000}"/>
    <cellStyle name="강조색6 3 8" xfId="4477" xr:uid="{00000000-0005-0000-0000-000065110000}"/>
    <cellStyle name="강조색6 3 9" xfId="4478" xr:uid="{00000000-0005-0000-0000-000066110000}"/>
    <cellStyle name="강조색6 4" xfId="4479" xr:uid="{00000000-0005-0000-0000-000067110000}"/>
    <cellStyle name="강조색6 5" xfId="4480" xr:uid="{00000000-0005-0000-0000-000068110000}"/>
    <cellStyle name="강조색6 6" xfId="4481" xr:uid="{00000000-0005-0000-0000-000069110000}"/>
    <cellStyle name="강조색6 7" xfId="4482" xr:uid="{00000000-0005-0000-0000-00006A110000}"/>
    <cellStyle name="강조색6 8" xfId="4483" xr:uid="{00000000-0005-0000-0000-00006B110000}"/>
    <cellStyle name="강조색6 9" xfId="4484" xr:uid="{00000000-0005-0000-0000-00006C110000}"/>
    <cellStyle name="견적" xfId="4485" xr:uid="{00000000-0005-0000-0000-00006D110000}"/>
    <cellStyle name="見出し 1" xfId="4486" xr:uid="{00000000-0005-0000-0000-00006E110000}"/>
    <cellStyle name="見出し 2" xfId="4487" xr:uid="{00000000-0005-0000-0000-00006F110000}"/>
    <cellStyle name="見出し 3" xfId="4488" xr:uid="{00000000-0005-0000-0000-000070110000}"/>
    <cellStyle name="見出し 4" xfId="4489" xr:uid="{00000000-0005-0000-0000-000071110000}"/>
    <cellStyle name="결산일" xfId="4490" xr:uid="{00000000-0005-0000-0000-000072110000}"/>
    <cellStyle name="警告文" xfId="4491" xr:uid="{00000000-0005-0000-0000-000073110000}"/>
    <cellStyle name="경고문 10" xfId="4492" xr:uid="{00000000-0005-0000-0000-000074110000}"/>
    <cellStyle name="경고문 11" xfId="4493" xr:uid="{00000000-0005-0000-0000-000075110000}"/>
    <cellStyle name="경고문 12" xfId="4494" xr:uid="{00000000-0005-0000-0000-000076110000}"/>
    <cellStyle name="경고문 13" xfId="4495" xr:uid="{00000000-0005-0000-0000-000077110000}"/>
    <cellStyle name="경고문 14" xfId="4496" xr:uid="{00000000-0005-0000-0000-000078110000}"/>
    <cellStyle name="경고문 15" xfId="4497" xr:uid="{00000000-0005-0000-0000-000079110000}"/>
    <cellStyle name="경고문 16" xfId="4498" xr:uid="{00000000-0005-0000-0000-00007A110000}"/>
    <cellStyle name="경고문 17" xfId="4499" xr:uid="{00000000-0005-0000-0000-00007B110000}"/>
    <cellStyle name="경고문 18" xfId="4500" xr:uid="{00000000-0005-0000-0000-00007C110000}"/>
    <cellStyle name="경고문 19" xfId="4501" xr:uid="{00000000-0005-0000-0000-00007D110000}"/>
    <cellStyle name="경고문 2" xfId="4502" xr:uid="{00000000-0005-0000-0000-00007E110000}"/>
    <cellStyle name="경고문 2 10" xfId="4503" xr:uid="{00000000-0005-0000-0000-00007F110000}"/>
    <cellStyle name="경고문 2 11" xfId="4504" xr:uid="{00000000-0005-0000-0000-000080110000}"/>
    <cellStyle name="경고문 2 12" xfId="4505" xr:uid="{00000000-0005-0000-0000-000081110000}"/>
    <cellStyle name="경고문 2 13" xfId="4506" xr:uid="{00000000-0005-0000-0000-000082110000}"/>
    <cellStyle name="경고문 2 14" xfId="4507" xr:uid="{00000000-0005-0000-0000-000083110000}"/>
    <cellStyle name="경고문 2 15" xfId="4508" xr:uid="{00000000-0005-0000-0000-000084110000}"/>
    <cellStyle name="경고문 2 16" xfId="4509" xr:uid="{00000000-0005-0000-0000-000085110000}"/>
    <cellStyle name="경고문 2 17" xfId="4510" xr:uid="{00000000-0005-0000-0000-000086110000}"/>
    <cellStyle name="경고문 2 18" xfId="4511" xr:uid="{00000000-0005-0000-0000-000087110000}"/>
    <cellStyle name="경고문 2 19" xfId="4512" xr:uid="{00000000-0005-0000-0000-000088110000}"/>
    <cellStyle name="경고문 2 2" xfId="4513" xr:uid="{00000000-0005-0000-0000-000089110000}"/>
    <cellStyle name="경고문 2 2 10" xfId="4514" xr:uid="{00000000-0005-0000-0000-00008A110000}"/>
    <cellStyle name="경고문 2 2 11" xfId="4515" xr:uid="{00000000-0005-0000-0000-00008B110000}"/>
    <cellStyle name="경고문 2 2 12" xfId="4516" xr:uid="{00000000-0005-0000-0000-00008C110000}"/>
    <cellStyle name="경고문 2 2 13" xfId="4517" xr:uid="{00000000-0005-0000-0000-00008D110000}"/>
    <cellStyle name="경고문 2 2 14" xfId="4518" xr:uid="{00000000-0005-0000-0000-00008E110000}"/>
    <cellStyle name="경고문 2 2 2" xfId="4519" xr:uid="{00000000-0005-0000-0000-00008F110000}"/>
    <cellStyle name="경고문 2 2 3" xfId="4520" xr:uid="{00000000-0005-0000-0000-000090110000}"/>
    <cellStyle name="경고문 2 2 4" xfId="4521" xr:uid="{00000000-0005-0000-0000-000091110000}"/>
    <cellStyle name="경고문 2 2 5" xfId="4522" xr:uid="{00000000-0005-0000-0000-000092110000}"/>
    <cellStyle name="경고문 2 2 6" xfId="4523" xr:uid="{00000000-0005-0000-0000-000093110000}"/>
    <cellStyle name="경고문 2 2 7" xfId="4524" xr:uid="{00000000-0005-0000-0000-000094110000}"/>
    <cellStyle name="경고문 2 2 8" xfId="4525" xr:uid="{00000000-0005-0000-0000-000095110000}"/>
    <cellStyle name="경고문 2 2 9" xfId="4526" xr:uid="{00000000-0005-0000-0000-000096110000}"/>
    <cellStyle name="경고문 2 20" xfId="4527" xr:uid="{00000000-0005-0000-0000-000097110000}"/>
    <cellStyle name="경고문 2 21" xfId="4528" xr:uid="{00000000-0005-0000-0000-000098110000}"/>
    <cellStyle name="경고문 2 22" xfId="4529" xr:uid="{00000000-0005-0000-0000-000099110000}"/>
    <cellStyle name="경고문 2 23" xfId="4530" xr:uid="{00000000-0005-0000-0000-00009A110000}"/>
    <cellStyle name="경고문 2 24" xfId="4531" xr:uid="{00000000-0005-0000-0000-00009B110000}"/>
    <cellStyle name="경고문 2 3" xfId="4532" xr:uid="{00000000-0005-0000-0000-00009C110000}"/>
    <cellStyle name="경고문 2 4" xfId="4533" xr:uid="{00000000-0005-0000-0000-00009D110000}"/>
    <cellStyle name="경고문 2 5" xfId="4534" xr:uid="{00000000-0005-0000-0000-00009E110000}"/>
    <cellStyle name="경고문 2 6" xfId="4535" xr:uid="{00000000-0005-0000-0000-00009F110000}"/>
    <cellStyle name="경고문 2 7" xfId="4536" xr:uid="{00000000-0005-0000-0000-0000A0110000}"/>
    <cellStyle name="경고문 2 8" xfId="4537" xr:uid="{00000000-0005-0000-0000-0000A1110000}"/>
    <cellStyle name="경고문 2 9" xfId="4538" xr:uid="{00000000-0005-0000-0000-0000A2110000}"/>
    <cellStyle name="경고문 20" xfId="4539" xr:uid="{00000000-0005-0000-0000-0000A3110000}"/>
    <cellStyle name="경고문 21" xfId="4540" xr:uid="{00000000-0005-0000-0000-0000A4110000}"/>
    <cellStyle name="경고문 22" xfId="4541" xr:uid="{00000000-0005-0000-0000-0000A5110000}"/>
    <cellStyle name="경고문 23" xfId="4542" xr:uid="{00000000-0005-0000-0000-0000A6110000}"/>
    <cellStyle name="경고문 24" xfId="4543" xr:uid="{00000000-0005-0000-0000-0000A7110000}"/>
    <cellStyle name="경고문 3" xfId="4544" xr:uid="{00000000-0005-0000-0000-0000A8110000}"/>
    <cellStyle name="경고문 3 10" xfId="4545" xr:uid="{00000000-0005-0000-0000-0000A9110000}"/>
    <cellStyle name="경고문 3 11" xfId="4546" xr:uid="{00000000-0005-0000-0000-0000AA110000}"/>
    <cellStyle name="경고문 3 12" xfId="4547" xr:uid="{00000000-0005-0000-0000-0000AB110000}"/>
    <cellStyle name="경고문 3 13" xfId="4548" xr:uid="{00000000-0005-0000-0000-0000AC110000}"/>
    <cellStyle name="경고문 3 14" xfId="4549" xr:uid="{00000000-0005-0000-0000-0000AD110000}"/>
    <cellStyle name="경고문 3 2" xfId="4550" xr:uid="{00000000-0005-0000-0000-0000AE110000}"/>
    <cellStyle name="경고문 3 3" xfId="4551" xr:uid="{00000000-0005-0000-0000-0000AF110000}"/>
    <cellStyle name="경고문 3 4" xfId="4552" xr:uid="{00000000-0005-0000-0000-0000B0110000}"/>
    <cellStyle name="경고문 3 5" xfId="4553" xr:uid="{00000000-0005-0000-0000-0000B1110000}"/>
    <cellStyle name="경고문 3 6" xfId="4554" xr:uid="{00000000-0005-0000-0000-0000B2110000}"/>
    <cellStyle name="경고문 3 7" xfId="4555" xr:uid="{00000000-0005-0000-0000-0000B3110000}"/>
    <cellStyle name="경고문 3 8" xfId="4556" xr:uid="{00000000-0005-0000-0000-0000B4110000}"/>
    <cellStyle name="경고문 3 9" xfId="4557" xr:uid="{00000000-0005-0000-0000-0000B5110000}"/>
    <cellStyle name="경고문 4" xfId="4558" xr:uid="{00000000-0005-0000-0000-0000B6110000}"/>
    <cellStyle name="경고문 5" xfId="4559" xr:uid="{00000000-0005-0000-0000-0000B7110000}"/>
    <cellStyle name="경고문 6" xfId="4560" xr:uid="{00000000-0005-0000-0000-0000B8110000}"/>
    <cellStyle name="경고문 7" xfId="4561" xr:uid="{00000000-0005-0000-0000-0000B9110000}"/>
    <cellStyle name="경고문 8" xfId="4562" xr:uid="{00000000-0005-0000-0000-0000BA110000}"/>
    <cellStyle name="경고문 9" xfId="4563" xr:uid="{00000000-0005-0000-0000-0000BB110000}"/>
    <cellStyle name="計算" xfId="4564" xr:uid="{00000000-0005-0000-0000-0000BC110000}"/>
    <cellStyle name="계산 10" xfId="4565" xr:uid="{00000000-0005-0000-0000-0000BD110000}"/>
    <cellStyle name="계산 11" xfId="4566" xr:uid="{00000000-0005-0000-0000-0000BE110000}"/>
    <cellStyle name="계산 12" xfId="4567" xr:uid="{00000000-0005-0000-0000-0000BF110000}"/>
    <cellStyle name="계산 13" xfId="4568" xr:uid="{00000000-0005-0000-0000-0000C0110000}"/>
    <cellStyle name="계산 14" xfId="4569" xr:uid="{00000000-0005-0000-0000-0000C1110000}"/>
    <cellStyle name="계산 15" xfId="4570" xr:uid="{00000000-0005-0000-0000-0000C2110000}"/>
    <cellStyle name="계산 16" xfId="4571" xr:uid="{00000000-0005-0000-0000-0000C3110000}"/>
    <cellStyle name="계산 17" xfId="4572" xr:uid="{00000000-0005-0000-0000-0000C4110000}"/>
    <cellStyle name="계산 18" xfId="4573" xr:uid="{00000000-0005-0000-0000-0000C5110000}"/>
    <cellStyle name="계산 19" xfId="4574" xr:uid="{00000000-0005-0000-0000-0000C6110000}"/>
    <cellStyle name="계산 2" xfId="4575" xr:uid="{00000000-0005-0000-0000-0000C7110000}"/>
    <cellStyle name="계산 2 10" xfId="4576" xr:uid="{00000000-0005-0000-0000-0000C8110000}"/>
    <cellStyle name="계산 2 11" xfId="4577" xr:uid="{00000000-0005-0000-0000-0000C9110000}"/>
    <cellStyle name="계산 2 12" xfId="4578" xr:uid="{00000000-0005-0000-0000-0000CA110000}"/>
    <cellStyle name="계산 2 13" xfId="4579" xr:uid="{00000000-0005-0000-0000-0000CB110000}"/>
    <cellStyle name="계산 2 14" xfId="4580" xr:uid="{00000000-0005-0000-0000-0000CC110000}"/>
    <cellStyle name="계산 2 15" xfId="4581" xr:uid="{00000000-0005-0000-0000-0000CD110000}"/>
    <cellStyle name="계산 2 16" xfId="4582" xr:uid="{00000000-0005-0000-0000-0000CE110000}"/>
    <cellStyle name="계산 2 17" xfId="4583" xr:uid="{00000000-0005-0000-0000-0000CF110000}"/>
    <cellStyle name="계산 2 18" xfId="4584" xr:uid="{00000000-0005-0000-0000-0000D0110000}"/>
    <cellStyle name="계산 2 19" xfId="4585" xr:uid="{00000000-0005-0000-0000-0000D1110000}"/>
    <cellStyle name="계산 2 2" xfId="4586" xr:uid="{00000000-0005-0000-0000-0000D2110000}"/>
    <cellStyle name="계산 2 2 10" xfId="4587" xr:uid="{00000000-0005-0000-0000-0000D3110000}"/>
    <cellStyle name="계산 2 2 11" xfId="4588" xr:uid="{00000000-0005-0000-0000-0000D4110000}"/>
    <cellStyle name="계산 2 2 12" xfId="4589" xr:uid="{00000000-0005-0000-0000-0000D5110000}"/>
    <cellStyle name="계산 2 2 13" xfId="4590" xr:uid="{00000000-0005-0000-0000-0000D6110000}"/>
    <cellStyle name="계산 2 2 14" xfId="4591" xr:uid="{00000000-0005-0000-0000-0000D7110000}"/>
    <cellStyle name="계산 2 2 2" xfId="4592" xr:uid="{00000000-0005-0000-0000-0000D8110000}"/>
    <cellStyle name="계산 2 2 3" xfId="4593" xr:uid="{00000000-0005-0000-0000-0000D9110000}"/>
    <cellStyle name="계산 2 2 4" xfId="4594" xr:uid="{00000000-0005-0000-0000-0000DA110000}"/>
    <cellStyle name="계산 2 2 5" xfId="4595" xr:uid="{00000000-0005-0000-0000-0000DB110000}"/>
    <cellStyle name="계산 2 2 6" xfId="4596" xr:uid="{00000000-0005-0000-0000-0000DC110000}"/>
    <cellStyle name="계산 2 2 7" xfId="4597" xr:uid="{00000000-0005-0000-0000-0000DD110000}"/>
    <cellStyle name="계산 2 2 8" xfId="4598" xr:uid="{00000000-0005-0000-0000-0000DE110000}"/>
    <cellStyle name="계산 2 2 9" xfId="4599" xr:uid="{00000000-0005-0000-0000-0000DF110000}"/>
    <cellStyle name="계산 2 20" xfId="4600" xr:uid="{00000000-0005-0000-0000-0000E0110000}"/>
    <cellStyle name="계산 2 21" xfId="4601" xr:uid="{00000000-0005-0000-0000-0000E1110000}"/>
    <cellStyle name="계산 2 22" xfId="4602" xr:uid="{00000000-0005-0000-0000-0000E2110000}"/>
    <cellStyle name="계산 2 23" xfId="4603" xr:uid="{00000000-0005-0000-0000-0000E3110000}"/>
    <cellStyle name="계산 2 24" xfId="4604" xr:uid="{00000000-0005-0000-0000-0000E4110000}"/>
    <cellStyle name="계산 2 3" xfId="4605" xr:uid="{00000000-0005-0000-0000-0000E5110000}"/>
    <cellStyle name="계산 2 4" xfId="4606" xr:uid="{00000000-0005-0000-0000-0000E6110000}"/>
    <cellStyle name="계산 2 5" xfId="4607" xr:uid="{00000000-0005-0000-0000-0000E7110000}"/>
    <cellStyle name="계산 2 6" xfId="4608" xr:uid="{00000000-0005-0000-0000-0000E8110000}"/>
    <cellStyle name="계산 2 7" xfId="4609" xr:uid="{00000000-0005-0000-0000-0000E9110000}"/>
    <cellStyle name="계산 2 8" xfId="4610" xr:uid="{00000000-0005-0000-0000-0000EA110000}"/>
    <cellStyle name="계산 2 9" xfId="4611" xr:uid="{00000000-0005-0000-0000-0000EB110000}"/>
    <cellStyle name="계산 20" xfId="4612" xr:uid="{00000000-0005-0000-0000-0000EC110000}"/>
    <cellStyle name="계산 21" xfId="4613" xr:uid="{00000000-0005-0000-0000-0000ED110000}"/>
    <cellStyle name="계산 22" xfId="4614" xr:uid="{00000000-0005-0000-0000-0000EE110000}"/>
    <cellStyle name="계산 23" xfId="4615" xr:uid="{00000000-0005-0000-0000-0000EF110000}"/>
    <cellStyle name="계산 24" xfId="4616" xr:uid="{00000000-0005-0000-0000-0000F0110000}"/>
    <cellStyle name="계산 3" xfId="4617" xr:uid="{00000000-0005-0000-0000-0000F1110000}"/>
    <cellStyle name="계산 3 10" xfId="4618" xr:uid="{00000000-0005-0000-0000-0000F2110000}"/>
    <cellStyle name="계산 3 11" xfId="4619" xr:uid="{00000000-0005-0000-0000-0000F3110000}"/>
    <cellStyle name="계산 3 12" xfId="4620" xr:uid="{00000000-0005-0000-0000-0000F4110000}"/>
    <cellStyle name="계산 3 13" xfId="4621" xr:uid="{00000000-0005-0000-0000-0000F5110000}"/>
    <cellStyle name="계산 3 14" xfId="4622" xr:uid="{00000000-0005-0000-0000-0000F6110000}"/>
    <cellStyle name="계산 3 2" xfId="4623" xr:uid="{00000000-0005-0000-0000-0000F7110000}"/>
    <cellStyle name="계산 3 3" xfId="4624" xr:uid="{00000000-0005-0000-0000-0000F8110000}"/>
    <cellStyle name="계산 3 4" xfId="4625" xr:uid="{00000000-0005-0000-0000-0000F9110000}"/>
    <cellStyle name="계산 3 5" xfId="4626" xr:uid="{00000000-0005-0000-0000-0000FA110000}"/>
    <cellStyle name="계산 3 6" xfId="4627" xr:uid="{00000000-0005-0000-0000-0000FB110000}"/>
    <cellStyle name="계산 3 7" xfId="4628" xr:uid="{00000000-0005-0000-0000-0000FC110000}"/>
    <cellStyle name="계산 3 8" xfId="4629" xr:uid="{00000000-0005-0000-0000-0000FD110000}"/>
    <cellStyle name="계산 3 9" xfId="4630" xr:uid="{00000000-0005-0000-0000-0000FE110000}"/>
    <cellStyle name="계산 4" xfId="4631" xr:uid="{00000000-0005-0000-0000-0000FF110000}"/>
    <cellStyle name="계산 5" xfId="4632" xr:uid="{00000000-0005-0000-0000-000000120000}"/>
    <cellStyle name="계산 6" xfId="4633" xr:uid="{00000000-0005-0000-0000-000001120000}"/>
    <cellStyle name="계산 7" xfId="4634" xr:uid="{00000000-0005-0000-0000-000002120000}"/>
    <cellStyle name="계산 8" xfId="4635" xr:uid="{00000000-0005-0000-0000-000003120000}"/>
    <cellStyle name="계산 9" xfId="4636" xr:uid="{00000000-0005-0000-0000-000004120000}"/>
    <cellStyle name="계정과목" xfId="4637" xr:uid="{00000000-0005-0000-0000-000005120000}"/>
    <cellStyle name="고정소숫점" xfId="4638" xr:uid="{00000000-0005-0000-0000-000006120000}"/>
    <cellStyle name="고정출력1" xfId="4639" xr:uid="{00000000-0005-0000-0000-000007120000}"/>
    <cellStyle name="고정출력2" xfId="4640" xr:uid="{00000000-0005-0000-0000-000008120000}"/>
    <cellStyle name="괄호금액" xfId="4641" xr:uid="{00000000-0005-0000-0000-000009120000}"/>
    <cellStyle name="咬訌裝?INCOM1" xfId="4642" xr:uid="{00000000-0005-0000-0000-00000A120000}"/>
    <cellStyle name="咬訌裝?INCOM10" xfId="4643" xr:uid="{00000000-0005-0000-0000-00000B120000}"/>
    <cellStyle name="咬訌裝?INCOM2" xfId="4644" xr:uid="{00000000-0005-0000-0000-00000C120000}"/>
    <cellStyle name="咬訌裝?INCOM3" xfId="4645" xr:uid="{00000000-0005-0000-0000-00000D120000}"/>
    <cellStyle name="咬訌裝?INCOM4" xfId="4646" xr:uid="{00000000-0005-0000-0000-00000E120000}"/>
    <cellStyle name="咬訌裝?INCOM5" xfId="4647" xr:uid="{00000000-0005-0000-0000-00000F120000}"/>
    <cellStyle name="咬訌裝?INCOM6" xfId="4648" xr:uid="{00000000-0005-0000-0000-000010120000}"/>
    <cellStyle name="咬訌裝?INCOM7" xfId="4649" xr:uid="{00000000-0005-0000-0000-000011120000}"/>
    <cellStyle name="咬訌裝?INCOM8" xfId="4650" xr:uid="{00000000-0005-0000-0000-000012120000}"/>
    <cellStyle name="咬訌裝?INCOM9" xfId="4651" xr:uid="{00000000-0005-0000-0000-000013120000}"/>
    <cellStyle name="咬訌裝?PRIB11" xfId="4652" xr:uid="{00000000-0005-0000-0000-000014120000}"/>
    <cellStyle name="咬訌裝?report-2 " xfId="4653" xr:uid="{00000000-0005-0000-0000-000015120000}"/>
    <cellStyle name="금액" xfId="4654" xr:uid="{00000000-0005-0000-0000-000016120000}"/>
    <cellStyle name="기  업" xfId="4655" xr:uid="{00000000-0005-0000-0000-000017120000}"/>
    <cellStyle name="기계" xfId="4656" xr:uid="{00000000-0005-0000-0000-000018120000}"/>
    <cellStyle name="나쁨 10" xfId="4657" xr:uid="{00000000-0005-0000-0000-000019120000}"/>
    <cellStyle name="나쁨 11" xfId="4658" xr:uid="{00000000-0005-0000-0000-00001A120000}"/>
    <cellStyle name="나쁨 12" xfId="4659" xr:uid="{00000000-0005-0000-0000-00001B120000}"/>
    <cellStyle name="나쁨 13" xfId="4660" xr:uid="{00000000-0005-0000-0000-00001C120000}"/>
    <cellStyle name="나쁨 14" xfId="4661" xr:uid="{00000000-0005-0000-0000-00001D120000}"/>
    <cellStyle name="나쁨 15" xfId="4662" xr:uid="{00000000-0005-0000-0000-00001E120000}"/>
    <cellStyle name="나쁨 16" xfId="4663" xr:uid="{00000000-0005-0000-0000-00001F120000}"/>
    <cellStyle name="나쁨 17" xfId="4664" xr:uid="{00000000-0005-0000-0000-000020120000}"/>
    <cellStyle name="나쁨 18" xfId="4665" xr:uid="{00000000-0005-0000-0000-000021120000}"/>
    <cellStyle name="나쁨 19" xfId="4666" xr:uid="{00000000-0005-0000-0000-000022120000}"/>
    <cellStyle name="나쁨 2" xfId="4667" xr:uid="{00000000-0005-0000-0000-000023120000}"/>
    <cellStyle name="나쁨 2 10" xfId="4668" xr:uid="{00000000-0005-0000-0000-000024120000}"/>
    <cellStyle name="나쁨 2 11" xfId="4669" xr:uid="{00000000-0005-0000-0000-000025120000}"/>
    <cellStyle name="나쁨 2 12" xfId="4670" xr:uid="{00000000-0005-0000-0000-000026120000}"/>
    <cellStyle name="나쁨 2 13" xfId="4671" xr:uid="{00000000-0005-0000-0000-000027120000}"/>
    <cellStyle name="나쁨 2 14" xfId="4672" xr:uid="{00000000-0005-0000-0000-000028120000}"/>
    <cellStyle name="나쁨 2 15" xfId="4673" xr:uid="{00000000-0005-0000-0000-000029120000}"/>
    <cellStyle name="나쁨 2 16" xfId="4674" xr:uid="{00000000-0005-0000-0000-00002A120000}"/>
    <cellStyle name="나쁨 2 17" xfId="4675" xr:uid="{00000000-0005-0000-0000-00002B120000}"/>
    <cellStyle name="나쁨 2 18" xfId="4676" xr:uid="{00000000-0005-0000-0000-00002C120000}"/>
    <cellStyle name="나쁨 2 19" xfId="4677" xr:uid="{00000000-0005-0000-0000-00002D120000}"/>
    <cellStyle name="나쁨 2 2" xfId="4678" xr:uid="{00000000-0005-0000-0000-00002E120000}"/>
    <cellStyle name="나쁨 2 2 10" xfId="4679" xr:uid="{00000000-0005-0000-0000-00002F120000}"/>
    <cellStyle name="나쁨 2 2 11" xfId="4680" xr:uid="{00000000-0005-0000-0000-000030120000}"/>
    <cellStyle name="나쁨 2 2 12" xfId="4681" xr:uid="{00000000-0005-0000-0000-000031120000}"/>
    <cellStyle name="나쁨 2 2 13" xfId="4682" xr:uid="{00000000-0005-0000-0000-000032120000}"/>
    <cellStyle name="나쁨 2 2 14" xfId="4683" xr:uid="{00000000-0005-0000-0000-000033120000}"/>
    <cellStyle name="나쁨 2 2 2" xfId="4684" xr:uid="{00000000-0005-0000-0000-000034120000}"/>
    <cellStyle name="나쁨 2 2 3" xfId="4685" xr:uid="{00000000-0005-0000-0000-000035120000}"/>
    <cellStyle name="나쁨 2 2 4" xfId="4686" xr:uid="{00000000-0005-0000-0000-000036120000}"/>
    <cellStyle name="나쁨 2 2 5" xfId="4687" xr:uid="{00000000-0005-0000-0000-000037120000}"/>
    <cellStyle name="나쁨 2 2 6" xfId="4688" xr:uid="{00000000-0005-0000-0000-000038120000}"/>
    <cellStyle name="나쁨 2 2 7" xfId="4689" xr:uid="{00000000-0005-0000-0000-000039120000}"/>
    <cellStyle name="나쁨 2 2 8" xfId="4690" xr:uid="{00000000-0005-0000-0000-00003A120000}"/>
    <cellStyle name="나쁨 2 2 9" xfId="4691" xr:uid="{00000000-0005-0000-0000-00003B120000}"/>
    <cellStyle name="나쁨 2 20" xfId="4692" xr:uid="{00000000-0005-0000-0000-00003C120000}"/>
    <cellStyle name="나쁨 2 21" xfId="4693" xr:uid="{00000000-0005-0000-0000-00003D120000}"/>
    <cellStyle name="나쁨 2 22" xfId="4694" xr:uid="{00000000-0005-0000-0000-00003E120000}"/>
    <cellStyle name="나쁨 2 23" xfId="4695" xr:uid="{00000000-0005-0000-0000-00003F120000}"/>
    <cellStyle name="나쁨 2 24" xfId="4696" xr:uid="{00000000-0005-0000-0000-000040120000}"/>
    <cellStyle name="나쁨 2 3" xfId="4697" xr:uid="{00000000-0005-0000-0000-000041120000}"/>
    <cellStyle name="나쁨 2 4" xfId="4698" xr:uid="{00000000-0005-0000-0000-000042120000}"/>
    <cellStyle name="나쁨 2 5" xfId="4699" xr:uid="{00000000-0005-0000-0000-000043120000}"/>
    <cellStyle name="나쁨 2 6" xfId="4700" xr:uid="{00000000-0005-0000-0000-000044120000}"/>
    <cellStyle name="나쁨 2 7" xfId="4701" xr:uid="{00000000-0005-0000-0000-000045120000}"/>
    <cellStyle name="나쁨 2 8" xfId="4702" xr:uid="{00000000-0005-0000-0000-000046120000}"/>
    <cellStyle name="나쁨 2 9" xfId="4703" xr:uid="{00000000-0005-0000-0000-000047120000}"/>
    <cellStyle name="나쁨 20" xfId="4704" xr:uid="{00000000-0005-0000-0000-000048120000}"/>
    <cellStyle name="나쁨 21" xfId="4705" xr:uid="{00000000-0005-0000-0000-000049120000}"/>
    <cellStyle name="나쁨 22" xfId="4706" xr:uid="{00000000-0005-0000-0000-00004A120000}"/>
    <cellStyle name="나쁨 23" xfId="4707" xr:uid="{00000000-0005-0000-0000-00004B120000}"/>
    <cellStyle name="나쁨 24" xfId="4708" xr:uid="{00000000-0005-0000-0000-00004C120000}"/>
    <cellStyle name="나쁨 3" xfId="4709" xr:uid="{00000000-0005-0000-0000-00004D120000}"/>
    <cellStyle name="나쁨 3 10" xfId="4710" xr:uid="{00000000-0005-0000-0000-00004E120000}"/>
    <cellStyle name="나쁨 3 11" xfId="4711" xr:uid="{00000000-0005-0000-0000-00004F120000}"/>
    <cellStyle name="나쁨 3 12" xfId="4712" xr:uid="{00000000-0005-0000-0000-000050120000}"/>
    <cellStyle name="나쁨 3 13" xfId="4713" xr:uid="{00000000-0005-0000-0000-000051120000}"/>
    <cellStyle name="나쁨 3 14" xfId="4714" xr:uid="{00000000-0005-0000-0000-000052120000}"/>
    <cellStyle name="나쁨 3 2" xfId="4715" xr:uid="{00000000-0005-0000-0000-000053120000}"/>
    <cellStyle name="나쁨 3 3" xfId="4716" xr:uid="{00000000-0005-0000-0000-000054120000}"/>
    <cellStyle name="나쁨 3 4" xfId="4717" xr:uid="{00000000-0005-0000-0000-000055120000}"/>
    <cellStyle name="나쁨 3 5" xfId="4718" xr:uid="{00000000-0005-0000-0000-000056120000}"/>
    <cellStyle name="나쁨 3 6" xfId="4719" xr:uid="{00000000-0005-0000-0000-000057120000}"/>
    <cellStyle name="나쁨 3 7" xfId="4720" xr:uid="{00000000-0005-0000-0000-000058120000}"/>
    <cellStyle name="나쁨 3 8" xfId="4721" xr:uid="{00000000-0005-0000-0000-000059120000}"/>
    <cellStyle name="나쁨 3 9" xfId="4722" xr:uid="{00000000-0005-0000-0000-00005A120000}"/>
    <cellStyle name="나쁨 4" xfId="4723" xr:uid="{00000000-0005-0000-0000-00005B120000}"/>
    <cellStyle name="나쁨 5" xfId="4724" xr:uid="{00000000-0005-0000-0000-00005C120000}"/>
    <cellStyle name="나쁨 6" xfId="4725" xr:uid="{00000000-0005-0000-0000-00005D120000}"/>
    <cellStyle name="나쁨 7" xfId="4726" xr:uid="{00000000-0005-0000-0000-00005E120000}"/>
    <cellStyle name="나쁨 8" xfId="4727" xr:uid="{00000000-0005-0000-0000-00005F120000}"/>
    <cellStyle name="나쁨 9" xfId="4728" xr:uid="{00000000-0005-0000-0000-000060120000}"/>
    <cellStyle name="나열번호" xfId="4729" xr:uid="{00000000-0005-0000-0000-000061120000}"/>
    <cellStyle name="날짜" xfId="4730" xr:uid="{00000000-0005-0000-0000-000062120000}"/>
    <cellStyle name="날짜(네자리)" xfId="4731" xr:uid="{00000000-0005-0000-0000-000063120000}"/>
    <cellStyle name="날짜(두자리)" xfId="4732" xr:uid="{00000000-0005-0000-0000-000064120000}"/>
    <cellStyle name="날짜_2231 호남석유 draft의 워크시트" xfId="4733" xr:uid="{00000000-0005-0000-0000-000065120000}"/>
    <cellStyle name="날짜형식" xfId="4734" xr:uid="{00000000-0005-0000-0000-000066120000}"/>
    <cellStyle name="내양식" xfId="4735" xr:uid="{00000000-0005-0000-0000-000067120000}"/>
    <cellStyle name="내표준" xfId="4736" xr:uid="{00000000-0005-0000-0000-000068120000}"/>
    <cellStyle name="놡" xfId="4737" xr:uid="{00000000-0005-0000-0000-000069120000}"/>
    <cellStyle name="단위(원)" xfId="4738" xr:uid="{00000000-0005-0000-0000-00006A120000}"/>
    <cellStyle name="달러" xfId="4739" xr:uid="{00000000-0005-0000-0000-00006B120000}"/>
    <cellStyle name="뒤에 오는 하이퍼링크" xfId="4740" xr:uid="{00000000-0005-0000-0000-00006C120000}"/>
    <cellStyle name="똿떓죶Ø괻 [0.00]_PRODUCT DETAIL Q1" xfId="4741" xr:uid="{00000000-0005-0000-0000-00006D120000}"/>
    <cellStyle name="똿떓죶Ø괻_PRODUCT DETAIL Q1" xfId="4742" xr:uid="{00000000-0005-0000-0000-00006E120000}"/>
    <cellStyle name="똿뗦먛귟 [0.00]_NT Server " xfId="4743" xr:uid="{00000000-0005-0000-0000-00006F120000}"/>
    <cellStyle name="똿뗦먛귟_laroux" xfId="4744" xr:uid="{00000000-0005-0000-0000-000070120000}"/>
    <cellStyle name="良い" xfId="4745" xr:uid="{00000000-0005-0000-0000-000071120000}"/>
    <cellStyle name="메모 10" xfId="4746" xr:uid="{00000000-0005-0000-0000-000072120000}"/>
    <cellStyle name="메모 11" xfId="4747" xr:uid="{00000000-0005-0000-0000-000073120000}"/>
    <cellStyle name="메모 12" xfId="4748" xr:uid="{00000000-0005-0000-0000-000074120000}"/>
    <cellStyle name="메모 13" xfId="4749" xr:uid="{00000000-0005-0000-0000-000075120000}"/>
    <cellStyle name="메모 14" xfId="4750" xr:uid="{00000000-0005-0000-0000-000076120000}"/>
    <cellStyle name="메모 15" xfId="4751" xr:uid="{00000000-0005-0000-0000-000077120000}"/>
    <cellStyle name="메모 16" xfId="4752" xr:uid="{00000000-0005-0000-0000-000078120000}"/>
    <cellStyle name="메모 17" xfId="4753" xr:uid="{00000000-0005-0000-0000-000079120000}"/>
    <cellStyle name="메모 18" xfId="4754" xr:uid="{00000000-0005-0000-0000-00007A120000}"/>
    <cellStyle name="메모 19" xfId="4755" xr:uid="{00000000-0005-0000-0000-00007B120000}"/>
    <cellStyle name="메모 2" xfId="4756" xr:uid="{00000000-0005-0000-0000-00007C120000}"/>
    <cellStyle name="메모 2 10" xfId="4757" xr:uid="{00000000-0005-0000-0000-00007D120000}"/>
    <cellStyle name="메모 2 11" xfId="4758" xr:uid="{00000000-0005-0000-0000-00007E120000}"/>
    <cellStyle name="메모 2 12" xfId="4759" xr:uid="{00000000-0005-0000-0000-00007F120000}"/>
    <cellStyle name="메모 2 13" xfId="4760" xr:uid="{00000000-0005-0000-0000-000080120000}"/>
    <cellStyle name="메모 2 14" xfId="4761" xr:uid="{00000000-0005-0000-0000-000081120000}"/>
    <cellStyle name="메모 2 15" xfId="4762" xr:uid="{00000000-0005-0000-0000-000082120000}"/>
    <cellStyle name="메모 2 16" xfId="4763" xr:uid="{00000000-0005-0000-0000-000083120000}"/>
    <cellStyle name="메모 2 17" xfId="4764" xr:uid="{00000000-0005-0000-0000-000084120000}"/>
    <cellStyle name="메모 2 18" xfId="4765" xr:uid="{00000000-0005-0000-0000-000085120000}"/>
    <cellStyle name="메모 2 19" xfId="4766" xr:uid="{00000000-0005-0000-0000-000086120000}"/>
    <cellStyle name="메모 2 2" xfId="4767" xr:uid="{00000000-0005-0000-0000-000087120000}"/>
    <cellStyle name="메모 2 2 10" xfId="4768" xr:uid="{00000000-0005-0000-0000-000088120000}"/>
    <cellStyle name="메모 2 2 11" xfId="4769" xr:uid="{00000000-0005-0000-0000-000089120000}"/>
    <cellStyle name="메모 2 2 12" xfId="4770" xr:uid="{00000000-0005-0000-0000-00008A120000}"/>
    <cellStyle name="메모 2 2 13" xfId="4771" xr:uid="{00000000-0005-0000-0000-00008B120000}"/>
    <cellStyle name="메모 2 2 14" xfId="4772" xr:uid="{00000000-0005-0000-0000-00008C120000}"/>
    <cellStyle name="메모 2 2 2" xfId="4773" xr:uid="{00000000-0005-0000-0000-00008D120000}"/>
    <cellStyle name="메모 2 2 3" xfId="4774" xr:uid="{00000000-0005-0000-0000-00008E120000}"/>
    <cellStyle name="메모 2 2 4" xfId="4775" xr:uid="{00000000-0005-0000-0000-00008F120000}"/>
    <cellStyle name="메모 2 2 5" xfId="4776" xr:uid="{00000000-0005-0000-0000-000090120000}"/>
    <cellStyle name="메모 2 2 6" xfId="4777" xr:uid="{00000000-0005-0000-0000-000091120000}"/>
    <cellStyle name="메모 2 2 7" xfId="4778" xr:uid="{00000000-0005-0000-0000-000092120000}"/>
    <cellStyle name="메모 2 2 8" xfId="4779" xr:uid="{00000000-0005-0000-0000-000093120000}"/>
    <cellStyle name="메모 2 2 9" xfId="4780" xr:uid="{00000000-0005-0000-0000-000094120000}"/>
    <cellStyle name="메모 2 20" xfId="4781" xr:uid="{00000000-0005-0000-0000-000095120000}"/>
    <cellStyle name="메모 2 21" xfId="4782" xr:uid="{00000000-0005-0000-0000-000096120000}"/>
    <cellStyle name="메모 2 22" xfId="4783" xr:uid="{00000000-0005-0000-0000-000097120000}"/>
    <cellStyle name="메모 2 23" xfId="4784" xr:uid="{00000000-0005-0000-0000-000098120000}"/>
    <cellStyle name="메모 2 24" xfId="4785" xr:uid="{00000000-0005-0000-0000-000099120000}"/>
    <cellStyle name="메모 2 3" xfId="4786" xr:uid="{00000000-0005-0000-0000-00009A120000}"/>
    <cellStyle name="메모 2 4" xfId="4787" xr:uid="{00000000-0005-0000-0000-00009B120000}"/>
    <cellStyle name="메모 2 5" xfId="4788" xr:uid="{00000000-0005-0000-0000-00009C120000}"/>
    <cellStyle name="메모 2 6" xfId="4789" xr:uid="{00000000-0005-0000-0000-00009D120000}"/>
    <cellStyle name="메모 2 7" xfId="4790" xr:uid="{00000000-0005-0000-0000-00009E120000}"/>
    <cellStyle name="메모 2 8" xfId="4791" xr:uid="{00000000-0005-0000-0000-00009F120000}"/>
    <cellStyle name="메모 2 9" xfId="4792" xr:uid="{00000000-0005-0000-0000-0000A0120000}"/>
    <cellStyle name="메모 20" xfId="4793" xr:uid="{00000000-0005-0000-0000-0000A1120000}"/>
    <cellStyle name="메모 21" xfId="4794" xr:uid="{00000000-0005-0000-0000-0000A2120000}"/>
    <cellStyle name="메모 22" xfId="4795" xr:uid="{00000000-0005-0000-0000-0000A3120000}"/>
    <cellStyle name="메모 23" xfId="4796" xr:uid="{00000000-0005-0000-0000-0000A4120000}"/>
    <cellStyle name="메모 24" xfId="4797" xr:uid="{00000000-0005-0000-0000-0000A5120000}"/>
    <cellStyle name="메모 3" xfId="4798" xr:uid="{00000000-0005-0000-0000-0000A6120000}"/>
    <cellStyle name="메모 3 10" xfId="4799" xr:uid="{00000000-0005-0000-0000-0000A7120000}"/>
    <cellStyle name="메모 3 11" xfId="4800" xr:uid="{00000000-0005-0000-0000-0000A8120000}"/>
    <cellStyle name="메모 3 12" xfId="4801" xr:uid="{00000000-0005-0000-0000-0000A9120000}"/>
    <cellStyle name="메모 3 13" xfId="4802" xr:uid="{00000000-0005-0000-0000-0000AA120000}"/>
    <cellStyle name="메모 3 14" xfId="4803" xr:uid="{00000000-0005-0000-0000-0000AB120000}"/>
    <cellStyle name="메모 3 15" xfId="4804" xr:uid="{00000000-0005-0000-0000-0000AC120000}"/>
    <cellStyle name="메모 3 16" xfId="4805" xr:uid="{00000000-0005-0000-0000-0000AD120000}"/>
    <cellStyle name="메모 3 17" xfId="4806" xr:uid="{00000000-0005-0000-0000-0000AE120000}"/>
    <cellStyle name="메모 3 18" xfId="4807" xr:uid="{00000000-0005-0000-0000-0000AF120000}"/>
    <cellStyle name="메모 3 19" xfId="4808" xr:uid="{00000000-0005-0000-0000-0000B0120000}"/>
    <cellStyle name="메모 3 2" xfId="4809" xr:uid="{00000000-0005-0000-0000-0000B1120000}"/>
    <cellStyle name="메모 3 20" xfId="4810" xr:uid="{00000000-0005-0000-0000-0000B2120000}"/>
    <cellStyle name="메모 3 21" xfId="4811" xr:uid="{00000000-0005-0000-0000-0000B3120000}"/>
    <cellStyle name="메모 3 22" xfId="4812" xr:uid="{00000000-0005-0000-0000-0000B4120000}"/>
    <cellStyle name="메모 3 3" xfId="4813" xr:uid="{00000000-0005-0000-0000-0000B5120000}"/>
    <cellStyle name="메모 3 4" xfId="4814" xr:uid="{00000000-0005-0000-0000-0000B6120000}"/>
    <cellStyle name="메모 3 5" xfId="4815" xr:uid="{00000000-0005-0000-0000-0000B7120000}"/>
    <cellStyle name="메모 3 6" xfId="4816" xr:uid="{00000000-0005-0000-0000-0000B8120000}"/>
    <cellStyle name="메모 3 7" xfId="4817" xr:uid="{00000000-0005-0000-0000-0000B9120000}"/>
    <cellStyle name="메모 3 8" xfId="4818" xr:uid="{00000000-0005-0000-0000-0000BA120000}"/>
    <cellStyle name="메모 3 9" xfId="4819" xr:uid="{00000000-0005-0000-0000-0000BB120000}"/>
    <cellStyle name="메모 4" xfId="4820" xr:uid="{00000000-0005-0000-0000-0000BC120000}"/>
    <cellStyle name="메모 5" xfId="4821" xr:uid="{00000000-0005-0000-0000-0000BD120000}"/>
    <cellStyle name="메모 6" xfId="4822" xr:uid="{00000000-0005-0000-0000-0000BE120000}"/>
    <cellStyle name="메모 7" xfId="4823" xr:uid="{00000000-0005-0000-0000-0000BF120000}"/>
    <cellStyle name="메모 8" xfId="4824" xr:uid="{00000000-0005-0000-0000-0000C0120000}"/>
    <cellStyle name="메모 9" xfId="4825" xr:uid="{00000000-0005-0000-0000-0000C1120000}"/>
    <cellStyle name="묮뎋 [0.00]_PRODUCT DETAIL Q1" xfId="4826" xr:uid="{00000000-0005-0000-0000-0000C2120000}"/>
    <cellStyle name="묮뎋_PRODUCT DETAIL Q1" xfId="4827" xr:uid="{00000000-0005-0000-0000-0000C3120000}"/>
    <cellStyle name="문자열" xfId="4828" xr:uid="{00000000-0005-0000-0000-0000C4120000}"/>
    <cellStyle name="문자열(가운데맞춤)" xfId="4829" xr:uid="{00000000-0005-0000-0000-0000C5120000}"/>
    <cellStyle name="믅됞 [0.00]_laroux" xfId="4830" xr:uid="{00000000-0005-0000-0000-0000C6120000}"/>
    <cellStyle name="믅됞_laroux" xfId="4831" xr:uid="{00000000-0005-0000-0000-0000C7120000}"/>
    <cellStyle name="未定義" xfId="4832" xr:uid="{00000000-0005-0000-0000-0000C8120000}"/>
    <cellStyle name="백만" xfId="4833" xr:uid="{00000000-0005-0000-0000-0000C9120000}"/>
    <cellStyle name="백만원" xfId="4834" xr:uid="{00000000-0005-0000-0000-0000CA120000}"/>
    <cellStyle name="백분율" xfId="5" builtinId="5"/>
    <cellStyle name="백분율 [0]" xfId="4835" xr:uid="{00000000-0005-0000-0000-0000CC120000}"/>
    <cellStyle name="백분율 [2]" xfId="4836" xr:uid="{00000000-0005-0000-0000-0000CD120000}"/>
    <cellStyle name="백분율 10" xfId="4837" xr:uid="{00000000-0005-0000-0000-0000CE120000}"/>
    <cellStyle name="백분율 11" xfId="4838" xr:uid="{00000000-0005-0000-0000-0000CF120000}"/>
    <cellStyle name="백분율 12" xfId="4839" xr:uid="{00000000-0005-0000-0000-0000D0120000}"/>
    <cellStyle name="백분율 13" xfId="4840" xr:uid="{00000000-0005-0000-0000-0000D1120000}"/>
    <cellStyle name="백분율 14" xfId="4841" xr:uid="{00000000-0005-0000-0000-0000D2120000}"/>
    <cellStyle name="백분율 15" xfId="4842" xr:uid="{00000000-0005-0000-0000-0000D3120000}"/>
    <cellStyle name="백분율 16" xfId="4843" xr:uid="{00000000-0005-0000-0000-0000D4120000}"/>
    <cellStyle name="백분율 17" xfId="4844" xr:uid="{00000000-0005-0000-0000-0000D5120000}"/>
    <cellStyle name="백분율 18" xfId="4845" xr:uid="{00000000-0005-0000-0000-0000D6120000}"/>
    <cellStyle name="백분율 19" xfId="4846" xr:uid="{00000000-0005-0000-0000-0000D7120000}"/>
    <cellStyle name="백분율 2" xfId="7" xr:uid="{00000000-0005-0000-0000-0000D8120000}"/>
    <cellStyle name="백분율 2 2" xfId="13" xr:uid="{00000000-0005-0000-0000-0000D9120000}"/>
    <cellStyle name="백분율 2 2 2" xfId="4847" xr:uid="{00000000-0005-0000-0000-0000DA120000}"/>
    <cellStyle name="백분율 2 2 3" xfId="4848" xr:uid="{00000000-0005-0000-0000-0000DB120000}"/>
    <cellStyle name="백분율 2 3" xfId="4849" xr:uid="{00000000-0005-0000-0000-0000DC120000}"/>
    <cellStyle name="백분율 2 4" xfId="4850" xr:uid="{00000000-0005-0000-0000-0000DD120000}"/>
    <cellStyle name="백분율 2 5" xfId="4851" xr:uid="{00000000-0005-0000-0000-0000DE120000}"/>
    <cellStyle name="백분율 20" xfId="4852" xr:uid="{00000000-0005-0000-0000-0000DF120000}"/>
    <cellStyle name="백분율 21" xfId="4853" xr:uid="{00000000-0005-0000-0000-0000E0120000}"/>
    <cellStyle name="백분율 22" xfId="4854" xr:uid="{00000000-0005-0000-0000-0000E1120000}"/>
    <cellStyle name="백분율 23" xfId="6589" xr:uid="{00000000-0005-0000-0000-0000E2120000}"/>
    <cellStyle name="백분율 24" xfId="6596" xr:uid="{00000000-0005-0000-0000-0000E3120000}"/>
    <cellStyle name="백분율 25" xfId="6599" xr:uid="{00000000-0005-0000-0000-0000E4120000}"/>
    <cellStyle name="백분율 26" xfId="6600" xr:uid="{00000000-0005-0000-0000-0000E5120000}"/>
    <cellStyle name="백분율 27" xfId="6604" xr:uid="{00000000-0005-0000-0000-0000E6120000}"/>
    <cellStyle name="백분율 28" xfId="6601" xr:uid="{00000000-0005-0000-0000-0000E7120000}"/>
    <cellStyle name="백분율 29" xfId="6606" xr:uid="{00000000-0005-0000-0000-0000E8120000}"/>
    <cellStyle name="백분율 3" xfId="14" xr:uid="{00000000-0005-0000-0000-0000E9120000}"/>
    <cellStyle name="백분율 3 2" xfId="4855" xr:uid="{00000000-0005-0000-0000-0000EA120000}"/>
    <cellStyle name="백분율 30" xfId="6608" xr:uid="{00000000-0005-0000-0000-0000EB120000}"/>
    <cellStyle name="백분율 31" xfId="6611" xr:uid="{00000000-0005-0000-0000-0000EC120000}"/>
    <cellStyle name="백분율 32" xfId="6615" xr:uid="{00000000-0005-0000-0000-0000ED120000}"/>
    <cellStyle name="백분율 33" xfId="6614" xr:uid="{00000000-0005-0000-0000-0000EE120000}"/>
    <cellStyle name="백분율 4" xfId="10" xr:uid="{00000000-0005-0000-0000-0000EF120000}"/>
    <cellStyle name="백분율 4 2" xfId="6594" xr:uid="{00000000-0005-0000-0000-0000F0120000}"/>
    <cellStyle name="백분율 5" xfId="4856" xr:uid="{00000000-0005-0000-0000-0000F1120000}"/>
    <cellStyle name="백분율 5 2" xfId="4857" xr:uid="{00000000-0005-0000-0000-0000F2120000}"/>
    <cellStyle name="백분율 6" xfId="4858" xr:uid="{00000000-0005-0000-0000-0000F3120000}"/>
    <cellStyle name="백분율 7" xfId="4859" xr:uid="{00000000-0005-0000-0000-0000F4120000}"/>
    <cellStyle name="백분율 8" xfId="4860" xr:uid="{00000000-0005-0000-0000-0000F5120000}"/>
    <cellStyle name="백분율 9" xfId="4861" xr:uid="{00000000-0005-0000-0000-0000F6120000}"/>
    <cellStyle name="백분율(5,2)" xfId="4862" xr:uid="{00000000-0005-0000-0000-0000F7120000}"/>
    <cellStyle name="보고서" xfId="4863" xr:uid="{00000000-0005-0000-0000-0000F8120000}"/>
    <cellStyle name="보통 10" xfId="4864" xr:uid="{00000000-0005-0000-0000-0000F9120000}"/>
    <cellStyle name="보통 11" xfId="4865" xr:uid="{00000000-0005-0000-0000-0000FA120000}"/>
    <cellStyle name="보통 12" xfId="4866" xr:uid="{00000000-0005-0000-0000-0000FB120000}"/>
    <cellStyle name="보통 13" xfId="4867" xr:uid="{00000000-0005-0000-0000-0000FC120000}"/>
    <cellStyle name="보통 14" xfId="4868" xr:uid="{00000000-0005-0000-0000-0000FD120000}"/>
    <cellStyle name="보통 15" xfId="4869" xr:uid="{00000000-0005-0000-0000-0000FE120000}"/>
    <cellStyle name="보통 16" xfId="4870" xr:uid="{00000000-0005-0000-0000-0000FF120000}"/>
    <cellStyle name="보통 17" xfId="4871" xr:uid="{00000000-0005-0000-0000-000000130000}"/>
    <cellStyle name="보통 18" xfId="4872" xr:uid="{00000000-0005-0000-0000-000001130000}"/>
    <cellStyle name="보통 19" xfId="4873" xr:uid="{00000000-0005-0000-0000-000002130000}"/>
    <cellStyle name="보통 2" xfId="4874" xr:uid="{00000000-0005-0000-0000-000003130000}"/>
    <cellStyle name="보통 2 10" xfId="4875" xr:uid="{00000000-0005-0000-0000-000004130000}"/>
    <cellStyle name="보통 2 11" xfId="4876" xr:uid="{00000000-0005-0000-0000-000005130000}"/>
    <cellStyle name="보통 2 12" xfId="4877" xr:uid="{00000000-0005-0000-0000-000006130000}"/>
    <cellStyle name="보통 2 13" xfId="4878" xr:uid="{00000000-0005-0000-0000-000007130000}"/>
    <cellStyle name="보통 2 14" xfId="4879" xr:uid="{00000000-0005-0000-0000-000008130000}"/>
    <cellStyle name="보통 2 15" xfId="4880" xr:uid="{00000000-0005-0000-0000-000009130000}"/>
    <cellStyle name="보통 2 16" xfId="4881" xr:uid="{00000000-0005-0000-0000-00000A130000}"/>
    <cellStyle name="보통 2 17" xfId="4882" xr:uid="{00000000-0005-0000-0000-00000B130000}"/>
    <cellStyle name="보통 2 18" xfId="4883" xr:uid="{00000000-0005-0000-0000-00000C130000}"/>
    <cellStyle name="보통 2 19" xfId="4884" xr:uid="{00000000-0005-0000-0000-00000D130000}"/>
    <cellStyle name="보통 2 2" xfId="4885" xr:uid="{00000000-0005-0000-0000-00000E130000}"/>
    <cellStyle name="보통 2 2 10" xfId="4886" xr:uid="{00000000-0005-0000-0000-00000F130000}"/>
    <cellStyle name="보통 2 2 11" xfId="4887" xr:uid="{00000000-0005-0000-0000-000010130000}"/>
    <cellStyle name="보통 2 2 12" xfId="4888" xr:uid="{00000000-0005-0000-0000-000011130000}"/>
    <cellStyle name="보통 2 2 13" xfId="4889" xr:uid="{00000000-0005-0000-0000-000012130000}"/>
    <cellStyle name="보통 2 2 14" xfId="4890" xr:uid="{00000000-0005-0000-0000-000013130000}"/>
    <cellStyle name="보통 2 2 2" xfId="4891" xr:uid="{00000000-0005-0000-0000-000014130000}"/>
    <cellStyle name="보통 2 2 3" xfId="4892" xr:uid="{00000000-0005-0000-0000-000015130000}"/>
    <cellStyle name="보통 2 2 4" xfId="4893" xr:uid="{00000000-0005-0000-0000-000016130000}"/>
    <cellStyle name="보통 2 2 5" xfId="4894" xr:uid="{00000000-0005-0000-0000-000017130000}"/>
    <cellStyle name="보통 2 2 6" xfId="4895" xr:uid="{00000000-0005-0000-0000-000018130000}"/>
    <cellStyle name="보통 2 2 7" xfId="4896" xr:uid="{00000000-0005-0000-0000-000019130000}"/>
    <cellStyle name="보통 2 2 8" xfId="4897" xr:uid="{00000000-0005-0000-0000-00001A130000}"/>
    <cellStyle name="보통 2 2 9" xfId="4898" xr:uid="{00000000-0005-0000-0000-00001B130000}"/>
    <cellStyle name="보통 2 20" xfId="4899" xr:uid="{00000000-0005-0000-0000-00001C130000}"/>
    <cellStyle name="보통 2 21" xfId="4900" xr:uid="{00000000-0005-0000-0000-00001D130000}"/>
    <cellStyle name="보통 2 22" xfId="4901" xr:uid="{00000000-0005-0000-0000-00001E130000}"/>
    <cellStyle name="보통 2 23" xfId="4902" xr:uid="{00000000-0005-0000-0000-00001F130000}"/>
    <cellStyle name="보통 2 24" xfId="4903" xr:uid="{00000000-0005-0000-0000-000020130000}"/>
    <cellStyle name="보통 2 3" xfId="4904" xr:uid="{00000000-0005-0000-0000-000021130000}"/>
    <cellStyle name="보통 2 4" xfId="4905" xr:uid="{00000000-0005-0000-0000-000022130000}"/>
    <cellStyle name="보통 2 5" xfId="4906" xr:uid="{00000000-0005-0000-0000-000023130000}"/>
    <cellStyle name="보통 2 6" xfId="4907" xr:uid="{00000000-0005-0000-0000-000024130000}"/>
    <cellStyle name="보통 2 7" xfId="4908" xr:uid="{00000000-0005-0000-0000-000025130000}"/>
    <cellStyle name="보통 2 8" xfId="4909" xr:uid="{00000000-0005-0000-0000-000026130000}"/>
    <cellStyle name="보통 2 9" xfId="4910" xr:uid="{00000000-0005-0000-0000-000027130000}"/>
    <cellStyle name="보통 20" xfId="4911" xr:uid="{00000000-0005-0000-0000-000028130000}"/>
    <cellStyle name="보통 21" xfId="4912" xr:uid="{00000000-0005-0000-0000-000029130000}"/>
    <cellStyle name="보통 22" xfId="4913" xr:uid="{00000000-0005-0000-0000-00002A130000}"/>
    <cellStyle name="보통 23" xfId="4914" xr:uid="{00000000-0005-0000-0000-00002B130000}"/>
    <cellStyle name="보통 24" xfId="4915" xr:uid="{00000000-0005-0000-0000-00002C130000}"/>
    <cellStyle name="보통 3" xfId="4916" xr:uid="{00000000-0005-0000-0000-00002D130000}"/>
    <cellStyle name="보통 3 10" xfId="4917" xr:uid="{00000000-0005-0000-0000-00002E130000}"/>
    <cellStyle name="보통 3 11" xfId="4918" xr:uid="{00000000-0005-0000-0000-00002F130000}"/>
    <cellStyle name="보통 3 12" xfId="4919" xr:uid="{00000000-0005-0000-0000-000030130000}"/>
    <cellStyle name="보통 3 13" xfId="4920" xr:uid="{00000000-0005-0000-0000-000031130000}"/>
    <cellStyle name="보통 3 14" xfId="4921" xr:uid="{00000000-0005-0000-0000-000032130000}"/>
    <cellStyle name="보통 3 2" xfId="4922" xr:uid="{00000000-0005-0000-0000-000033130000}"/>
    <cellStyle name="보통 3 3" xfId="4923" xr:uid="{00000000-0005-0000-0000-000034130000}"/>
    <cellStyle name="보통 3 4" xfId="4924" xr:uid="{00000000-0005-0000-0000-000035130000}"/>
    <cellStyle name="보통 3 5" xfId="4925" xr:uid="{00000000-0005-0000-0000-000036130000}"/>
    <cellStyle name="보통 3 6" xfId="4926" xr:uid="{00000000-0005-0000-0000-000037130000}"/>
    <cellStyle name="보통 3 7" xfId="4927" xr:uid="{00000000-0005-0000-0000-000038130000}"/>
    <cellStyle name="보통 3 8" xfId="4928" xr:uid="{00000000-0005-0000-0000-000039130000}"/>
    <cellStyle name="보통 3 9" xfId="4929" xr:uid="{00000000-0005-0000-0000-00003A130000}"/>
    <cellStyle name="보통 4" xfId="4930" xr:uid="{00000000-0005-0000-0000-00003B130000}"/>
    <cellStyle name="보통 5" xfId="4931" xr:uid="{00000000-0005-0000-0000-00003C130000}"/>
    <cellStyle name="보통 6" xfId="4932" xr:uid="{00000000-0005-0000-0000-00003D130000}"/>
    <cellStyle name="보통 7" xfId="4933" xr:uid="{00000000-0005-0000-0000-00003E130000}"/>
    <cellStyle name="보통 8" xfId="4934" xr:uid="{00000000-0005-0000-0000-00003F130000}"/>
    <cellStyle name="보통 9" xfId="4935" xr:uid="{00000000-0005-0000-0000-000040130000}"/>
    <cellStyle name="普通_laroux" xfId="4936" xr:uid="{00000000-0005-0000-0000-000041130000}"/>
    <cellStyle name="뷭?" xfId="4937" xr:uid="{00000000-0005-0000-0000-000042130000}"/>
    <cellStyle name="사용자" xfId="4938" xr:uid="{00000000-0005-0000-0000-000043130000}"/>
    <cellStyle name="삼일-금지" xfId="4939" xr:uid="{00000000-0005-0000-0000-000044130000}"/>
    <cellStyle name="삼일-입력" xfId="4940" xr:uid="{00000000-0005-0000-0000-000045130000}"/>
    <cellStyle name="常?_RESULTS" xfId="4941" xr:uid="{00000000-0005-0000-0000-000046130000}"/>
    <cellStyle name="常规_18D76E00" xfId="4942" xr:uid="{00000000-0005-0000-0000-000047130000}"/>
    <cellStyle name="새귑[0]_롤痰삠悧 " xfId="4943" xr:uid="{00000000-0005-0000-0000-000048130000}"/>
    <cellStyle name="새귑_롤痰삠悧 " xfId="4944" xr:uid="{00000000-0005-0000-0000-000049130000}"/>
    <cellStyle name="선 수 보 험 료" xfId="4945" xr:uid="{00000000-0005-0000-0000-00004A130000}"/>
    <cellStyle name="선택영역의 가운데로" xfId="4946" xr:uid="{00000000-0005-0000-0000-00004B130000}"/>
    <cellStyle name="설계서-내용" xfId="4947" xr:uid="{00000000-0005-0000-0000-00004C130000}"/>
    <cellStyle name="설계서-내용-소수점" xfId="4948" xr:uid="{00000000-0005-0000-0000-00004D130000}"/>
    <cellStyle name="설계서-내용-우" xfId="4949" xr:uid="{00000000-0005-0000-0000-00004E130000}"/>
    <cellStyle name="설계서-내용-좌" xfId="4950" xr:uid="{00000000-0005-0000-0000-00004F130000}"/>
    <cellStyle name="설계서-소제목" xfId="4951" xr:uid="{00000000-0005-0000-0000-000050130000}"/>
    <cellStyle name="설계서-타이틀" xfId="4952" xr:uid="{00000000-0005-0000-0000-000051130000}"/>
    <cellStyle name="설계서-항목" xfId="4953" xr:uid="{00000000-0005-0000-0000-000052130000}"/>
    <cellStyle name="설명 텍스트 10" xfId="4954" xr:uid="{00000000-0005-0000-0000-000053130000}"/>
    <cellStyle name="설명 텍스트 11" xfId="4955" xr:uid="{00000000-0005-0000-0000-000054130000}"/>
    <cellStyle name="설명 텍스트 12" xfId="4956" xr:uid="{00000000-0005-0000-0000-000055130000}"/>
    <cellStyle name="설명 텍스트 13" xfId="4957" xr:uid="{00000000-0005-0000-0000-000056130000}"/>
    <cellStyle name="설명 텍스트 14" xfId="4958" xr:uid="{00000000-0005-0000-0000-000057130000}"/>
    <cellStyle name="설명 텍스트 15" xfId="4959" xr:uid="{00000000-0005-0000-0000-000058130000}"/>
    <cellStyle name="설명 텍스트 16" xfId="4960" xr:uid="{00000000-0005-0000-0000-000059130000}"/>
    <cellStyle name="설명 텍스트 17" xfId="4961" xr:uid="{00000000-0005-0000-0000-00005A130000}"/>
    <cellStyle name="설명 텍스트 18" xfId="4962" xr:uid="{00000000-0005-0000-0000-00005B130000}"/>
    <cellStyle name="설명 텍스트 19" xfId="4963" xr:uid="{00000000-0005-0000-0000-00005C130000}"/>
    <cellStyle name="설명 텍스트 2" xfId="4964" xr:uid="{00000000-0005-0000-0000-00005D130000}"/>
    <cellStyle name="설명 텍스트 2 10" xfId="4965" xr:uid="{00000000-0005-0000-0000-00005E130000}"/>
    <cellStyle name="설명 텍스트 2 11" xfId="4966" xr:uid="{00000000-0005-0000-0000-00005F130000}"/>
    <cellStyle name="설명 텍스트 2 12" xfId="4967" xr:uid="{00000000-0005-0000-0000-000060130000}"/>
    <cellStyle name="설명 텍스트 2 13" xfId="4968" xr:uid="{00000000-0005-0000-0000-000061130000}"/>
    <cellStyle name="설명 텍스트 2 14" xfId="4969" xr:uid="{00000000-0005-0000-0000-000062130000}"/>
    <cellStyle name="설명 텍스트 2 15" xfId="4970" xr:uid="{00000000-0005-0000-0000-000063130000}"/>
    <cellStyle name="설명 텍스트 2 16" xfId="4971" xr:uid="{00000000-0005-0000-0000-000064130000}"/>
    <cellStyle name="설명 텍스트 2 17" xfId="4972" xr:uid="{00000000-0005-0000-0000-000065130000}"/>
    <cellStyle name="설명 텍스트 2 18" xfId="4973" xr:uid="{00000000-0005-0000-0000-000066130000}"/>
    <cellStyle name="설명 텍스트 2 19" xfId="4974" xr:uid="{00000000-0005-0000-0000-000067130000}"/>
    <cellStyle name="설명 텍스트 2 2" xfId="4975" xr:uid="{00000000-0005-0000-0000-000068130000}"/>
    <cellStyle name="설명 텍스트 2 2 10" xfId="4976" xr:uid="{00000000-0005-0000-0000-000069130000}"/>
    <cellStyle name="설명 텍스트 2 2 11" xfId="4977" xr:uid="{00000000-0005-0000-0000-00006A130000}"/>
    <cellStyle name="설명 텍스트 2 2 12" xfId="4978" xr:uid="{00000000-0005-0000-0000-00006B130000}"/>
    <cellStyle name="설명 텍스트 2 2 13" xfId="4979" xr:uid="{00000000-0005-0000-0000-00006C130000}"/>
    <cellStyle name="설명 텍스트 2 2 14" xfId="4980" xr:uid="{00000000-0005-0000-0000-00006D130000}"/>
    <cellStyle name="설명 텍스트 2 2 2" xfId="4981" xr:uid="{00000000-0005-0000-0000-00006E130000}"/>
    <cellStyle name="설명 텍스트 2 2 3" xfId="4982" xr:uid="{00000000-0005-0000-0000-00006F130000}"/>
    <cellStyle name="설명 텍스트 2 2 4" xfId="4983" xr:uid="{00000000-0005-0000-0000-000070130000}"/>
    <cellStyle name="설명 텍스트 2 2 5" xfId="4984" xr:uid="{00000000-0005-0000-0000-000071130000}"/>
    <cellStyle name="설명 텍스트 2 2 6" xfId="4985" xr:uid="{00000000-0005-0000-0000-000072130000}"/>
    <cellStyle name="설명 텍스트 2 2 7" xfId="4986" xr:uid="{00000000-0005-0000-0000-000073130000}"/>
    <cellStyle name="설명 텍스트 2 2 8" xfId="4987" xr:uid="{00000000-0005-0000-0000-000074130000}"/>
    <cellStyle name="설명 텍스트 2 2 9" xfId="4988" xr:uid="{00000000-0005-0000-0000-000075130000}"/>
    <cellStyle name="설명 텍스트 2 20" xfId="4989" xr:uid="{00000000-0005-0000-0000-000076130000}"/>
    <cellStyle name="설명 텍스트 2 21" xfId="4990" xr:uid="{00000000-0005-0000-0000-000077130000}"/>
    <cellStyle name="설명 텍스트 2 22" xfId="4991" xr:uid="{00000000-0005-0000-0000-000078130000}"/>
    <cellStyle name="설명 텍스트 2 23" xfId="4992" xr:uid="{00000000-0005-0000-0000-000079130000}"/>
    <cellStyle name="설명 텍스트 2 24" xfId="4993" xr:uid="{00000000-0005-0000-0000-00007A130000}"/>
    <cellStyle name="설명 텍스트 2 3" xfId="4994" xr:uid="{00000000-0005-0000-0000-00007B130000}"/>
    <cellStyle name="설명 텍스트 2 4" xfId="4995" xr:uid="{00000000-0005-0000-0000-00007C130000}"/>
    <cellStyle name="설명 텍스트 2 5" xfId="4996" xr:uid="{00000000-0005-0000-0000-00007D130000}"/>
    <cellStyle name="설명 텍스트 2 6" xfId="4997" xr:uid="{00000000-0005-0000-0000-00007E130000}"/>
    <cellStyle name="설명 텍스트 2 7" xfId="4998" xr:uid="{00000000-0005-0000-0000-00007F130000}"/>
    <cellStyle name="설명 텍스트 2 8" xfId="4999" xr:uid="{00000000-0005-0000-0000-000080130000}"/>
    <cellStyle name="설명 텍스트 2 9" xfId="5000" xr:uid="{00000000-0005-0000-0000-000081130000}"/>
    <cellStyle name="설명 텍스트 20" xfId="5001" xr:uid="{00000000-0005-0000-0000-000082130000}"/>
    <cellStyle name="설명 텍스트 21" xfId="5002" xr:uid="{00000000-0005-0000-0000-000083130000}"/>
    <cellStyle name="설명 텍스트 22" xfId="5003" xr:uid="{00000000-0005-0000-0000-000084130000}"/>
    <cellStyle name="설명 텍스트 23" xfId="5004" xr:uid="{00000000-0005-0000-0000-000085130000}"/>
    <cellStyle name="설명 텍스트 24" xfId="5005" xr:uid="{00000000-0005-0000-0000-000086130000}"/>
    <cellStyle name="설명 텍스트 3" xfId="5006" xr:uid="{00000000-0005-0000-0000-000087130000}"/>
    <cellStyle name="설명 텍스트 3 10" xfId="5007" xr:uid="{00000000-0005-0000-0000-000088130000}"/>
    <cellStyle name="설명 텍스트 3 11" xfId="5008" xr:uid="{00000000-0005-0000-0000-000089130000}"/>
    <cellStyle name="설명 텍스트 3 12" xfId="5009" xr:uid="{00000000-0005-0000-0000-00008A130000}"/>
    <cellStyle name="설명 텍스트 3 13" xfId="5010" xr:uid="{00000000-0005-0000-0000-00008B130000}"/>
    <cellStyle name="설명 텍스트 3 14" xfId="5011" xr:uid="{00000000-0005-0000-0000-00008C130000}"/>
    <cellStyle name="설명 텍스트 3 2" xfId="5012" xr:uid="{00000000-0005-0000-0000-00008D130000}"/>
    <cellStyle name="설명 텍스트 3 3" xfId="5013" xr:uid="{00000000-0005-0000-0000-00008E130000}"/>
    <cellStyle name="설명 텍스트 3 4" xfId="5014" xr:uid="{00000000-0005-0000-0000-00008F130000}"/>
    <cellStyle name="설명 텍스트 3 5" xfId="5015" xr:uid="{00000000-0005-0000-0000-000090130000}"/>
    <cellStyle name="설명 텍스트 3 6" xfId="5016" xr:uid="{00000000-0005-0000-0000-000091130000}"/>
    <cellStyle name="설명 텍스트 3 7" xfId="5017" xr:uid="{00000000-0005-0000-0000-000092130000}"/>
    <cellStyle name="설명 텍스트 3 8" xfId="5018" xr:uid="{00000000-0005-0000-0000-000093130000}"/>
    <cellStyle name="설명 텍스트 3 9" xfId="5019" xr:uid="{00000000-0005-0000-0000-000094130000}"/>
    <cellStyle name="설명 텍스트 4" xfId="5020" xr:uid="{00000000-0005-0000-0000-000095130000}"/>
    <cellStyle name="설명 텍스트 5" xfId="5021" xr:uid="{00000000-0005-0000-0000-000096130000}"/>
    <cellStyle name="설명 텍스트 6" xfId="5022" xr:uid="{00000000-0005-0000-0000-000097130000}"/>
    <cellStyle name="설명 텍스트 7" xfId="5023" xr:uid="{00000000-0005-0000-0000-000098130000}"/>
    <cellStyle name="설명 텍스트 8" xfId="5024" xr:uid="{00000000-0005-0000-0000-000099130000}"/>
    <cellStyle name="설명 텍스트 9" xfId="5025" xr:uid="{00000000-0005-0000-0000-00009A130000}"/>
    <cellStyle name="説明文" xfId="5026" xr:uid="{00000000-0005-0000-0000-00009B130000}"/>
    <cellStyle name="셀 확인 10" xfId="5027" xr:uid="{00000000-0005-0000-0000-00009C130000}"/>
    <cellStyle name="셀 확인 11" xfId="5028" xr:uid="{00000000-0005-0000-0000-00009D130000}"/>
    <cellStyle name="셀 확인 12" xfId="5029" xr:uid="{00000000-0005-0000-0000-00009E130000}"/>
    <cellStyle name="셀 확인 13" xfId="5030" xr:uid="{00000000-0005-0000-0000-00009F130000}"/>
    <cellStyle name="셀 확인 14" xfId="5031" xr:uid="{00000000-0005-0000-0000-0000A0130000}"/>
    <cellStyle name="셀 확인 15" xfId="5032" xr:uid="{00000000-0005-0000-0000-0000A1130000}"/>
    <cellStyle name="셀 확인 16" xfId="5033" xr:uid="{00000000-0005-0000-0000-0000A2130000}"/>
    <cellStyle name="셀 확인 17" xfId="5034" xr:uid="{00000000-0005-0000-0000-0000A3130000}"/>
    <cellStyle name="셀 확인 18" xfId="5035" xr:uid="{00000000-0005-0000-0000-0000A4130000}"/>
    <cellStyle name="셀 확인 19" xfId="5036" xr:uid="{00000000-0005-0000-0000-0000A5130000}"/>
    <cellStyle name="셀 확인 2" xfId="5037" xr:uid="{00000000-0005-0000-0000-0000A6130000}"/>
    <cellStyle name="셀 확인 2 10" xfId="5038" xr:uid="{00000000-0005-0000-0000-0000A7130000}"/>
    <cellStyle name="셀 확인 2 11" xfId="5039" xr:uid="{00000000-0005-0000-0000-0000A8130000}"/>
    <cellStyle name="셀 확인 2 12" xfId="5040" xr:uid="{00000000-0005-0000-0000-0000A9130000}"/>
    <cellStyle name="셀 확인 2 13" xfId="5041" xr:uid="{00000000-0005-0000-0000-0000AA130000}"/>
    <cellStyle name="셀 확인 2 14" xfId="5042" xr:uid="{00000000-0005-0000-0000-0000AB130000}"/>
    <cellStyle name="셀 확인 2 15" xfId="5043" xr:uid="{00000000-0005-0000-0000-0000AC130000}"/>
    <cellStyle name="셀 확인 2 16" xfId="5044" xr:uid="{00000000-0005-0000-0000-0000AD130000}"/>
    <cellStyle name="셀 확인 2 17" xfId="5045" xr:uid="{00000000-0005-0000-0000-0000AE130000}"/>
    <cellStyle name="셀 확인 2 18" xfId="5046" xr:uid="{00000000-0005-0000-0000-0000AF130000}"/>
    <cellStyle name="셀 확인 2 19" xfId="5047" xr:uid="{00000000-0005-0000-0000-0000B0130000}"/>
    <cellStyle name="셀 확인 2 2" xfId="5048" xr:uid="{00000000-0005-0000-0000-0000B1130000}"/>
    <cellStyle name="셀 확인 2 2 10" xfId="5049" xr:uid="{00000000-0005-0000-0000-0000B2130000}"/>
    <cellStyle name="셀 확인 2 2 11" xfId="5050" xr:uid="{00000000-0005-0000-0000-0000B3130000}"/>
    <cellStyle name="셀 확인 2 2 12" xfId="5051" xr:uid="{00000000-0005-0000-0000-0000B4130000}"/>
    <cellStyle name="셀 확인 2 2 13" xfId="5052" xr:uid="{00000000-0005-0000-0000-0000B5130000}"/>
    <cellStyle name="셀 확인 2 2 14" xfId="5053" xr:uid="{00000000-0005-0000-0000-0000B6130000}"/>
    <cellStyle name="셀 확인 2 2 2" xfId="5054" xr:uid="{00000000-0005-0000-0000-0000B7130000}"/>
    <cellStyle name="셀 확인 2 2 3" xfId="5055" xr:uid="{00000000-0005-0000-0000-0000B8130000}"/>
    <cellStyle name="셀 확인 2 2 4" xfId="5056" xr:uid="{00000000-0005-0000-0000-0000B9130000}"/>
    <cellStyle name="셀 확인 2 2 5" xfId="5057" xr:uid="{00000000-0005-0000-0000-0000BA130000}"/>
    <cellStyle name="셀 확인 2 2 6" xfId="5058" xr:uid="{00000000-0005-0000-0000-0000BB130000}"/>
    <cellStyle name="셀 확인 2 2 7" xfId="5059" xr:uid="{00000000-0005-0000-0000-0000BC130000}"/>
    <cellStyle name="셀 확인 2 2 8" xfId="5060" xr:uid="{00000000-0005-0000-0000-0000BD130000}"/>
    <cellStyle name="셀 확인 2 2 9" xfId="5061" xr:uid="{00000000-0005-0000-0000-0000BE130000}"/>
    <cellStyle name="셀 확인 2 20" xfId="5062" xr:uid="{00000000-0005-0000-0000-0000BF130000}"/>
    <cellStyle name="셀 확인 2 21" xfId="5063" xr:uid="{00000000-0005-0000-0000-0000C0130000}"/>
    <cellStyle name="셀 확인 2 22" xfId="5064" xr:uid="{00000000-0005-0000-0000-0000C1130000}"/>
    <cellStyle name="셀 확인 2 23" xfId="5065" xr:uid="{00000000-0005-0000-0000-0000C2130000}"/>
    <cellStyle name="셀 확인 2 24" xfId="5066" xr:uid="{00000000-0005-0000-0000-0000C3130000}"/>
    <cellStyle name="셀 확인 2 3" xfId="5067" xr:uid="{00000000-0005-0000-0000-0000C4130000}"/>
    <cellStyle name="셀 확인 2 4" xfId="5068" xr:uid="{00000000-0005-0000-0000-0000C5130000}"/>
    <cellStyle name="셀 확인 2 5" xfId="5069" xr:uid="{00000000-0005-0000-0000-0000C6130000}"/>
    <cellStyle name="셀 확인 2 6" xfId="5070" xr:uid="{00000000-0005-0000-0000-0000C7130000}"/>
    <cellStyle name="셀 확인 2 7" xfId="5071" xr:uid="{00000000-0005-0000-0000-0000C8130000}"/>
    <cellStyle name="셀 확인 2 8" xfId="5072" xr:uid="{00000000-0005-0000-0000-0000C9130000}"/>
    <cellStyle name="셀 확인 2 9" xfId="5073" xr:uid="{00000000-0005-0000-0000-0000CA130000}"/>
    <cellStyle name="셀 확인 20" xfId="5074" xr:uid="{00000000-0005-0000-0000-0000CB130000}"/>
    <cellStyle name="셀 확인 21" xfId="5075" xr:uid="{00000000-0005-0000-0000-0000CC130000}"/>
    <cellStyle name="셀 확인 22" xfId="5076" xr:uid="{00000000-0005-0000-0000-0000CD130000}"/>
    <cellStyle name="셀 확인 23" xfId="5077" xr:uid="{00000000-0005-0000-0000-0000CE130000}"/>
    <cellStyle name="셀 확인 24" xfId="5078" xr:uid="{00000000-0005-0000-0000-0000CF130000}"/>
    <cellStyle name="셀 확인 3" xfId="5079" xr:uid="{00000000-0005-0000-0000-0000D0130000}"/>
    <cellStyle name="셀 확인 3 10" xfId="5080" xr:uid="{00000000-0005-0000-0000-0000D1130000}"/>
    <cellStyle name="셀 확인 3 11" xfId="5081" xr:uid="{00000000-0005-0000-0000-0000D2130000}"/>
    <cellStyle name="셀 확인 3 12" xfId="5082" xr:uid="{00000000-0005-0000-0000-0000D3130000}"/>
    <cellStyle name="셀 확인 3 13" xfId="5083" xr:uid="{00000000-0005-0000-0000-0000D4130000}"/>
    <cellStyle name="셀 확인 3 14" xfId="5084" xr:uid="{00000000-0005-0000-0000-0000D5130000}"/>
    <cellStyle name="셀 확인 3 2" xfId="5085" xr:uid="{00000000-0005-0000-0000-0000D6130000}"/>
    <cellStyle name="셀 확인 3 3" xfId="5086" xr:uid="{00000000-0005-0000-0000-0000D7130000}"/>
    <cellStyle name="셀 확인 3 4" xfId="5087" xr:uid="{00000000-0005-0000-0000-0000D8130000}"/>
    <cellStyle name="셀 확인 3 5" xfId="5088" xr:uid="{00000000-0005-0000-0000-0000D9130000}"/>
    <cellStyle name="셀 확인 3 6" xfId="5089" xr:uid="{00000000-0005-0000-0000-0000DA130000}"/>
    <cellStyle name="셀 확인 3 7" xfId="5090" xr:uid="{00000000-0005-0000-0000-0000DB130000}"/>
    <cellStyle name="셀 확인 3 8" xfId="5091" xr:uid="{00000000-0005-0000-0000-0000DC130000}"/>
    <cellStyle name="셀 확인 3 9" xfId="5092" xr:uid="{00000000-0005-0000-0000-0000DD130000}"/>
    <cellStyle name="셀 확인 4" xfId="5093" xr:uid="{00000000-0005-0000-0000-0000DE130000}"/>
    <cellStyle name="셀 확인 5" xfId="5094" xr:uid="{00000000-0005-0000-0000-0000DF130000}"/>
    <cellStyle name="셀 확인 6" xfId="5095" xr:uid="{00000000-0005-0000-0000-0000E0130000}"/>
    <cellStyle name="셀 확인 7" xfId="5096" xr:uid="{00000000-0005-0000-0000-0000E1130000}"/>
    <cellStyle name="셀 확인 8" xfId="5097" xr:uid="{00000000-0005-0000-0000-0000E2130000}"/>
    <cellStyle name="셀 확인 9" xfId="5098" xr:uid="{00000000-0005-0000-0000-0000E3130000}"/>
    <cellStyle name="숫자" xfId="5099" xr:uid="{00000000-0005-0000-0000-0000E4130000}"/>
    <cellStyle name="숫자(R)" xfId="5100" xr:uid="{00000000-0005-0000-0000-0000E5130000}"/>
    <cellStyle name="쉼표 [0]" xfId="1" builtinId="6"/>
    <cellStyle name="쉼표 [0] 10" xfId="5101" xr:uid="{00000000-0005-0000-0000-0000E7130000}"/>
    <cellStyle name="쉼표 [0] 11" xfId="5102" xr:uid="{00000000-0005-0000-0000-0000E8130000}"/>
    <cellStyle name="쉼표 [0] 12" xfId="5103" xr:uid="{00000000-0005-0000-0000-0000E9130000}"/>
    <cellStyle name="쉼표 [0] 13" xfId="5104" xr:uid="{00000000-0005-0000-0000-0000EA130000}"/>
    <cellStyle name="쉼표 [0] 14" xfId="5105" xr:uid="{00000000-0005-0000-0000-0000EB130000}"/>
    <cellStyle name="쉼표 [0] 15" xfId="5106" xr:uid="{00000000-0005-0000-0000-0000EC130000}"/>
    <cellStyle name="쉼표 [0] 16" xfId="5107" xr:uid="{00000000-0005-0000-0000-0000ED130000}"/>
    <cellStyle name="쉼표 [0] 16 2" xfId="5108" xr:uid="{00000000-0005-0000-0000-0000EE130000}"/>
    <cellStyle name="쉼표 [0] 17" xfId="5109" xr:uid="{00000000-0005-0000-0000-0000EF130000}"/>
    <cellStyle name="쉼표 [0] 18" xfId="5110" xr:uid="{00000000-0005-0000-0000-0000F0130000}"/>
    <cellStyle name="쉼표 [0] 19" xfId="5111" xr:uid="{00000000-0005-0000-0000-0000F1130000}"/>
    <cellStyle name="쉼표 [0] 2" xfId="3" xr:uid="{00000000-0005-0000-0000-0000F2130000}"/>
    <cellStyle name="쉼표 [0] 2 2" xfId="15" xr:uid="{00000000-0005-0000-0000-0000F3130000}"/>
    <cellStyle name="쉼표 [0] 2 2 2" xfId="5112" xr:uid="{00000000-0005-0000-0000-0000F4130000}"/>
    <cellStyle name="쉼표 [0] 2 2 2 2" xfId="5113" xr:uid="{00000000-0005-0000-0000-0000F5130000}"/>
    <cellStyle name="쉼표 [0] 2 2 3" xfId="5114" xr:uid="{00000000-0005-0000-0000-0000F6130000}"/>
    <cellStyle name="쉼표 [0] 2 3" xfId="5115" xr:uid="{00000000-0005-0000-0000-0000F7130000}"/>
    <cellStyle name="쉼표 [0] 2 3 2" xfId="5116" xr:uid="{00000000-0005-0000-0000-0000F8130000}"/>
    <cellStyle name="쉼표 [0] 2 3 3" xfId="5117" xr:uid="{00000000-0005-0000-0000-0000F9130000}"/>
    <cellStyle name="쉼표 [0] 2 4" xfId="5118" xr:uid="{00000000-0005-0000-0000-0000FA130000}"/>
    <cellStyle name="쉼표 [0] 2 5" xfId="5119" xr:uid="{00000000-0005-0000-0000-0000FB130000}"/>
    <cellStyle name="쉼표 [0] 20" xfId="5120" xr:uid="{00000000-0005-0000-0000-0000FC130000}"/>
    <cellStyle name="쉼표 [0] 21" xfId="5121" xr:uid="{00000000-0005-0000-0000-0000FD130000}"/>
    <cellStyle name="쉼표 [0] 22" xfId="5122" xr:uid="{00000000-0005-0000-0000-0000FE130000}"/>
    <cellStyle name="쉼표 [0] 23" xfId="5123" xr:uid="{00000000-0005-0000-0000-0000FF130000}"/>
    <cellStyle name="쉼표 [0] 24" xfId="5124" xr:uid="{00000000-0005-0000-0000-000000140000}"/>
    <cellStyle name="쉼표 [0] 25" xfId="5125" xr:uid="{00000000-0005-0000-0000-000001140000}"/>
    <cellStyle name="쉼표 [0] 26" xfId="6609" xr:uid="{00000000-0005-0000-0000-000002140000}"/>
    <cellStyle name="쉼표 [0] 3" xfId="16" xr:uid="{00000000-0005-0000-0000-000003140000}"/>
    <cellStyle name="쉼표 [0] 3 2" xfId="5126" xr:uid="{00000000-0005-0000-0000-000004140000}"/>
    <cellStyle name="쉼표 [0] 3 3" xfId="5127" xr:uid="{00000000-0005-0000-0000-000005140000}"/>
    <cellStyle name="쉼표 [0] 3 4" xfId="5128" xr:uid="{00000000-0005-0000-0000-000006140000}"/>
    <cellStyle name="쉼표 [0] 4" xfId="9" xr:uid="{00000000-0005-0000-0000-000007140000}"/>
    <cellStyle name="쉼표 [0] 4 2" xfId="5129" xr:uid="{00000000-0005-0000-0000-000008140000}"/>
    <cellStyle name="쉼표 [0] 4 3" xfId="6593" xr:uid="{00000000-0005-0000-0000-000009140000}"/>
    <cellStyle name="쉼표 [0] 4 39" xfId="5130" xr:uid="{00000000-0005-0000-0000-00000A140000}"/>
    <cellStyle name="쉼표 [0] 5" xfId="5131" xr:uid="{00000000-0005-0000-0000-00000B140000}"/>
    <cellStyle name="쉼표 [0] 5 2" xfId="5132" xr:uid="{00000000-0005-0000-0000-00000C140000}"/>
    <cellStyle name="쉼표 [0] 6" xfId="5133" xr:uid="{00000000-0005-0000-0000-00000D140000}"/>
    <cellStyle name="쉼표 [0] 6 2" xfId="5134" xr:uid="{00000000-0005-0000-0000-00000E140000}"/>
    <cellStyle name="쉼표 [0] 6 3" xfId="5135" xr:uid="{00000000-0005-0000-0000-00000F140000}"/>
    <cellStyle name="쉼표 [0] 6 4" xfId="5136" xr:uid="{00000000-0005-0000-0000-000010140000}"/>
    <cellStyle name="쉼표 [0] 6 5" xfId="5137" xr:uid="{00000000-0005-0000-0000-000011140000}"/>
    <cellStyle name="쉼표 [0] 6 6" xfId="5138" xr:uid="{00000000-0005-0000-0000-000012140000}"/>
    <cellStyle name="쉼표 [0] 7" xfId="5139" xr:uid="{00000000-0005-0000-0000-000013140000}"/>
    <cellStyle name="쉼표 [0] 7 2" xfId="5140" xr:uid="{00000000-0005-0000-0000-000014140000}"/>
    <cellStyle name="쉼표 [0] 7 2 2" xfId="5141" xr:uid="{00000000-0005-0000-0000-000015140000}"/>
    <cellStyle name="쉼표 [0] 8" xfId="5142" xr:uid="{00000000-0005-0000-0000-000016140000}"/>
    <cellStyle name="쉼표 [0] 9" xfId="5143" xr:uid="{00000000-0005-0000-0000-000017140000}"/>
    <cellStyle name="쉼표 2" xfId="5144" xr:uid="{00000000-0005-0000-0000-000018140000}"/>
    <cellStyle name="쉼표 2 2" xfId="5145" xr:uid="{00000000-0005-0000-0000-000019140000}"/>
    <cellStyle name="쉼표 2 2 2" xfId="5146" xr:uid="{00000000-0005-0000-0000-00001A140000}"/>
    <cellStyle name="쉼표 2 2 2 2" xfId="5147" xr:uid="{00000000-0005-0000-0000-00001B140000}"/>
    <cellStyle name="쉼표 2 3" xfId="5148" xr:uid="{00000000-0005-0000-0000-00001C140000}"/>
    <cellStyle name="쉼표 2 4" xfId="5149" xr:uid="{00000000-0005-0000-0000-00001D140000}"/>
    <cellStyle name="쉼표 2 5" xfId="5150" xr:uid="{00000000-0005-0000-0000-00001E140000}"/>
    <cellStyle name="쉼표 2 6" xfId="5151" xr:uid="{00000000-0005-0000-0000-00001F140000}"/>
    <cellStyle name="쉼표 3" xfId="5152" xr:uid="{00000000-0005-0000-0000-000020140000}"/>
    <cellStyle name="쉼표 4" xfId="5153" xr:uid="{00000000-0005-0000-0000-000021140000}"/>
    <cellStyle name="쉼표 5" xfId="5154" xr:uid="{00000000-0005-0000-0000-000022140000}"/>
    <cellStyle name="쉼표 6" xfId="5155" xr:uid="{00000000-0005-0000-0000-000023140000}"/>
    <cellStyle name="쉼표 6 2" xfId="5156" xr:uid="{00000000-0005-0000-0000-000024140000}"/>
    <cellStyle name="쉼표 7" xfId="5157" xr:uid="{00000000-0005-0000-0000-000025140000}"/>
    <cellStyle name="쉼표 8" xfId="5158" xr:uid="{00000000-0005-0000-0000-000026140000}"/>
    <cellStyle name="스타일 1" xfId="4" xr:uid="{00000000-0005-0000-0000-000027140000}"/>
    <cellStyle name="스타일 1 2" xfId="5159" xr:uid="{00000000-0005-0000-0000-000028140000}"/>
    <cellStyle name="스타일 1 3" xfId="5160" xr:uid="{00000000-0005-0000-0000-000029140000}"/>
    <cellStyle name="스타일 1 4" xfId="5161" xr:uid="{00000000-0005-0000-0000-00002A140000}"/>
    <cellStyle name="스타일 1 5" xfId="5162" xr:uid="{00000000-0005-0000-0000-00002B140000}"/>
    <cellStyle name="스타일 10" xfId="5163" xr:uid="{00000000-0005-0000-0000-00002C140000}"/>
    <cellStyle name="스타일 100" xfId="5164" xr:uid="{00000000-0005-0000-0000-00002D140000}"/>
    <cellStyle name="스타일 101" xfId="5165" xr:uid="{00000000-0005-0000-0000-00002E140000}"/>
    <cellStyle name="스타일 102" xfId="5166" xr:uid="{00000000-0005-0000-0000-00002F140000}"/>
    <cellStyle name="스타일 103" xfId="5167" xr:uid="{00000000-0005-0000-0000-000030140000}"/>
    <cellStyle name="스타일 104" xfId="5168" xr:uid="{00000000-0005-0000-0000-000031140000}"/>
    <cellStyle name="스타일 105" xfId="5169" xr:uid="{00000000-0005-0000-0000-000032140000}"/>
    <cellStyle name="스타일 106" xfId="5170" xr:uid="{00000000-0005-0000-0000-000033140000}"/>
    <cellStyle name="스타일 107" xfId="5171" xr:uid="{00000000-0005-0000-0000-000034140000}"/>
    <cellStyle name="스타일 108" xfId="5172" xr:uid="{00000000-0005-0000-0000-000035140000}"/>
    <cellStyle name="스타일 109" xfId="5173" xr:uid="{00000000-0005-0000-0000-000036140000}"/>
    <cellStyle name="스타일 11" xfId="5174" xr:uid="{00000000-0005-0000-0000-000037140000}"/>
    <cellStyle name="스타일 110" xfId="5175" xr:uid="{00000000-0005-0000-0000-000038140000}"/>
    <cellStyle name="스타일 111" xfId="5176" xr:uid="{00000000-0005-0000-0000-000039140000}"/>
    <cellStyle name="스타일 112" xfId="5177" xr:uid="{00000000-0005-0000-0000-00003A140000}"/>
    <cellStyle name="스타일 113" xfId="5178" xr:uid="{00000000-0005-0000-0000-00003B140000}"/>
    <cellStyle name="스타일 114" xfId="5179" xr:uid="{00000000-0005-0000-0000-00003C140000}"/>
    <cellStyle name="스타일 115" xfId="5180" xr:uid="{00000000-0005-0000-0000-00003D140000}"/>
    <cellStyle name="스타일 116" xfId="5181" xr:uid="{00000000-0005-0000-0000-00003E140000}"/>
    <cellStyle name="스타일 117" xfId="5182" xr:uid="{00000000-0005-0000-0000-00003F140000}"/>
    <cellStyle name="스타일 118" xfId="5183" xr:uid="{00000000-0005-0000-0000-000040140000}"/>
    <cellStyle name="스타일 119" xfId="5184" xr:uid="{00000000-0005-0000-0000-000041140000}"/>
    <cellStyle name="스타일 12" xfId="5185" xr:uid="{00000000-0005-0000-0000-000042140000}"/>
    <cellStyle name="스타일 120" xfId="5186" xr:uid="{00000000-0005-0000-0000-000043140000}"/>
    <cellStyle name="스타일 121" xfId="5187" xr:uid="{00000000-0005-0000-0000-000044140000}"/>
    <cellStyle name="스타일 122" xfId="5188" xr:uid="{00000000-0005-0000-0000-000045140000}"/>
    <cellStyle name="스타일 123" xfId="5189" xr:uid="{00000000-0005-0000-0000-000046140000}"/>
    <cellStyle name="스타일 124" xfId="5190" xr:uid="{00000000-0005-0000-0000-000047140000}"/>
    <cellStyle name="스타일 125" xfId="5191" xr:uid="{00000000-0005-0000-0000-000048140000}"/>
    <cellStyle name="스타일 126" xfId="5192" xr:uid="{00000000-0005-0000-0000-000049140000}"/>
    <cellStyle name="스타일 127" xfId="5193" xr:uid="{00000000-0005-0000-0000-00004A140000}"/>
    <cellStyle name="스타일 128" xfId="5194" xr:uid="{00000000-0005-0000-0000-00004B140000}"/>
    <cellStyle name="스타일 129" xfId="5195" xr:uid="{00000000-0005-0000-0000-00004C140000}"/>
    <cellStyle name="스타일 13" xfId="5196" xr:uid="{00000000-0005-0000-0000-00004D140000}"/>
    <cellStyle name="스타일 130" xfId="5197" xr:uid="{00000000-0005-0000-0000-00004E140000}"/>
    <cellStyle name="스타일 131" xfId="5198" xr:uid="{00000000-0005-0000-0000-00004F140000}"/>
    <cellStyle name="스타일 132" xfId="5199" xr:uid="{00000000-0005-0000-0000-000050140000}"/>
    <cellStyle name="스타일 133" xfId="5200" xr:uid="{00000000-0005-0000-0000-000051140000}"/>
    <cellStyle name="스타일 134" xfId="5201" xr:uid="{00000000-0005-0000-0000-000052140000}"/>
    <cellStyle name="스타일 135" xfId="5202" xr:uid="{00000000-0005-0000-0000-000053140000}"/>
    <cellStyle name="스타일 136" xfId="5203" xr:uid="{00000000-0005-0000-0000-000054140000}"/>
    <cellStyle name="스타일 137" xfId="5204" xr:uid="{00000000-0005-0000-0000-000055140000}"/>
    <cellStyle name="스타일 138" xfId="5205" xr:uid="{00000000-0005-0000-0000-000056140000}"/>
    <cellStyle name="스타일 139" xfId="5206" xr:uid="{00000000-0005-0000-0000-000057140000}"/>
    <cellStyle name="스타일 14" xfId="5207" xr:uid="{00000000-0005-0000-0000-000058140000}"/>
    <cellStyle name="스타일 140" xfId="5208" xr:uid="{00000000-0005-0000-0000-000059140000}"/>
    <cellStyle name="스타일 141" xfId="5209" xr:uid="{00000000-0005-0000-0000-00005A140000}"/>
    <cellStyle name="스타일 142" xfId="5210" xr:uid="{00000000-0005-0000-0000-00005B140000}"/>
    <cellStyle name="스타일 15" xfId="5211" xr:uid="{00000000-0005-0000-0000-00005C140000}"/>
    <cellStyle name="스타일 16" xfId="5212" xr:uid="{00000000-0005-0000-0000-00005D140000}"/>
    <cellStyle name="스타일 17" xfId="5213" xr:uid="{00000000-0005-0000-0000-00005E140000}"/>
    <cellStyle name="스타일 18" xfId="5214" xr:uid="{00000000-0005-0000-0000-00005F140000}"/>
    <cellStyle name="스타일 19" xfId="5215" xr:uid="{00000000-0005-0000-0000-000060140000}"/>
    <cellStyle name="스타일 2" xfId="5216" xr:uid="{00000000-0005-0000-0000-000061140000}"/>
    <cellStyle name="스타일 20" xfId="5217" xr:uid="{00000000-0005-0000-0000-000062140000}"/>
    <cellStyle name="스타일 21" xfId="5218" xr:uid="{00000000-0005-0000-0000-000063140000}"/>
    <cellStyle name="스타일 22" xfId="5219" xr:uid="{00000000-0005-0000-0000-000064140000}"/>
    <cellStyle name="스타일 23" xfId="5220" xr:uid="{00000000-0005-0000-0000-000065140000}"/>
    <cellStyle name="스타일 24" xfId="5221" xr:uid="{00000000-0005-0000-0000-000066140000}"/>
    <cellStyle name="스타일 25" xfId="5222" xr:uid="{00000000-0005-0000-0000-000067140000}"/>
    <cellStyle name="스타일 26" xfId="5223" xr:uid="{00000000-0005-0000-0000-000068140000}"/>
    <cellStyle name="스타일 27" xfId="5224" xr:uid="{00000000-0005-0000-0000-000069140000}"/>
    <cellStyle name="스타일 28" xfId="5225" xr:uid="{00000000-0005-0000-0000-00006A140000}"/>
    <cellStyle name="스타일 29" xfId="5226" xr:uid="{00000000-0005-0000-0000-00006B140000}"/>
    <cellStyle name="스타일 3" xfId="5227" xr:uid="{00000000-0005-0000-0000-00006C140000}"/>
    <cellStyle name="스타일 30" xfId="5228" xr:uid="{00000000-0005-0000-0000-00006D140000}"/>
    <cellStyle name="스타일 31" xfId="5229" xr:uid="{00000000-0005-0000-0000-00006E140000}"/>
    <cellStyle name="스타일 32" xfId="5230" xr:uid="{00000000-0005-0000-0000-00006F140000}"/>
    <cellStyle name="스타일 33" xfId="5231" xr:uid="{00000000-0005-0000-0000-000070140000}"/>
    <cellStyle name="스타일 34" xfId="5232" xr:uid="{00000000-0005-0000-0000-000071140000}"/>
    <cellStyle name="스타일 35" xfId="5233" xr:uid="{00000000-0005-0000-0000-000072140000}"/>
    <cellStyle name="스타일 36" xfId="5234" xr:uid="{00000000-0005-0000-0000-000073140000}"/>
    <cellStyle name="스타일 37" xfId="5235" xr:uid="{00000000-0005-0000-0000-000074140000}"/>
    <cellStyle name="스타일 38" xfId="5236" xr:uid="{00000000-0005-0000-0000-000075140000}"/>
    <cellStyle name="스타일 39" xfId="5237" xr:uid="{00000000-0005-0000-0000-000076140000}"/>
    <cellStyle name="스타일 4" xfId="5238" xr:uid="{00000000-0005-0000-0000-000077140000}"/>
    <cellStyle name="스타일 40" xfId="5239" xr:uid="{00000000-0005-0000-0000-000078140000}"/>
    <cellStyle name="스타일 41" xfId="5240" xr:uid="{00000000-0005-0000-0000-000079140000}"/>
    <cellStyle name="스타일 42" xfId="5241" xr:uid="{00000000-0005-0000-0000-00007A140000}"/>
    <cellStyle name="스타일 43" xfId="5242" xr:uid="{00000000-0005-0000-0000-00007B140000}"/>
    <cellStyle name="스타일 44" xfId="5243" xr:uid="{00000000-0005-0000-0000-00007C140000}"/>
    <cellStyle name="스타일 45" xfId="5244" xr:uid="{00000000-0005-0000-0000-00007D140000}"/>
    <cellStyle name="스타일 46" xfId="5245" xr:uid="{00000000-0005-0000-0000-00007E140000}"/>
    <cellStyle name="스타일 47" xfId="5246" xr:uid="{00000000-0005-0000-0000-00007F140000}"/>
    <cellStyle name="스타일 48" xfId="5247" xr:uid="{00000000-0005-0000-0000-000080140000}"/>
    <cellStyle name="스타일 49" xfId="5248" xr:uid="{00000000-0005-0000-0000-000081140000}"/>
    <cellStyle name="스타일 5" xfId="5249" xr:uid="{00000000-0005-0000-0000-000082140000}"/>
    <cellStyle name="스타일 50" xfId="5250" xr:uid="{00000000-0005-0000-0000-000083140000}"/>
    <cellStyle name="스타일 51" xfId="5251" xr:uid="{00000000-0005-0000-0000-000084140000}"/>
    <cellStyle name="스타일 52" xfId="5252" xr:uid="{00000000-0005-0000-0000-000085140000}"/>
    <cellStyle name="스타일 53" xfId="5253" xr:uid="{00000000-0005-0000-0000-000086140000}"/>
    <cellStyle name="스타일 54" xfId="5254" xr:uid="{00000000-0005-0000-0000-000087140000}"/>
    <cellStyle name="스타일 55" xfId="5255" xr:uid="{00000000-0005-0000-0000-000088140000}"/>
    <cellStyle name="스타일 56" xfId="5256" xr:uid="{00000000-0005-0000-0000-000089140000}"/>
    <cellStyle name="스타일 57" xfId="5257" xr:uid="{00000000-0005-0000-0000-00008A140000}"/>
    <cellStyle name="스타일 58" xfId="5258" xr:uid="{00000000-0005-0000-0000-00008B140000}"/>
    <cellStyle name="스타일 59" xfId="5259" xr:uid="{00000000-0005-0000-0000-00008C140000}"/>
    <cellStyle name="스타일 6" xfId="5260" xr:uid="{00000000-0005-0000-0000-00008D140000}"/>
    <cellStyle name="스타일 60" xfId="5261" xr:uid="{00000000-0005-0000-0000-00008E140000}"/>
    <cellStyle name="스타일 61" xfId="5262" xr:uid="{00000000-0005-0000-0000-00008F140000}"/>
    <cellStyle name="스타일 62" xfId="5263" xr:uid="{00000000-0005-0000-0000-000090140000}"/>
    <cellStyle name="스타일 63" xfId="5264" xr:uid="{00000000-0005-0000-0000-000091140000}"/>
    <cellStyle name="스타일 64" xfId="5265" xr:uid="{00000000-0005-0000-0000-000092140000}"/>
    <cellStyle name="스타일 65" xfId="5266" xr:uid="{00000000-0005-0000-0000-000093140000}"/>
    <cellStyle name="스타일 66" xfId="5267" xr:uid="{00000000-0005-0000-0000-000094140000}"/>
    <cellStyle name="스타일 67" xfId="5268" xr:uid="{00000000-0005-0000-0000-000095140000}"/>
    <cellStyle name="스타일 68" xfId="5269" xr:uid="{00000000-0005-0000-0000-000096140000}"/>
    <cellStyle name="스타일 69" xfId="5270" xr:uid="{00000000-0005-0000-0000-000097140000}"/>
    <cellStyle name="스타일 7" xfId="5271" xr:uid="{00000000-0005-0000-0000-000098140000}"/>
    <cellStyle name="스타일 70" xfId="5272" xr:uid="{00000000-0005-0000-0000-000099140000}"/>
    <cellStyle name="스타일 71" xfId="5273" xr:uid="{00000000-0005-0000-0000-00009A140000}"/>
    <cellStyle name="스타일 72" xfId="5274" xr:uid="{00000000-0005-0000-0000-00009B140000}"/>
    <cellStyle name="스타일 73" xfId="5275" xr:uid="{00000000-0005-0000-0000-00009C140000}"/>
    <cellStyle name="스타일 74" xfId="5276" xr:uid="{00000000-0005-0000-0000-00009D140000}"/>
    <cellStyle name="스타일 75" xfId="5277" xr:uid="{00000000-0005-0000-0000-00009E140000}"/>
    <cellStyle name="스타일 76" xfId="5278" xr:uid="{00000000-0005-0000-0000-00009F140000}"/>
    <cellStyle name="스타일 77" xfId="5279" xr:uid="{00000000-0005-0000-0000-0000A0140000}"/>
    <cellStyle name="스타일 78" xfId="5280" xr:uid="{00000000-0005-0000-0000-0000A1140000}"/>
    <cellStyle name="스타일 79" xfId="5281" xr:uid="{00000000-0005-0000-0000-0000A2140000}"/>
    <cellStyle name="스타일 8" xfId="5282" xr:uid="{00000000-0005-0000-0000-0000A3140000}"/>
    <cellStyle name="스타일 80" xfId="5283" xr:uid="{00000000-0005-0000-0000-0000A4140000}"/>
    <cellStyle name="스타일 81" xfId="5284" xr:uid="{00000000-0005-0000-0000-0000A5140000}"/>
    <cellStyle name="스타일 82" xfId="5285" xr:uid="{00000000-0005-0000-0000-0000A6140000}"/>
    <cellStyle name="스타일 83" xfId="5286" xr:uid="{00000000-0005-0000-0000-0000A7140000}"/>
    <cellStyle name="스타일 84" xfId="5287" xr:uid="{00000000-0005-0000-0000-0000A8140000}"/>
    <cellStyle name="스타일 85" xfId="5288" xr:uid="{00000000-0005-0000-0000-0000A9140000}"/>
    <cellStyle name="스타일 86" xfId="5289" xr:uid="{00000000-0005-0000-0000-0000AA140000}"/>
    <cellStyle name="스타일 87" xfId="5290" xr:uid="{00000000-0005-0000-0000-0000AB140000}"/>
    <cellStyle name="스타일 88" xfId="5291" xr:uid="{00000000-0005-0000-0000-0000AC140000}"/>
    <cellStyle name="스타일 89" xfId="5292" xr:uid="{00000000-0005-0000-0000-0000AD140000}"/>
    <cellStyle name="스타일 9" xfId="5293" xr:uid="{00000000-0005-0000-0000-0000AE140000}"/>
    <cellStyle name="스타일 90" xfId="5294" xr:uid="{00000000-0005-0000-0000-0000AF140000}"/>
    <cellStyle name="스타일 91" xfId="5295" xr:uid="{00000000-0005-0000-0000-0000B0140000}"/>
    <cellStyle name="스타일 92" xfId="5296" xr:uid="{00000000-0005-0000-0000-0000B1140000}"/>
    <cellStyle name="스타일 93" xfId="5297" xr:uid="{00000000-0005-0000-0000-0000B2140000}"/>
    <cellStyle name="스타일 94" xfId="5298" xr:uid="{00000000-0005-0000-0000-0000B3140000}"/>
    <cellStyle name="스타일 95" xfId="5299" xr:uid="{00000000-0005-0000-0000-0000B4140000}"/>
    <cellStyle name="스타일 96" xfId="5300" xr:uid="{00000000-0005-0000-0000-0000B5140000}"/>
    <cellStyle name="스타일 97" xfId="5301" xr:uid="{00000000-0005-0000-0000-0000B6140000}"/>
    <cellStyle name="스타일 98" xfId="5302" xr:uid="{00000000-0005-0000-0000-0000B7140000}"/>
    <cellStyle name="스타일 99" xfId="5303" xr:uid="{00000000-0005-0000-0000-0000B8140000}"/>
    <cellStyle name="씬곁활컝뱅픫" xfId="5304" xr:uid="{00000000-0005-0000-0000-0000B9140000}"/>
    <cellStyle name="悪い" xfId="5305" xr:uid="{00000000-0005-0000-0000-0000BA140000}"/>
    <cellStyle name="안건회계법인" xfId="5306" xr:uid="{00000000-0005-0000-0000-0000BB140000}"/>
    <cellStyle name="연결된 셀 10" xfId="5307" xr:uid="{00000000-0005-0000-0000-0000BC140000}"/>
    <cellStyle name="연결된 셀 11" xfId="5308" xr:uid="{00000000-0005-0000-0000-0000BD140000}"/>
    <cellStyle name="연결된 셀 12" xfId="5309" xr:uid="{00000000-0005-0000-0000-0000BE140000}"/>
    <cellStyle name="연결된 셀 13" xfId="5310" xr:uid="{00000000-0005-0000-0000-0000BF140000}"/>
    <cellStyle name="연결된 셀 14" xfId="5311" xr:uid="{00000000-0005-0000-0000-0000C0140000}"/>
    <cellStyle name="연결된 셀 15" xfId="5312" xr:uid="{00000000-0005-0000-0000-0000C1140000}"/>
    <cellStyle name="연결된 셀 16" xfId="5313" xr:uid="{00000000-0005-0000-0000-0000C2140000}"/>
    <cellStyle name="연결된 셀 17" xfId="5314" xr:uid="{00000000-0005-0000-0000-0000C3140000}"/>
    <cellStyle name="연결된 셀 18" xfId="5315" xr:uid="{00000000-0005-0000-0000-0000C4140000}"/>
    <cellStyle name="연결된 셀 19" xfId="5316" xr:uid="{00000000-0005-0000-0000-0000C5140000}"/>
    <cellStyle name="연결된 셀 2" xfId="5317" xr:uid="{00000000-0005-0000-0000-0000C6140000}"/>
    <cellStyle name="연결된 셀 2 10" xfId="5318" xr:uid="{00000000-0005-0000-0000-0000C7140000}"/>
    <cellStyle name="연결된 셀 2 11" xfId="5319" xr:uid="{00000000-0005-0000-0000-0000C8140000}"/>
    <cellStyle name="연결된 셀 2 12" xfId="5320" xr:uid="{00000000-0005-0000-0000-0000C9140000}"/>
    <cellStyle name="연결된 셀 2 13" xfId="5321" xr:uid="{00000000-0005-0000-0000-0000CA140000}"/>
    <cellStyle name="연결된 셀 2 14" xfId="5322" xr:uid="{00000000-0005-0000-0000-0000CB140000}"/>
    <cellStyle name="연결된 셀 2 15" xfId="5323" xr:uid="{00000000-0005-0000-0000-0000CC140000}"/>
    <cellStyle name="연결된 셀 2 16" xfId="5324" xr:uid="{00000000-0005-0000-0000-0000CD140000}"/>
    <cellStyle name="연결된 셀 2 17" xfId="5325" xr:uid="{00000000-0005-0000-0000-0000CE140000}"/>
    <cellStyle name="연결된 셀 2 18" xfId="5326" xr:uid="{00000000-0005-0000-0000-0000CF140000}"/>
    <cellStyle name="연결된 셀 2 19" xfId="5327" xr:uid="{00000000-0005-0000-0000-0000D0140000}"/>
    <cellStyle name="연결된 셀 2 2" xfId="5328" xr:uid="{00000000-0005-0000-0000-0000D1140000}"/>
    <cellStyle name="연결된 셀 2 2 10" xfId="5329" xr:uid="{00000000-0005-0000-0000-0000D2140000}"/>
    <cellStyle name="연결된 셀 2 2 11" xfId="5330" xr:uid="{00000000-0005-0000-0000-0000D3140000}"/>
    <cellStyle name="연결된 셀 2 2 12" xfId="5331" xr:uid="{00000000-0005-0000-0000-0000D4140000}"/>
    <cellStyle name="연결된 셀 2 2 13" xfId="5332" xr:uid="{00000000-0005-0000-0000-0000D5140000}"/>
    <cellStyle name="연결된 셀 2 2 14" xfId="5333" xr:uid="{00000000-0005-0000-0000-0000D6140000}"/>
    <cellStyle name="연결된 셀 2 2 2" xfId="5334" xr:uid="{00000000-0005-0000-0000-0000D7140000}"/>
    <cellStyle name="연결된 셀 2 2 3" xfId="5335" xr:uid="{00000000-0005-0000-0000-0000D8140000}"/>
    <cellStyle name="연결된 셀 2 2 4" xfId="5336" xr:uid="{00000000-0005-0000-0000-0000D9140000}"/>
    <cellStyle name="연결된 셀 2 2 5" xfId="5337" xr:uid="{00000000-0005-0000-0000-0000DA140000}"/>
    <cellStyle name="연결된 셀 2 2 6" xfId="5338" xr:uid="{00000000-0005-0000-0000-0000DB140000}"/>
    <cellStyle name="연결된 셀 2 2 7" xfId="5339" xr:uid="{00000000-0005-0000-0000-0000DC140000}"/>
    <cellStyle name="연결된 셀 2 2 8" xfId="5340" xr:uid="{00000000-0005-0000-0000-0000DD140000}"/>
    <cellStyle name="연결된 셀 2 2 9" xfId="5341" xr:uid="{00000000-0005-0000-0000-0000DE140000}"/>
    <cellStyle name="연결된 셀 2 20" xfId="5342" xr:uid="{00000000-0005-0000-0000-0000DF140000}"/>
    <cellStyle name="연결된 셀 2 21" xfId="5343" xr:uid="{00000000-0005-0000-0000-0000E0140000}"/>
    <cellStyle name="연결된 셀 2 22" xfId="5344" xr:uid="{00000000-0005-0000-0000-0000E1140000}"/>
    <cellStyle name="연결된 셀 2 23" xfId="5345" xr:uid="{00000000-0005-0000-0000-0000E2140000}"/>
    <cellStyle name="연결된 셀 2 24" xfId="5346" xr:uid="{00000000-0005-0000-0000-0000E3140000}"/>
    <cellStyle name="연결된 셀 2 3" xfId="5347" xr:uid="{00000000-0005-0000-0000-0000E4140000}"/>
    <cellStyle name="연결된 셀 2 4" xfId="5348" xr:uid="{00000000-0005-0000-0000-0000E5140000}"/>
    <cellStyle name="연결된 셀 2 5" xfId="5349" xr:uid="{00000000-0005-0000-0000-0000E6140000}"/>
    <cellStyle name="연결된 셀 2 6" xfId="5350" xr:uid="{00000000-0005-0000-0000-0000E7140000}"/>
    <cellStyle name="연결된 셀 2 7" xfId="5351" xr:uid="{00000000-0005-0000-0000-0000E8140000}"/>
    <cellStyle name="연결된 셀 2 8" xfId="5352" xr:uid="{00000000-0005-0000-0000-0000E9140000}"/>
    <cellStyle name="연결된 셀 2 9" xfId="5353" xr:uid="{00000000-0005-0000-0000-0000EA140000}"/>
    <cellStyle name="연결된 셀 20" xfId="5354" xr:uid="{00000000-0005-0000-0000-0000EB140000}"/>
    <cellStyle name="연결된 셀 21" xfId="5355" xr:uid="{00000000-0005-0000-0000-0000EC140000}"/>
    <cellStyle name="연결된 셀 22" xfId="5356" xr:uid="{00000000-0005-0000-0000-0000ED140000}"/>
    <cellStyle name="연결된 셀 23" xfId="5357" xr:uid="{00000000-0005-0000-0000-0000EE140000}"/>
    <cellStyle name="연결된 셀 24" xfId="5358" xr:uid="{00000000-0005-0000-0000-0000EF140000}"/>
    <cellStyle name="연결된 셀 3" xfId="5359" xr:uid="{00000000-0005-0000-0000-0000F0140000}"/>
    <cellStyle name="연결된 셀 3 10" xfId="5360" xr:uid="{00000000-0005-0000-0000-0000F1140000}"/>
    <cellStyle name="연결된 셀 3 11" xfId="5361" xr:uid="{00000000-0005-0000-0000-0000F2140000}"/>
    <cellStyle name="연결된 셀 3 12" xfId="5362" xr:uid="{00000000-0005-0000-0000-0000F3140000}"/>
    <cellStyle name="연결된 셀 3 13" xfId="5363" xr:uid="{00000000-0005-0000-0000-0000F4140000}"/>
    <cellStyle name="연결된 셀 3 14" xfId="5364" xr:uid="{00000000-0005-0000-0000-0000F5140000}"/>
    <cellStyle name="연결된 셀 3 2" xfId="5365" xr:uid="{00000000-0005-0000-0000-0000F6140000}"/>
    <cellStyle name="연결된 셀 3 3" xfId="5366" xr:uid="{00000000-0005-0000-0000-0000F7140000}"/>
    <cellStyle name="연결된 셀 3 4" xfId="5367" xr:uid="{00000000-0005-0000-0000-0000F8140000}"/>
    <cellStyle name="연결된 셀 3 5" xfId="5368" xr:uid="{00000000-0005-0000-0000-0000F9140000}"/>
    <cellStyle name="연결된 셀 3 6" xfId="5369" xr:uid="{00000000-0005-0000-0000-0000FA140000}"/>
    <cellStyle name="연결된 셀 3 7" xfId="5370" xr:uid="{00000000-0005-0000-0000-0000FB140000}"/>
    <cellStyle name="연결된 셀 3 8" xfId="5371" xr:uid="{00000000-0005-0000-0000-0000FC140000}"/>
    <cellStyle name="연결된 셀 3 9" xfId="5372" xr:uid="{00000000-0005-0000-0000-0000FD140000}"/>
    <cellStyle name="연결된 셀 4" xfId="5373" xr:uid="{00000000-0005-0000-0000-0000FE140000}"/>
    <cellStyle name="연결된 셀 5" xfId="5374" xr:uid="{00000000-0005-0000-0000-0000FF140000}"/>
    <cellStyle name="연결된 셀 6" xfId="5375" xr:uid="{00000000-0005-0000-0000-000000150000}"/>
    <cellStyle name="연결된 셀 7" xfId="5376" xr:uid="{00000000-0005-0000-0000-000001150000}"/>
    <cellStyle name="연결된 셀 8" xfId="5377" xr:uid="{00000000-0005-0000-0000-000002150000}"/>
    <cellStyle name="연결된 셀 9" xfId="5378" xr:uid="{00000000-0005-0000-0000-000003150000}"/>
    <cellStyle name="열어본 하이퍼링크" xfId="5379" xr:uid="{00000000-0005-0000-0000-000004150000}"/>
    <cellStyle name="外 貨  借 入" xfId="5380" xr:uid="{00000000-0005-0000-0000-000005150000}"/>
    <cellStyle name="요약 10" xfId="5381" xr:uid="{00000000-0005-0000-0000-000006150000}"/>
    <cellStyle name="요약 11" xfId="5382" xr:uid="{00000000-0005-0000-0000-000007150000}"/>
    <cellStyle name="요약 12" xfId="5383" xr:uid="{00000000-0005-0000-0000-000008150000}"/>
    <cellStyle name="요약 13" xfId="5384" xr:uid="{00000000-0005-0000-0000-000009150000}"/>
    <cellStyle name="요약 14" xfId="5385" xr:uid="{00000000-0005-0000-0000-00000A150000}"/>
    <cellStyle name="요약 15" xfId="5386" xr:uid="{00000000-0005-0000-0000-00000B150000}"/>
    <cellStyle name="요약 16" xfId="5387" xr:uid="{00000000-0005-0000-0000-00000C150000}"/>
    <cellStyle name="요약 17" xfId="5388" xr:uid="{00000000-0005-0000-0000-00000D150000}"/>
    <cellStyle name="요약 18" xfId="5389" xr:uid="{00000000-0005-0000-0000-00000E150000}"/>
    <cellStyle name="요약 19" xfId="5390" xr:uid="{00000000-0005-0000-0000-00000F150000}"/>
    <cellStyle name="요약 2" xfId="5391" xr:uid="{00000000-0005-0000-0000-000010150000}"/>
    <cellStyle name="요약 2 10" xfId="5392" xr:uid="{00000000-0005-0000-0000-000011150000}"/>
    <cellStyle name="요약 2 11" xfId="5393" xr:uid="{00000000-0005-0000-0000-000012150000}"/>
    <cellStyle name="요약 2 12" xfId="5394" xr:uid="{00000000-0005-0000-0000-000013150000}"/>
    <cellStyle name="요약 2 13" xfId="5395" xr:uid="{00000000-0005-0000-0000-000014150000}"/>
    <cellStyle name="요약 2 14" xfId="5396" xr:uid="{00000000-0005-0000-0000-000015150000}"/>
    <cellStyle name="요약 2 15" xfId="5397" xr:uid="{00000000-0005-0000-0000-000016150000}"/>
    <cellStyle name="요약 2 16" xfId="5398" xr:uid="{00000000-0005-0000-0000-000017150000}"/>
    <cellStyle name="요약 2 17" xfId="5399" xr:uid="{00000000-0005-0000-0000-000018150000}"/>
    <cellStyle name="요약 2 18" xfId="5400" xr:uid="{00000000-0005-0000-0000-000019150000}"/>
    <cellStyle name="요약 2 19" xfId="5401" xr:uid="{00000000-0005-0000-0000-00001A150000}"/>
    <cellStyle name="요약 2 2" xfId="5402" xr:uid="{00000000-0005-0000-0000-00001B150000}"/>
    <cellStyle name="요약 2 2 10" xfId="5403" xr:uid="{00000000-0005-0000-0000-00001C150000}"/>
    <cellStyle name="요약 2 2 11" xfId="5404" xr:uid="{00000000-0005-0000-0000-00001D150000}"/>
    <cellStyle name="요약 2 2 12" xfId="5405" xr:uid="{00000000-0005-0000-0000-00001E150000}"/>
    <cellStyle name="요약 2 2 13" xfId="5406" xr:uid="{00000000-0005-0000-0000-00001F150000}"/>
    <cellStyle name="요약 2 2 14" xfId="5407" xr:uid="{00000000-0005-0000-0000-000020150000}"/>
    <cellStyle name="요약 2 2 2" xfId="5408" xr:uid="{00000000-0005-0000-0000-000021150000}"/>
    <cellStyle name="요약 2 2 3" xfId="5409" xr:uid="{00000000-0005-0000-0000-000022150000}"/>
    <cellStyle name="요약 2 2 4" xfId="5410" xr:uid="{00000000-0005-0000-0000-000023150000}"/>
    <cellStyle name="요약 2 2 5" xfId="5411" xr:uid="{00000000-0005-0000-0000-000024150000}"/>
    <cellStyle name="요약 2 2 6" xfId="5412" xr:uid="{00000000-0005-0000-0000-000025150000}"/>
    <cellStyle name="요약 2 2 7" xfId="5413" xr:uid="{00000000-0005-0000-0000-000026150000}"/>
    <cellStyle name="요약 2 2 8" xfId="5414" xr:uid="{00000000-0005-0000-0000-000027150000}"/>
    <cellStyle name="요약 2 2 9" xfId="5415" xr:uid="{00000000-0005-0000-0000-000028150000}"/>
    <cellStyle name="요약 2 20" xfId="5416" xr:uid="{00000000-0005-0000-0000-000029150000}"/>
    <cellStyle name="요약 2 21" xfId="5417" xr:uid="{00000000-0005-0000-0000-00002A150000}"/>
    <cellStyle name="요약 2 22" xfId="5418" xr:uid="{00000000-0005-0000-0000-00002B150000}"/>
    <cellStyle name="요약 2 23" xfId="5419" xr:uid="{00000000-0005-0000-0000-00002C150000}"/>
    <cellStyle name="요약 2 24" xfId="5420" xr:uid="{00000000-0005-0000-0000-00002D150000}"/>
    <cellStyle name="요약 2 3" xfId="5421" xr:uid="{00000000-0005-0000-0000-00002E150000}"/>
    <cellStyle name="요약 2 4" xfId="5422" xr:uid="{00000000-0005-0000-0000-00002F150000}"/>
    <cellStyle name="요약 2 5" xfId="5423" xr:uid="{00000000-0005-0000-0000-000030150000}"/>
    <cellStyle name="요약 2 6" xfId="5424" xr:uid="{00000000-0005-0000-0000-000031150000}"/>
    <cellStyle name="요약 2 7" xfId="5425" xr:uid="{00000000-0005-0000-0000-000032150000}"/>
    <cellStyle name="요약 2 8" xfId="5426" xr:uid="{00000000-0005-0000-0000-000033150000}"/>
    <cellStyle name="요약 2 9" xfId="5427" xr:uid="{00000000-0005-0000-0000-000034150000}"/>
    <cellStyle name="요약 20" xfId="5428" xr:uid="{00000000-0005-0000-0000-000035150000}"/>
    <cellStyle name="요약 21" xfId="5429" xr:uid="{00000000-0005-0000-0000-000036150000}"/>
    <cellStyle name="요약 22" xfId="5430" xr:uid="{00000000-0005-0000-0000-000037150000}"/>
    <cellStyle name="요약 23" xfId="5431" xr:uid="{00000000-0005-0000-0000-000038150000}"/>
    <cellStyle name="요약 24" xfId="5432" xr:uid="{00000000-0005-0000-0000-000039150000}"/>
    <cellStyle name="요약 3" xfId="5433" xr:uid="{00000000-0005-0000-0000-00003A150000}"/>
    <cellStyle name="요약 3 10" xfId="5434" xr:uid="{00000000-0005-0000-0000-00003B150000}"/>
    <cellStyle name="요약 3 11" xfId="5435" xr:uid="{00000000-0005-0000-0000-00003C150000}"/>
    <cellStyle name="요약 3 12" xfId="5436" xr:uid="{00000000-0005-0000-0000-00003D150000}"/>
    <cellStyle name="요약 3 13" xfId="5437" xr:uid="{00000000-0005-0000-0000-00003E150000}"/>
    <cellStyle name="요약 3 14" xfId="5438" xr:uid="{00000000-0005-0000-0000-00003F150000}"/>
    <cellStyle name="요약 3 2" xfId="5439" xr:uid="{00000000-0005-0000-0000-000040150000}"/>
    <cellStyle name="요약 3 3" xfId="5440" xr:uid="{00000000-0005-0000-0000-000041150000}"/>
    <cellStyle name="요약 3 4" xfId="5441" xr:uid="{00000000-0005-0000-0000-000042150000}"/>
    <cellStyle name="요약 3 5" xfId="5442" xr:uid="{00000000-0005-0000-0000-000043150000}"/>
    <cellStyle name="요약 3 6" xfId="5443" xr:uid="{00000000-0005-0000-0000-000044150000}"/>
    <cellStyle name="요약 3 7" xfId="5444" xr:uid="{00000000-0005-0000-0000-000045150000}"/>
    <cellStyle name="요약 3 8" xfId="5445" xr:uid="{00000000-0005-0000-0000-000046150000}"/>
    <cellStyle name="요약 3 9" xfId="5446" xr:uid="{00000000-0005-0000-0000-000047150000}"/>
    <cellStyle name="요약 4" xfId="5447" xr:uid="{00000000-0005-0000-0000-000048150000}"/>
    <cellStyle name="요약 5" xfId="5448" xr:uid="{00000000-0005-0000-0000-000049150000}"/>
    <cellStyle name="요약 6" xfId="5449" xr:uid="{00000000-0005-0000-0000-00004A150000}"/>
    <cellStyle name="요약 7" xfId="5450" xr:uid="{00000000-0005-0000-0000-00004B150000}"/>
    <cellStyle name="요약 8" xfId="5451" xr:uid="{00000000-0005-0000-0000-00004C150000}"/>
    <cellStyle name="요약 9" xfId="5452" xr:uid="{00000000-0005-0000-0000-00004D150000}"/>
    <cellStyle name="원" xfId="5453" xr:uid="{00000000-0005-0000-0000-00004E150000}"/>
    <cellStyle name="원_~7707568" xfId="5454" xr:uid="{00000000-0005-0000-0000-00004F150000}"/>
    <cellStyle name="원_02대여금" xfId="5455" xr:uid="{00000000-0005-0000-0000-000050150000}"/>
    <cellStyle name="원_02투자" xfId="5456" xr:uid="{00000000-0005-0000-0000-000051150000}"/>
    <cellStyle name="원_02투자및대여금종합" xfId="5457" xr:uid="{00000000-0005-0000-0000-000052150000}"/>
    <cellStyle name="원_0304분석-1" xfId="5458" xr:uid="{00000000-0005-0000-0000-000053150000}"/>
    <cellStyle name="원_03SOC팀20021025" xfId="5459" xr:uid="{00000000-0005-0000-0000-000054150000}"/>
    <cellStyle name="원_'03결재양식A4" xfId="5460" xr:uid="{00000000-0005-0000-0000-000055150000}"/>
    <cellStyle name="원_03자산실적(9월말기준)및 04년매각계획(회사전체)최종" xfId="5461" xr:uid="{00000000-0005-0000-0000-000056150000}"/>
    <cellStyle name="원_03투자종합" xfId="5462" xr:uid="{00000000-0005-0000-0000-000057150000}"/>
    <cellStyle name="원_03환경팀수주및투자계획" xfId="5463" xr:uid="{00000000-0005-0000-0000-000058150000}"/>
    <cellStyle name="원_'04년 매출원가정리(최종)" xfId="5464" xr:uid="{00000000-0005-0000-0000-000059150000}"/>
    <cellStyle name="원_'04년 입금계획 종합" xfId="5465" xr:uid="{00000000-0005-0000-0000-00005A150000}"/>
    <cellStyle name="원_04년 자산매각계획 및 입금(결재본)" xfId="5466" xr:uid="{00000000-0005-0000-0000-00005B150000}"/>
    <cellStyle name="원_04년 자산매각계획(결재본)" xfId="5467" xr:uid="{00000000-0005-0000-0000-00005C150000}"/>
    <cellStyle name="원_09성남" xfId="5468" xr:uid="{00000000-0005-0000-0000-00005D150000}"/>
    <cellStyle name="원_2002사업계획" xfId="5469" xr:uid="{00000000-0005-0000-0000-00005E150000}"/>
    <cellStyle name="원_2003사업계획" xfId="5470" xr:uid="{00000000-0005-0000-0000-00005F150000}"/>
    <cellStyle name="원_2003사업계획매출원가" xfId="5471" xr:uid="{00000000-0005-0000-0000-000060150000}"/>
    <cellStyle name="원_2003사업계획입금자료" xfId="5472" xr:uid="{00000000-0005-0000-0000-000061150000}"/>
    <cellStyle name="원_2003차입금예산" xfId="5473" xr:uid="{00000000-0005-0000-0000-000062150000}"/>
    <cellStyle name="원_2004계량부문" xfId="5474" xr:uid="{00000000-0005-0000-0000-000063150000}"/>
    <cellStyle name="원_2004년 사업계획 (운송원가)03년누계" xfId="5475" xr:uid="{00000000-0005-0000-0000-000064150000}"/>
    <cellStyle name="원_2004년 사업계획 (운송원가)1" xfId="5476" xr:uid="{00000000-0005-0000-0000-000065150000}"/>
    <cellStyle name="원_2004년 입금계획(개발)" xfId="5477" xr:uid="{00000000-0005-0000-0000-000066150000}"/>
    <cellStyle name="원_2004년 입금계획(건축)" xfId="5478" xr:uid="{00000000-0005-0000-0000-000067150000}"/>
    <cellStyle name="원_2004년 입금계획(주택대여금)" xfId="5479" xr:uid="{00000000-0005-0000-0000-000068150000}"/>
    <cellStyle name="원_2004년 입금계획(주택사업)" xfId="5480" xr:uid="{00000000-0005-0000-0000-000069150000}"/>
    <cellStyle name="원_2004년 입금계획(환경)" xfId="5481" xr:uid="{00000000-0005-0000-0000-00006A150000}"/>
    <cellStyle name="원_2004년사업계획(최종)" xfId="5482" xr:uid="{00000000-0005-0000-0000-00006B150000}"/>
    <cellStyle name="원_2005년결산명세서(세부명세)-내부용" xfId="5483" xr:uid="{00000000-0005-0000-0000-00006C150000}"/>
    <cellStyle name="원_31기32기" xfId="5484" xr:uid="{00000000-0005-0000-0000-00006D150000}"/>
    <cellStyle name="원_3800-300 감가상각비 Overall test" xfId="5485" xr:uid="{00000000-0005-0000-0000-00006E150000}"/>
    <cellStyle name="원_dimon" xfId="5486" xr:uid="{00000000-0005-0000-0000-00006F150000}"/>
    <cellStyle name="원_Lover" xfId="5487" xr:uid="{00000000-0005-0000-0000-000070150000}"/>
    <cellStyle name="원_NC125AA5A" xfId="5488" xr:uid="{00000000-0005-0000-0000-000071150000}"/>
    <cellStyle name="원_NC14E7869" xfId="5489" xr:uid="{00000000-0005-0000-0000-000072150000}"/>
    <cellStyle name="원_NC152E015C" xfId="5490" xr:uid="{00000000-0005-0000-0000-000073150000}"/>
    <cellStyle name="원_NC1539CF6E" xfId="5491" xr:uid="{00000000-0005-0000-0000-000074150000}"/>
    <cellStyle name="원_NC15C5AFF" xfId="5492" xr:uid="{00000000-0005-0000-0000-000075150000}"/>
    <cellStyle name="원_NC1910617" xfId="5493" xr:uid="{00000000-0005-0000-0000-000076150000}"/>
    <cellStyle name="원_NC22D3368" xfId="5494" xr:uid="{00000000-0005-0000-0000-000077150000}"/>
    <cellStyle name="원_NC23F4EE" xfId="5495" xr:uid="{00000000-0005-0000-0000-000078150000}"/>
    <cellStyle name="원_NC28AC271" xfId="5496" xr:uid="{00000000-0005-0000-0000-000079150000}"/>
    <cellStyle name="원_NC2BF36D" xfId="5497" xr:uid="{00000000-0005-0000-0000-00007A150000}"/>
    <cellStyle name="원_NC2BF36D_NC3938D70" xfId="5498" xr:uid="{00000000-0005-0000-0000-00007B150000}"/>
    <cellStyle name="원_NC2CE385" xfId="5499" xr:uid="{00000000-0005-0000-0000-00007C150000}"/>
    <cellStyle name="원_NC2CE385_2003사업계획입금자료" xfId="5500" xr:uid="{00000000-0005-0000-0000-00007D150000}"/>
    <cellStyle name="원_NC2ECD008" xfId="5501" xr:uid="{00000000-0005-0000-0000-00007E150000}"/>
    <cellStyle name="원_NC3EA7472" xfId="5502" xr:uid="{00000000-0005-0000-0000-00007F150000}"/>
    <cellStyle name="원_NC4231C" xfId="5503" xr:uid="{00000000-0005-0000-0000-000080150000}"/>
    <cellStyle name="원_NC4E0B9715" xfId="5504" xr:uid="{00000000-0005-0000-0000-000081150000}"/>
    <cellStyle name="원_NC75FB9" xfId="5505" xr:uid="{00000000-0005-0000-0000-000082150000}"/>
    <cellStyle name="원_NC775117" xfId="5506" xr:uid="{00000000-0005-0000-0000-000083150000}"/>
    <cellStyle name="원_NCD28590" xfId="5507" xr:uid="{00000000-0005-0000-0000-000084150000}"/>
    <cellStyle name="원_NCF6BB2F" xfId="5508" xr:uid="{00000000-0005-0000-0000-000085150000}"/>
    <cellStyle name="원_NCF6BB2F_(그룹)차입금 관련지표 051005" xfId="5509" xr:uid="{00000000-0005-0000-0000-000086150000}"/>
    <cellStyle name="원_NCF6BB2F_0304분석-1" xfId="5510" xr:uid="{00000000-0005-0000-0000-000087150000}"/>
    <cellStyle name="원_NCF6BB2F_04. 1.14" xfId="5511" xr:uid="{00000000-0005-0000-0000-000088150000}"/>
    <cellStyle name="원_NCF6BB2F_04.12.21" xfId="5512" xr:uid="{00000000-0005-0000-0000-000089150000}"/>
    <cellStyle name="원_NCF6BB2F_05.1.18재무(회장님수정)" xfId="5513" xr:uid="{00000000-0005-0000-0000-00008A150000}"/>
    <cellStyle name="원_NCF6BB2F_2003사업계획입금자료" xfId="5514" xr:uid="{00000000-0005-0000-0000-00008B150000}"/>
    <cellStyle name="원_NCF6BB2F_2004년사업계획(최종)" xfId="5515" xr:uid="{00000000-0005-0000-0000-00008C150000}"/>
    <cellStyle name="원_NCF6BB2F_4.세부양식" xfId="5516" xr:uid="{00000000-0005-0000-0000-00008D150000}"/>
    <cellStyle name="원_NCF6BB2F_NC104743E2" xfId="5517" xr:uid="{00000000-0005-0000-0000-00008E150000}"/>
    <cellStyle name="원_NCF6BB2F_NC1E7378D" xfId="5518" xr:uid="{00000000-0005-0000-0000-00008F150000}"/>
    <cellStyle name="원_NCF6BB2F_NC4CA604" xfId="5519" xr:uid="{00000000-0005-0000-0000-000090150000}"/>
    <cellStyle name="원_NCF6BB2F_공표손익차이분석화학020304" xfId="5520" xr:uid="{00000000-0005-0000-0000-000091150000}"/>
    <cellStyle name="원_NCF6BB2F_공표손익차이분석화학020304_(그룹)차입금 관련지표 051005" xfId="5521" xr:uid="{00000000-0005-0000-0000-000092150000}"/>
    <cellStyle name="원_NCF6BB2F_공표손익차이분석화학020304_04. 1.14" xfId="5522" xr:uid="{00000000-0005-0000-0000-000093150000}"/>
    <cellStyle name="원_NCF6BB2F_공표손익차이분석화학020304_04.12.21" xfId="5523" xr:uid="{00000000-0005-0000-0000-000094150000}"/>
    <cellStyle name="원_NCF6BB2F_공표손익차이분석화학020304_05.1.18재무(회장님수정)" xfId="5524" xr:uid="{00000000-0005-0000-0000-000095150000}"/>
    <cellStyle name="원_NCF6BB2F_공표손익차이분석화학020304_재무대책양식05. 3.15" xfId="5525" xr:uid="{00000000-0005-0000-0000-000096150000}"/>
    <cellStyle name="원_NCF6BB2F_공표손익차이분석화학020304_차이분석(6월누계목표실적)" xfId="5526" xr:uid="{00000000-0005-0000-0000-000097150000}"/>
    <cellStyle name="원_NCF6BB2F_공표손익차이분석화학020304_차이분석(6월전년동기실적)" xfId="5527" xr:uid="{00000000-0005-0000-0000-000098150000}"/>
    <cellStyle name="원_NCF6BB2F_공표손익차이분석화학020304_차이분석(하반기목표실적)" xfId="5528" xr:uid="{00000000-0005-0000-0000-000099150000}"/>
    <cellStyle name="원_NCF6BB2F_공표손익차이분석화학020304_차입금 관련지표 051005" xfId="5529" xr:uid="{00000000-0005-0000-0000-00009A150000}"/>
    <cellStyle name="원_NCF6BB2F_공표손익차이분석화학020304_차입금및금리지수" xfId="5530" xr:uid="{00000000-0005-0000-0000-00009B150000}"/>
    <cellStyle name="원_NCF6BB2F_재무대책양식05. 3.15" xfId="5531" xr:uid="{00000000-0005-0000-0000-00009C150000}"/>
    <cellStyle name="원_NCF6BB2F_차입금 관련지표 051005" xfId="5532" xr:uid="{00000000-0005-0000-0000-00009D150000}"/>
    <cellStyle name="원_NCF6BB2F_차입금및금리지수" xfId="5533" xr:uid="{00000000-0005-0000-0000-00009E150000}"/>
    <cellStyle name="원_NCF6BB2F_현금흐름표0305" xfId="5534" xr:uid="{00000000-0005-0000-0000-00009F150000}"/>
    <cellStyle name="원_NCF6BB2F_화학" xfId="5535" xr:uid="{00000000-0005-0000-0000-0000A0150000}"/>
    <cellStyle name="원_STEP2부속명세서4(입금에서차입금까지)" xfId="5536" xr:uid="{00000000-0005-0000-0000-0000A1150000}"/>
    <cellStyle name="원_STEP2부속명세서4(입금에서차입금까지)_2003사업계획입금자료" xfId="5537" xr:uid="{00000000-0005-0000-0000-0000A2150000}"/>
    <cellStyle name="원_개발사업팀입금계획" xfId="5538" xr:uid="{00000000-0005-0000-0000-0000A3150000}"/>
    <cellStyle name="원_개발사업팀입금계획_2003사업계획입금자료" xfId="5539" xr:uid="{00000000-0005-0000-0000-0000A4150000}"/>
    <cellStyle name="원_계량부문(04년)-백만원" xfId="5540" xr:uid="{00000000-0005-0000-0000-0000A5150000}"/>
    <cellStyle name="원_공표손익차이분석화학020304" xfId="5541" xr:uid="{00000000-0005-0000-0000-0000A6150000}"/>
    <cellStyle name="원_공표손익차이분석화학020304_(그룹)차입금 관련지표 051005" xfId="5542" xr:uid="{00000000-0005-0000-0000-0000A7150000}"/>
    <cellStyle name="원_공표손익차이분석화학020304_04. 1.14" xfId="5543" xr:uid="{00000000-0005-0000-0000-0000A8150000}"/>
    <cellStyle name="원_공표손익차이분석화학020304_04.12.21" xfId="5544" xr:uid="{00000000-0005-0000-0000-0000A9150000}"/>
    <cellStyle name="원_공표손익차이분석화학020304_05.1.18재무(회장님수정)" xfId="5545" xr:uid="{00000000-0005-0000-0000-0000AA150000}"/>
    <cellStyle name="원_공표손익차이분석화학020304_재무대책양식05. 3.15" xfId="5546" xr:uid="{00000000-0005-0000-0000-0000AB150000}"/>
    <cellStyle name="원_공표손익차이분석화학020304_차이분석(6월누계목표실적)" xfId="5547" xr:uid="{00000000-0005-0000-0000-0000AC150000}"/>
    <cellStyle name="원_공표손익차이분석화학020304_차이분석(6월전년동기실적)" xfId="5548" xr:uid="{00000000-0005-0000-0000-0000AD150000}"/>
    <cellStyle name="원_공표손익차이분석화학020304_차이분석(하반기목표실적)" xfId="5549" xr:uid="{00000000-0005-0000-0000-0000AE150000}"/>
    <cellStyle name="원_공표손익차이분석화학020304_차입금 관련지표 051005" xfId="5550" xr:uid="{00000000-0005-0000-0000-0000AF150000}"/>
    <cellStyle name="원_공표손익차이분석화학020304_차입금및금리지수" xfId="5551" xr:uid="{00000000-0005-0000-0000-0000B0150000}"/>
    <cellStyle name="원_교육계획" xfId="5552" xr:uid="{00000000-0005-0000-0000-0000B1150000}"/>
    <cellStyle name="원_기안표지" xfId="5553" xr:uid="{00000000-0005-0000-0000-0000B2150000}"/>
    <cellStyle name="원_동국무역1분기검토(2004-05-14)" xfId="5554" xr:uid="{00000000-0005-0000-0000-0000B3150000}"/>
    <cellStyle name="원_부속명세서4(자금수지표에서 현금흐름표)" xfId="5555" xr:uid="{00000000-0005-0000-0000-0000B4150000}"/>
    <cellStyle name="원_비전경영5개년계획 - 2002년수정사업계획부문" xfId="5556" xr:uid="{00000000-0005-0000-0000-0000B5150000}"/>
    <cellStyle name="원_수주투자심의(결재본)" xfId="5557" xr:uid="{00000000-0005-0000-0000-0000B6150000}"/>
    <cellStyle name="원_심의확정03매출원가율종합2" xfId="5558" xr:uid="{00000000-0005-0000-0000-0000B7150000}"/>
    <cellStyle name="원_오봉개발수정후1203자금수지2003사업계획종합" xfId="5559" xr:uid="{00000000-0005-0000-0000-0000B8150000}"/>
    <cellStyle name="원_운송원가계획(11.25)" xfId="5560" xr:uid="{00000000-0005-0000-0000-0000B9150000}"/>
    <cellStyle name="원_월말명단(0312)" xfId="5561" xr:uid="{00000000-0005-0000-0000-0000BA150000}"/>
    <cellStyle name="원_인력감축실적(31기4분기)" xfId="5562" xr:uid="{00000000-0005-0000-0000-0000BB150000}"/>
    <cellStyle name="원_인원감축실적_내부용(0312)" xfId="5563" xr:uid="{00000000-0005-0000-0000-0000BC150000}"/>
    <cellStyle name="원_인원감축실적_내부용(0312)_NC7B160A5" xfId="5564" xr:uid="{00000000-0005-0000-0000-0000BD150000}"/>
    <cellStyle name="원_일반관리비예산(전체)" xfId="5565" xr:uid="{00000000-0005-0000-0000-0000BE150000}"/>
    <cellStyle name="원_임차현황(10월)" xfId="5566" xr:uid="{00000000-0005-0000-0000-0000BF150000}"/>
    <cellStyle name="원_임차현황(10월)_NC15C5AFF" xfId="5567" xr:uid="{00000000-0005-0000-0000-0000C0150000}"/>
    <cellStyle name="원_제32기교육비예산" xfId="5568" xr:uid="{00000000-0005-0000-0000-0000C1150000}"/>
    <cellStyle name="원_제32일반관리비예산" xfId="5569" xr:uid="{00000000-0005-0000-0000-0000C2150000}"/>
    <cellStyle name="원_제32일반관리비예산_NC2ECD008" xfId="5570" xr:uid="{00000000-0005-0000-0000-0000C3150000}"/>
    <cellStyle name="원_제32일반관리비예산_NC7B160A5" xfId="5571" xr:uid="{00000000-0005-0000-0000-0000C4150000}"/>
    <cellStyle name="원_제32일반관리비예산_중장기예산(03년3월)" xfId="5572" xr:uid="{00000000-0005-0000-0000-0000C5150000}"/>
    <cellStyle name="원_제33일반관리비예산(확정040303)" xfId="5573" xr:uid="{00000000-0005-0000-0000-0000C6150000}"/>
    <cellStyle name="원_주요경영지표(0211월)" xfId="5574" xr:uid="{00000000-0005-0000-0000-0000C7150000}"/>
    <cellStyle name="원_주택사업팀2003년도 비젼경영계획3-2" xfId="5575" xr:uid="{00000000-0005-0000-0000-0000C8150000}"/>
    <cellStyle name="원_중장기비전경영계획part2(최종본20020225)" xfId="5576" xr:uid="{00000000-0005-0000-0000-0000C9150000}"/>
    <cellStyle name="원_중장기예산(04년3월)" xfId="5577" xr:uid="{00000000-0005-0000-0000-0000CA150000}"/>
    <cellStyle name="원_중장기전략" xfId="5578" xr:uid="{00000000-0005-0000-0000-0000CB150000}"/>
    <cellStyle name="원_최종매출정리" xfId="5579" xr:uid="{00000000-0005-0000-0000-0000CC150000}"/>
    <cellStyle name="원_현금흐름표0305" xfId="5580" xr:uid="{00000000-0005-0000-0000-0000CD150000}"/>
    <cellStyle name="원_현금흐름표예산(2003)" xfId="5581" xr:uid="{00000000-0005-0000-0000-0000CE150000}"/>
    <cellStyle name="원_환경1팀수주최종본" xfId="5582" xr:uid="{00000000-0005-0000-0000-0000CF150000}"/>
    <cellStyle name="원_환경1팀수주최종본_2003사업계획입금자료" xfId="5583" xr:uid="{00000000-0005-0000-0000-0000D0150000}"/>
    <cellStyle name="원통화" xfId="5584" xr:uid="{00000000-0005-0000-0000-0000D1150000}"/>
    <cellStyle name="원화" xfId="5585" xr:uid="{00000000-0005-0000-0000-0000D2150000}"/>
    <cellStyle name="이연사업비" xfId="5586" xr:uid="{00000000-0005-0000-0000-0000D3150000}"/>
    <cellStyle name="一般_GARMENT STEP FORM HK" xfId="5587" xr:uid="{00000000-0005-0000-0000-0000D4150000}"/>
    <cellStyle name="일반숫자" xfId="5588" xr:uid="{00000000-0005-0000-0000-0000D5150000}"/>
    <cellStyle name="入力" xfId="5589" xr:uid="{00000000-0005-0000-0000-0000D6150000}"/>
    <cellStyle name="입력 10" xfId="5590" xr:uid="{00000000-0005-0000-0000-0000D7150000}"/>
    <cellStyle name="입력 11" xfId="5591" xr:uid="{00000000-0005-0000-0000-0000D8150000}"/>
    <cellStyle name="입력 12" xfId="5592" xr:uid="{00000000-0005-0000-0000-0000D9150000}"/>
    <cellStyle name="입력 13" xfId="5593" xr:uid="{00000000-0005-0000-0000-0000DA150000}"/>
    <cellStyle name="입력 14" xfId="5594" xr:uid="{00000000-0005-0000-0000-0000DB150000}"/>
    <cellStyle name="입력 15" xfId="5595" xr:uid="{00000000-0005-0000-0000-0000DC150000}"/>
    <cellStyle name="입력 16" xfId="5596" xr:uid="{00000000-0005-0000-0000-0000DD150000}"/>
    <cellStyle name="입력 17" xfId="5597" xr:uid="{00000000-0005-0000-0000-0000DE150000}"/>
    <cellStyle name="입력 18" xfId="5598" xr:uid="{00000000-0005-0000-0000-0000DF150000}"/>
    <cellStyle name="입력 19" xfId="5599" xr:uid="{00000000-0005-0000-0000-0000E0150000}"/>
    <cellStyle name="입력 2" xfId="5600" xr:uid="{00000000-0005-0000-0000-0000E1150000}"/>
    <cellStyle name="입력 2 10" xfId="5601" xr:uid="{00000000-0005-0000-0000-0000E2150000}"/>
    <cellStyle name="입력 2 11" xfId="5602" xr:uid="{00000000-0005-0000-0000-0000E3150000}"/>
    <cellStyle name="입력 2 12" xfId="5603" xr:uid="{00000000-0005-0000-0000-0000E4150000}"/>
    <cellStyle name="입력 2 13" xfId="5604" xr:uid="{00000000-0005-0000-0000-0000E5150000}"/>
    <cellStyle name="입력 2 14" xfId="5605" xr:uid="{00000000-0005-0000-0000-0000E6150000}"/>
    <cellStyle name="입력 2 15" xfId="5606" xr:uid="{00000000-0005-0000-0000-0000E7150000}"/>
    <cellStyle name="입력 2 16" xfId="5607" xr:uid="{00000000-0005-0000-0000-0000E8150000}"/>
    <cellStyle name="입력 2 17" xfId="5608" xr:uid="{00000000-0005-0000-0000-0000E9150000}"/>
    <cellStyle name="입력 2 18" xfId="5609" xr:uid="{00000000-0005-0000-0000-0000EA150000}"/>
    <cellStyle name="입력 2 19" xfId="5610" xr:uid="{00000000-0005-0000-0000-0000EB150000}"/>
    <cellStyle name="입력 2 2" xfId="5611" xr:uid="{00000000-0005-0000-0000-0000EC150000}"/>
    <cellStyle name="입력 2 2 10" xfId="5612" xr:uid="{00000000-0005-0000-0000-0000ED150000}"/>
    <cellStyle name="입력 2 2 11" xfId="5613" xr:uid="{00000000-0005-0000-0000-0000EE150000}"/>
    <cellStyle name="입력 2 2 12" xfId="5614" xr:uid="{00000000-0005-0000-0000-0000EF150000}"/>
    <cellStyle name="입력 2 2 13" xfId="5615" xr:uid="{00000000-0005-0000-0000-0000F0150000}"/>
    <cellStyle name="입력 2 2 14" xfId="5616" xr:uid="{00000000-0005-0000-0000-0000F1150000}"/>
    <cellStyle name="입력 2 2 2" xfId="5617" xr:uid="{00000000-0005-0000-0000-0000F2150000}"/>
    <cellStyle name="입력 2 2 3" xfId="5618" xr:uid="{00000000-0005-0000-0000-0000F3150000}"/>
    <cellStyle name="입력 2 2 4" xfId="5619" xr:uid="{00000000-0005-0000-0000-0000F4150000}"/>
    <cellStyle name="입력 2 2 5" xfId="5620" xr:uid="{00000000-0005-0000-0000-0000F5150000}"/>
    <cellStyle name="입력 2 2 6" xfId="5621" xr:uid="{00000000-0005-0000-0000-0000F6150000}"/>
    <cellStyle name="입력 2 2 7" xfId="5622" xr:uid="{00000000-0005-0000-0000-0000F7150000}"/>
    <cellStyle name="입력 2 2 8" xfId="5623" xr:uid="{00000000-0005-0000-0000-0000F8150000}"/>
    <cellStyle name="입력 2 2 9" xfId="5624" xr:uid="{00000000-0005-0000-0000-0000F9150000}"/>
    <cellStyle name="입력 2 20" xfId="5625" xr:uid="{00000000-0005-0000-0000-0000FA150000}"/>
    <cellStyle name="입력 2 21" xfId="5626" xr:uid="{00000000-0005-0000-0000-0000FB150000}"/>
    <cellStyle name="입력 2 22" xfId="5627" xr:uid="{00000000-0005-0000-0000-0000FC150000}"/>
    <cellStyle name="입력 2 23" xfId="5628" xr:uid="{00000000-0005-0000-0000-0000FD150000}"/>
    <cellStyle name="입력 2 24" xfId="5629" xr:uid="{00000000-0005-0000-0000-0000FE150000}"/>
    <cellStyle name="입력 2 3" xfId="5630" xr:uid="{00000000-0005-0000-0000-0000FF150000}"/>
    <cellStyle name="입력 2 4" xfId="5631" xr:uid="{00000000-0005-0000-0000-000000160000}"/>
    <cellStyle name="입력 2 5" xfId="5632" xr:uid="{00000000-0005-0000-0000-000001160000}"/>
    <cellStyle name="입력 2 6" xfId="5633" xr:uid="{00000000-0005-0000-0000-000002160000}"/>
    <cellStyle name="입력 2 7" xfId="5634" xr:uid="{00000000-0005-0000-0000-000003160000}"/>
    <cellStyle name="입력 2 8" xfId="5635" xr:uid="{00000000-0005-0000-0000-000004160000}"/>
    <cellStyle name="입력 2 9" xfId="5636" xr:uid="{00000000-0005-0000-0000-000005160000}"/>
    <cellStyle name="입력 20" xfId="5637" xr:uid="{00000000-0005-0000-0000-000006160000}"/>
    <cellStyle name="입력 21" xfId="5638" xr:uid="{00000000-0005-0000-0000-000007160000}"/>
    <cellStyle name="입력 22" xfId="5639" xr:uid="{00000000-0005-0000-0000-000008160000}"/>
    <cellStyle name="입력 23" xfId="5640" xr:uid="{00000000-0005-0000-0000-000009160000}"/>
    <cellStyle name="입력 24" xfId="5641" xr:uid="{00000000-0005-0000-0000-00000A160000}"/>
    <cellStyle name="입력 3" xfId="5642" xr:uid="{00000000-0005-0000-0000-00000B160000}"/>
    <cellStyle name="입력 3 10" xfId="5643" xr:uid="{00000000-0005-0000-0000-00000C160000}"/>
    <cellStyle name="입력 3 11" xfId="5644" xr:uid="{00000000-0005-0000-0000-00000D160000}"/>
    <cellStyle name="입력 3 12" xfId="5645" xr:uid="{00000000-0005-0000-0000-00000E160000}"/>
    <cellStyle name="입력 3 13" xfId="5646" xr:uid="{00000000-0005-0000-0000-00000F160000}"/>
    <cellStyle name="입력 3 14" xfId="5647" xr:uid="{00000000-0005-0000-0000-000010160000}"/>
    <cellStyle name="입력 3 2" xfId="5648" xr:uid="{00000000-0005-0000-0000-000011160000}"/>
    <cellStyle name="입력 3 3" xfId="5649" xr:uid="{00000000-0005-0000-0000-000012160000}"/>
    <cellStyle name="입력 3 4" xfId="5650" xr:uid="{00000000-0005-0000-0000-000013160000}"/>
    <cellStyle name="입력 3 5" xfId="5651" xr:uid="{00000000-0005-0000-0000-000014160000}"/>
    <cellStyle name="입력 3 6" xfId="5652" xr:uid="{00000000-0005-0000-0000-000015160000}"/>
    <cellStyle name="입력 3 7" xfId="5653" xr:uid="{00000000-0005-0000-0000-000016160000}"/>
    <cellStyle name="입력 3 8" xfId="5654" xr:uid="{00000000-0005-0000-0000-000017160000}"/>
    <cellStyle name="입력 3 9" xfId="5655" xr:uid="{00000000-0005-0000-0000-000018160000}"/>
    <cellStyle name="입력 4" xfId="5656" xr:uid="{00000000-0005-0000-0000-000019160000}"/>
    <cellStyle name="입력 5" xfId="5657" xr:uid="{00000000-0005-0000-0000-00001A160000}"/>
    <cellStyle name="입력 6" xfId="5658" xr:uid="{00000000-0005-0000-0000-00001B160000}"/>
    <cellStyle name="입력 7" xfId="5659" xr:uid="{00000000-0005-0000-0000-00001C160000}"/>
    <cellStyle name="입력 8" xfId="5660" xr:uid="{00000000-0005-0000-0000-00001D160000}"/>
    <cellStyle name="입력 9" xfId="5661" xr:uid="{00000000-0005-0000-0000-00001E160000}"/>
    <cellStyle name="자리수" xfId="5662" xr:uid="{00000000-0005-0000-0000-00001F160000}"/>
    <cellStyle name="자리수 - 유형1" xfId="5663" xr:uid="{00000000-0005-0000-0000-000020160000}"/>
    <cellStyle name="자리수_신일권(퇴충-최종)" xfId="5664" xr:uid="{00000000-0005-0000-0000-000021160000}"/>
    <cellStyle name="자리수0" xfId="5665" xr:uid="{00000000-0005-0000-0000-000022160000}"/>
    <cellStyle name="㘀㠀䠀" xfId="5666" xr:uid="{00000000-0005-0000-0000-000023160000}"/>
    <cellStyle name="제목 1 10" xfId="5667" xr:uid="{00000000-0005-0000-0000-000024160000}"/>
    <cellStyle name="제목 1 11" xfId="5668" xr:uid="{00000000-0005-0000-0000-000025160000}"/>
    <cellStyle name="제목 1 12" xfId="5669" xr:uid="{00000000-0005-0000-0000-000026160000}"/>
    <cellStyle name="제목 1 13" xfId="5670" xr:uid="{00000000-0005-0000-0000-000027160000}"/>
    <cellStyle name="제목 1 14" xfId="5671" xr:uid="{00000000-0005-0000-0000-000028160000}"/>
    <cellStyle name="제목 1 15" xfId="5672" xr:uid="{00000000-0005-0000-0000-000029160000}"/>
    <cellStyle name="제목 1 16" xfId="5673" xr:uid="{00000000-0005-0000-0000-00002A160000}"/>
    <cellStyle name="제목 1 17" xfId="5674" xr:uid="{00000000-0005-0000-0000-00002B160000}"/>
    <cellStyle name="제목 1 18" xfId="5675" xr:uid="{00000000-0005-0000-0000-00002C160000}"/>
    <cellStyle name="제목 1 19" xfId="5676" xr:uid="{00000000-0005-0000-0000-00002D160000}"/>
    <cellStyle name="제목 1 2" xfId="5677" xr:uid="{00000000-0005-0000-0000-00002E160000}"/>
    <cellStyle name="제목 1 2 10" xfId="5678" xr:uid="{00000000-0005-0000-0000-00002F160000}"/>
    <cellStyle name="제목 1 2 11" xfId="5679" xr:uid="{00000000-0005-0000-0000-000030160000}"/>
    <cellStyle name="제목 1 2 12" xfId="5680" xr:uid="{00000000-0005-0000-0000-000031160000}"/>
    <cellStyle name="제목 1 2 13" xfId="5681" xr:uid="{00000000-0005-0000-0000-000032160000}"/>
    <cellStyle name="제목 1 2 14" xfId="5682" xr:uid="{00000000-0005-0000-0000-000033160000}"/>
    <cellStyle name="제목 1 2 15" xfId="5683" xr:uid="{00000000-0005-0000-0000-000034160000}"/>
    <cellStyle name="제목 1 2 16" xfId="5684" xr:uid="{00000000-0005-0000-0000-000035160000}"/>
    <cellStyle name="제목 1 2 17" xfId="5685" xr:uid="{00000000-0005-0000-0000-000036160000}"/>
    <cellStyle name="제목 1 2 18" xfId="5686" xr:uid="{00000000-0005-0000-0000-000037160000}"/>
    <cellStyle name="제목 1 2 19" xfId="5687" xr:uid="{00000000-0005-0000-0000-000038160000}"/>
    <cellStyle name="제목 1 2 2" xfId="5688" xr:uid="{00000000-0005-0000-0000-000039160000}"/>
    <cellStyle name="제목 1 2 2 10" xfId="5689" xr:uid="{00000000-0005-0000-0000-00003A160000}"/>
    <cellStyle name="제목 1 2 2 11" xfId="5690" xr:uid="{00000000-0005-0000-0000-00003B160000}"/>
    <cellStyle name="제목 1 2 2 12" xfId="5691" xr:uid="{00000000-0005-0000-0000-00003C160000}"/>
    <cellStyle name="제목 1 2 2 13" xfId="5692" xr:uid="{00000000-0005-0000-0000-00003D160000}"/>
    <cellStyle name="제목 1 2 2 14" xfId="5693" xr:uid="{00000000-0005-0000-0000-00003E160000}"/>
    <cellStyle name="제목 1 2 2 2" xfId="5694" xr:uid="{00000000-0005-0000-0000-00003F160000}"/>
    <cellStyle name="제목 1 2 2 3" xfId="5695" xr:uid="{00000000-0005-0000-0000-000040160000}"/>
    <cellStyle name="제목 1 2 2 4" xfId="5696" xr:uid="{00000000-0005-0000-0000-000041160000}"/>
    <cellStyle name="제목 1 2 2 5" xfId="5697" xr:uid="{00000000-0005-0000-0000-000042160000}"/>
    <cellStyle name="제목 1 2 2 6" xfId="5698" xr:uid="{00000000-0005-0000-0000-000043160000}"/>
    <cellStyle name="제목 1 2 2 7" xfId="5699" xr:uid="{00000000-0005-0000-0000-000044160000}"/>
    <cellStyle name="제목 1 2 2 8" xfId="5700" xr:uid="{00000000-0005-0000-0000-000045160000}"/>
    <cellStyle name="제목 1 2 2 9" xfId="5701" xr:uid="{00000000-0005-0000-0000-000046160000}"/>
    <cellStyle name="제목 1 2 20" xfId="5702" xr:uid="{00000000-0005-0000-0000-000047160000}"/>
    <cellStyle name="제목 1 2 21" xfId="5703" xr:uid="{00000000-0005-0000-0000-000048160000}"/>
    <cellStyle name="제목 1 2 22" xfId="5704" xr:uid="{00000000-0005-0000-0000-000049160000}"/>
    <cellStyle name="제목 1 2 23" xfId="5705" xr:uid="{00000000-0005-0000-0000-00004A160000}"/>
    <cellStyle name="제목 1 2 24" xfId="5706" xr:uid="{00000000-0005-0000-0000-00004B160000}"/>
    <cellStyle name="제목 1 2 3" xfId="5707" xr:uid="{00000000-0005-0000-0000-00004C160000}"/>
    <cellStyle name="제목 1 2 4" xfId="5708" xr:uid="{00000000-0005-0000-0000-00004D160000}"/>
    <cellStyle name="제목 1 2 5" xfId="5709" xr:uid="{00000000-0005-0000-0000-00004E160000}"/>
    <cellStyle name="제목 1 2 6" xfId="5710" xr:uid="{00000000-0005-0000-0000-00004F160000}"/>
    <cellStyle name="제목 1 2 7" xfId="5711" xr:uid="{00000000-0005-0000-0000-000050160000}"/>
    <cellStyle name="제목 1 2 8" xfId="5712" xr:uid="{00000000-0005-0000-0000-000051160000}"/>
    <cellStyle name="제목 1 2 9" xfId="5713" xr:uid="{00000000-0005-0000-0000-000052160000}"/>
    <cellStyle name="제목 1 20" xfId="5714" xr:uid="{00000000-0005-0000-0000-000053160000}"/>
    <cellStyle name="제목 1 21" xfId="5715" xr:uid="{00000000-0005-0000-0000-000054160000}"/>
    <cellStyle name="제목 1 22" xfId="5716" xr:uid="{00000000-0005-0000-0000-000055160000}"/>
    <cellStyle name="제목 1 23" xfId="5717" xr:uid="{00000000-0005-0000-0000-000056160000}"/>
    <cellStyle name="제목 1 24" xfId="5718" xr:uid="{00000000-0005-0000-0000-000057160000}"/>
    <cellStyle name="제목 1 3" xfId="5719" xr:uid="{00000000-0005-0000-0000-000058160000}"/>
    <cellStyle name="제목 1 3 10" xfId="5720" xr:uid="{00000000-0005-0000-0000-000059160000}"/>
    <cellStyle name="제목 1 3 11" xfId="5721" xr:uid="{00000000-0005-0000-0000-00005A160000}"/>
    <cellStyle name="제목 1 3 12" xfId="5722" xr:uid="{00000000-0005-0000-0000-00005B160000}"/>
    <cellStyle name="제목 1 3 13" xfId="5723" xr:uid="{00000000-0005-0000-0000-00005C160000}"/>
    <cellStyle name="제목 1 3 14" xfId="5724" xr:uid="{00000000-0005-0000-0000-00005D160000}"/>
    <cellStyle name="제목 1 3 2" xfId="5725" xr:uid="{00000000-0005-0000-0000-00005E160000}"/>
    <cellStyle name="제목 1 3 3" xfId="5726" xr:uid="{00000000-0005-0000-0000-00005F160000}"/>
    <cellStyle name="제목 1 3 4" xfId="5727" xr:uid="{00000000-0005-0000-0000-000060160000}"/>
    <cellStyle name="제목 1 3 5" xfId="5728" xr:uid="{00000000-0005-0000-0000-000061160000}"/>
    <cellStyle name="제목 1 3 6" xfId="5729" xr:uid="{00000000-0005-0000-0000-000062160000}"/>
    <cellStyle name="제목 1 3 7" xfId="5730" xr:uid="{00000000-0005-0000-0000-000063160000}"/>
    <cellStyle name="제목 1 3 8" xfId="5731" xr:uid="{00000000-0005-0000-0000-000064160000}"/>
    <cellStyle name="제목 1 3 9" xfId="5732" xr:uid="{00000000-0005-0000-0000-000065160000}"/>
    <cellStyle name="제목 1 4" xfId="5733" xr:uid="{00000000-0005-0000-0000-000066160000}"/>
    <cellStyle name="제목 1 5" xfId="5734" xr:uid="{00000000-0005-0000-0000-000067160000}"/>
    <cellStyle name="제목 1 6" xfId="5735" xr:uid="{00000000-0005-0000-0000-000068160000}"/>
    <cellStyle name="제목 1 7" xfId="5736" xr:uid="{00000000-0005-0000-0000-000069160000}"/>
    <cellStyle name="제목 1 8" xfId="5737" xr:uid="{00000000-0005-0000-0000-00006A160000}"/>
    <cellStyle name="제목 1 9" xfId="5738" xr:uid="{00000000-0005-0000-0000-00006B160000}"/>
    <cellStyle name="제목 10" xfId="5739" xr:uid="{00000000-0005-0000-0000-00006C160000}"/>
    <cellStyle name="제목 11" xfId="5740" xr:uid="{00000000-0005-0000-0000-00006D160000}"/>
    <cellStyle name="제목 12" xfId="5741" xr:uid="{00000000-0005-0000-0000-00006E160000}"/>
    <cellStyle name="제목 13" xfId="5742" xr:uid="{00000000-0005-0000-0000-00006F160000}"/>
    <cellStyle name="제목 14" xfId="5743" xr:uid="{00000000-0005-0000-0000-000070160000}"/>
    <cellStyle name="제목 15" xfId="5744" xr:uid="{00000000-0005-0000-0000-000071160000}"/>
    <cellStyle name="제목 16" xfId="5745" xr:uid="{00000000-0005-0000-0000-000072160000}"/>
    <cellStyle name="제목 17" xfId="5746" xr:uid="{00000000-0005-0000-0000-000073160000}"/>
    <cellStyle name="제목 2 10" xfId="5747" xr:uid="{00000000-0005-0000-0000-000074160000}"/>
    <cellStyle name="제목 2 11" xfId="5748" xr:uid="{00000000-0005-0000-0000-000075160000}"/>
    <cellStyle name="제목 2 12" xfId="5749" xr:uid="{00000000-0005-0000-0000-000076160000}"/>
    <cellStyle name="제목 2 13" xfId="5750" xr:uid="{00000000-0005-0000-0000-000077160000}"/>
    <cellStyle name="제목 2 14" xfId="5751" xr:uid="{00000000-0005-0000-0000-000078160000}"/>
    <cellStyle name="제목 2 15" xfId="5752" xr:uid="{00000000-0005-0000-0000-000079160000}"/>
    <cellStyle name="제목 2 16" xfId="5753" xr:uid="{00000000-0005-0000-0000-00007A160000}"/>
    <cellStyle name="제목 2 17" xfId="5754" xr:uid="{00000000-0005-0000-0000-00007B160000}"/>
    <cellStyle name="제목 2 18" xfId="5755" xr:uid="{00000000-0005-0000-0000-00007C160000}"/>
    <cellStyle name="제목 2 19" xfId="5756" xr:uid="{00000000-0005-0000-0000-00007D160000}"/>
    <cellStyle name="제목 2 2" xfId="5757" xr:uid="{00000000-0005-0000-0000-00007E160000}"/>
    <cellStyle name="제목 2 2 10" xfId="5758" xr:uid="{00000000-0005-0000-0000-00007F160000}"/>
    <cellStyle name="제목 2 2 11" xfId="5759" xr:uid="{00000000-0005-0000-0000-000080160000}"/>
    <cellStyle name="제목 2 2 12" xfId="5760" xr:uid="{00000000-0005-0000-0000-000081160000}"/>
    <cellStyle name="제목 2 2 13" xfId="5761" xr:uid="{00000000-0005-0000-0000-000082160000}"/>
    <cellStyle name="제목 2 2 14" xfId="5762" xr:uid="{00000000-0005-0000-0000-000083160000}"/>
    <cellStyle name="제목 2 2 15" xfId="5763" xr:uid="{00000000-0005-0000-0000-000084160000}"/>
    <cellStyle name="제목 2 2 16" xfId="5764" xr:uid="{00000000-0005-0000-0000-000085160000}"/>
    <cellStyle name="제목 2 2 17" xfId="5765" xr:uid="{00000000-0005-0000-0000-000086160000}"/>
    <cellStyle name="제목 2 2 18" xfId="5766" xr:uid="{00000000-0005-0000-0000-000087160000}"/>
    <cellStyle name="제목 2 2 19" xfId="5767" xr:uid="{00000000-0005-0000-0000-000088160000}"/>
    <cellStyle name="제목 2 2 2" xfId="5768" xr:uid="{00000000-0005-0000-0000-000089160000}"/>
    <cellStyle name="제목 2 2 2 10" xfId="5769" xr:uid="{00000000-0005-0000-0000-00008A160000}"/>
    <cellStyle name="제목 2 2 2 11" xfId="5770" xr:uid="{00000000-0005-0000-0000-00008B160000}"/>
    <cellStyle name="제목 2 2 2 12" xfId="5771" xr:uid="{00000000-0005-0000-0000-00008C160000}"/>
    <cellStyle name="제목 2 2 2 13" xfId="5772" xr:uid="{00000000-0005-0000-0000-00008D160000}"/>
    <cellStyle name="제목 2 2 2 14" xfId="5773" xr:uid="{00000000-0005-0000-0000-00008E160000}"/>
    <cellStyle name="제목 2 2 2 2" xfId="5774" xr:uid="{00000000-0005-0000-0000-00008F160000}"/>
    <cellStyle name="제목 2 2 2 3" xfId="5775" xr:uid="{00000000-0005-0000-0000-000090160000}"/>
    <cellStyle name="제목 2 2 2 4" xfId="5776" xr:uid="{00000000-0005-0000-0000-000091160000}"/>
    <cellStyle name="제목 2 2 2 5" xfId="5777" xr:uid="{00000000-0005-0000-0000-000092160000}"/>
    <cellStyle name="제목 2 2 2 6" xfId="5778" xr:uid="{00000000-0005-0000-0000-000093160000}"/>
    <cellStyle name="제목 2 2 2 7" xfId="5779" xr:uid="{00000000-0005-0000-0000-000094160000}"/>
    <cellStyle name="제목 2 2 2 8" xfId="5780" xr:uid="{00000000-0005-0000-0000-000095160000}"/>
    <cellStyle name="제목 2 2 2 9" xfId="5781" xr:uid="{00000000-0005-0000-0000-000096160000}"/>
    <cellStyle name="제목 2 2 20" xfId="5782" xr:uid="{00000000-0005-0000-0000-000097160000}"/>
    <cellStyle name="제목 2 2 21" xfId="5783" xr:uid="{00000000-0005-0000-0000-000098160000}"/>
    <cellStyle name="제목 2 2 22" xfId="5784" xr:uid="{00000000-0005-0000-0000-000099160000}"/>
    <cellStyle name="제목 2 2 23" xfId="5785" xr:uid="{00000000-0005-0000-0000-00009A160000}"/>
    <cellStyle name="제목 2 2 24" xfId="5786" xr:uid="{00000000-0005-0000-0000-00009B160000}"/>
    <cellStyle name="제목 2 2 3" xfId="5787" xr:uid="{00000000-0005-0000-0000-00009C160000}"/>
    <cellStyle name="제목 2 2 4" xfId="5788" xr:uid="{00000000-0005-0000-0000-00009D160000}"/>
    <cellStyle name="제목 2 2 5" xfId="5789" xr:uid="{00000000-0005-0000-0000-00009E160000}"/>
    <cellStyle name="제목 2 2 6" xfId="5790" xr:uid="{00000000-0005-0000-0000-00009F160000}"/>
    <cellStyle name="제목 2 2 7" xfId="5791" xr:uid="{00000000-0005-0000-0000-0000A0160000}"/>
    <cellStyle name="제목 2 2 8" xfId="5792" xr:uid="{00000000-0005-0000-0000-0000A1160000}"/>
    <cellStyle name="제목 2 2 9" xfId="5793" xr:uid="{00000000-0005-0000-0000-0000A2160000}"/>
    <cellStyle name="제목 2 20" xfId="5794" xr:uid="{00000000-0005-0000-0000-0000A3160000}"/>
    <cellStyle name="제목 2 21" xfId="5795" xr:uid="{00000000-0005-0000-0000-0000A4160000}"/>
    <cellStyle name="제목 2 22" xfId="5796" xr:uid="{00000000-0005-0000-0000-0000A5160000}"/>
    <cellStyle name="제목 2 23" xfId="5797" xr:uid="{00000000-0005-0000-0000-0000A6160000}"/>
    <cellStyle name="제목 2 24" xfId="5798" xr:uid="{00000000-0005-0000-0000-0000A7160000}"/>
    <cellStyle name="제목 2 3" xfId="5799" xr:uid="{00000000-0005-0000-0000-0000A8160000}"/>
    <cellStyle name="제목 2 3 10" xfId="5800" xr:uid="{00000000-0005-0000-0000-0000A9160000}"/>
    <cellStyle name="제목 2 3 11" xfId="5801" xr:uid="{00000000-0005-0000-0000-0000AA160000}"/>
    <cellStyle name="제목 2 3 12" xfId="5802" xr:uid="{00000000-0005-0000-0000-0000AB160000}"/>
    <cellStyle name="제목 2 3 13" xfId="5803" xr:uid="{00000000-0005-0000-0000-0000AC160000}"/>
    <cellStyle name="제목 2 3 14" xfId="5804" xr:uid="{00000000-0005-0000-0000-0000AD160000}"/>
    <cellStyle name="제목 2 3 2" xfId="5805" xr:uid="{00000000-0005-0000-0000-0000AE160000}"/>
    <cellStyle name="제목 2 3 3" xfId="5806" xr:uid="{00000000-0005-0000-0000-0000AF160000}"/>
    <cellStyle name="제목 2 3 4" xfId="5807" xr:uid="{00000000-0005-0000-0000-0000B0160000}"/>
    <cellStyle name="제목 2 3 5" xfId="5808" xr:uid="{00000000-0005-0000-0000-0000B1160000}"/>
    <cellStyle name="제목 2 3 6" xfId="5809" xr:uid="{00000000-0005-0000-0000-0000B2160000}"/>
    <cellStyle name="제목 2 3 7" xfId="5810" xr:uid="{00000000-0005-0000-0000-0000B3160000}"/>
    <cellStyle name="제목 2 3 8" xfId="5811" xr:uid="{00000000-0005-0000-0000-0000B4160000}"/>
    <cellStyle name="제목 2 3 9" xfId="5812" xr:uid="{00000000-0005-0000-0000-0000B5160000}"/>
    <cellStyle name="제목 2 4" xfId="5813" xr:uid="{00000000-0005-0000-0000-0000B6160000}"/>
    <cellStyle name="제목 2 5" xfId="5814" xr:uid="{00000000-0005-0000-0000-0000B7160000}"/>
    <cellStyle name="제목 2 6" xfId="5815" xr:uid="{00000000-0005-0000-0000-0000B8160000}"/>
    <cellStyle name="제목 2 7" xfId="5816" xr:uid="{00000000-0005-0000-0000-0000B9160000}"/>
    <cellStyle name="제목 2 8" xfId="5817" xr:uid="{00000000-0005-0000-0000-0000BA160000}"/>
    <cellStyle name="제목 2 9" xfId="5818" xr:uid="{00000000-0005-0000-0000-0000BB160000}"/>
    <cellStyle name="제목 3 10" xfId="5819" xr:uid="{00000000-0005-0000-0000-0000BC160000}"/>
    <cellStyle name="제목 3 11" xfId="5820" xr:uid="{00000000-0005-0000-0000-0000BD160000}"/>
    <cellStyle name="제목 3 12" xfId="5821" xr:uid="{00000000-0005-0000-0000-0000BE160000}"/>
    <cellStyle name="제목 3 13" xfId="5822" xr:uid="{00000000-0005-0000-0000-0000BF160000}"/>
    <cellStyle name="제목 3 14" xfId="5823" xr:uid="{00000000-0005-0000-0000-0000C0160000}"/>
    <cellStyle name="제목 3 15" xfId="5824" xr:uid="{00000000-0005-0000-0000-0000C1160000}"/>
    <cellStyle name="제목 3 16" xfId="5825" xr:uid="{00000000-0005-0000-0000-0000C2160000}"/>
    <cellStyle name="제목 3 17" xfId="5826" xr:uid="{00000000-0005-0000-0000-0000C3160000}"/>
    <cellStyle name="제목 3 18" xfId="5827" xr:uid="{00000000-0005-0000-0000-0000C4160000}"/>
    <cellStyle name="제목 3 19" xfId="5828" xr:uid="{00000000-0005-0000-0000-0000C5160000}"/>
    <cellStyle name="제목 3 2" xfId="5829" xr:uid="{00000000-0005-0000-0000-0000C6160000}"/>
    <cellStyle name="제목 3 2 10" xfId="5830" xr:uid="{00000000-0005-0000-0000-0000C7160000}"/>
    <cellStyle name="제목 3 2 11" xfId="5831" xr:uid="{00000000-0005-0000-0000-0000C8160000}"/>
    <cellStyle name="제목 3 2 12" xfId="5832" xr:uid="{00000000-0005-0000-0000-0000C9160000}"/>
    <cellStyle name="제목 3 2 13" xfId="5833" xr:uid="{00000000-0005-0000-0000-0000CA160000}"/>
    <cellStyle name="제목 3 2 14" xfId="5834" xr:uid="{00000000-0005-0000-0000-0000CB160000}"/>
    <cellStyle name="제목 3 2 15" xfId="5835" xr:uid="{00000000-0005-0000-0000-0000CC160000}"/>
    <cellStyle name="제목 3 2 16" xfId="5836" xr:uid="{00000000-0005-0000-0000-0000CD160000}"/>
    <cellStyle name="제목 3 2 17" xfId="5837" xr:uid="{00000000-0005-0000-0000-0000CE160000}"/>
    <cellStyle name="제목 3 2 18" xfId="5838" xr:uid="{00000000-0005-0000-0000-0000CF160000}"/>
    <cellStyle name="제목 3 2 19" xfId="5839" xr:uid="{00000000-0005-0000-0000-0000D0160000}"/>
    <cellStyle name="제목 3 2 2" xfId="5840" xr:uid="{00000000-0005-0000-0000-0000D1160000}"/>
    <cellStyle name="제목 3 2 2 10" xfId="5841" xr:uid="{00000000-0005-0000-0000-0000D2160000}"/>
    <cellStyle name="제목 3 2 2 11" xfId="5842" xr:uid="{00000000-0005-0000-0000-0000D3160000}"/>
    <cellStyle name="제목 3 2 2 12" xfId="5843" xr:uid="{00000000-0005-0000-0000-0000D4160000}"/>
    <cellStyle name="제목 3 2 2 13" xfId="5844" xr:uid="{00000000-0005-0000-0000-0000D5160000}"/>
    <cellStyle name="제목 3 2 2 14" xfId="5845" xr:uid="{00000000-0005-0000-0000-0000D6160000}"/>
    <cellStyle name="제목 3 2 2 2" xfId="5846" xr:uid="{00000000-0005-0000-0000-0000D7160000}"/>
    <cellStyle name="제목 3 2 2 3" xfId="5847" xr:uid="{00000000-0005-0000-0000-0000D8160000}"/>
    <cellStyle name="제목 3 2 2 4" xfId="5848" xr:uid="{00000000-0005-0000-0000-0000D9160000}"/>
    <cellStyle name="제목 3 2 2 5" xfId="5849" xr:uid="{00000000-0005-0000-0000-0000DA160000}"/>
    <cellStyle name="제목 3 2 2 6" xfId="5850" xr:uid="{00000000-0005-0000-0000-0000DB160000}"/>
    <cellStyle name="제목 3 2 2 7" xfId="5851" xr:uid="{00000000-0005-0000-0000-0000DC160000}"/>
    <cellStyle name="제목 3 2 2 8" xfId="5852" xr:uid="{00000000-0005-0000-0000-0000DD160000}"/>
    <cellStyle name="제목 3 2 2 9" xfId="5853" xr:uid="{00000000-0005-0000-0000-0000DE160000}"/>
    <cellStyle name="제목 3 2 20" xfId="5854" xr:uid="{00000000-0005-0000-0000-0000DF160000}"/>
    <cellStyle name="제목 3 2 21" xfId="5855" xr:uid="{00000000-0005-0000-0000-0000E0160000}"/>
    <cellStyle name="제목 3 2 22" xfId="5856" xr:uid="{00000000-0005-0000-0000-0000E1160000}"/>
    <cellStyle name="제목 3 2 23" xfId="5857" xr:uid="{00000000-0005-0000-0000-0000E2160000}"/>
    <cellStyle name="제목 3 2 24" xfId="5858" xr:uid="{00000000-0005-0000-0000-0000E3160000}"/>
    <cellStyle name="제목 3 2 3" xfId="5859" xr:uid="{00000000-0005-0000-0000-0000E4160000}"/>
    <cellStyle name="제목 3 2 4" xfId="5860" xr:uid="{00000000-0005-0000-0000-0000E5160000}"/>
    <cellStyle name="제목 3 2 5" xfId="5861" xr:uid="{00000000-0005-0000-0000-0000E6160000}"/>
    <cellStyle name="제목 3 2 6" xfId="5862" xr:uid="{00000000-0005-0000-0000-0000E7160000}"/>
    <cellStyle name="제목 3 2 7" xfId="5863" xr:uid="{00000000-0005-0000-0000-0000E8160000}"/>
    <cellStyle name="제목 3 2 8" xfId="5864" xr:uid="{00000000-0005-0000-0000-0000E9160000}"/>
    <cellStyle name="제목 3 2 9" xfId="5865" xr:uid="{00000000-0005-0000-0000-0000EA160000}"/>
    <cellStyle name="제목 3 20" xfId="5866" xr:uid="{00000000-0005-0000-0000-0000EB160000}"/>
    <cellStyle name="제목 3 21" xfId="5867" xr:uid="{00000000-0005-0000-0000-0000EC160000}"/>
    <cellStyle name="제목 3 22" xfId="5868" xr:uid="{00000000-0005-0000-0000-0000ED160000}"/>
    <cellStyle name="제목 3 23" xfId="5869" xr:uid="{00000000-0005-0000-0000-0000EE160000}"/>
    <cellStyle name="제목 3 24" xfId="5870" xr:uid="{00000000-0005-0000-0000-0000EF160000}"/>
    <cellStyle name="제목 3 3" xfId="5871" xr:uid="{00000000-0005-0000-0000-0000F0160000}"/>
    <cellStyle name="제목 3 3 10" xfId="5872" xr:uid="{00000000-0005-0000-0000-0000F1160000}"/>
    <cellStyle name="제목 3 3 11" xfId="5873" xr:uid="{00000000-0005-0000-0000-0000F2160000}"/>
    <cellStyle name="제목 3 3 12" xfId="5874" xr:uid="{00000000-0005-0000-0000-0000F3160000}"/>
    <cellStyle name="제목 3 3 13" xfId="5875" xr:uid="{00000000-0005-0000-0000-0000F4160000}"/>
    <cellStyle name="제목 3 3 14" xfId="5876" xr:uid="{00000000-0005-0000-0000-0000F5160000}"/>
    <cellStyle name="제목 3 3 2" xfId="5877" xr:uid="{00000000-0005-0000-0000-0000F6160000}"/>
    <cellStyle name="제목 3 3 3" xfId="5878" xr:uid="{00000000-0005-0000-0000-0000F7160000}"/>
    <cellStyle name="제목 3 3 4" xfId="5879" xr:uid="{00000000-0005-0000-0000-0000F8160000}"/>
    <cellStyle name="제목 3 3 5" xfId="5880" xr:uid="{00000000-0005-0000-0000-0000F9160000}"/>
    <cellStyle name="제목 3 3 6" xfId="5881" xr:uid="{00000000-0005-0000-0000-0000FA160000}"/>
    <cellStyle name="제목 3 3 7" xfId="5882" xr:uid="{00000000-0005-0000-0000-0000FB160000}"/>
    <cellStyle name="제목 3 3 8" xfId="5883" xr:uid="{00000000-0005-0000-0000-0000FC160000}"/>
    <cellStyle name="제목 3 3 9" xfId="5884" xr:uid="{00000000-0005-0000-0000-0000FD160000}"/>
    <cellStyle name="제목 3 4" xfId="5885" xr:uid="{00000000-0005-0000-0000-0000FE160000}"/>
    <cellStyle name="제목 3 5" xfId="5886" xr:uid="{00000000-0005-0000-0000-0000FF160000}"/>
    <cellStyle name="제목 3 6" xfId="5887" xr:uid="{00000000-0005-0000-0000-000000170000}"/>
    <cellStyle name="제목 3 7" xfId="5888" xr:uid="{00000000-0005-0000-0000-000001170000}"/>
    <cellStyle name="제목 3 8" xfId="5889" xr:uid="{00000000-0005-0000-0000-000002170000}"/>
    <cellStyle name="제목 3 9" xfId="5890" xr:uid="{00000000-0005-0000-0000-000003170000}"/>
    <cellStyle name="제목 4 10" xfId="5891" xr:uid="{00000000-0005-0000-0000-000004170000}"/>
    <cellStyle name="제목 4 11" xfId="5892" xr:uid="{00000000-0005-0000-0000-000005170000}"/>
    <cellStyle name="제목 4 12" xfId="5893" xr:uid="{00000000-0005-0000-0000-000006170000}"/>
    <cellStyle name="제목 4 13" xfId="5894" xr:uid="{00000000-0005-0000-0000-000007170000}"/>
    <cellStyle name="제목 4 14" xfId="5895" xr:uid="{00000000-0005-0000-0000-000008170000}"/>
    <cellStyle name="제목 4 15" xfId="5896" xr:uid="{00000000-0005-0000-0000-000009170000}"/>
    <cellStyle name="제목 4 16" xfId="5897" xr:uid="{00000000-0005-0000-0000-00000A170000}"/>
    <cellStyle name="제목 4 17" xfId="5898" xr:uid="{00000000-0005-0000-0000-00000B170000}"/>
    <cellStyle name="제목 4 18" xfId="5899" xr:uid="{00000000-0005-0000-0000-00000C170000}"/>
    <cellStyle name="제목 4 19" xfId="5900" xr:uid="{00000000-0005-0000-0000-00000D170000}"/>
    <cellStyle name="제목 4 2" xfId="5901" xr:uid="{00000000-0005-0000-0000-00000E170000}"/>
    <cellStyle name="제목 4 2 10" xfId="5902" xr:uid="{00000000-0005-0000-0000-00000F170000}"/>
    <cellStyle name="제목 4 2 11" xfId="5903" xr:uid="{00000000-0005-0000-0000-000010170000}"/>
    <cellStyle name="제목 4 2 12" xfId="5904" xr:uid="{00000000-0005-0000-0000-000011170000}"/>
    <cellStyle name="제목 4 2 13" xfId="5905" xr:uid="{00000000-0005-0000-0000-000012170000}"/>
    <cellStyle name="제목 4 2 14" xfId="5906" xr:uid="{00000000-0005-0000-0000-000013170000}"/>
    <cellStyle name="제목 4 2 15" xfId="5907" xr:uid="{00000000-0005-0000-0000-000014170000}"/>
    <cellStyle name="제목 4 2 16" xfId="5908" xr:uid="{00000000-0005-0000-0000-000015170000}"/>
    <cellStyle name="제목 4 2 17" xfId="5909" xr:uid="{00000000-0005-0000-0000-000016170000}"/>
    <cellStyle name="제목 4 2 18" xfId="5910" xr:uid="{00000000-0005-0000-0000-000017170000}"/>
    <cellStyle name="제목 4 2 19" xfId="5911" xr:uid="{00000000-0005-0000-0000-000018170000}"/>
    <cellStyle name="제목 4 2 2" xfId="5912" xr:uid="{00000000-0005-0000-0000-000019170000}"/>
    <cellStyle name="제목 4 2 2 10" xfId="5913" xr:uid="{00000000-0005-0000-0000-00001A170000}"/>
    <cellStyle name="제목 4 2 2 11" xfId="5914" xr:uid="{00000000-0005-0000-0000-00001B170000}"/>
    <cellStyle name="제목 4 2 2 12" xfId="5915" xr:uid="{00000000-0005-0000-0000-00001C170000}"/>
    <cellStyle name="제목 4 2 2 13" xfId="5916" xr:uid="{00000000-0005-0000-0000-00001D170000}"/>
    <cellStyle name="제목 4 2 2 14" xfId="5917" xr:uid="{00000000-0005-0000-0000-00001E170000}"/>
    <cellStyle name="제목 4 2 2 2" xfId="5918" xr:uid="{00000000-0005-0000-0000-00001F170000}"/>
    <cellStyle name="제목 4 2 2 3" xfId="5919" xr:uid="{00000000-0005-0000-0000-000020170000}"/>
    <cellStyle name="제목 4 2 2 4" xfId="5920" xr:uid="{00000000-0005-0000-0000-000021170000}"/>
    <cellStyle name="제목 4 2 2 5" xfId="5921" xr:uid="{00000000-0005-0000-0000-000022170000}"/>
    <cellStyle name="제목 4 2 2 6" xfId="5922" xr:uid="{00000000-0005-0000-0000-000023170000}"/>
    <cellStyle name="제목 4 2 2 7" xfId="5923" xr:uid="{00000000-0005-0000-0000-000024170000}"/>
    <cellStyle name="제목 4 2 2 8" xfId="5924" xr:uid="{00000000-0005-0000-0000-000025170000}"/>
    <cellStyle name="제목 4 2 2 9" xfId="5925" xr:uid="{00000000-0005-0000-0000-000026170000}"/>
    <cellStyle name="제목 4 2 20" xfId="5926" xr:uid="{00000000-0005-0000-0000-000027170000}"/>
    <cellStyle name="제목 4 2 21" xfId="5927" xr:uid="{00000000-0005-0000-0000-000028170000}"/>
    <cellStyle name="제목 4 2 22" xfId="5928" xr:uid="{00000000-0005-0000-0000-000029170000}"/>
    <cellStyle name="제목 4 2 23" xfId="5929" xr:uid="{00000000-0005-0000-0000-00002A170000}"/>
    <cellStyle name="제목 4 2 24" xfId="5930" xr:uid="{00000000-0005-0000-0000-00002B170000}"/>
    <cellStyle name="제목 4 2 3" xfId="5931" xr:uid="{00000000-0005-0000-0000-00002C170000}"/>
    <cellStyle name="제목 4 2 4" xfId="5932" xr:uid="{00000000-0005-0000-0000-00002D170000}"/>
    <cellStyle name="제목 4 2 5" xfId="5933" xr:uid="{00000000-0005-0000-0000-00002E170000}"/>
    <cellStyle name="제목 4 2 6" xfId="5934" xr:uid="{00000000-0005-0000-0000-00002F170000}"/>
    <cellStyle name="제목 4 2 7" xfId="5935" xr:uid="{00000000-0005-0000-0000-000030170000}"/>
    <cellStyle name="제목 4 2 8" xfId="5936" xr:uid="{00000000-0005-0000-0000-000031170000}"/>
    <cellStyle name="제목 4 2 9" xfId="5937" xr:uid="{00000000-0005-0000-0000-000032170000}"/>
    <cellStyle name="제목 4 20" xfId="5938" xr:uid="{00000000-0005-0000-0000-000033170000}"/>
    <cellStyle name="제목 4 21" xfId="5939" xr:uid="{00000000-0005-0000-0000-000034170000}"/>
    <cellStyle name="제목 4 22" xfId="5940" xr:uid="{00000000-0005-0000-0000-000035170000}"/>
    <cellStyle name="제목 4 23" xfId="5941" xr:uid="{00000000-0005-0000-0000-000036170000}"/>
    <cellStyle name="제목 4 24" xfId="5942" xr:uid="{00000000-0005-0000-0000-000037170000}"/>
    <cellStyle name="제목 4 3" xfId="5943" xr:uid="{00000000-0005-0000-0000-000038170000}"/>
    <cellStyle name="제목 4 3 10" xfId="5944" xr:uid="{00000000-0005-0000-0000-000039170000}"/>
    <cellStyle name="제목 4 3 11" xfId="5945" xr:uid="{00000000-0005-0000-0000-00003A170000}"/>
    <cellStyle name="제목 4 3 12" xfId="5946" xr:uid="{00000000-0005-0000-0000-00003B170000}"/>
    <cellStyle name="제목 4 3 13" xfId="5947" xr:uid="{00000000-0005-0000-0000-00003C170000}"/>
    <cellStyle name="제목 4 3 14" xfId="5948" xr:uid="{00000000-0005-0000-0000-00003D170000}"/>
    <cellStyle name="제목 4 3 2" xfId="5949" xr:uid="{00000000-0005-0000-0000-00003E170000}"/>
    <cellStyle name="제목 4 3 3" xfId="5950" xr:uid="{00000000-0005-0000-0000-00003F170000}"/>
    <cellStyle name="제목 4 3 4" xfId="5951" xr:uid="{00000000-0005-0000-0000-000040170000}"/>
    <cellStyle name="제목 4 3 5" xfId="5952" xr:uid="{00000000-0005-0000-0000-000041170000}"/>
    <cellStyle name="제목 4 3 6" xfId="5953" xr:uid="{00000000-0005-0000-0000-000042170000}"/>
    <cellStyle name="제목 4 3 7" xfId="5954" xr:uid="{00000000-0005-0000-0000-000043170000}"/>
    <cellStyle name="제목 4 3 8" xfId="5955" xr:uid="{00000000-0005-0000-0000-000044170000}"/>
    <cellStyle name="제목 4 3 9" xfId="5956" xr:uid="{00000000-0005-0000-0000-000045170000}"/>
    <cellStyle name="제목 4 4" xfId="5957" xr:uid="{00000000-0005-0000-0000-000046170000}"/>
    <cellStyle name="제목 4 5" xfId="5958" xr:uid="{00000000-0005-0000-0000-000047170000}"/>
    <cellStyle name="제목 4 6" xfId="5959" xr:uid="{00000000-0005-0000-0000-000048170000}"/>
    <cellStyle name="제목 4 7" xfId="5960" xr:uid="{00000000-0005-0000-0000-000049170000}"/>
    <cellStyle name="제목 4 8" xfId="5961" xr:uid="{00000000-0005-0000-0000-00004A170000}"/>
    <cellStyle name="제목 4 9" xfId="5962" xr:uid="{00000000-0005-0000-0000-00004B170000}"/>
    <cellStyle name="제목 5" xfId="5963" xr:uid="{00000000-0005-0000-0000-00004C170000}"/>
    <cellStyle name="제목 5 10" xfId="5964" xr:uid="{00000000-0005-0000-0000-00004D170000}"/>
    <cellStyle name="제목 5 11" xfId="5965" xr:uid="{00000000-0005-0000-0000-00004E170000}"/>
    <cellStyle name="제목 5 12" xfId="5966" xr:uid="{00000000-0005-0000-0000-00004F170000}"/>
    <cellStyle name="제목 5 13" xfId="5967" xr:uid="{00000000-0005-0000-0000-000050170000}"/>
    <cellStyle name="제목 5 14" xfId="5968" xr:uid="{00000000-0005-0000-0000-000051170000}"/>
    <cellStyle name="제목 5 15" xfId="5969" xr:uid="{00000000-0005-0000-0000-000052170000}"/>
    <cellStyle name="제목 5 16" xfId="5970" xr:uid="{00000000-0005-0000-0000-000053170000}"/>
    <cellStyle name="제목 5 17" xfId="5971" xr:uid="{00000000-0005-0000-0000-000054170000}"/>
    <cellStyle name="제목 5 18" xfId="5972" xr:uid="{00000000-0005-0000-0000-000055170000}"/>
    <cellStyle name="제목 5 19" xfId="5973" xr:uid="{00000000-0005-0000-0000-000056170000}"/>
    <cellStyle name="제목 5 2" xfId="5974" xr:uid="{00000000-0005-0000-0000-000057170000}"/>
    <cellStyle name="제목 5 2 10" xfId="5975" xr:uid="{00000000-0005-0000-0000-000058170000}"/>
    <cellStyle name="제목 5 2 11" xfId="5976" xr:uid="{00000000-0005-0000-0000-000059170000}"/>
    <cellStyle name="제목 5 2 12" xfId="5977" xr:uid="{00000000-0005-0000-0000-00005A170000}"/>
    <cellStyle name="제목 5 2 13" xfId="5978" xr:uid="{00000000-0005-0000-0000-00005B170000}"/>
    <cellStyle name="제목 5 2 14" xfId="5979" xr:uid="{00000000-0005-0000-0000-00005C170000}"/>
    <cellStyle name="제목 5 2 2" xfId="5980" xr:uid="{00000000-0005-0000-0000-00005D170000}"/>
    <cellStyle name="제목 5 2 3" xfId="5981" xr:uid="{00000000-0005-0000-0000-00005E170000}"/>
    <cellStyle name="제목 5 2 4" xfId="5982" xr:uid="{00000000-0005-0000-0000-00005F170000}"/>
    <cellStyle name="제목 5 2 5" xfId="5983" xr:uid="{00000000-0005-0000-0000-000060170000}"/>
    <cellStyle name="제목 5 2 6" xfId="5984" xr:uid="{00000000-0005-0000-0000-000061170000}"/>
    <cellStyle name="제목 5 2 7" xfId="5985" xr:uid="{00000000-0005-0000-0000-000062170000}"/>
    <cellStyle name="제목 5 2 8" xfId="5986" xr:uid="{00000000-0005-0000-0000-000063170000}"/>
    <cellStyle name="제목 5 2 9" xfId="5987" xr:uid="{00000000-0005-0000-0000-000064170000}"/>
    <cellStyle name="제목 5 20" xfId="5988" xr:uid="{00000000-0005-0000-0000-000065170000}"/>
    <cellStyle name="제목 5 21" xfId="5989" xr:uid="{00000000-0005-0000-0000-000066170000}"/>
    <cellStyle name="제목 5 22" xfId="5990" xr:uid="{00000000-0005-0000-0000-000067170000}"/>
    <cellStyle name="제목 5 23" xfId="5991" xr:uid="{00000000-0005-0000-0000-000068170000}"/>
    <cellStyle name="제목 5 24" xfId="5992" xr:uid="{00000000-0005-0000-0000-000069170000}"/>
    <cellStyle name="제목 5 3" xfId="5993" xr:uid="{00000000-0005-0000-0000-00006A170000}"/>
    <cellStyle name="제목 5 4" xfId="5994" xr:uid="{00000000-0005-0000-0000-00006B170000}"/>
    <cellStyle name="제목 5 5" xfId="5995" xr:uid="{00000000-0005-0000-0000-00006C170000}"/>
    <cellStyle name="제목 5 6" xfId="5996" xr:uid="{00000000-0005-0000-0000-00006D170000}"/>
    <cellStyle name="제목 5 7" xfId="5997" xr:uid="{00000000-0005-0000-0000-00006E170000}"/>
    <cellStyle name="제목 5 8" xfId="5998" xr:uid="{00000000-0005-0000-0000-00006F170000}"/>
    <cellStyle name="제목 5 9" xfId="5999" xr:uid="{00000000-0005-0000-0000-000070170000}"/>
    <cellStyle name="제목 6" xfId="6000" xr:uid="{00000000-0005-0000-0000-000071170000}"/>
    <cellStyle name="제목 6 10" xfId="6001" xr:uid="{00000000-0005-0000-0000-000072170000}"/>
    <cellStyle name="제목 6 11" xfId="6002" xr:uid="{00000000-0005-0000-0000-000073170000}"/>
    <cellStyle name="제목 6 12" xfId="6003" xr:uid="{00000000-0005-0000-0000-000074170000}"/>
    <cellStyle name="제목 6 13" xfId="6004" xr:uid="{00000000-0005-0000-0000-000075170000}"/>
    <cellStyle name="제목 6 14" xfId="6005" xr:uid="{00000000-0005-0000-0000-000076170000}"/>
    <cellStyle name="제목 6 2" xfId="6006" xr:uid="{00000000-0005-0000-0000-000077170000}"/>
    <cellStyle name="제목 6 3" xfId="6007" xr:uid="{00000000-0005-0000-0000-000078170000}"/>
    <cellStyle name="제목 6 4" xfId="6008" xr:uid="{00000000-0005-0000-0000-000079170000}"/>
    <cellStyle name="제목 6 5" xfId="6009" xr:uid="{00000000-0005-0000-0000-00007A170000}"/>
    <cellStyle name="제목 6 6" xfId="6010" xr:uid="{00000000-0005-0000-0000-00007B170000}"/>
    <cellStyle name="제목 6 7" xfId="6011" xr:uid="{00000000-0005-0000-0000-00007C170000}"/>
    <cellStyle name="제목 6 8" xfId="6012" xr:uid="{00000000-0005-0000-0000-00007D170000}"/>
    <cellStyle name="제목 6 9" xfId="6013" xr:uid="{00000000-0005-0000-0000-00007E170000}"/>
    <cellStyle name="제목 7" xfId="6014" xr:uid="{00000000-0005-0000-0000-00007F170000}"/>
    <cellStyle name="제목 8" xfId="6015" xr:uid="{00000000-0005-0000-0000-000080170000}"/>
    <cellStyle name="제목 9" xfId="6016" xr:uid="{00000000-0005-0000-0000-000081170000}"/>
    <cellStyle name="제목1" xfId="6017" xr:uid="{00000000-0005-0000-0000-000082170000}"/>
    <cellStyle name="제목2" xfId="6018" xr:uid="{00000000-0005-0000-0000-000083170000}"/>
    <cellStyle name="좋은양식" xfId="6019" xr:uid="{00000000-0005-0000-0000-000084170000}"/>
    <cellStyle name="좋음 10" xfId="6020" xr:uid="{00000000-0005-0000-0000-000085170000}"/>
    <cellStyle name="좋음 11" xfId="6021" xr:uid="{00000000-0005-0000-0000-000086170000}"/>
    <cellStyle name="좋음 12" xfId="6022" xr:uid="{00000000-0005-0000-0000-000087170000}"/>
    <cellStyle name="좋음 13" xfId="6023" xr:uid="{00000000-0005-0000-0000-000088170000}"/>
    <cellStyle name="좋음 14" xfId="6024" xr:uid="{00000000-0005-0000-0000-000089170000}"/>
    <cellStyle name="좋음 15" xfId="6025" xr:uid="{00000000-0005-0000-0000-00008A170000}"/>
    <cellStyle name="좋음 16" xfId="6026" xr:uid="{00000000-0005-0000-0000-00008B170000}"/>
    <cellStyle name="좋음 17" xfId="6027" xr:uid="{00000000-0005-0000-0000-00008C170000}"/>
    <cellStyle name="좋음 18" xfId="6028" xr:uid="{00000000-0005-0000-0000-00008D170000}"/>
    <cellStyle name="좋음 19" xfId="6029" xr:uid="{00000000-0005-0000-0000-00008E170000}"/>
    <cellStyle name="좋음 2" xfId="6030" xr:uid="{00000000-0005-0000-0000-00008F170000}"/>
    <cellStyle name="좋음 2 10" xfId="6031" xr:uid="{00000000-0005-0000-0000-000090170000}"/>
    <cellStyle name="좋음 2 11" xfId="6032" xr:uid="{00000000-0005-0000-0000-000091170000}"/>
    <cellStyle name="좋음 2 12" xfId="6033" xr:uid="{00000000-0005-0000-0000-000092170000}"/>
    <cellStyle name="좋음 2 13" xfId="6034" xr:uid="{00000000-0005-0000-0000-000093170000}"/>
    <cellStyle name="좋음 2 14" xfId="6035" xr:uid="{00000000-0005-0000-0000-000094170000}"/>
    <cellStyle name="좋음 2 15" xfId="6036" xr:uid="{00000000-0005-0000-0000-000095170000}"/>
    <cellStyle name="좋음 2 16" xfId="6037" xr:uid="{00000000-0005-0000-0000-000096170000}"/>
    <cellStyle name="좋음 2 17" xfId="6038" xr:uid="{00000000-0005-0000-0000-000097170000}"/>
    <cellStyle name="좋음 2 18" xfId="6039" xr:uid="{00000000-0005-0000-0000-000098170000}"/>
    <cellStyle name="좋음 2 19" xfId="6040" xr:uid="{00000000-0005-0000-0000-000099170000}"/>
    <cellStyle name="좋음 2 2" xfId="6041" xr:uid="{00000000-0005-0000-0000-00009A170000}"/>
    <cellStyle name="좋음 2 2 10" xfId="6042" xr:uid="{00000000-0005-0000-0000-00009B170000}"/>
    <cellStyle name="좋음 2 2 11" xfId="6043" xr:uid="{00000000-0005-0000-0000-00009C170000}"/>
    <cellStyle name="좋음 2 2 12" xfId="6044" xr:uid="{00000000-0005-0000-0000-00009D170000}"/>
    <cellStyle name="좋음 2 2 13" xfId="6045" xr:uid="{00000000-0005-0000-0000-00009E170000}"/>
    <cellStyle name="좋음 2 2 14" xfId="6046" xr:uid="{00000000-0005-0000-0000-00009F170000}"/>
    <cellStyle name="좋음 2 2 2" xfId="6047" xr:uid="{00000000-0005-0000-0000-0000A0170000}"/>
    <cellStyle name="좋음 2 2 3" xfId="6048" xr:uid="{00000000-0005-0000-0000-0000A1170000}"/>
    <cellStyle name="좋음 2 2 4" xfId="6049" xr:uid="{00000000-0005-0000-0000-0000A2170000}"/>
    <cellStyle name="좋음 2 2 5" xfId="6050" xr:uid="{00000000-0005-0000-0000-0000A3170000}"/>
    <cellStyle name="좋음 2 2 6" xfId="6051" xr:uid="{00000000-0005-0000-0000-0000A4170000}"/>
    <cellStyle name="좋음 2 2 7" xfId="6052" xr:uid="{00000000-0005-0000-0000-0000A5170000}"/>
    <cellStyle name="좋음 2 2 8" xfId="6053" xr:uid="{00000000-0005-0000-0000-0000A6170000}"/>
    <cellStyle name="좋음 2 2 9" xfId="6054" xr:uid="{00000000-0005-0000-0000-0000A7170000}"/>
    <cellStyle name="좋음 2 20" xfId="6055" xr:uid="{00000000-0005-0000-0000-0000A8170000}"/>
    <cellStyle name="좋음 2 21" xfId="6056" xr:uid="{00000000-0005-0000-0000-0000A9170000}"/>
    <cellStyle name="좋음 2 22" xfId="6057" xr:uid="{00000000-0005-0000-0000-0000AA170000}"/>
    <cellStyle name="좋음 2 23" xfId="6058" xr:uid="{00000000-0005-0000-0000-0000AB170000}"/>
    <cellStyle name="좋음 2 24" xfId="6059" xr:uid="{00000000-0005-0000-0000-0000AC170000}"/>
    <cellStyle name="좋음 2 3" xfId="6060" xr:uid="{00000000-0005-0000-0000-0000AD170000}"/>
    <cellStyle name="좋음 2 4" xfId="6061" xr:uid="{00000000-0005-0000-0000-0000AE170000}"/>
    <cellStyle name="좋음 2 5" xfId="6062" xr:uid="{00000000-0005-0000-0000-0000AF170000}"/>
    <cellStyle name="좋음 2 6" xfId="6063" xr:uid="{00000000-0005-0000-0000-0000B0170000}"/>
    <cellStyle name="좋음 2 7" xfId="6064" xr:uid="{00000000-0005-0000-0000-0000B1170000}"/>
    <cellStyle name="좋음 2 8" xfId="6065" xr:uid="{00000000-0005-0000-0000-0000B2170000}"/>
    <cellStyle name="좋음 2 9" xfId="6066" xr:uid="{00000000-0005-0000-0000-0000B3170000}"/>
    <cellStyle name="좋음 20" xfId="6067" xr:uid="{00000000-0005-0000-0000-0000B4170000}"/>
    <cellStyle name="좋음 21" xfId="6068" xr:uid="{00000000-0005-0000-0000-0000B5170000}"/>
    <cellStyle name="좋음 22" xfId="6069" xr:uid="{00000000-0005-0000-0000-0000B6170000}"/>
    <cellStyle name="좋음 23" xfId="6070" xr:uid="{00000000-0005-0000-0000-0000B7170000}"/>
    <cellStyle name="좋음 24" xfId="6071" xr:uid="{00000000-0005-0000-0000-0000B8170000}"/>
    <cellStyle name="좋음 3" xfId="6072" xr:uid="{00000000-0005-0000-0000-0000B9170000}"/>
    <cellStyle name="좋음 3 10" xfId="6073" xr:uid="{00000000-0005-0000-0000-0000BA170000}"/>
    <cellStyle name="좋음 3 11" xfId="6074" xr:uid="{00000000-0005-0000-0000-0000BB170000}"/>
    <cellStyle name="좋음 3 12" xfId="6075" xr:uid="{00000000-0005-0000-0000-0000BC170000}"/>
    <cellStyle name="좋음 3 13" xfId="6076" xr:uid="{00000000-0005-0000-0000-0000BD170000}"/>
    <cellStyle name="좋음 3 14" xfId="6077" xr:uid="{00000000-0005-0000-0000-0000BE170000}"/>
    <cellStyle name="좋음 3 2" xfId="6078" xr:uid="{00000000-0005-0000-0000-0000BF170000}"/>
    <cellStyle name="좋음 3 3" xfId="6079" xr:uid="{00000000-0005-0000-0000-0000C0170000}"/>
    <cellStyle name="좋음 3 4" xfId="6080" xr:uid="{00000000-0005-0000-0000-0000C1170000}"/>
    <cellStyle name="좋음 3 5" xfId="6081" xr:uid="{00000000-0005-0000-0000-0000C2170000}"/>
    <cellStyle name="좋음 3 6" xfId="6082" xr:uid="{00000000-0005-0000-0000-0000C3170000}"/>
    <cellStyle name="좋음 3 7" xfId="6083" xr:uid="{00000000-0005-0000-0000-0000C4170000}"/>
    <cellStyle name="좋음 3 8" xfId="6084" xr:uid="{00000000-0005-0000-0000-0000C5170000}"/>
    <cellStyle name="좋음 3 9" xfId="6085" xr:uid="{00000000-0005-0000-0000-0000C6170000}"/>
    <cellStyle name="좋음 4" xfId="6086" xr:uid="{00000000-0005-0000-0000-0000C7170000}"/>
    <cellStyle name="좋음 5" xfId="6087" xr:uid="{00000000-0005-0000-0000-0000C8170000}"/>
    <cellStyle name="좋음 6" xfId="6088" xr:uid="{00000000-0005-0000-0000-0000C9170000}"/>
    <cellStyle name="좋음 7" xfId="6089" xr:uid="{00000000-0005-0000-0000-0000CA170000}"/>
    <cellStyle name="좋음 8" xfId="6090" xr:uid="{00000000-0005-0000-0000-0000CB170000}"/>
    <cellStyle name="좋음 9" xfId="6091" xr:uid="{00000000-0005-0000-0000-0000CC170000}"/>
    <cellStyle name="_x001c_준_12.18(누계)_x001c__x000c_표준_12.19(누계)" xfId="6092" xr:uid="{00000000-0005-0000-0000-0000CD170000}"/>
    <cellStyle name="_x0018_준_매출9812" xfId="6093" xr:uid="{00000000-0005-0000-0000-0000CE170000}"/>
    <cellStyle name="준_회의소집 (3)산)(2)(2)용 (2) (2)TS_선수금 (2)_선수금 (2)∢≜尢∢≜尢∢≜尢∢≜尢∢≜尢∢≜尢∢≜尢∢≜⑜Ⱓ⌣㬰剛摥≝≜尢∢≜尢∢≜尢∢≜尢∢≜尢∢≜尢∢≜尢∢≜尢∢≜尢∢≜尢∢≜尢∢≜尢∢≜尢∢≜尢∢≜尢∢≜尢∢≜渀置ᄰ" xfId="6094" xr:uid="{00000000-0005-0000-0000-0000CF170000}"/>
    <cellStyle name="중앙(표준)" xfId="6095" xr:uid="{00000000-0005-0000-0000-0000D0170000}"/>
    <cellStyle name="지정되지 않음" xfId="6096" xr:uid="{00000000-0005-0000-0000-0000D1170000}"/>
    <cellStyle name="지표보고_%" xfId="6097" xr:uid="{00000000-0005-0000-0000-0000D2170000}"/>
    <cellStyle name="集計" xfId="6098" xr:uid="{00000000-0005-0000-0000-0000D3170000}"/>
    <cellStyle name="쨊ㅐ?[0]_laroux" xfId="6099" xr:uid="{00000000-0005-0000-0000-0000D4170000}"/>
    <cellStyle name="쨊ㅐ?_laroux" xfId="6100" xr:uid="{00000000-0005-0000-0000-0000D5170000}"/>
    <cellStyle name="千分位[0]_GARMENT STEP FORM HK" xfId="6101" xr:uid="{00000000-0005-0000-0000-0000D6170000}"/>
    <cellStyle name="千分位_GARMENT STEP FORM HK" xfId="6102" xr:uid="{00000000-0005-0000-0000-0000D7170000}"/>
    <cellStyle name="千位[0]_laroux" xfId="6103" xr:uid="{00000000-0005-0000-0000-0000D8170000}"/>
    <cellStyle name="千位_laroux" xfId="6104" xr:uid="{00000000-0005-0000-0000-0000D9170000}"/>
    <cellStyle name="千位分隔[0]_18D76E00" xfId="6105" xr:uid="{00000000-0005-0000-0000-0000DA170000}"/>
    <cellStyle name="千位分隔_5月在库现状表" xfId="6106" xr:uid="{00000000-0005-0000-0000-0000DB170000}"/>
    <cellStyle name="出力" xfId="6107" xr:uid="{00000000-0005-0000-0000-0000DC170000}"/>
    <cellStyle name="출력 10" xfId="6108" xr:uid="{00000000-0005-0000-0000-0000DD170000}"/>
    <cellStyle name="출력 11" xfId="6109" xr:uid="{00000000-0005-0000-0000-0000DE170000}"/>
    <cellStyle name="출력 12" xfId="6110" xr:uid="{00000000-0005-0000-0000-0000DF170000}"/>
    <cellStyle name="출력 13" xfId="6111" xr:uid="{00000000-0005-0000-0000-0000E0170000}"/>
    <cellStyle name="출력 14" xfId="6112" xr:uid="{00000000-0005-0000-0000-0000E1170000}"/>
    <cellStyle name="출력 15" xfId="6113" xr:uid="{00000000-0005-0000-0000-0000E2170000}"/>
    <cellStyle name="출력 16" xfId="6114" xr:uid="{00000000-0005-0000-0000-0000E3170000}"/>
    <cellStyle name="출력 17" xfId="6115" xr:uid="{00000000-0005-0000-0000-0000E4170000}"/>
    <cellStyle name="출력 18" xfId="6116" xr:uid="{00000000-0005-0000-0000-0000E5170000}"/>
    <cellStyle name="출력 19" xfId="6117" xr:uid="{00000000-0005-0000-0000-0000E6170000}"/>
    <cellStyle name="출력 2" xfId="6118" xr:uid="{00000000-0005-0000-0000-0000E7170000}"/>
    <cellStyle name="출력 2 10" xfId="6119" xr:uid="{00000000-0005-0000-0000-0000E8170000}"/>
    <cellStyle name="출력 2 11" xfId="6120" xr:uid="{00000000-0005-0000-0000-0000E9170000}"/>
    <cellStyle name="출력 2 12" xfId="6121" xr:uid="{00000000-0005-0000-0000-0000EA170000}"/>
    <cellStyle name="출력 2 13" xfId="6122" xr:uid="{00000000-0005-0000-0000-0000EB170000}"/>
    <cellStyle name="출력 2 14" xfId="6123" xr:uid="{00000000-0005-0000-0000-0000EC170000}"/>
    <cellStyle name="출력 2 15" xfId="6124" xr:uid="{00000000-0005-0000-0000-0000ED170000}"/>
    <cellStyle name="출력 2 16" xfId="6125" xr:uid="{00000000-0005-0000-0000-0000EE170000}"/>
    <cellStyle name="출력 2 17" xfId="6126" xr:uid="{00000000-0005-0000-0000-0000EF170000}"/>
    <cellStyle name="출력 2 18" xfId="6127" xr:uid="{00000000-0005-0000-0000-0000F0170000}"/>
    <cellStyle name="출력 2 19" xfId="6128" xr:uid="{00000000-0005-0000-0000-0000F1170000}"/>
    <cellStyle name="출력 2 2" xfId="6129" xr:uid="{00000000-0005-0000-0000-0000F2170000}"/>
    <cellStyle name="출력 2 2 10" xfId="6130" xr:uid="{00000000-0005-0000-0000-0000F3170000}"/>
    <cellStyle name="출력 2 2 11" xfId="6131" xr:uid="{00000000-0005-0000-0000-0000F4170000}"/>
    <cellStyle name="출력 2 2 12" xfId="6132" xr:uid="{00000000-0005-0000-0000-0000F5170000}"/>
    <cellStyle name="출력 2 2 13" xfId="6133" xr:uid="{00000000-0005-0000-0000-0000F6170000}"/>
    <cellStyle name="출력 2 2 14" xfId="6134" xr:uid="{00000000-0005-0000-0000-0000F7170000}"/>
    <cellStyle name="출력 2 2 2" xfId="6135" xr:uid="{00000000-0005-0000-0000-0000F8170000}"/>
    <cellStyle name="출력 2 2 3" xfId="6136" xr:uid="{00000000-0005-0000-0000-0000F9170000}"/>
    <cellStyle name="출력 2 2 4" xfId="6137" xr:uid="{00000000-0005-0000-0000-0000FA170000}"/>
    <cellStyle name="출력 2 2 5" xfId="6138" xr:uid="{00000000-0005-0000-0000-0000FB170000}"/>
    <cellStyle name="출력 2 2 6" xfId="6139" xr:uid="{00000000-0005-0000-0000-0000FC170000}"/>
    <cellStyle name="출력 2 2 7" xfId="6140" xr:uid="{00000000-0005-0000-0000-0000FD170000}"/>
    <cellStyle name="출력 2 2 8" xfId="6141" xr:uid="{00000000-0005-0000-0000-0000FE170000}"/>
    <cellStyle name="출력 2 2 9" xfId="6142" xr:uid="{00000000-0005-0000-0000-0000FF170000}"/>
    <cellStyle name="출력 2 20" xfId="6143" xr:uid="{00000000-0005-0000-0000-000000180000}"/>
    <cellStyle name="출력 2 21" xfId="6144" xr:uid="{00000000-0005-0000-0000-000001180000}"/>
    <cellStyle name="출력 2 22" xfId="6145" xr:uid="{00000000-0005-0000-0000-000002180000}"/>
    <cellStyle name="출력 2 23" xfId="6146" xr:uid="{00000000-0005-0000-0000-000003180000}"/>
    <cellStyle name="출력 2 24" xfId="6147" xr:uid="{00000000-0005-0000-0000-000004180000}"/>
    <cellStyle name="출력 2 3" xfId="6148" xr:uid="{00000000-0005-0000-0000-000005180000}"/>
    <cellStyle name="출력 2 4" xfId="6149" xr:uid="{00000000-0005-0000-0000-000006180000}"/>
    <cellStyle name="출력 2 5" xfId="6150" xr:uid="{00000000-0005-0000-0000-000007180000}"/>
    <cellStyle name="출력 2 6" xfId="6151" xr:uid="{00000000-0005-0000-0000-000008180000}"/>
    <cellStyle name="출력 2 7" xfId="6152" xr:uid="{00000000-0005-0000-0000-000009180000}"/>
    <cellStyle name="출력 2 8" xfId="6153" xr:uid="{00000000-0005-0000-0000-00000A180000}"/>
    <cellStyle name="출력 2 9" xfId="6154" xr:uid="{00000000-0005-0000-0000-00000B180000}"/>
    <cellStyle name="출력 20" xfId="6155" xr:uid="{00000000-0005-0000-0000-00000C180000}"/>
    <cellStyle name="출력 21" xfId="6156" xr:uid="{00000000-0005-0000-0000-00000D180000}"/>
    <cellStyle name="출력 22" xfId="6157" xr:uid="{00000000-0005-0000-0000-00000E180000}"/>
    <cellStyle name="출력 23" xfId="6158" xr:uid="{00000000-0005-0000-0000-00000F180000}"/>
    <cellStyle name="출력 24" xfId="6159" xr:uid="{00000000-0005-0000-0000-000010180000}"/>
    <cellStyle name="출력 3" xfId="6160" xr:uid="{00000000-0005-0000-0000-000011180000}"/>
    <cellStyle name="출력 3 10" xfId="6161" xr:uid="{00000000-0005-0000-0000-000012180000}"/>
    <cellStyle name="출력 3 11" xfId="6162" xr:uid="{00000000-0005-0000-0000-000013180000}"/>
    <cellStyle name="출력 3 12" xfId="6163" xr:uid="{00000000-0005-0000-0000-000014180000}"/>
    <cellStyle name="출력 3 13" xfId="6164" xr:uid="{00000000-0005-0000-0000-000015180000}"/>
    <cellStyle name="출력 3 14" xfId="6165" xr:uid="{00000000-0005-0000-0000-000016180000}"/>
    <cellStyle name="출력 3 2" xfId="6166" xr:uid="{00000000-0005-0000-0000-000017180000}"/>
    <cellStyle name="출력 3 3" xfId="6167" xr:uid="{00000000-0005-0000-0000-000018180000}"/>
    <cellStyle name="출력 3 4" xfId="6168" xr:uid="{00000000-0005-0000-0000-000019180000}"/>
    <cellStyle name="출력 3 5" xfId="6169" xr:uid="{00000000-0005-0000-0000-00001A180000}"/>
    <cellStyle name="출력 3 6" xfId="6170" xr:uid="{00000000-0005-0000-0000-00001B180000}"/>
    <cellStyle name="출력 3 7" xfId="6171" xr:uid="{00000000-0005-0000-0000-00001C180000}"/>
    <cellStyle name="출력 3 8" xfId="6172" xr:uid="{00000000-0005-0000-0000-00001D180000}"/>
    <cellStyle name="출력 3 9" xfId="6173" xr:uid="{00000000-0005-0000-0000-00001E180000}"/>
    <cellStyle name="출력 4" xfId="6174" xr:uid="{00000000-0005-0000-0000-00001F180000}"/>
    <cellStyle name="출력 5" xfId="6175" xr:uid="{00000000-0005-0000-0000-000020180000}"/>
    <cellStyle name="출력 6" xfId="6176" xr:uid="{00000000-0005-0000-0000-000021180000}"/>
    <cellStyle name="출력 7" xfId="6177" xr:uid="{00000000-0005-0000-0000-000022180000}"/>
    <cellStyle name="출력 8" xfId="6178" xr:uid="{00000000-0005-0000-0000-000023180000}"/>
    <cellStyle name="출력 9" xfId="6179" xr:uid="{00000000-0005-0000-0000-000024180000}"/>
    <cellStyle name="켕? X0]_PB_x000b_900_x0013_" xfId="6180" xr:uid="{00000000-0005-0000-0000-000025180000}"/>
    <cellStyle name="켕를 P0]_쟝붾06_x0010_7" xfId="6181" xr:uid="{00000000-0005-0000-0000-000026180000}"/>
    <cellStyle name="켕를_@I_x0013_T01&quot;4" xfId="6182" xr:uid="{00000000-0005-0000-0000-000027180000}"/>
    <cellStyle name="켠? P0_x000d__HI_x0013_T95_x0010_3" xfId="6183" xr:uid="{00000000-0005-0000-0000-000028180000}"/>
    <cellStyle name="켠툎 P0]_@ICT0503Z1" xfId="6184" xr:uid="{00000000-0005-0000-0000-000029180000}"/>
    <cellStyle name="켬?_@IST05_x0010_3" xfId="6185" xr:uid="{00000000-0005-0000-0000-00002A180000}"/>
    <cellStyle name="켬툟_RBK" xfId="6186" xr:uid="{00000000-0005-0000-0000-00002B180000}"/>
    <cellStyle name="켯툟 [0]_Rh_x0005_et1" xfId="6187" xr:uid="{00000000-0005-0000-0000-00002C180000}"/>
    <cellStyle name="켱마 P0M_@IST01_x0002_4" xfId="6188" xr:uid="{00000000-0005-0000-0000-00002D180000}"/>
    <cellStyle name="켱마_PERSANAL" xfId="6189" xr:uid="{00000000-0005-0000-0000-00002E180000}"/>
    <cellStyle name="코?_지붾06_x0010_7" xfId="6190" xr:uid="{00000000-0005-0000-0000-00002F180000}"/>
    <cellStyle name="코마_지꾨0124" xfId="6191" xr:uid="{00000000-0005-0000-0000-000030180000}"/>
    <cellStyle name="콘툎 P0]_SB_x000b_9403_HIST1503" xfId="6192" xr:uid="{00000000-0005-0000-0000-000031180000}"/>
    <cellStyle name="콤? [0]" xfId="6193" xr:uid="{00000000-0005-0000-0000-000032180000}"/>
    <cellStyle name="콤냡?&lt;_x000f_$??: `1_1" xfId="6194" xr:uid="{00000000-0005-0000-0000-000033180000}"/>
    <cellStyle name="콤릈_laroux_2" xfId="6195" xr:uid="{00000000-0005-0000-0000-000034180000}"/>
    <cellStyle name="콤마 [0]_  RANGE " xfId="6196" xr:uid="{00000000-0005-0000-0000-000035180000}"/>
    <cellStyle name="콤마 [0]-총계" xfId="6197" xr:uid="{00000000-0005-0000-0000-000036180000}"/>
    <cellStyle name="콤마 [0]-합계" xfId="6198" xr:uid="{00000000-0005-0000-0000-000037180000}"/>
    <cellStyle name="콤마 [0]-합계2" xfId="6199" xr:uid="{00000000-0005-0000-0000-000038180000}"/>
    <cellStyle name="콤마 [000]" xfId="6200" xr:uid="{00000000-0005-0000-0000-000039180000}"/>
    <cellStyle name="콤마 [2]" xfId="6201" xr:uid="{00000000-0005-0000-0000-00003A180000}"/>
    <cellStyle name="콤마 [kcd]" xfId="6202" xr:uid="{00000000-0005-0000-0000-00003B180000}"/>
    <cellStyle name="콤마[0]" xfId="6203" xr:uid="{00000000-0005-0000-0000-00003C180000}"/>
    <cellStyle name="콤마_  RANGE " xfId="6204" xr:uid="{00000000-0005-0000-0000-00003D180000}"/>
    <cellStyle name="쾰화_증컿요인 (2(_자금운쇌 " xfId="6205" xr:uid="{00000000-0005-0000-0000-00003E180000}"/>
    <cellStyle name="쿯뱐 [0]_PERSONAL" xfId="6206" xr:uid="{00000000-0005-0000-0000-00003F180000}"/>
    <cellStyle name="쿯뱐[0]_laroux" xfId="6207" xr:uid="{00000000-0005-0000-0000-000040180000}"/>
    <cellStyle name="쿯뱐_laroux" xfId="6208" xr:uid="{00000000-0005-0000-0000-000041180000}"/>
    <cellStyle name="테두리(실선)" xfId="6209" xr:uid="{00000000-0005-0000-0000-000042180000}"/>
    <cellStyle name="통_회사개요" xfId="6210" xr:uid="{00000000-0005-0000-0000-000043180000}"/>
    <cellStyle name="통화 [￡]" xfId="6211" xr:uid="{00000000-0005-0000-0000-000044180000}"/>
    <cellStyle name="통화 [￥]" xfId="6212" xr:uid="{00000000-0005-0000-0000-000045180000}"/>
    <cellStyle name="통화 [\]" xfId="6213" xr:uid="{00000000-0005-0000-0000-000046180000}"/>
    <cellStyle name="통화 [0ɝ_laroux_성일개발(주)현금흐름표" xfId="6214" xr:uid="{00000000-0005-0000-0000-000047180000}"/>
    <cellStyle name="통화 [0ဠ_Model mix1_원가 " xfId="6215" xr:uid="{00000000-0005-0000-0000-000048180000}"/>
    <cellStyle name="통화 [1]" xfId="6216" xr:uid="{00000000-0005-0000-0000-000049180000}"/>
    <cellStyle name="통화 [U$]" xfId="6217" xr:uid="{00000000-0005-0000-0000-00004A180000}"/>
    <cellStyle name="통화(￥)" xfId="6218" xr:uid="{00000000-0005-0000-0000-00004B180000}"/>
    <cellStyle name="통화(￥) 2" xfId="6219" xr:uid="{00000000-0005-0000-0000-00004C180000}"/>
    <cellStyle name="통화(DM)" xfId="6220" xr:uid="{00000000-0005-0000-0000-00004D180000}"/>
    <cellStyle name="통화(DM) 2" xfId="6221" xr:uid="{00000000-0005-0000-0000-00004E180000}"/>
    <cellStyle name="튡" xfId="6222" xr:uid="{00000000-0005-0000-0000-00004F180000}"/>
    <cellStyle name="퍼센트" xfId="6223" xr:uid="{00000000-0005-0000-0000-000050180000}"/>
    <cellStyle name="표 제목" xfId="6224" xr:uid="{00000000-0005-0000-0000-000051180000}"/>
    <cellStyle name="표 중간" xfId="6225" xr:uid="{00000000-0005-0000-0000-000052180000}"/>
    <cellStyle name="표준" xfId="0" builtinId="0"/>
    <cellStyle name="표준 10" xfId="6226" xr:uid="{00000000-0005-0000-0000-000054180000}"/>
    <cellStyle name="표준 100" xfId="6227" xr:uid="{00000000-0005-0000-0000-000055180000}"/>
    <cellStyle name="표준 101" xfId="6228" xr:uid="{00000000-0005-0000-0000-000056180000}"/>
    <cellStyle name="표준 102" xfId="6229" xr:uid="{00000000-0005-0000-0000-000057180000}"/>
    <cellStyle name="표준 103" xfId="6230" xr:uid="{00000000-0005-0000-0000-000058180000}"/>
    <cellStyle name="표준 104" xfId="6231" xr:uid="{00000000-0005-0000-0000-000059180000}"/>
    <cellStyle name="표준 105" xfId="6232" xr:uid="{00000000-0005-0000-0000-00005A180000}"/>
    <cellStyle name="표준 106" xfId="6233" xr:uid="{00000000-0005-0000-0000-00005B180000}"/>
    <cellStyle name="표준 107" xfId="6234" xr:uid="{00000000-0005-0000-0000-00005C180000}"/>
    <cellStyle name="표준 108" xfId="6235" xr:uid="{00000000-0005-0000-0000-00005D180000}"/>
    <cellStyle name="표준 109" xfId="6236" xr:uid="{00000000-0005-0000-0000-00005E180000}"/>
    <cellStyle name="표준 11" xfId="6237" xr:uid="{00000000-0005-0000-0000-00005F180000}"/>
    <cellStyle name="표준 110" xfId="6238" xr:uid="{00000000-0005-0000-0000-000060180000}"/>
    <cellStyle name="표준 111" xfId="6239" xr:uid="{00000000-0005-0000-0000-000061180000}"/>
    <cellStyle name="표준 112" xfId="6240" xr:uid="{00000000-0005-0000-0000-000062180000}"/>
    <cellStyle name="표준 113" xfId="6241" xr:uid="{00000000-0005-0000-0000-000063180000}"/>
    <cellStyle name="표준 114" xfId="6242" xr:uid="{00000000-0005-0000-0000-000064180000}"/>
    <cellStyle name="표준 115" xfId="6243" xr:uid="{00000000-0005-0000-0000-000065180000}"/>
    <cellStyle name="표준 116" xfId="6244" xr:uid="{00000000-0005-0000-0000-000066180000}"/>
    <cellStyle name="표준 117" xfId="6245" xr:uid="{00000000-0005-0000-0000-000067180000}"/>
    <cellStyle name="표준 118" xfId="6246" xr:uid="{00000000-0005-0000-0000-000068180000}"/>
    <cellStyle name="표준 119" xfId="6247" xr:uid="{00000000-0005-0000-0000-000069180000}"/>
    <cellStyle name="표준 12" xfId="6248" xr:uid="{00000000-0005-0000-0000-00006A180000}"/>
    <cellStyle name="표준 120" xfId="6249" xr:uid="{00000000-0005-0000-0000-00006B180000}"/>
    <cellStyle name="표준 121" xfId="6250" xr:uid="{00000000-0005-0000-0000-00006C180000}"/>
    <cellStyle name="표준 122" xfId="6251" xr:uid="{00000000-0005-0000-0000-00006D180000}"/>
    <cellStyle name="표준 123" xfId="6252" xr:uid="{00000000-0005-0000-0000-00006E180000}"/>
    <cellStyle name="표준 124" xfId="6253" xr:uid="{00000000-0005-0000-0000-00006F180000}"/>
    <cellStyle name="표준 125" xfId="6254" xr:uid="{00000000-0005-0000-0000-000070180000}"/>
    <cellStyle name="표준 126" xfId="6255" xr:uid="{00000000-0005-0000-0000-000071180000}"/>
    <cellStyle name="표준 127" xfId="6256" xr:uid="{00000000-0005-0000-0000-000072180000}"/>
    <cellStyle name="표준 128" xfId="6257" xr:uid="{00000000-0005-0000-0000-000073180000}"/>
    <cellStyle name="표준 129" xfId="6258" xr:uid="{00000000-0005-0000-0000-000074180000}"/>
    <cellStyle name="표준 13" xfId="6259" xr:uid="{00000000-0005-0000-0000-000075180000}"/>
    <cellStyle name="표준 13 2" xfId="6260" xr:uid="{00000000-0005-0000-0000-000076180000}"/>
    <cellStyle name="표준 13 3" xfId="6261" xr:uid="{00000000-0005-0000-0000-000077180000}"/>
    <cellStyle name="표준 13 4" xfId="6262" xr:uid="{00000000-0005-0000-0000-000078180000}"/>
    <cellStyle name="표준 13_대손상각비 검토" xfId="6263" xr:uid="{00000000-0005-0000-0000-000079180000}"/>
    <cellStyle name="표준 130" xfId="6264" xr:uid="{00000000-0005-0000-0000-00007A180000}"/>
    <cellStyle name="표준 131" xfId="6265" xr:uid="{00000000-0005-0000-0000-00007B180000}"/>
    <cellStyle name="표준 132" xfId="6266" xr:uid="{00000000-0005-0000-0000-00007C180000}"/>
    <cellStyle name="표준 133" xfId="6267" xr:uid="{00000000-0005-0000-0000-00007D180000}"/>
    <cellStyle name="표준 134" xfId="6268" xr:uid="{00000000-0005-0000-0000-00007E180000}"/>
    <cellStyle name="표준 135" xfId="6269" xr:uid="{00000000-0005-0000-0000-00007F180000}"/>
    <cellStyle name="표준 136" xfId="6270" xr:uid="{00000000-0005-0000-0000-000080180000}"/>
    <cellStyle name="표준 137" xfId="6271" xr:uid="{00000000-0005-0000-0000-000081180000}"/>
    <cellStyle name="표준 138" xfId="6272" xr:uid="{00000000-0005-0000-0000-000082180000}"/>
    <cellStyle name="표준 139" xfId="6273" xr:uid="{00000000-0005-0000-0000-000083180000}"/>
    <cellStyle name="표준 14" xfId="6274" xr:uid="{00000000-0005-0000-0000-000084180000}"/>
    <cellStyle name="표준 140" xfId="6275" xr:uid="{00000000-0005-0000-0000-000085180000}"/>
    <cellStyle name="표준 141" xfId="6276" xr:uid="{00000000-0005-0000-0000-000086180000}"/>
    <cellStyle name="표준 142" xfId="6277" xr:uid="{00000000-0005-0000-0000-000087180000}"/>
    <cellStyle name="표준 143" xfId="6278" xr:uid="{00000000-0005-0000-0000-000088180000}"/>
    <cellStyle name="표준 144" xfId="6279" xr:uid="{00000000-0005-0000-0000-000089180000}"/>
    <cellStyle name="표준 145" xfId="6280" xr:uid="{00000000-0005-0000-0000-00008A180000}"/>
    <cellStyle name="표준 146" xfId="6281" xr:uid="{00000000-0005-0000-0000-00008B180000}"/>
    <cellStyle name="표준 147" xfId="6282" xr:uid="{00000000-0005-0000-0000-00008C180000}"/>
    <cellStyle name="표준 148" xfId="6283" xr:uid="{00000000-0005-0000-0000-00008D180000}"/>
    <cellStyle name="표준 149" xfId="6284" xr:uid="{00000000-0005-0000-0000-00008E180000}"/>
    <cellStyle name="표준 15" xfId="6285" xr:uid="{00000000-0005-0000-0000-00008F180000}"/>
    <cellStyle name="표준 15 2" xfId="6286" xr:uid="{00000000-0005-0000-0000-000090180000}"/>
    <cellStyle name="표준 150" xfId="6287" xr:uid="{00000000-0005-0000-0000-000091180000}"/>
    <cellStyle name="표준 151" xfId="6288" xr:uid="{00000000-0005-0000-0000-000092180000}"/>
    <cellStyle name="표준 152" xfId="6289" xr:uid="{00000000-0005-0000-0000-000093180000}"/>
    <cellStyle name="표준 153" xfId="6290" xr:uid="{00000000-0005-0000-0000-000094180000}"/>
    <cellStyle name="표준 153 2" xfId="6291" xr:uid="{00000000-0005-0000-0000-000095180000}"/>
    <cellStyle name="표준 153 3" xfId="6292" xr:uid="{00000000-0005-0000-0000-000096180000}"/>
    <cellStyle name="표준 154" xfId="6293" xr:uid="{00000000-0005-0000-0000-000097180000}"/>
    <cellStyle name="표준 154 2" xfId="6294" xr:uid="{00000000-0005-0000-0000-000098180000}"/>
    <cellStyle name="표준 154 3" xfId="6295" xr:uid="{00000000-0005-0000-0000-000099180000}"/>
    <cellStyle name="표준 155" xfId="6296" xr:uid="{00000000-0005-0000-0000-00009A180000}"/>
    <cellStyle name="표준 155 2" xfId="6297" xr:uid="{00000000-0005-0000-0000-00009B180000}"/>
    <cellStyle name="표준 155 3" xfId="6298" xr:uid="{00000000-0005-0000-0000-00009C180000}"/>
    <cellStyle name="표준 156" xfId="6299" xr:uid="{00000000-0005-0000-0000-00009D180000}"/>
    <cellStyle name="표준 156 2" xfId="6300" xr:uid="{00000000-0005-0000-0000-00009E180000}"/>
    <cellStyle name="표준 156 3" xfId="6301" xr:uid="{00000000-0005-0000-0000-00009F180000}"/>
    <cellStyle name="표준 157" xfId="6302" xr:uid="{00000000-0005-0000-0000-0000A0180000}"/>
    <cellStyle name="표준 157 2" xfId="6303" xr:uid="{00000000-0005-0000-0000-0000A1180000}"/>
    <cellStyle name="표준 157 3" xfId="6304" xr:uid="{00000000-0005-0000-0000-0000A2180000}"/>
    <cellStyle name="표준 158" xfId="6305" xr:uid="{00000000-0005-0000-0000-0000A3180000}"/>
    <cellStyle name="표준 158 2" xfId="6306" xr:uid="{00000000-0005-0000-0000-0000A4180000}"/>
    <cellStyle name="표준 158 3" xfId="6307" xr:uid="{00000000-0005-0000-0000-0000A5180000}"/>
    <cellStyle name="표준 159" xfId="6308" xr:uid="{00000000-0005-0000-0000-0000A6180000}"/>
    <cellStyle name="표준 159 2" xfId="6309" xr:uid="{00000000-0005-0000-0000-0000A7180000}"/>
    <cellStyle name="표준 159 3" xfId="6310" xr:uid="{00000000-0005-0000-0000-0000A8180000}"/>
    <cellStyle name="표준 16" xfId="6311" xr:uid="{00000000-0005-0000-0000-0000A9180000}"/>
    <cellStyle name="표준 160" xfId="6312" xr:uid="{00000000-0005-0000-0000-0000AA180000}"/>
    <cellStyle name="표준 160 2" xfId="6313" xr:uid="{00000000-0005-0000-0000-0000AB180000}"/>
    <cellStyle name="표준 160 3" xfId="6314" xr:uid="{00000000-0005-0000-0000-0000AC180000}"/>
    <cellStyle name="표준 161" xfId="6315" xr:uid="{00000000-0005-0000-0000-0000AD180000}"/>
    <cellStyle name="표준 161 2" xfId="6316" xr:uid="{00000000-0005-0000-0000-0000AE180000}"/>
    <cellStyle name="표준 161 3" xfId="6317" xr:uid="{00000000-0005-0000-0000-0000AF180000}"/>
    <cellStyle name="표준 162" xfId="6318" xr:uid="{00000000-0005-0000-0000-0000B0180000}"/>
    <cellStyle name="표준 163" xfId="6319" xr:uid="{00000000-0005-0000-0000-0000B1180000}"/>
    <cellStyle name="표준 164" xfId="6320" xr:uid="{00000000-0005-0000-0000-0000B2180000}"/>
    <cellStyle name="표준 165" xfId="6321" xr:uid="{00000000-0005-0000-0000-0000B3180000}"/>
    <cellStyle name="표준 166" xfId="6322" xr:uid="{00000000-0005-0000-0000-0000B4180000}"/>
    <cellStyle name="표준 167" xfId="6323" xr:uid="{00000000-0005-0000-0000-0000B5180000}"/>
    <cellStyle name="표준 168" xfId="6324" xr:uid="{00000000-0005-0000-0000-0000B6180000}"/>
    <cellStyle name="표준 169" xfId="6325" xr:uid="{00000000-0005-0000-0000-0000B7180000}"/>
    <cellStyle name="표준 17" xfId="6326" xr:uid="{00000000-0005-0000-0000-0000B8180000}"/>
    <cellStyle name="표준 170" xfId="6327" xr:uid="{00000000-0005-0000-0000-0000B9180000}"/>
    <cellStyle name="표준 171" xfId="6328" xr:uid="{00000000-0005-0000-0000-0000BA180000}"/>
    <cellStyle name="표준 172" xfId="6329" xr:uid="{00000000-0005-0000-0000-0000BB180000}"/>
    <cellStyle name="표준 173" xfId="6330" xr:uid="{00000000-0005-0000-0000-0000BC180000}"/>
    <cellStyle name="표준 174" xfId="6331" xr:uid="{00000000-0005-0000-0000-0000BD180000}"/>
    <cellStyle name="표준 175" xfId="6332" xr:uid="{00000000-0005-0000-0000-0000BE180000}"/>
    <cellStyle name="표준 176" xfId="6333" xr:uid="{00000000-0005-0000-0000-0000BF180000}"/>
    <cellStyle name="표준 177" xfId="6334" xr:uid="{00000000-0005-0000-0000-0000C0180000}"/>
    <cellStyle name="표준 178" xfId="6335" xr:uid="{00000000-0005-0000-0000-0000C1180000}"/>
    <cellStyle name="표준 179" xfId="6336" xr:uid="{00000000-0005-0000-0000-0000C2180000}"/>
    <cellStyle name="표준 18" xfId="6337" xr:uid="{00000000-0005-0000-0000-0000C3180000}"/>
    <cellStyle name="표준 180" xfId="6338" xr:uid="{00000000-0005-0000-0000-0000C4180000}"/>
    <cellStyle name="표준 181" xfId="6339" xr:uid="{00000000-0005-0000-0000-0000C5180000}"/>
    <cellStyle name="표준 182" xfId="6340" xr:uid="{00000000-0005-0000-0000-0000C6180000}"/>
    <cellStyle name="표준 183" xfId="6341" xr:uid="{00000000-0005-0000-0000-0000C7180000}"/>
    <cellStyle name="표준 183 2" xfId="6342" xr:uid="{00000000-0005-0000-0000-0000C8180000}"/>
    <cellStyle name="표준 183 3" xfId="6343" xr:uid="{00000000-0005-0000-0000-0000C9180000}"/>
    <cellStyle name="표준 184" xfId="6344" xr:uid="{00000000-0005-0000-0000-0000CA180000}"/>
    <cellStyle name="표준 184 2" xfId="6345" xr:uid="{00000000-0005-0000-0000-0000CB180000}"/>
    <cellStyle name="표준 184 3" xfId="6346" xr:uid="{00000000-0005-0000-0000-0000CC180000}"/>
    <cellStyle name="표준 185" xfId="6347" xr:uid="{00000000-0005-0000-0000-0000CD180000}"/>
    <cellStyle name="표준 185 2" xfId="6348" xr:uid="{00000000-0005-0000-0000-0000CE180000}"/>
    <cellStyle name="표준 185 3" xfId="6349" xr:uid="{00000000-0005-0000-0000-0000CF180000}"/>
    <cellStyle name="표준 186" xfId="6350" xr:uid="{00000000-0005-0000-0000-0000D0180000}"/>
    <cellStyle name="표준 186 2" xfId="6351" xr:uid="{00000000-0005-0000-0000-0000D1180000}"/>
    <cellStyle name="표준 186 3" xfId="6352" xr:uid="{00000000-0005-0000-0000-0000D2180000}"/>
    <cellStyle name="표준 187" xfId="6353" xr:uid="{00000000-0005-0000-0000-0000D3180000}"/>
    <cellStyle name="표준 187 2" xfId="6354" xr:uid="{00000000-0005-0000-0000-0000D4180000}"/>
    <cellStyle name="표준 187 3" xfId="6355" xr:uid="{00000000-0005-0000-0000-0000D5180000}"/>
    <cellStyle name="표준 188" xfId="6356" xr:uid="{00000000-0005-0000-0000-0000D6180000}"/>
    <cellStyle name="표준 188 2" xfId="6357" xr:uid="{00000000-0005-0000-0000-0000D7180000}"/>
    <cellStyle name="표준 188 3" xfId="6358" xr:uid="{00000000-0005-0000-0000-0000D8180000}"/>
    <cellStyle name="표준 189" xfId="6359" xr:uid="{00000000-0005-0000-0000-0000D9180000}"/>
    <cellStyle name="표준 189 2" xfId="6360" xr:uid="{00000000-0005-0000-0000-0000DA180000}"/>
    <cellStyle name="표준 189 3" xfId="6361" xr:uid="{00000000-0005-0000-0000-0000DB180000}"/>
    <cellStyle name="표준 19" xfId="6362" xr:uid="{00000000-0005-0000-0000-0000DC180000}"/>
    <cellStyle name="표준 190" xfId="6363" xr:uid="{00000000-0005-0000-0000-0000DD180000}"/>
    <cellStyle name="표준 191" xfId="6364" xr:uid="{00000000-0005-0000-0000-0000DE180000}"/>
    <cellStyle name="표준 192" xfId="6365" xr:uid="{00000000-0005-0000-0000-0000DF180000}"/>
    <cellStyle name="표준 193" xfId="6366" xr:uid="{00000000-0005-0000-0000-0000E0180000}"/>
    <cellStyle name="표준 194" xfId="6367" xr:uid="{00000000-0005-0000-0000-0000E1180000}"/>
    <cellStyle name="표준 194 2" xfId="6368" xr:uid="{00000000-0005-0000-0000-0000E2180000}"/>
    <cellStyle name="표준 194 3" xfId="6369" xr:uid="{00000000-0005-0000-0000-0000E3180000}"/>
    <cellStyle name="표준 195" xfId="6370" xr:uid="{00000000-0005-0000-0000-0000E4180000}"/>
    <cellStyle name="표준 195 2" xfId="6371" xr:uid="{00000000-0005-0000-0000-0000E5180000}"/>
    <cellStyle name="표준 195 3" xfId="6372" xr:uid="{00000000-0005-0000-0000-0000E6180000}"/>
    <cellStyle name="표준 196" xfId="6373" xr:uid="{00000000-0005-0000-0000-0000E7180000}"/>
    <cellStyle name="표준 196 2" xfId="6374" xr:uid="{00000000-0005-0000-0000-0000E8180000}"/>
    <cellStyle name="표준 196 3" xfId="6375" xr:uid="{00000000-0005-0000-0000-0000E9180000}"/>
    <cellStyle name="표준 197" xfId="6376" xr:uid="{00000000-0005-0000-0000-0000EA180000}"/>
    <cellStyle name="표준 198" xfId="6377" xr:uid="{00000000-0005-0000-0000-0000EB180000}"/>
    <cellStyle name="표준 199" xfId="6378" xr:uid="{00000000-0005-0000-0000-0000EC180000}"/>
    <cellStyle name="표준 2" xfId="6" xr:uid="{00000000-0005-0000-0000-0000ED180000}"/>
    <cellStyle name="표준 2 19" xfId="6379" xr:uid="{00000000-0005-0000-0000-0000EE180000}"/>
    <cellStyle name="표준 2 2" xfId="18" xr:uid="{00000000-0005-0000-0000-0000EF180000}"/>
    <cellStyle name="표준 2 2 2" xfId="6380" xr:uid="{00000000-0005-0000-0000-0000F0180000}"/>
    <cellStyle name="표준 2 2 3" xfId="6381" xr:uid="{00000000-0005-0000-0000-0000F1180000}"/>
    <cellStyle name="표준 2 2 4" xfId="6592" xr:uid="{00000000-0005-0000-0000-0000F2180000}"/>
    <cellStyle name="표준 2 3" xfId="17" xr:uid="{00000000-0005-0000-0000-0000F3180000}"/>
    <cellStyle name="표준 2 4" xfId="6382" xr:uid="{00000000-0005-0000-0000-0000F4180000}"/>
    <cellStyle name="표준 2 5" xfId="6383" xr:uid="{00000000-0005-0000-0000-0000F5180000}"/>
    <cellStyle name="표준 2 6" xfId="6591" xr:uid="{00000000-0005-0000-0000-0000F6180000}"/>
    <cellStyle name="표준 2 9" xfId="6384" xr:uid="{00000000-0005-0000-0000-0000F7180000}"/>
    <cellStyle name="표준 2_Capex구분format" xfId="6385" xr:uid="{00000000-0005-0000-0000-0000F8180000}"/>
    <cellStyle name="표준 20" xfId="6386" xr:uid="{00000000-0005-0000-0000-0000F9180000}"/>
    <cellStyle name="표준 200" xfId="6387" xr:uid="{00000000-0005-0000-0000-0000FA180000}"/>
    <cellStyle name="표준 201" xfId="6388" xr:uid="{00000000-0005-0000-0000-0000FB180000}"/>
    <cellStyle name="표준 202" xfId="6389" xr:uid="{00000000-0005-0000-0000-0000FC180000}"/>
    <cellStyle name="표준 202 2" xfId="6390" xr:uid="{00000000-0005-0000-0000-0000FD180000}"/>
    <cellStyle name="표준 202 3" xfId="6391" xr:uid="{00000000-0005-0000-0000-0000FE180000}"/>
    <cellStyle name="표준 203" xfId="6392" xr:uid="{00000000-0005-0000-0000-0000FF180000}"/>
    <cellStyle name="표준 203 2" xfId="6393" xr:uid="{00000000-0005-0000-0000-000000190000}"/>
    <cellStyle name="표준 203 3" xfId="6394" xr:uid="{00000000-0005-0000-0000-000001190000}"/>
    <cellStyle name="표준 204" xfId="6395" xr:uid="{00000000-0005-0000-0000-000002190000}"/>
    <cellStyle name="표준 204 2" xfId="6396" xr:uid="{00000000-0005-0000-0000-000003190000}"/>
    <cellStyle name="표준 204 3" xfId="6397" xr:uid="{00000000-0005-0000-0000-000004190000}"/>
    <cellStyle name="표준 205" xfId="6398" xr:uid="{00000000-0005-0000-0000-000005190000}"/>
    <cellStyle name="표준 205 2" xfId="6399" xr:uid="{00000000-0005-0000-0000-000006190000}"/>
    <cellStyle name="표준 205 3" xfId="6400" xr:uid="{00000000-0005-0000-0000-000007190000}"/>
    <cellStyle name="표준 206" xfId="6401" xr:uid="{00000000-0005-0000-0000-000008190000}"/>
    <cellStyle name="표준 206 2" xfId="6402" xr:uid="{00000000-0005-0000-0000-000009190000}"/>
    <cellStyle name="표준 206 3" xfId="6403" xr:uid="{00000000-0005-0000-0000-00000A190000}"/>
    <cellStyle name="표준 207" xfId="6404" xr:uid="{00000000-0005-0000-0000-00000B190000}"/>
    <cellStyle name="표준 207 2" xfId="6405" xr:uid="{00000000-0005-0000-0000-00000C190000}"/>
    <cellStyle name="표준 207 3" xfId="6406" xr:uid="{00000000-0005-0000-0000-00000D190000}"/>
    <cellStyle name="표준 208" xfId="6407" xr:uid="{00000000-0005-0000-0000-00000E190000}"/>
    <cellStyle name="표준 208 2" xfId="6408" xr:uid="{00000000-0005-0000-0000-00000F190000}"/>
    <cellStyle name="표준 208 3" xfId="6409" xr:uid="{00000000-0005-0000-0000-000010190000}"/>
    <cellStyle name="표준 209" xfId="6410" xr:uid="{00000000-0005-0000-0000-000011190000}"/>
    <cellStyle name="표준 209 2" xfId="6411" xr:uid="{00000000-0005-0000-0000-000012190000}"/>
    <cellStyle name="표준 209 3" xfId="6412" xr:uid="{00000000-0005-0000-0000-000013190000}"/>
    <cellStyle name="표준 21" xfId="6413" xr:uid="{00000000-0005-0000-0000-000014190000}"/>
    <cellStyle name="표준 210" xfId="6414" xr:uid="{00000000-0005-0000-0000-000015190000}"/>
    <cellStyle name="표준 210 2" xfId="6415" xr:uid="{00000000-0005-0000-0000-000016190000}"/>
    <cellStyle name="표준 210 3" xfId="6416" xr:uid="{00000000-0005-0000-0000-000017190000}"/>
    <cellStyle name="표준 211" xfId="6417" xr:uid="{00000000-0005-0000-0000-000018190000}"/>
    <cellStyle name="표준 211 2" xfId="6418" xr:uid="{00000000-0005-0000-0000-000019190000}"/>
    <cellStyle name="표준 211 3" xfId="6419" xr:uid="{00000000-0005-0000-0000-00001A190000}"/>
    <cellStyle name="표준 212" xfId="6420" xr:uid="{00000000-0005-0000-0000-00001B190000}"/>
    <cellStyle name="표준 212 2" xfId="6421" xr:uid="{00000000-0005-0000-0000-00001C190000}"/>
    <cellStyle name="표준 212 3" xfId="6422" xr:uid="{00000000-0005-0000-0000-00001D190000}"/>
    <cellStyle name="표준 213" xfId="6423" xr:uid="{00000000-0005-0000-0000-00001E190000}"/>
    <cellStyle name="표준 213 2" xfId="6424" xr:uid="{00000000-0005-0000-0000-00001F190000}"/>
    <cellStyle name="표준 213 3" xfId="6425" xr:uid="{00000000-0005-0000-0000-000020190000}"/>
    <cellStyle name="표준 214" xfId="6426" xr:uid="{00000000-0005-0000-0000-000021190000}"/>
    <cellStyle name="표준 214 2" xfId="6427" xr:uid="{00000000-0005-0000-0000-000022190000}"/>
    <cellStyle name="표준 214 3" xfId="6428" xr:uid="{00000000-0005-0000-0000-000023190000}"/>
    <cellStyle name="표준 215" xfId="6429" xr:uid="{00000000-0005-0000-0000-000024190000}"/>
    <cellStyle name="표준 216" xfId="6430" xr:uid="{00000000-0005-0000-0000-000025190000}"/>
    <cellStyle name="표준 217" xfId="6431" xr:uid="{00000000-0005-0000-0000-000026190000}"/>
    <cellStyle name="표준 218" xfId="6432" xr:uid="{00000000-0005-0000-0000-000027190000}"/>
    <cellStyle name="표준 219" xfId="6433" xr:uid="{00000000-0005-0000-0000-000028190000}"/>
    <cellStyle name="표준 22" xfId="6434" xr:uid="{00000000-0005-0000-0000-000029190000}"/>
    <cellStyle name="표준 220" xfId="6435" xr:uid="{00000000-0005-0000-0000-00002A190000}"/>
    <cellStyle name="표준 221" xfId="6436" xr:uid="{00000000-0005-0000-0000-00002B190000}"/>
    <cellStyle name="표준 222" xfId="6437" xr:uid="{00000000-0005-0000-0000-00002C190000}"/>
    <cellStyle name="표준 223" xfId="6438" xr:uid="{00000000-0005-0000-0000-00002D190000}"/>
    <cellStyle name="표준 224" xfId="6439" xr:uid="{00000000-0005-0000-0000-00002E190000}"/>
    <cellStyle name="표준 225" xfId="6440" xr:uid="{00000000-0005-0000-0000-00002F190000}"/>
    <cellStyle name="표준 226" xfId="6441" xr:uid="{00000000-0005-0000-0000-000030190000}"/>
    <cellStyle name="표준 227" xfId="6442" xr:uid="{00000000-0005-0000-0000-000031190000}"/>
    <cellStyle name="표준 228" xfId="6443" xr:uid="{00000000-0005-0000-0000-000032190000}"/>
    <cellStyle name="표준 229" xfId="6444" xr:uid="{00000000-0005-0000-0000-000033190000}"/>
    <cellStyle name="표준 23" xfId="6445" xr:uid="{00000000-0005-0000-0000-000034190000}"/>
    <cellStyle name="표준 230" xfId="6446" xr:uid="{00000000-0005-0000-0000-000035190000}"/>
    <cellStyle name="표준 231" xfId="6447" xr:uid="{00000000-0005-0000-0000-000036190000}"/>
    <cellStyle name="표준 232" xfId="6448" xr:uid="{00000000-0005-0000-0000-000037190000}"/>
    <cellStyle name="표준 233" xfId="6449" xr:uid="{00000000-0005-0000-0000-000038190000}"/>
    <cellStyle name="표준 234" xfId="6450" xr:uid="{00000000-0005-0000-0000-000039190000}"/>
    <cellStyle name="표준 235" xfId="6451" xr:uid="{00000000-0005-0000-0000-00003A190000}"/>
    <cellStyle name="표준 236" xfId="6452" xr:uid="{00000000-0005-0000-0000-00003B190000}"/>
    <cellStyle name="표준 237" xfId="6453" xr:uid="{00000000-0005-0000-0000-00003C190000}"/>
    <cellStyle name="표준 238" xfId="6454" xr:uid="{00000000-0005-0000-0000-00003D190000}"/>
    <cellStyle name="표준 239" xfId="6455" xr:uid="{00000000-0005-0000-0000-00003E190000}"/>
    <cellStyle name="표준 24" xfId="6456" xr:uid="{00000000-0005-0000-0000-00003F190000}"/>
    <cellStyle name="표준 240" xfId="6457" xr:uid="{00000000-0005-0000-0000-000040190000}"/>
    <cellStyle name="표준 241" xfId="6458" xr:uid="{00000000-0005-0000-0000-000041190000}"/>
    <cellStyle name="표준 242" xfId="6459" xr:uid="{00000000-0005-0000-0000-000042190000}"/>
    <cellStyle name="표준 243" xfId="23" xr:uid="{00000000-0005-0000-0000-000043190000}"/>
    <cellStyle name="표준 244" xfId="6588" xr:uid="{00000000-0005-0000-0000-000044190000}"/>
    <cellStyle name="표준 245" xfId="6595" xr:uid="{00000000-0005-0000-0000-000045190000}"/>
    <cellStyle name="표준 246" xfId="6597" xr:uid="{00000000-0005-0000-0000-000046190000}"/>
    <cellStyle name="표준 247" xfId="6598" xr:uid="{00000000-0005-0000-0000-000047190000}"/>
    <cellStyle name="표준 248" xfId="6602" xr:uid="{00000000-0005-0000-0000-000048190000}"/>
    <cellStyle name="표준 249" xfId="6603" xr:uid="{00000000-0005-0000-0000-000049190000}"/>
    <cellStyle name="표준 25" xfId="6460" xr:uid="{00000000-0005-0000-0000-00004A190000}"/>
    <cellStyle name="표준 250" xfId="6605" xr:uid="{00000000-0005-0000-0000-00004B190000}"/>
    <cellStyle name="표준 251" xfId="6607" xr:uid="{00000000-0005-0000-0000-00004C190000}"/>
    <cellStyle name="표준 252" xfId="6610" xr:uid="{00000000-0005-0000-0000-00004D190000}"/>
    <cellStyle name="표준 253" xfId="6612" xr:uid="{00000000-0005-0000-0000-00004E190000}"/>
    <cellStyle name="표준 254" xfId="6613" xr:uid="{00000000-0005-0000-0000-00004F190000}"/>
    <cellStyle name="표준 26" xfId="6461" xr:uid="{00000000-0005-0000-0000-000050190000}"/>
    <cellStyle name="표준 26 2" xfId="6462" xr:uid="{00000000-0005-0000-0000-000051190000}"/>
    <cellStyle name="표준 27" xfId="6463" xr:uid="{00000000-0005-0000-0000-000052190000}"/>
    <cellStyle name="표준 28" xfId="6464" xr:uid="{00000000-0005-0000-0000-000053190000}"/>
    <cellStyle name="표준 29" xfId="6465" xr:uid="{00000000-0005-0000-0000-000054190000}"/>
    <cellStyle name="표준 3" xfId="12" xr:uid="{00000000-0005-0000-0000-000055190000}"/>
    <cellStyle name="표준 3 2" xfId="6466" xr:uid="{00000000-0005-0000-0000-000056190000}"/>
    <cellStyle name="표준 3 3" xfId="6467" xr:uid="{00000000-0005-0000-0000-000057190000}"/>
    <cellStyle name="표준 3 4" xfId="6468" xr:uid="{00000000-0005-0000-0000-000058190000}"/>
    <cellStyle name="표준 30" xfId="6469" xr:uid="{00000000-0005-0000-0000-000059190000}"/>
    <cellStyle name="표준 31" xfId="6470" xr:uid="{00000000-0005-0000-0000-00005A190000}"/>
    <cellStyle name="표준 32" xfId="6471" xr:uid="{00000000-0005-0000-0000-00005B190000}"/>
    <cellStyle name="표준 33" xfId="6472" xr:uid="{00000000-0005-0000-0000-00005C190000}"/>
    <cellStyle name="표준 34" xfId="6473" xr:uid="{00000000-0005-0000-0000-00005D190000}"/>
    <cellStyle name="표준 35" xfId="6474" xr:uid="{00000000-0005-0000-0000-00005E190000}"/>
    <cellStyle name="표준 36" xfId="6475" xr:uid="{00000000-0005-0000-0000-00005F190000}"/>
    <cellStyle name="표준 37" xfId="6476" xr:uid="{00000000-0005-0000-0000-000060190000}"/>
    <cellStyle name="표준 38" xfId="6477" xr:uid="{00000000-0005-0000-0000-000061190000}"/>
    <cellStyle name="표준 39" xfId="6478" xr:uid="{00000000-0005-0000-0000-000062190000}"/>
    <cellStyle name="표준 4" xfId="8" xr:uid="{00000000-0005-0000-0000-000063190000}"/>
    <cellStyle name="표준 4 2" xfId="6479" xr:uid="{00000000-0005-0000-0000-000064190000}"/>
    <cellStyle name="표준 4 3" xfId="6480" xr:uid="{00000000-0005-0000-0000-000065190000}"/>
    <cellStyle name="표준 4 4" xfId="6590" xr:uid="{00000000-0005-0000-0000-000066190000}"/>
    <cellStyle name="표준 40" xfId="6481" xr:uid="{00000000-0005-0000-0000-000067190000}"/>
    <cellStyle name="표준 41" xfId="6482" xr:uid="{00000000-0005-0000-0000-000068190000}"/>
    <cellStyle name="표준 42" xfId="6483" xr:uid="{00000000-0005-0000-0000-000069190000}"/>
    <cellStyle name="표준 43" xfId="6484" xr:uid="{00000000-0005-0000-0000-00006A190000}"/>
    <cellStyle name="표준 44" xfId="6485" xr:uid="{00000000-0005-0000-0000-00006B190000}"/>
    <cellStyle name="표준 45" xfId="6486" xr:uid="{00000000-0005-0000-0000-00006C190000}"/>
    <cellStyle name="표준 46" xfId="6487" xr:uid="{00000000-0005-0000-0000-00006D190000}"/>
    <cellStyle name="표준 47" xfId="6488" xr:uid="{00000000-0005-0000-0000-00006E190000}"/>
    <cellStyle name="표준 48" xfId="6489" xr:uid="{00000000-0005-0000-0000-00006F190000}"/>
    <cellStyle name="표준 49" xfId="6490" xr:uid="{00000000-0005-0000-0000-000070190000}"/>
    <cellStyle name="표준 5" xfId="19" xr:uid="{00000000-0005-0000-0000-000071190000}"/>
    <cellStyle name="표준 5 2" xfId="6491" xr:uid="{00000000-0005-0000-0000-000072190000}"/>
    <cellStyle name="표준 50" xfId="6492" xr:uid="{00000000-0005-0000-0000-000073190000}"/>
    <cellStyle name="표준 51" xfId="6493" xr:uid="{00000000-0005-0000-0000-000074190000}"/>
    <cellStyle name="표준 52" xfId="6494" xr:uid="{00000000-0005-0000-0000-000075190000}"/>
    <cellStyle name="표준 53" xfId="6495" xr:uid="{00000000-0005-0000-0000-000076190000}"/>
    <cellStyle name="표준 54" xfId="6496" xr:uid="{00000000-0005-0000-0000-000077190000}"/>
    <cellStyle name="표준 55" xfId="6497" xr:uid="{00000000-0005-0000-0000-000078190000}"/>
    <cellStyle name="표준 56" xfId="6498" xr:uid="{00000000-0005-0000-0000-000079190000}"/>
    <cellStyle name="표준 57" xfId="6499" xr:uid="{00000000-0005-0000-0000-00007A190000}"/>
    <cellStyle name="표준 58" xfId="6500" xr:uid="{00000000-0005-0000-0000-00007B190000}"/>
    <cellStyle name="표준 59" xfId="6501" xr:uid="{00000000-0005-0000-0000-00007C190000}"/>
    <cellStyle name="표준 6" xfId="21" xr:uid="{00000000-0005-0000-0000-00007D190000}"/>
    <cellStyle name="표준 60" xfId="6502" xr:uid="{00000000-0005-0000-0000-00007E190000}"/>
    <cellStyle name="표준 61" xfId="6503" xr:uid="{00000000-0005-0000-0000-00007F190000}"/>
    <cellStyle name="표준 62" xfId="6504" xr:uid="{00000000-0005-0000-0000-000080190000}"/>
    <cellStyle name="표준 63" xfId="6505" xr:uid="{00000000-0005-0000-0000-000081190000}"/>
    <cellStyle name="표준 63 2" xfId="6506" xr:uid="{00000000-0005-0000-0000-000082190000}"/>
    <cellStyle name="표준 63 3" xfId="6507" xr:uid="{00000000-0005-0000-0000-000083190000}"/>
    <cellStyle name="표준 64" xfId="6508" xr:uid="{00000000-0005-0000-0000-000084190000}"/>
    <cellStyle name="표준 65" xfId="6509" xr:uid="{00000000-0005-0000-0000-000085190000}"/>
    <cellStyle name="표준 66" xfId="6510" xr:uid="{00000000-0005-0000-0000-000086190000}"/>
    <cellStyle name="표준 67" xfId="6511" xr:uid="{00000000-0005-0000-0000-000087190000}"/>
    <cellStyle name="표준 68" xfId="6512" xr:uid="{00000000-0005-0000-0000-000088190000}"/>
    <cellStyle name="표준 69" xfId="6513" xr:uid="{00000000-0005-0000-0000-000089190000}"/>
    <cellStyle name="표준 7" xfId="6514" xr:uid="{00000000-0005-0000-0000-00008A190000}"/>
    <cellStyle name="표준 70" xfId="6515" xr:uid="{00000000-0005-0000-0000-00008B190000}"/>
    <cellStyle name="표준 71" xfId="6516" xr:uid="{00000000-0005-0000-0000-00008C190000}"/>
    <cellStyle name="표준 72" xfId="6517" xr:uid="{00000000-0005-0000-0000-00008D190000}"/>
    <cellStyle name="표준 73" xfId="6518" xr:uid="{00000000-0005-0000-0000-00008E190000}"/>
    <cellStyle name="표준 74" xfId="6519" xr:uid="{00000000-0005-0000-0000-00008F190000}"/>
    <cellStyle name="표준 75" xfId="6520" xr:uid="{00000000-0005-0000-0000-000090190000}"/>
    <cellStyle name="표준 76" xfId="6521" xr:uid="{00000000-0005-0000-0000-000091190000}"/>
    <cellStyle name="표준 77" xfId="6522" xr:uid="{00000000-0005-0000-0000-000092190000}"/>
    <cellStyle name="표준 78" xfId="6523" xr:uid="{00000000-0005-0000-0000-000093190000}"/>
    <cellStyle name="표준 79" xfId="6524" xr:uid="{00000000-0005-0000-0000-000094190000}"/>
    <cellStyle name="표준 8" xfId="6525" xr:uid="{00000000-0005-0000-0000-000095190000}"/>
    <cellStyle name="표준 80" xfId="6526" xr:uid="{00000000-0005-0000-0000-000096190000}"/>
    <cellStyle name="표준 80 2" xfId="6527" xr:uid="{00000000-0005-0000-0000-000097190000}"/>
    <cellStyle name="표준 80 3" xfId="6528" xr:uid="{00000000-0005-0000-0000-000098190000}"/>
    <cellStyle name="표준 81" xfId="6529" xr:uid="{00000000-0005-0000-0000-000099190000}"/>
    <cellStyle name="표준 81 2" xfId="6530" xr:uid="{00000000-0005-0000-0000-00009A190000}"/>
    <cellStyle name="표준 81 3" xfId="6531" xr:uid="{00000000-0005-0000-0000-00009B190000}"/>
    <cellStyle name="표준 82" xfId="6532" xr:uid="{00000000-0005-0000-0000-00009C190000}"/>
    <cellStyle name="표준 82 2" xfId="6533" xr:uid="{00000000-0005-0000-0000-00009D190000}"/>
    <cellStyle name="표준 82 3" xfId="6534" xr:uid="{00000000-0005-0000-0000-00009E190000}"/>
    <cellStyle name="표준 83" xfId="6535" xr:uid="{00000000-0005-0000-0000-00009F190000}"/>
    <cellStyle name="표준 83 2" xfId="6536" xr:uid="{00000000-0005-0000-0000-0000A0190000}"/>
    <cellStyle name="표준 83 3" xfId="6537" xr:uid="{00000000-0005-0000-0000-0000A1190000}"/>
    <cellStyle name="표준 84" xfId="6538" xr:uid="{00000000-0005-0000-0000-0000A2190000}"/>
    <cellStyle name="표준 84 2" xfId="6539" xr:uid="{00000000-0005-0000-0000-0000A3190000}"/>
    <cellStyle name="표준 84 3" xfId="6540" xr:uid="{00000000-0005-0000-0000-0000A4190000}"/>
    <cellStyle name="표준 85" xfId="6541" xr:uid="{00000000-0005-0000-0000-0000A5190000}"/>
    <cellStyle name="표준 85 2" xfId="6542" xr:uid="{00000000-0005-0000-0000-0000A6190000}"/>
    <cellStyle name="표준 85 3" xfId="6543" xr:uid="{00000000-0005-0000-0000-0000A7190000}"/>
    <cellStyle name="표준 86" xfId="6544" xr:uid="{00000000-0005-0000-0000-0000A8190000}"/>
    <cellStyle name="표준 86 2" xfId="6545" xr:uid="{00000000-0005-0000-0000-0000A9190000}"/>
    <cellStyle name="표준 86 3" xfId="6546" xr:uid="{00000000-0005-0000-0000-0000AA190000}"/>
    <cellStyle name="표준 87" xfId="6547" xr:uid="{00000000-0005-0000-0000-0000AB190000}"/>
    <cellStyle name="표준 87 2" xfId="6548" xr:uid="{00000000-0005-0000-0000-0000AC190000}"/>
    <cellStyle name="표준 87 3" xfId="6549" xr:uid="{00000000-0005-0000-0000-0000AD190000}"/>
    <cellStyle name="표준 88" xfId="6550" xr:uid="{00000000-0005-0000-0000-0000AE190000}"/>
    <cellStyle name="표준 88 2" xfId="6551" xr:uid="{00000000-0005-0000-0000-0000AF190000}"/>
    <cellStyle name="표준 88 3" xfId="6552" xr:uid="{00000000-0005-0000-0000-0000B0190000}"/>
    <cellStyle name="표준 89" xfId="6553" xr:uid="{00000000-0005-0000-0000-0000B1190000}"/>
    <cellStyle name="표준 89 2" xfId="6554" xr:uid="{00000000-0005-0000-0000-0000B2190000}"/>
    <cellStyle name="표준 89 3" xfId="6555" xr:uid="{00000000-0005-0000-0000-0000B3190000}"/>
    <cellStyle name="표준 9" xfId="6556" xr:uid="{00000000-0005-0000-0000-0000B4190000}"/>
    <cellStyle name="표준 90" xfId="6557" xr:uid="{00000000-0005-0000-0000-0000B5190000}"/>
    <cellStyle name="표준 90 2" xfId="6558" xr:uid="{00000000-0005-0000-0000-0000B6190000}"/>
    <cellStyle name="표준 90 3" xfId="6559" xr:uid="{00000000-0005-0000-0000-0000B7190000}"/>
    <cellStyle name="표준 91" xfId="6560" xr:uid="{00000000-0005-0000-0000-0000B8190000}"/>
    <cellStyle name="표준 91 2" xfId="6561" xr:uid="{00000000-0005-0000-0000-0000B9190000}"/>
    <cellStyle name="표준 91 3" xfId="6562" xr:uid="{00000000-0005-0000-0000-0000BA190000}"/>
    <cellStyle name="표준 92" xfId="6563" xr:uid="{00000000-0005-0000-0000-0000BB190000}"/>
    <cellStyle name="표준 92 2" xfId="6564" xr:uid="{00000000-0005-0000-0000-0000BC190000}"/>
    <cellStyle name="표준 92 3" xfId="6565" xr:uid="{00000000-0005-0000-0000-0000BD190000}"/>
    <cellStyle name="표준 93" xfId="6566" xr:uid="{00000000-0005-0000-0000-0000BE190000}"/>
    <cellStyle name="표준 93 2" xfId="6567" xr:uid="{00000000-0005-0000-0000-0000BF190000}"/>
    <cellStyle name="표준 93 3" xfId="6568" xr:uid="{00000000-0005-0000-0000-0000C0190000}"/>
    <cellStyle name="표준 94" xfId="6569" xr:uid="{00000000-0005-0000-0000-0000C1190000}"/>
    <cellStyle name="표준 95" xfId="6570" xr:uid="{00000000-0005-0000-0000-0000C2190000}"/>
    <cellStyle name="표준 95 2" xfId="6571" xr:uid="{00000000-0005-0000-0000-0000C3190000}"/>
    <cellStyle name="표준 95 3" xfId="6572" xr:uid="{00000000-0005-0000-0000-0000C4190000}"/>
    <cellStyle name="표준 96" xfId="6573" xr:uid="{00000000-0005-0000-0000-0000C5190000}"/>
    <cellStyle name="표준 97" xfId="6574" xr:uid="{00000000-0005-0000-0000-0000C6190000}"/>
    <cellStyle name="표준 98" xfId="6575" xr:uid="{00000000-0005-0000-0000-0000C7190000}"/>
    <cellStyle name="표준 99" xfId="6576" xr:uid="{00000000-0005-0000-0000-0000C8190000}"/>
    <cellStyle name="표준(22)" xfId="6577" xr:uid="{00000000-0005-0000-0000-0000C9190000}"/>
    <cellStyle name="표준(중앙)" xfId="6578" xr:uid="{00000000-0005-0000-0000-0000CA190000}"/>
    <cellStyle name="標準_Akia(F）-8" xfId="6579" xr:uid="{00000000-0005-0000-0000-0000CB190000}"/>
    <cellStyle name="표준_전체기업 2" xfId="24" xr:uid="{00000000-0005-0000-0000-0000CC190000}"/>
    <cellStyle name="표준_표준재무제표(양식)_080109-1" xfId="2" xr:uid="{00000000-0005-0000-0000-0000CD190000}"/>
    <cellStyle name="표준△서식" xfId="6580" xr:uid="{00000000-0005-0000-0000-0000CE190000}"/>
    <cellStyle name="표준22" xfId="6581" xr:uid="{00000000-0005-0000-0000-0000CF190000}"/>
    <cellStyle name="표준-이효주" xfId="6582" xr:uid="{00000000-0005-0000-0000-0000D0190000}"/>
    <cellStyle name="하이퍼링크" xfId="20" builtinId="8"/>
    <cellStyle name="하이퍼링크 2" xfId="11" xr:uid="{00000000-0005-0000-0000-0000D2190000}"/>
    <cellStyle name="합산" xfId="6583" xr:uid="{00000000-0005-0000-0000-0000D3190000}"/>
    <cellStyle name="桁区切り_Mid-Term Sales" xfId="6584" xr:uid="{00000000-0005-0000-0000-0000D4190000}"/>
    <cellStyle name="화폐기호" xfId="6585" xr:uid="{00000000-0005-0000-0000-0000D5190000}"/>
    <cellStyle name="화폐기호0" xfId="6586" xr:uid="{00000000-0005-0000-0000-0000D6190000}"/>
    <cellStyle name="회색테두리" xfId="6587" xr:uid="{00000000-0005-0000-0000-0000D7190000}"/>
  </cellStyles>
  <dxfs count="43">
    <dxf>
      <font>
        <color theme="0"/>
      </font>
      <fill>
        <patternFill>
          <bgColor theme="0"/>
        </patternFill>
      </fill>
      <border>
        <left style="hair">
          <color auto="1"/>
        </left>
        <right style="hair">
          <color auto="1"/>
        </right>
        <top style="hair">
          <color auto="1"/>
        </top>
        <bottom style="hair">
          <color auto="1"/>
        </bottom>
        <vertical/>
        <horizontal/>
      </border>
    </dxf>
    <dxf>
      <fill>
        <patternFill>
          <bgColor rgb="FF00B0F0"/>
        </patternFill>
      </fill>
    </dxf>
    <dxf>
      <fill>
        <patternFill>
          <bgColor rgb="FF00B0F0"/>
        </patternFill>
      </fill>
    </dxf>
    <dxf>
      <fill>
        <patternFill>
          <bgColor theme="0"/>
        </patternFill>
      </fill>
    </dxf>
    <dxf>
      <fill>
        <patternFill>
          <bgColor theme="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bottom/>
        <vertical/>
        <horizontal/>
      </border>
    </dxf>
    <dxf>
      <font>
        <color theme="0"/>
      </font>
      <fill>
        <patternFill patternType="solid">
          <bgColor theme="0"/>
        </patternFill>
      </fill>
      <border>
        <left/>
        <right/>
        <vertical/>
        <horizontal/>
      </border>
    </dxf>
    <dxf>
      <font>
        <color theme="0"/>
      </font>
      <fill>
        <patternFill>
          <bgColor theme="0"/>
        </patternFill>
      </fill>
      <border>
        <left/>
        <right/>
        <bottom/>
        <vertical/>
        <horizontal/>
      </border>
    </dxf>
    <dxf>
      <font>
        <b/>
        <i val="0"/>
        <color rgb="FFFF0000"/>
      </font>
      <fill>
        <patternFill>
          <bgColor theme="9" tint="0.79998168889431442"/>
        </patternFill>
      </fill>
      <border>
        <left style="thin">
          <color rgb="FFFF0000"/>
        </left>
        <right style="thin">
          <color rgb="FFFF0000"/>
        </right>
        <top style="thin">
          <color rgb="FFFF0000"/>
        </top>
        <bottom style="thin">
          <color rgb="FFFF0000"/>
        </bottom>
      </border>
    </dxf>
    <dxf>
      <font>
        <b/>
        <i val="0"/>
      </font>
    </dxf>
    <dxf>
      <font>
        <b/>
        <i val="0"/>
      </font>
    </dxf>
    <dxf>
      <font>
        <b/>
        <i val="0"/>
        <color rgb="FFFF0000"/>
      </font>
    </dxf>
    <dxf>
      <font>
        <b/>
        <i val="0"/>
        <color rgb="FFFF0000"/>
      </font>
    </dxf>
    <dxf>
      <font>
        <b/>
        <i val="0"/>
        <color rgb="FFFF0000"/>
      </font>
    </dxf>
    <dxf>
      <font>
        <b/>
        <i val="0"/>
        <color rgb="FFFF0000"/>
      </font>
    </dxf>
    <dxf>
      <font>
        <b/>
        <i val="0"/>
        <color rgb="FFFF0000"/>
      </font>
    </dxf>
    <dxf>
      <font>
        <b/>
        <i val="0"/>
      </font>
    </dxf>
    <dxf>
      <font>
        <b/>
        <i val="0"/>
        <color rgb="FFFF0000"/>
      </font>
    </dxf>
    <dxf>
      <font>
        <b/>
        <i val="0"/>
        <color rgb="FFFF0000"/>
      </font>
    </dxf>
    <dxf>
      <font>
        <b/>
        <i val="0"/>
        <color rgb="FFFF0000"/>
      </font>
    </dxf>
    <dxf>
      <font>
        <color rgb="FF9C0006"/>
      </font>
      <fill>
        <patternFill>
          <bgColor rgb="FFFFC7CE"/>
        </patternFill>
      </fill>
    </dxf>
    <dxf>
      <font>
        <b/>
        <i val="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FF0000"/>
      </font>
    </dxf>
    <dxf>
      <font>
        <b/>
        <i val="0"/>
        <color rgb="FFFF0000"/>
      </font>
    </dxf>
    <dxf>
      <font>
        <b/>
        <i val="0"/>
        <color rgb="FFFF0000"/>
      </font>
    </dxf>
    <dxf>
      <border>
        <left style="thin">
          <color auto="1"/>
        </left>
        <vertical/>
        <horizontal/>
      </border>
    </dxf>
    <dxf>
      <font>
        <color theme="0"/>
      </font>
      <fill>
        <patternFill>
          <bgColor theme="0"/>
        </patternFill>
      </fill>
      <border>
        <left/>
        <right/>
        <bottom/>
        <vertical/>
        <horizontal/>
      </border>
    </dxf>
    <dxf>
      <font>
        <color theme="0"/>
      </font>
      <fill>
        <patternFill patternType="none">
          <bgColor auto="1"/>
        </patternFill>
      </fill>
      <border>
        <right/>
        <top/>
        <bottom/>
        <vertical/>
        <horizontal/>
      </border>
    </dxf>
    <dxf>
      <font>
        <b/>
        <i val="0"/>
        <color rgb="FFFF0000"/>
      </font>
    </dxf>
  </dxfs>
  <tableStyles count="0" defaultTableStyle="TableStyleMedium2" defaultPivotStyle="PivotStyleLight16"/>
  <colors>
    <mruColors>
      <color rgb="FFFFFFE1"/>
      <color rgb="FF003366"/>
      <color rgb="FF3399FF"/>
      <color rgb="FFFFFFCC"/>
      <color rgb="FFE7FF01"/>
      <color rgb="FF00A7E2"/>
      <color rgb="FFFFD889"/>
      <color rgb="FFFFCC00"/>
      <color rgb="FFFF8B8B"/>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ko-KR"/>
        </a:p>
      </c:txPr>
    </c:title>
    <c:autoTitleDeleted val="0"/>
    <c:plotArea>
      <c:layout/>
      <c:scatterChart>
        <c:scatterStyle val="lineMarker"/>
        <c:varyColors val="0"/>
        <c:ser>
          <c:idx val="0"/>
          <c:order val="0"/>
          <c:tx>
            <c:strRef>
              <c:f>기술수명!$E$7:$J$7</c:f>
              <c:strCache>
                <c:ptCount val="6"/>
                <c:pt idx="0">
                  <c:v>특허인용지수 (TCT)</c:v>
                </c:pt>
              </c:strCache>
            </c:strRef>
          </c:tx>
          <c:spPr>
            <a:ln w="28575">
              <a:noFill/>
            </a:ln>
          </c:spPr>
          <c:marker>
            <c:symbol val="circle"/>
            <c:size val="7"/>
            <c:spPr>
              <a:solidFill>
                <a:schemeClr val="tx2"/>
              </a:solidFill>
            </c:spPr>
          </c:marker>
          <c:dPt>
            <c:idx val="2"/>
            <c:marker>
              <c:spPr>
                <a:solidFill>
                  <a:srgbClr val="FF0000"/>
                </a:solidFill>
                <a:ln>
                  <a:noFill/>
                </a:ln>
              </c:spPr>
            </c:marker>
            <c:bubble3D val="0"/>
            <c:extLst>
              <c:ext xmlns:c16="http://schemas.microsoft.com/office/drawing/2014/chart" uri="{C3380CC4-5D6E-409C-BE32-E72D297353CC}">
                <c16:uniqueId val="{00000000-0C81-4F6A-8786-C299FE785884}"/>
              </c:ext>
            </c:extLst>
          </c:dPt>
          <c:dLbls>
            <c:spPr>
              <a:noFill/>
              <a:ln>
                <a:noFill/>
              </a:ln>
              <a:effectLst/>
            </c:spPr>
            <c:txPr>
              <a:bodyPr/>
              <a:lstStyle/>
              <a:p>
                <a:pPr>
                  <a:defRPr sz="12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기술수명!$F$8:$J$8</c:f>
              <c:strCache>
                <c:ptCount val="5"/>
                <c:pt idx="0">
                  <c:v>Min</c:v>
                </c:pt>
                <c:pt idx="1">
                  <c:v>Q1</c:v>
                </c:pt>
                <c:pt idx="2">
                  <c:v>Q2</c:v>
                </c:pt>
                <c:pt idx="3">
                  <c:v>Q3</c:v>
                </c:pt>
                <c:pt idx="4">
                  <c:v>Max</c:v>
                </c:pt>
              </c:strCache>
            </c:strRef>
          </c:xVal>
          <c:yVal>
            <c:numRef>
              <c:f>기술수명!$F$9:$J$9</c:f>
              <c:numCache>
                <c:formatCode>General</c:formatCode>
                <c:ptCount val="5"/>
                <c:pt idx="0">
                  <c:v>1</c:v>
                </c:pt>
                <c:pt idx="1">
                  <c:v>4</c:v>
                </c:pt>
                <c:pt idx="2">
                  <c:v>8</c:v>
                </c:pt>
                <c:pt idx="3">
                  <c:v>13</c:v>
                </c:pt>
                <c:pt idx="4">
                  <c:v>21</c:v>
                </c:pt>
              </c:numCache>
            </c:numRef>
          </c:yVal>
          <c:smooth val="0"/>
          <c:extLst>
            <c:ext xmlns:c16="http://schemas.microsoft.com/office/drawing/2014/chart" uri="{C3380CC4-5D6E-409C-BE32-E72D297353CC}">
              <c16:uniqueId val="{00000001-0C81-4F6A-8786-C299FE785884}"/>
            </c:ext>
          </c:extLst>
        </c:ser>
        <c:dLbls>
          <c:showLegendKey val="0"/>
          <c:showVal val="0"/>
          <c:showCatName val="0"/>
          <c:showSerName val="0"/>
          <c:showPercent val="0"/>
          <c:showBubbleSize val="0"/>
        </c:dLbls>
        <c:axId val="465822856"/>
        <c:axId val="465820504"/>
      </c:scatterChart>
      <c:valAx>
        <c:axId val="465822856"/>
        <c:scaling>
          <c:orientation val="minMax"/>
        </c:scaling>
        <c:delete val="1"/>
        <c:axPos val="b"/>
        <c:numFmt formatCode="General" sourceLinked="1"/>
        <c:majorTickMark val="out"/>
        <c:minorTickMark val="none"/>
        <c:tickLblPos val="nextTo"/>
        <c:crossAx val="465820504"/>
        <c:crosses val="autoZero"/>
        <c:crossBetween val="midCat"/>
      </c:valAx>
      <c:valAx>
        <c:axId val="465820504"/>
        <c:scaling>
          <c:orientation val="minMax"/>
        </c:scaling>
        <c:delete val="0"/>
        <c:axPos val="l"/>
        <c:majorGridlines>
          <c:spPr>
            <a:ln>
              <a:prstDash val="sysDash"/>
            </a:ln>
          </c:spPr>
        </c:majorGridlines>
        <c:numFmt formatCode="General" sourceLinked="1"/>
        <c:majorTickMark val="out"/>
        <c:minorTickMark val="none"/>
        <c:tickLblPos val="nextTo"/>
        <c:crossAx val="46582285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665003940709967E-2"/>
          <c:y val="6.9162083657530599E-2"/>
          <c:w val="0.89671384072389293"/>
          <c:h val="0.84416203260284284"/>
        </c:manualLayout>
      </c:layout>
      <c:scatterChart>
        <c:scatterStyle val="lineMarker"/>
        <c:varyColors val="0"/>
        <c:ser>
          <c:idx val="0"/>
          <c:order val="0"/>
          <c:spPr>
            <a:ln w="28575">
              <a:noFill/>
            </a:ln>
          </c:spPr>
          <c:marker>
            <c:symbol val="circle"/>
            <c:size val="7"/>
          </c:marker>
          <c:xVal>
            <c:numRef>
              <c:f>기술수명!$F$9:$J$9</c:f>
              <c:numCache>
                <c:formatCode>General</c:formatCode>
                <c:ptCount val="5"/>
                <c:pt idx="0">
                  <c:v>1</c:v>
                </c:pt>
                <c:pt idx="1">
                  <c:v>4</c:v>
                </c:pt>
                <c:pt idx="2">
                  <c:v>8</c:v>
                </c:pt>
                <c:pt idx="3">
                  <c:v>13</c:v>
                </c:pt>
                <c:pt idx="4">
                  <c:v>21</c:v>
                </c:pt>
              </c:numCache>
            </c:numRef>
          </c:xVal>
          <c:yVal>
            <c:numRef>
              <c:f>기술수명!$F$6:$J$6</c:f>
              <c:numCache>
                <c:formatCode>General</c:formatCode>
                <c:ptCount val="5"/>
                <c:pt idx="0">
                  <c:v>0.3</c:v>
                </c:pt>
                <c:pt idx="1">
                  <c:v>1.8</c:v>
                </c:pt>
                <c:pt idx="2">
                  <c:v>3.5</c:v>
                </c:pt>
                <c:pt idx="3">
                  <c:v>1.8</c:v>
                </c:pt>
                <c:pt idx="4">
                  <c:v>0.3</c:v>
                </c:pt>
              </c:numCache>
            </c:numRef>
          </c:yVal>
          <c:smooth val="0"/>
          <c:extLst>
            <c:ext xmlns:c16="http://schemas.microsoft.com/office/drawing/2014/chart" uri="{C3380CC4-5D6E-409C-BE32-E72D297353CC}">
              <c16:uniqueId val="{00000000-2DB9-4D53-9D28-1A402A67AD88}"/>
            </c:ext>
          </c:extLst>
        </c:ser>
        <c:dLbls>
          <c:showLegendKey val="0"/>
          <c:showVal val="0"/>
          <c:showCatName val="0"/>
          <c:showSerName val="0"/>
          <c:showPercent val="0"/>
          <c:showBubbleSize val="0"/>
        </c:dLbls>
        <c:axId val="465816584"/>
        <c:axId val="465816976"/>
      </c:scatterChart>
      <c:valAx>
        <c:axId val="465816584"/>
        <c:scaling>
          <c:orientation val="minMax"/>
        </c:scaling>
        <c:delete val="0"/>
        <c:axPos val="b"/>
        <c:numFmt formatCode="General" sourceLinked="1"/>
        <c:majorTickMark val="out"/>
        <c:minorTickMark val="none"/>
        <c:tickLblPos val="nextTo"/>
        <c:crossAx val="465816976"/>
        <c:crosses val="autoZero"/>
        <c:crossBetween val="midCat"/>
      </c:valAx>
      <c:valAx>
        <c:axId val="465816976"/>
        <c:scaling>
          <c:orientation val="minMax"/>
        </c:scaling>
        <c:delete val="1"/>
        <c:axPos val="l"/>
        <c:majorGridlines>
          <c:spPr>
            <a:ln>
              <a:solidFill>
                <a:schemeClr val="tx1">
                  <a:tint val="75000"/>
                  <a:shade val="95000"/>
                  <a:satMod val="105000"/>
                </a:schemeClr>
              </a:solidFill>
              <a:prstDash val="sysDot"/>
            </a:ln>
          </c:spPr>
        </c:majorGridlines>
        <c:numFmt formatCode="General" sourceLinked="1"/>
        <c:majorTickMark val="out"/>
        <c:minorTickMark val="none"/>
        <c:tickLblPos val="nextTo"/>
        <c:crossAx val="4658165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R$74" fmlaRange="$P$77:$P$82" noThreeD="1" sel="6" val="0"/>
</file>

<file path=xl/ctrlProps/ctrlProp2.xml><?xml version="1.0" encoding="utf-8"?>
<formControlPr xmlns="http://schemas.microsoft.com/office/spreadsheetml/2009/9/main" objectType="Radio" checked="Checked" firstButton="1" fmlaLink="$K$19"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firstButton="1" fmlaLink="$K$20"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2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K$3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checked="Checked" firstButton="1" fmlaLink="$K$34"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fmlaLink="$K$35"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K$36"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fmlaLink="$K$37"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fmlaLink="$K$38"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checked="Checked" firstButton="1" fmlaLink="$K$39"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checked="Checked" firstButton="1" fmlaLink="$K$40"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checked="Checked" firstButton="1" fmlaLink="$K$41"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checked="Checked" firstButton="1" fmlaLink="$K$42"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firstButton="1" fmlaLink="$K$53"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checked="Checked" firstButton="1" fmlaLink="$K$54"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Radio" checked="Checked" firstButton="1" fmlaLink="$K$55"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checked="Checked" firstButton="1" fmlaLink="$K$56"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checked="Checked" firstButton="1" fmlaLink="$K$57"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checked="Checked" firstButton="1" fmlaLink="$K$58"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Radio" checked="Checked" firstButton="1" fmlaLink="$K$59"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Radio" checked="Checked" firstButton="1" fmlaLink="$K$60"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checked="Checked" firstButton="1" fmlaLink="$K$61"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checked="Checked" firstButton="1" fmlaLink="$K$62"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fmlaLink="$K$63"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Radio" checked="Checked" firstButton="1" fmlaLink="$K$74"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Radio" checked="Checked" firstButton="1" fmlaLink="$K$75"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checked="Checked" firstButton="1" fmlaLink="$K$76"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Radio" checked="Checked" firstButton="1" fmlaLink="$K$78"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Radio" checked="Checked" firstButton="1" fmlaLink="$K$79"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Radio" checked="Checked" firstButton="1" fmlaLink="$K$80"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checked="Checked" firstButton="1" fmlaLink="$K$81"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Radio" checked="Checked" firstButton="1" fmlaLink="$K$83"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Drop" dropStyle="combo" dx="16" fmlaLink="$AA$15" fmlaRange="$AB$15:$AB$16" noThreeD="1" sel="1" val="0"/>
</file>

<file path=xl/ctrlProps/ctrlProp99.xml><?xml version="1.0" encoding="utf-8"?>
<formControlPr xmlns="http://schemas.microsoft.com/office/spreadsheetml/2009/9/main" objectType="Drop" dropStyle="combo" dx="16" fmlaLink="$AA$16" fmlaRange="$AB$15:$AB$16" noThreeD="1" sel="1" val="0"/>
</file>

<file path=xl/ctrlProps/ctrlProp100.xml><?xml version="1.0" encoding="utf-8"?>
<formControlPr xmlns="http://schemas.microsoft.com/office/spreadsheetml/2009/9/main" objectType="Drop" dropStyle="combo" dx="16" fmlaLink="$A$52" fmlaRange="$C$49:$C$50" noThreeD="1" sel="1" val="0"/>
</file>

<file path=xl/ctrlProps/ctrlProp101.xml><?xml version="1.0" encoding="utf-8"?>
<formControlPr xmlns="http://schemas.microsoft.com/office/spreadsheetml/2009/9/main" objectType="Drop" dropStyle="combo" dx="22" fmlaLink="$Q$49" fmlaRange="$P$50:$P$51" noThreeD="1" sel="2" val="0"/>
</file>

<file path=xl/ctrlProps/ctrlProp102.xml><?xml version="1.0" encoding="utf-8"?>
<formControlPr xmlns="http://schemas.microsoft.com/office/spreadsheetml/2009/9/main" objectType="Drop" dropStyle="combo" dx="22" fmlaLink="$R$49" fmlaRange="$P$50:$P$51" noThreeD="1" sel="2" val="0"/>
</file>

<file path=xl/ctrlProps/ctrlProp103.xml><?xml version="1.0" encoding="utf-8"?>
<formControlPr xmlns="http://schemas.microsoft.com/office/spreadsheetml/2009/9/main" objectType="Drop" dropStyle="combo" dx="22" fmlaLink="$S$49" fmlaRange="$P$50:$P$51" noThreeD="1" sel="2" val="0"/>
</file>

<file path=xl/ctrlProps/ctrlProp104.xml><?xml version="1.0" encoding="utf-8"?>
<formControlPr xmlns="http://schemas.microsoft.com/office/spreadsheetml/2009/9/main" objectType="Drop" dropStyle="combo" dx="22" fmlaLink="$T$49" fmlaRange="$P$50:$P$51" noThreeD="1" sel="2" val="0"/>
</file>

<file path=xl/ctrlProps/ctrlProp105.xml><?xml version="1.0" encoding="utf-8"?>
<formControlPr xmlns="http://schemas.microsoft.com/office/spreadsheetml/2009/9/main" objectType="Drop" dropStyle="combo" dx="22" fmlaLink="$Q$49" fmlaRange="$P$50:$P$51" noThreeD="1" sel="2" val="0"/>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Drop" dropStyle="combo" dx="16" fmlaLink="$C$42" fmlaRange="$B$42:$B$43" noThreeD="1" sel="2" val="0"/>
</file>

<file path=xl/ctrlProps/ctrlProp108.xml><?xml version="1.0" encoding="utf-8"?>
<formControlPr xmlns="http://schemas.microsoft.com/office/spreadsheetml/2009/9/main" objectType="Drop" dropStyle="combo" dx="16" fmlaLink="$M$7" fmlaRange="$L$7:$L$8"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3</xdr:col>
      <xdr:colOff>198399</xdr:colOff>
      <xdr:row>26</xdr:row>
      <xdr:rowOff>42941</xdr:rowOff>
    </xdr:from>
    <xdr:to>
      <xdr:col>8</xdr:col>
      <xdr:colOff>30264</xdr:colOff>
      <xdr:row>33</xdr:row>
      <xdr:rowOff>214391</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47918" y="6314787"/>
          <a:ext cx="4660308" cy="21204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49696</xdr:colOff>
      <xdr:row>0</xdr:row>
      <xdr:rowOff>33131</xdr:rowOff>
    </xdr:from>
    <xdr:to>
      <xdr:col>12</xdr:col>
      <xdr:colOff>115985</xdr:colOff>
      <xdr:row>0</xdr:row>
      <xdr:rowOff>414130</xdr:rowOff>
    </xdr:to>
    <xdr:sp macro="[0]!ClearCont" textlink="">
      <xdr:nvSpPr>
        <xdr:cNvPr id="5" name="모서리가 둥근 직사각형 4">
          <a:extLst>
            <a:ext uri="{FF2B5EF4-FFF2-40B4-BE49-F238E27FC236}">
              <a16:creationId xmlns:a16="http://schemas.microsoft.com/office/drawing/2014/main" id="{00000000-0008-0000-0200-000005000000}"/>
            </a:ext>
          </a:extLst>
        </xdr:cNvPr>
        <xdr:cNvSpPr/>
      </xdr:nvSpPr>
      <xdr:spPr>
        <a:xfrm>
          <a:off x="7412935" y="33131"/>
          <a:ext cx="2203202" cy="380999"/>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1" i="0" u="none" strike="noStrike" kern="0" cap="all" spc="0" normalizeH="0" baseline="0" noProof="0">
              <a:ln w="9000" cmpd="sng">
                <a:solidFill>
                  <a:srgbClr val="8064A2">
                    <a:shade val="50000"/>
                    <a:satMod val="120000"/>
                  </a:srgbClr>
                </a:solidFill>
                <a:prstDash val="solid"/>
              </a:ln>
              <a:solidFill>
                <a:sysClr val="window" lastClr="FFFFFF"/>
              </a:solidFill>
              <a:effectLst>
                <a:reflection blurRad="12700" stA="28000" endPos="45000" dist="1000" dir="5400000" sy="-100000" algn="bl" rotWithShape="0"/>
              </a:effectLst>
              <a:uLnTx/>
              <a:uFillTx/>
              <a:latin typeface="Calibri"/>
              <a:ea typeface="맑은 고딕"/>
              <a:cs typeface="+mn-cs"/>
            </a:rPr>
            <a:t>Clear Contents</a:t>
          </a:r>
          <a:endParaRPr kumimoji="0" lang="ko-KR" altLang="en-US" sz="1600" b="1" i="0" u="none" strike="noStrike" kern="0" cap="all" spc="0" normalizeH="0" baseline="0" noProof="0">
            <a:ln w="9000" cmpd="sng">
              <a:solidFill>
                <a:srgbClr val="8064A2">
                  <a:shade val="50000"/>
                  <a:satMod val="120000"/>
                </a:srgbClr>
              </a:solidFill>
              <a:prstDash val="solid"/>
            </a:ln>
            <a:solidFill>
              <a:sysClr val="window" lastClr="FFFFFF"/>
            </a:solidFill>
            <a:effectLst>
              <a:reflection blurRad="12700" stA="28000" endPos="45000" dist="1000" dir="5400000" sy="-100000" algn="bl" rotWithShape="0"/>
            </a:effectLst>
            <a:uLnTx/>
            <a:uFillTx/>
            <a:latin typeface="Calibri"/>
            <a:ea typeface="맑은 고딕"/>
            <a:cs typeface="+mn-cs"/>
          </a:endParaRPr>
        </a:p>
      </xdr:txBody>
    </xdr:sp>
    <xdr:clientData/>
  </xdr:twoCellAnchor>
  <xdr:twoCellAnchor>
    <xdr:from>
      <xdr:col>0</xdr:col>
      <xdr:colOff>24848</xdr:colOff>
      <xdr:row>14</xdr:row>
      <xdr:rowOff>8283</xdr:rowOff>
    </xdr:from>
    <xdr:to>
      <xdr:col>0</xdr:col>
      <xdr:colOff>646043</xdr:colOff>
      <xdr:row>14</xdr:row>
      <xdr:rowOff>231913</xdr:rowOff>
    </xdr:to>
    <xdr:sp macro="[0]!dhTest" textlink="">
      <xdr:nvSpPr>
        <xdr:cNvPr id="6" name="모서리가 둥근 직사각형 5">
          <a:extLst>
            <a:ext uri="{FF2B5EF4-FFF2-40B4-BE49-F238E27FC236}">
              <a16:creationId xmlns:a16="http://schemas.microsoft.com/office/drawing/2014/main" id="{00000000-0008-0000-0200-000006000000}"/>
            </a:ext>
          </a:extLst>
        </xdr:cNvPr>
        <xdr:cNvSpPr/>
      </xdr:nvSpPr>
      <xdr:spPr>
        <a:xfrm>
          <a:off x="24848" y="4133022"/>
          <a:ext cx="621195" cy="22363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altLang="ko-KR" sz="1100"/>
            <a:t>IPC</a:t>
          </a:r>
          <a:endParaRPr lang="ko-KR" altLang="en-US" sz="1100"/>
        </a:p>
      </xdr:txBody>
    </xdr:sp>
    <xdr:clientData/>
  </xdr:twoCellAnchor>
  <xdr:twoCellAnchor>
    <xdr:from>
      <xdr:col>0</xdr:col>
      <xdr:colOff>24848</xdr:colOff>
      <xdr:row>16</xdr:row>
      <xdr:rowOff>16566</xdr:rowOff>
    </xdr:from>
    <xdr:to>
      <xdr:col>0</xdr:col>
      <xdr:colOff>646043</xdr:colOff>
      <xdr:row>16</xdr:row>
      <xdr:rowOff>223631</xdr:rowOff>
    </xdr:to>
    <xdr:sp macro="[0]!dhTest" textlink="">
      <xdr:nvSpPr>
        <xdr:cNvPr id="9" name="모서리가 둥근 직사각형 8">
          <a:extLst>
            <a:ext uri="{FF2B5EF4-FFF2-40B4-BE49-F238E27FC236}">
              <a16:creationId xmlns:a16="http://schemas.microsoft.com/office/drawing/2014/main" id="{00000000-0008-0000-0200-000009000000}"/>
            </a:ext>
          </a:extLst>
        </xdr:cNvPr>
        <xdr:cNvSpPr/>
      </xdr:nvSpPr>
      <xdr:spPr>
        <a:xfrm>
          <a:off x="24848" y="4663109"/>
          <a:ext cx="621195" cy="20706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ko-KR" altLang="en-US" sz="800"/>
            <a:t>표준산업분류</a:t>
          </a:r>
        </a:p>
      </xdr:txBody>
    </xdr:sp>
    <xdr:clientData/>
  </xdr:twoCellAnchor>
  <xdr:twoCellAnchor>
    <xdr:from>
      <xdr:col>0</xdr:col>
      <xdr:colOff>24848</xdr:colOff>
      <xdr:row>15</xdr:row>
      <xdr:rowOff>16565</xdr:rowOff>
    </xdr:from>
    <xdr:to>
      <xdr:col>0</xdr:col>
      <xdr:colOff>646043</xdr:colOff>
      <xdr:row>15</xdr:row>
      <xdr:rowOff>240195</xdr:rowOff>
    </xdr:to>
    <xdr:sp macro="[0]!dhTest" textlink="">
      <xdr:nvSpPr>
        <xdr:cNvPr id="10" name="모서리가 둥근 직사각형 9">
          <a:extLst>
            <a:ext uri="{FF2B5EF4-FFF2-40B4-BE49-F238E27FC236}">
              <a16:creationId xmlns:a16="http://schemas.microsoft.com/office/drawing/2014/main" id="{00000000-0008-0000-0200-00000A000000}"/>
            </a:ext>
          </a:extLst>
        </xdr:cNvPr>
        <xdr:cNvSpPr/>
      </xdr:nvSpPr>
      <xdr:spPr>
        <a:xfrm>
          <a:off x="24848" y="4712804"/>
          <a:ext cx="621195" cy="22363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ko-KR" altLang="en-US" sz="800"/>
            <a:t>업종분류</a:t>
          </a:r>
          <a:endParaRPr lang="ko-KR" altLang="en-US" sz="1100"/>
        </a:p>
      </xdr:txBody>
    </xdr:sp>
    <xdr:clientData/>
  </xdr:twoCellAnchor>
  <xdr:twoCellAnchor>
    <xdr:from>
      <xdr:col>0</xdr:col>
      <xdr:colOff>0</xdr:colOff>
      <xdr:row>9</xdr:row>
      <xdr:rowOff>82828</xdr:rowOff>
    </xdr:from>
    <xdr:to>
      <xdr:col>0</xdr:col>
      <xdr:colOff>654326</xdr:colOff>
      <xdr:row>10</xdr:row>
      <xdr:rowOff>24850</xdr:rowOff>
    </xdr:to>
    <xdr:sp macro="[0]!dhTest" textlink="">
      <xdr:nvSpPr>
        <xdr:cNvPr id="7" name="모서리가 둥근 직사각형 6">
          <a:extLst>
            <a:ext uri="{FF2B5EF4-FFF2-40B4-BE49-F238E27FC236}">
              <a16:creationId xmlns:a16="http://schemas.microsoft.com/office/drawing/2014/main" id="{00000000-0008-0000-0200-000007000000}"/>
            </a:ext>
          </a:extLst>
        </xdr:cNvPr>
        <xdr:cNvSpPr/>
      </xdr:nvSpPr>
      <xdr:spPr>
        <a:xfrm>
          <a:off x="0" y="2915480"/>
          <a:ext cx="654326" cy="240196"/>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rPr>
            <a:t>경상로열티</a:t>
          </a:r>
        </a:p>
      </xdr:txBody>
    </xdr:sp>
    <xdr:clientData/>
  </xdr:twoCellAnchor>
  <xdr:twoCellAnchor>
    <xdr:from>
      <xdr:col>0</xdr:col>
      <xdr:colOff>0</xdr:colOff>
      <xdr:row>73</xdr:row>
      <xdr:rowOff>0</xdr:rowOff>
    </xdr:from>
    <xdr:to>
      <xdr:col>0</xdr:col>
      <xdr:colOff>654326</xdr:colOff>
      <xdr:row>73</xdr:row>
      <xdr:rowOff>240196</xdr:rowOff>
    </xdr:to>
    <xdr:sp macro="[0]!dhTest" textlink="">
      <xdr:nvSpPr>
        <xdr:cNvPr id="8" name="모서리가 둥근 직사각형 7">
          <a:extLst>
            <a:ext uri="{FF2B5EF4-FFF2-40B4-BE49-F238E27FC236}">
              <a16:creationId xmlns:a16="http://schemas.microsoft.com/office/drawing/2014/main" id="{00000000-0008-0000-0200-000008000000}"/>
            </a:ext>
          </a:extLst>
        </xdr:cNvPr>
        <xdr:cNvSpPr/>
      </xdr:nvSpPr>
      <xdr:spPr>
        <a:xfrm>
          <a:off x="0" y="10452652"/>
          <a:ext cx="654326" cy="240196"/>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800" b="1" i="0" u="none" strike="noStrike" kern="0" cap="none" spc="0" normalizeH="0" baseline="0" noProof="0">
              <a:ln>
                <a:noFill/>
              </a:ln>
              <a:solidFill>
                <a:sysClr val="window" lastClr="FFFFFF"/>
              </a:solidFill>
              <a:effectLst/>
              <a:uLnTx/>
              <a:uFillTx/>
              <a:latin typeface="Calibri"/>
              <a:ea typeface="맑은 고딕"/>
              <a:cs typeface="+mn-cs"/>
            </a:rPr>
            <a:t>현금흐름</a:t>
          </a:r>
          <a:endPar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twoCellAnchor>
    <xdr:from>
      <xdr:col>0</xdr:col>
      <xdr:colOff>0</xdr:colOff>
      <xdr:row>17</xdr:row>
      <xdr:rowOff>115956</xdr:rowOff>
    </xdr:from>
    <xdr:to>
      <xdr:col>0</xdr:col>
      <xdr:colOff>654326</xdr:colOff>
      <xdr:row>18</xdr:row>
      <xdr:rowOff>240196</xdr:rowOff>
    </xdr:to>
    <xdr:sp macro="[0]!dhTest" textlink="">
      <xdr:nvSpPr>
        <xdr:cNvPr id="11" name="모서리가 둥근 직사각형 10">
          <a:extLst>
            <a:ext uri="{FF2B5EF4-FFF2-40B4-BE49-F238E27FC236}">
              <a16:creationId xmlns:a16="http://schemas.microsoft.com/office/drawing/2014/main" id="{00000000-0008-0000-0200-00000B000000}"/>
            </a:ext>
          </a:extLst>
        </xdr:cNvPr>
        <xdr:cNvSpPr/>
      </xdr:nvSpPr>
      <xdr:spPr>
        <a:xfrm>
          <a:off x="0" y="5027543"/>
          <a:ext cx="654326" cy="240196"/>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800" b="1" i="0" u="none" strike="noStrike" kern="0" cap="none" spc="0" normalizeH="0" baseline="0" noProof="0">
              <a:ln>
                <a:noFill/>
              </a:ln>
              <a:solidFill>
                <a:sysClr val="window" lastClr="FFFFFF"/>
              </a:solidFill>
              <a:effectLst/>
              <a:uLnTx/>
              <a:uFillTx/>
              <a:latin typeface="Calibri"/>
              <a:ea typeface="맑은 고딕"/>
              <a:cs typeface="+mn-cs"/>
            </a:rPr>
            <a:t>기술수명</a:t>
          </a:r>
          <a:endPar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73</xdr:row>
          <xdr:rowOff>0</xdr:rowOff>
        </xdr:from>
        <xdr:to>
          <xdr:col>12</xdr:col>
          <xdr:colOff>0</xdr:colOff>
          <xdr:row>74</xdr:row>
          <xdr:rowOff>0</xdr:rowOff>
        </xdr:to>
        <xdr:sp macro="" textlink="">
          <xdr:nvSpPr>
            <xdr:cNvPr id="9290" name="Drop Down 74" hidden="1">
              <a:extLst>
                <a:ext uri="{63B3BB69-23CF-44E3-9099-C40C66FF867C}">
                  <a14:compatExt spid="_x0000_s9290"/>
                </a:ext>
                <a:ext uri="{FF2B5EF4-FFF2-40B4-BE49-F238E27FC236}">
                  <a16:creationId xmlns:a16="http://schemas.microsoft.com/office/drawing/2014/main" id="{00000000-0008-0000-0200-00004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971550</xdr:colOff>
      <xdr:row>0</xdr:row>
      <xdr:rowOff>69396</xdr:rowOff>
    </xdr:from>
    <xdr:to>
      <xdr:col>9</xdr:col>
      <xdr:colOff>424543</xdr:colOff>
      <xdr:row>0</xdr:row>
      <xdr:rowOff>517071</xdr:rowOff>
    </xdr:to>
    <xdr:sp macro="[0]!Autosummary" textlink="">
      <xdr:nvSpPr>
        <xdr:cNvPr id="2" name="모서리가 둥근 직사각형 1">
          <a:extLst>
            <a:ext uri="{FF2B5EF4-FFF2-40B4-BE49-F238E27FC236}">
              <a16:creationId xmlns:a16="http://schemas.microsoft.com/office/drawing/2014/main" id="{00000000-0008-0000-0300-000002000000}"/>
            </a:ext>
          </a:extLst>
        </xdr:cNvPr>
        <xdr:cNvSpPr/>
      </xdr:nvSpPr>
      <xdr:spPr>
        <a:xfrm>
          <a:off x="7761514" y="69396"/>
          <a:ext cx="1412422" cy="4476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altLang="ko-KR"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rPr>
            <a:t>Calculate</a:t>
          </a:r>
          <a:endParaRPr lang="ko-KR" altLang="en-US"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endParaRPr>
        </a:p>
      </xdr:txBody>
    </xdr:sp>
    <xdr:clientData/>
  </xdr:twoCellAnchor>
  <xdr:twoCellAnchor>
    <xdr:from>
      <xdr:col>10</xdr:col>
      <xdr:colOff>12246</xdr:colOff>
      <xdr:row>0</xdr:row>
      <xdr:rowOff>55788</xdr:rowOff>
    </xdr:from>
    <xdr:to>
      <xdr:col>11</xdr:col>
      <xdr:colOff>450396</xdr:colOff>
      <xdr:row>0</xdr:row>
      <xdr:rowOff>503463</xdr:rowOff>
    </xdr:to>
    <xdr:sp macro="[0]!시트저장" textlink="">
      <xdr:nvSpPr>
        <xdr:cNvPr id="3" name="모서리가 둥근 직사각형 2">
          <a:extLst>
            <a:ext uri="{FF2B5EF4-FFF2-40B4-BE49-F238E27FC236}">
              <a16:creationId xmlns:a16="http://schemas.microsoft.com/office/drawing/2014/main" id="{00000000-0008-0000-0300-000003000000}"/>
            </a:ext>
          </a:extLst>
        </xdr:cNvPr>
        <xdr:cNvSpPr/>
      </xdr:nvSpPr>
      <xdr:spPr>
        <a:xfrm>
          <a:off x="9741353" y="55788"/>
          <a:ext cx="1417864" cy="4476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altLang="ko-KR"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rPr>
            <a:t>SAVE AS</a:t>
          </a:r>
          <a:endParaRPr lang="ko-KR" altLang="en-US"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endParaRPr>
        </a:p>
      </xdr:txBody>
    </xdr:sp>
    <xdr:clientData/>
  </xdr:twoCellAnchor>
  <xdr:twoCellAnchor>
    <xdr:from>
      <xdr:col>0</xdr:col>
      <xdr:colOff>0</xdr:colOff>
      <xdr:row>19</xdr:row>
      <xdr:rowOff>0</xdr:rowOff>
    </xdr:from>
    <xdr:to>
      <xdr:col>0</xdr:col>
      <xdr:colOff>885264</xdr:colOff>
      <xdr:row>19</xdr:row>
      <xdr:rowOff>358588</xdr:rowOff>
    </xdr:to>
    <xdr:sp macro="[0]!dhTest" textlink="">
      <xdr:nvSpPr>
        <xdr:cNvPr id="4" name="모서리가 둥근 직사각형 3">
          <a:extLst>
            <a:ext uri="{FF2B5EF4-FFF2-40B4-BE49-F238E27FC236}">
              <a16:creationId xmlns:a16="http://schemas.microsoft.com/office/drawing/2014/main" id="{00000000-0008-0000-0300-000004000000}"/>
            </a:ext>
          </a:extLst>
        </xdr:cNvPr>
        <xdr:cNvSpPr/>
      </xdr:nvSpPr>
      <xdr:spPr>
        <a:xfrm>
          <a:off x="0" y="6745941"/>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100" b="1" i="0" u="none" strike="noStrike" kern="0" cap="none" spc="0" normalizeH="0" baseline="0" noProof="0">
              <a:ln>
                <a:noFill/>
              </a:ln>
              <a:solidFill>
                <a:sysClr val="window" lastClr="FFFFFF"/>
              </a:solidFill>
              <a:effectLst/>
              <a:uLnTx/>
              <a:uFillTx/>
              <a:latin typeface="Calibri"/>
              <a:ea typeface="맑은 고딕"/>
              <a:cs typeface="+mn-cs"/>
            </a:rPr>
            <a:t>기술수명</a:t>
          </a:r>
          <a:endPar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twoCellAnchor>
    <xdr:from>
      <xdr:col>0</xdr:col>
      <xdr:colOff>0</xdr:colOff>
      <xdr:row>26</xdr:row>
      <xdr:rowOff>0</xdr:rowOff>
    </xdr:from>
    <xdr:to>
      <xdr:col>0</xdr:col>
      <xdr:colOff>885264</xdr:colOff>
      <xdr:row>27</xdr:row>
      <xdr:rowOff>22411</xdr:rowOff>
    </xdr:to>
    <xdr:sp macro="[0]!dhTest" textlink="">
      <xdr:nvSpPr>
        <xdr:cNvPr id="6" name="모서리가 둥근 직사각형 5">
          <a:extLst>
            <a:ext uri="{FF2B5EF4-FFF2-40B4-BE49-F238E27FC236}">
              <a16:creationId xmlns:a16="http://schemas.microsoft.com/office/drawing/2014/main" id="{00000000-0008-0000-0300-000006000000}"/>
            </a:ext>
          </a:extLst>
        </xdr:cNvPr>
        <xdr:cNvSpPr/>
      </xdr:nvSpPr>
      <xdr:spPr>
        <a:xfrm>
          <a:off x="0" y="9222441"/>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할인율</a:t>
          </a:r>
        </a:p>
      </xdr:txBody>
    </xdr:sp>
    <xdr:clientData/>
  </xdr:twoCellAnchor>
  <xdr:twoCellAnchor>
    <xdr:from>
      <xdr:col>0</xdr:col>
      <xdr:colOff>0</xdr:colOff>
      <xdr:row>27</xdr:row>
      <xdr:rowOff>134470</xdr:rowOff>
    </xdr:from>
    <xdr:to>
      <xdr:col>0</xdr:col>
      <xdr:colOff>885264</xdr:colOff>
      <xdr:row>28</xdr:row>
      <xdr:rowOff>235323</xdr:rowOff>
    </xdr:to>
    <xdr:sp macro="[0]!dhTest" textlink="">
      <xdr:nvSpPr>
        <xdr:cNvPr id="7" name="모서리가 둥근 직사각형 6">
          <a:extLst>
            <a:ext uri="{FF2B5EF4-FFF2-40B4-BE49-F238E27FC236}">
              <a16:creationId xmlns:a16="http://schemas.microsoft.com/office/drawing/2014/main" id="{00000000-0008-0000-0300-000007000000}"/>
            </a:ext>
          </a:extLst>
        </xdr:cNvPr>
        <xdr:cNvSpPr/>
      </xdr:nvSpPr>
      <xdr:spPr>
        <a:xfrm>
          <a:off x="0" y="9693088"/>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기술기여도</a:t>
          </a:r>
        </a:p>
      </xdr:txBody>
    </xdr:sp>
    <xdr:clientData/>
  </xdr:twoCellAnchor>
  <xdr:twoCellAnchor>
    <xdr:from>
      <xdr:col>0</xdr:col>
      <xdr:colOff>0</xdr:colOff>
      <xdr:row>35</xdr:row>
      <xdr:rowOff>33617</xdr:rowOff>
    </xdr:from>
    <xdr:to>
      <xdr:col>0</xdr:col>
      <xdr:colOff>885264</xdr:colOff>
      <xdr:row>37</xdr:row>
      <xdr:rowOff>22411</xdr:rowOff>
    </xdr:to>
    <xdr:sp macro="[0]!dhTest" textlink="">
      <xdr:nvSpPr>
        <xdr:cNvPr id="8" name="모서리가 둥근 직사각형 7">
          <a:extLst>
            <a:ext uri="{FF2B5EF4-FFF2-40B4-BE49-F238E27FC236}">
              <a16:creationId xmlns:a16="http://schemas.microsoft.com/office/drawing/2014/main" id="{00000000-0008-0000-0300-000008000000}"/>
            </a:ext>
          </a:extLst>
        </xdr:cNvPr>
        <xdr:cNvSpPr/>
      </xdr:nvSpPr>
      <xdr:spPr>
        <a:xfrm>
          <a:off x="0" y="11665323"/>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현금흐름</a:t>
          </a:r>
        </a:p>
      </xdr:txBody>
    </xdr:sp>
    <xdr:clientData/>
  </xdr:twoCellAnchor>
  <xdr:twoCellAnchor>
    <xdr:from>
      <xdr:col>5</xdr:col>
      <xdr:colOff>391407</xdr:colOff>
      <xdr:row>0</xdr:row>
      <xdr:rowOff>28816</xdr:rowOff>
    </xdr:from>
    <xdr:to>
      <xdr:col>7</xdr:col>
      <xdr:colOff>376998</xdr:colOff>
      <xdr:row>0</xdr:row>
      <xdr:rowOff>488257</xdr:rowOff>
    </xdr:to>
    <xdr:grpSp>
      <xdr:nvGrpSpPr>
        <xdr:cNvPr id="11" name="그룹 10">
          <a:extLst>
            <a:ext uri="{FF2B5EF4-FFF2-40B4-BE49-F238E27FC236}">
              <a16:creationId xmlns:a16="http://schemas.microsoft.com/office/drawing/2014/main" id="{00000000-0008-0000-0300-00000B000000}"/>
            </a:ext>
          </a:extLst>
        </xdr:cNvPr>
        <xdr:cNvGrpSpPr/>
      </xdr:nvGrpSpPr>
      <xdr:grpSpPr>
        <a:xfrm>
          <a:off x="5534907" y="28816"/>
          <a:ext cx="2427455" cy="459441"/>
          <a:chOff x="4572000" y="56030"/>
          <a:chExt cx="2039470" cy="459441"/>
        </a:xfrm>
      </xdr:grpSpPr>
      <xdr:sp macro="" textlink="">
        <xdr:nvSpPr>
          <xdr:cNvPr id="9" name="타원형 설명선 8">
            <a:extLst>
              <a:ext uri="{FF2B5EF4-FFF2-40B4-BE49-F238E27FC236}">
                <a16:creationId xmlns:a16="http://schemas.microsoft.com/office/drawing/2014/main" id="{00000000-0008-0000-0300-000009000000}"/>
              </a:ext>
            </a:extLst>
          </xdr:cNvPr>
          <xdr:cNvSpPr/>
        </xdr:nvSpPr>
        <xdr:spPr>
          <a:xfrm>
            <a:off x="4572000" y="56030"/>
            <a:ext cx="1972235" cy="459441"/>
          </a:xfrm>
          <a:prstGeom prst="wedgeEllipseCallout">
            <a:avLst>
              <a:gd name="adj1" fmla="val 81389"/>
              <a:gd name="adj2" fmla="val -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4605617" y="123264"/>
            <a:ext cx="2005853" cy="257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ko-KR" altLang="ko-KR" sz="1000">
                <a:solidFill>
                  <a:schemeClr val="bg1"/>
                </a:solidFill>
                <a:effectLst/>
                <a:latin typeface="+mn-lt"/>
                <a:ea typeface="+mn-ea"/>
                <a:cs typeface="+mn-cs"/>
              </a:rPr>
              <a:t>기술기여도 및 현금흐름표 산출</a:t>
            </a:r>
            <a:endParaRPr lang="ko-KR" altLang="ko-KR" sz="1000">
              <a:solidFill>
                <a:schemeClr val="bg1"/>
              </a:solidFill>
              <a:effectLst/>
            </a:endParaRPr>
          </a:p>
          <a:p>
            <a:endParaRPr lang="ko-KR" altLang="en-US" sz="1000">
              <a:solidFill>
                <a:schemeClr val="bg1"/>
              </a:solidFill>
            </a:endParaRPr>
          </a:p>
        </xdr:txBody>
      </xdr:sp>
    </xdr:grpSp>
    <xdr:clientData/>
  </xdr:twoCellAnchor>
  <xdr:twoCellAnchor>
    <xdr:from>
      <xdr:col>12</xdr:col>
      <xdr:colOff>19210</xdr:colOff>
      <xdr:row>0</xdr:row>
      <xdr:rowOff>0</xdr:rowOff>
    </xdr:from>
    <xdr:to>
      <xdr:col>14</xdr:col>
      <xdr:colOff>75240</xdr:colOff>
      <xdr:row>1</xdr:row>
      <xdr:rowOff>1</xdr:rowOff>
    </xdr:to>
    <xdr:grpSp>
      <xdr:nvGrpSpPr>
        <xdr:cNvPr id="12" name="그룹 11">
          <a:extLst>
            <a:ext uri="{FF2B5EF4-FFF2-40B4-BE49-F238E27FC236}">
              <a16:creationId xmlns:a16="http://schemas.microsoft.com/office/drawing/2014/main" id="{00000000-0008-0000-0300-00000C000000}"/>
            </a:ext>
          </a:extLst>
        </xdr:cNvPr>
        <xdr:cNvGrpSpPr/>
      </xdr:nvGrpSpPr>
      <xdr:grpSpPr>
        <a:xfrm>
          <a:off x="13042483" y="0"/>
          <a:ext cx="2030302" cy="588819"/>
          <a:chOff x="4975412" y="44823"/>
          <a:chExt cx="2028265" cy="549089"/>
        </a:xfrm>
      </xdr:grpSpPr>
      <xdr:sp macro="" textlink="">
        <xdr:nvSpPr>
          <xdr:cNvPr id="13" name="타원형 설명선 12">
            <a:extLst>
              <a:ext uri="{FF2B5EF4-FFF2-40B4-BE49-F238E27FC236}">
                <a16:creationId xmlns:a16="http://schemas.microsoft.com/office/drawing/2014/main" id="{00000000-0008-0000-0300-00000D000000}"/>
              </a:ext>
            </a:extLst>
          </xdr:cNvPr>
          <xdr:cNvSpPr/>
        </xdr:nvSpPr>
        <xdr:spPr>
          <a:xfrm>
            <a:off x="4975412" y="67236"/>
            <a:ext cx="1972235" cy="459441"/>
          </a:xfrm>
          <a:prstGeom prst="wedgeEllipseCallout">
            <a:avLst>
              <a:gd name="adj1" fmla="val -73157"/>
              <a:gd name="adj2" fmla="val -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4997824" y="44823"/>
            <a:ext cx="2005853" cy="54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bg1"/>
                </a:solidFill>
              </a:rPr>
              <a:t>값으로 변환하여 저장</a:t>
            </a:r>
            <a:r>
              <a:rPr lang="en-US" altLang="ko-KR" sz="1000">
                <a:solidFill>
                  <a:schemeClr val="bg1"/>
                </a:solidFill>
              </a:rPr>
              <a:t>, </a:t>
            </a:r>
            <a:r>
              <a:rPr lang="ko-KR" altLang="en-US" sz="1000">
                <a:solidFill>
                  <a:schemeClr val="bg1"/>
                </a:solidFill>
              </a:rPr>
              <a:t>공유파일생성</a:t>
            </a:r>
          </a:p>
        </xdr:txBody>
      </xdr:sp>
    </xdr:grpSp>
    <xdr:clientData/>
  </xdr:twoCellAnchor>
  <xdr:twoCellAnchor>
    <xdr:from>
      <xdr:col>0</xdr:col>
      <xdr:colOff>0</xdr:colOff>
      <xdr:row>4</xdr:row>
      <xdr:rowOff>44823</xdr:rowOff>
    </xdr:from>
    <xdr:to>
      <xdr:col>0</xdr:col>
      <xdr:colOff>885264</xdr:colOff>
      <xdr:row>5</xdr:row>
      <xdr:rowOff>89646</xdr:rowOff>
    </xdr:to>
    <xdr:sp macro="[0]!dhTest" textlink="">
      <xdr:nvSpPr>
        <xdr:cNvPr id="15" name="모서리가 둥근 직사각형 14">
          <a:extLst>
            <a:ext uri="{FF2B5EF4-FFF2-40B4-BE49-F238E27FC236}">
              <a16:creationId xmlns:a16="http://schemas.microsoft.com/office/drawing/2014/main" id="{00000000-0008-0000-0300-00000F000000}"/>
            </a:ext>
          </a:extLst>
        </xdr:cNvPr>
        <xdr:cNvSpPr/>
      </xdr:nvSpPr>
      <xdr:spPr>
        <a:xfrm>
          <a:off x="0" y="1759323"/>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161925</xdr:colOff>
          <xdr:row>18</xdr:row>
          <xdr:rowOff>180975</xdr:rowOff>
        </xdr:from>
        <xdr:to>
          <xdr:col>6</xdr:col>
          <xdr:colOff>600075</xdr:colOff>
          <xdr:row>18</xdr:row>
          <xdr:rowOff>514350</xdr:rowOff>
        </xdr:to>
        <xdr:sp macro="" textlink="">
          <xdr:nvSpPr>
            <xdr:cNvPr id="35841" name="Option Button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18</xdr:row>
          <xdr:rowOff>190500</xdr:rowOff>
        </xdr:from>
        <xdr:to>
          <xdr:col>7</xdr:col>
          <xdr:colOff>552450</xdr:colOff>
          <xdr:row>18</xdr:row>
          <xdr:rowOff>504825</xdr:rowOff>
        </xdr:to>
        <xdr:sp macro="" textlink="">
          <xdr:nvSpPr>
            <xdr:cNvPr id="35842" name="Option Button 2"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19</xdr:row>
          <xdr:rowOff>190500</xdr:rowOff>
        </xdr:from>
        <xdr:to>
          <xdr:col>6</xdr:col>
          <xdr:colOff>657225</xdr:colOff>
          <xdr:row>19</xdr:row>
          <xdr:rowOff>457200</xdr:rowOff>
        </xdr:to>
        <xdr:sp macro="" textlink="">
          <xdr:nvSpPr>
            <xdr:cNvPr id="35843" name="Option Button 3"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18</xdr:row>
          <xdr:rowOff>95250</xdr:rowOff>
        </xdr:from>
        <xdr:to>
          <xdr:col>7</xdr:col>
          <xdr:colOff>704850</xdr:colOff>
          <xdr:row>18</xdr:row>
          <xdr:rowOff>533400</xdr:rowOff>
        </xdr:to>
        <xdr:sp macro="" textlink="">
          <xdr:nvSpPr>
            <xdr:cNvPr id="35844" name="Group Box 4" hidden="1">
              <a:extLst>
                <a:ext uri="{63B3BB69-23CF-44E3-9099-C40C66FF867C}">
                  <a14:compatExt spid="_x0000_s35844"/>
                </a:ext>
                <a:ext uri="{FF2B5EF4-FFF2-40B4-BE49-F238E27FC236}">
                  <a16:creationId xmlns:a16="http://schemas.microsoft.com/office/drawing/2014/main" id="{00000000-0008-0000-0400-00000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기준의 준수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190500</xdr:rowOff>
        </xdr:from>
        <xdr:to>
          <xdr:col>7</xdr:col>
          <xdr:colOff>571500</xdr:colOff>
          <xdr:row>19</xdr:row>
          <xdr:rowOff>457200</xdr:rowOff>
        </xdr:to>
        <xdr:sp macro="" textlink="">
          <xdr:nvSpPr>
            <xdr:cNvPr id="35845" name="Option Button 5" hidden="1">
              <a:extLst>
                <a:ext uri="{63B3BB69-23CF-44E3-9099-C40C66FF867C}">
                  <a14:compatExt spid="_x0000_s35845"/>
                </a:ext>
                <a:ext uri="{FF2B5EF4-FFF2-40B4-BE49-F238E27FC236}">
                  <a16:creationId xmlns:a16="http://schemas.microsoft.com/office/drawing/2014/main" id="{00000000-0008-0000-04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19</xdr:row>
          <xdr:rowOff>76200</xdr:rowOff>
        </xdr:from>
        <xdr:to>
          <xdr:col>7</xdr:col>
          <xdr:colOff>695325</xdr:colOff>
          <xdr:row>19</xdr:row>
          <xdr:rowOff>523875</xdr:rowOff>
        </xdr:to>
        <xdr:sp macro="" textlink="">
          <xdr:nvSpPr>
            <xdr:cNvPr id="35846" name="Group Box 6" hidden="1">
              <a:extLst>
                <a:ext uri="{63B3BB69-23CF-44E3-9099-C40C66FF867C}">
                  <a14:compatExt spid="_x0000_s35846"/>
                </a:ext>
                <a:ext uri="{FF2B5EF4-FFF2-40B4-BE49-F238E27FC236}">
                  <a16:creationId xmlns:a16="http://schemas.microsoft.com/office/drawing/2014/main" id="{00000000-0008-0000-0400-00000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보고 원칙</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20</xdr:row>
          <xdr:rowOff>200025</xdr:rowOff>
        </xdr:from>
        <xdr:to>
          <xdr:col>6</xdr:col>
          <xdr:colOff>628650</xdr:colOff>
          <xdr:row>20</xdr:row>
          <xdr:rowOff>447675</xdr:rowOff>
        </xdr:to>
        <xdr:sp macro="" textlink="">
          <xdr:nvSpPr>
            <xdr:cNvPr id="35847" name="Option Button 7"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20</xdr:row>
          <xdr:rowOff>200025</xdr:rowOff>
        </xdr:from>
        <xdr:to>
          <xdr:col>7</xdr:col>
          <xdr:colOff>561975</xdr:colOff>
          <xdr:row>20</xdr:row>
          <xdr:rowOff>447675</xdr:rowOff>
        </xdr:to>
        <xdr:sp macro="" textlink="">
          <xdr:nvSpPr>
            <xdr:cNvPr id="35848" name="Option Button 8" hidden="1">
              <a:extLst>
                <a:ext uri="{63B3BB69-23CF-44E3-9099-C40C66FF867C}">
                  <a14:compatExt spid="_x0000_s35848"/>
                </a:ext>
                <a:ext uri="{FF2B5EF4-FFF2-40B4-BE49-F238E27FC236}">
                  <a16:creationId xmlns:a16="http://schemas.microsoft.com/office/drawing/2014/main" id="{00000000-0008-0000-04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20</xdr:row>
          <xdr:rowOff>95250</xdr:rowOff>
        </xdr:from>
        <xdr:to>
          <xdr:col>7</xdr:col>
          <xdr:colOff>695325</xdr:colOff>
          <xdr:row>20</xdr:row>
          <xdr:rowOff>523875</xdr:rowOff>
        </xdr:to>
        <xdr:sp macro="" textlink="">
          <xdr:nvSpPr>
            <xdr:cNvPr id="35849" name="Group Box 9" hidden="1">
              <a:extLst>
                <a:ext uri="{63B3BB69-23CF-44E3-9099-C40C66FF867C}">
                  <a14:compatExt spid="_x0000_s35849"/>
                </a:ext>
                <a:ext uri="{FF2B5EF4-FFF2-40B4-BE49-F238E27FC236}">
                  <a16:creationId xmlns:a16="http://schemas.microsoft.com/office/drawing/2014/main" id="{00000000-0008-0000-0400-000009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가정 및 제한</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32</xdr:row>
          <xdr:rowOff>238125</xdr:rowOff>
        </xdr:from>
        <xdr:to>
          <xdr:col>6</xdr:col>
          <xdr:colOff>657225</xdr:colOff>
          <xdr:row>32</xdr:row>
          <xdr:rowOff>457200</xdr:rowOff>
        </xdr:to>
        <xdr:sp macro="" textlink="">
          <xdr:nvSpPr>
            <xdr:cNvPr id="35850" name="Option Button 10" hidden="1">
              <a:extLst>
                <a:ext uri="{63B3BB69-23CF-44E3-9099-C40C66FF867C}">
                  <a14:compatExt spid="_x0000_s35850"/>
                </a:ext>
                <a:ext uri="{FF2B5EF4-FFF2-40B4-BE49-F238E27FC236}">
                  <a16:creationId xmlns:a16="http://schemas.microsoft.com/office/drawing/2014/main" id="{00000000-0008-0000-04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32</xdr:row>
          <xdr:rowOff>238125</xdr:rowOff>
        </xdr:from>
        <xdr:to>
          <xdr:col>7</xdr:col>
          <xdr:colOff>466725</xdr:colOff>
          <xdr:row>32</xdr:row>
          <xdr:rowOff>457200</xdr:rowOff>
        </xdr:to>
        <xdr:sp macro="" textlink="">
          <xdr:nvSpPr>
            <xdr:cNvPr id="35851" name="Option Button 11" hidden="1">
              <a:extLst>
                <a:ext uri="{63B3BB69-23CF-44E3-9099-C40C66FF867C}">
                  <a14:compatExt spid="_x0000_s35851"/>
                </a:ext>
                <a:ext uri="{FF2B5EF4-FFF2-40B4-BE49-F238E27FC236}">
                  <a16:creationId xmlns:a16="http://schemas.microsoft.com/office/drawing/2014/main" id="{00000000-0008-0000-04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32</xdr:row>
          <xdr:rowOff>123825</xdr:rowOff>
        </xdr:from>
        <xdr:to>
          <xdr:col>7</xdr:col>
          <xdr:colOff>695325</xdr:colOff>
          <xdr:row>32</xdr:row>
          <xdr:rowOff>504825</xdr:rowOff>
        </xdr:to>
        <xdr:sp macro="" textlink="">
          <xdr:nvSpPr>
            <xdr:cNvPr id="35852" name="Group Box 12" hidden="1">
              <a:extLst>
                <a:ext uri="{63B3BB69-23CF-44E3-9099-C40C66FF867C}">
                  <a14:compatExt spid="_x0000_s35852"/>
                </a:ext>
                <a:ext uri="{FF2B5EF4-FFF2-40B4-BE49-F238E27FC236}">
                  <a16:creationId xmlns:a16="http://schemas.microsoft.com/office/drawing/2014/main" id="{00000000-0008-0000-0400-00000C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33</xdr:row>
          <xdr:rowOff>180975</xdr:rowOff>
        </xdr:from>
        <xdr:to>
          <xdr:col>6</xdr:col>
          <xdr:colOff>647700</xdr:colOff>
          <xdr:row>33</xdr:row>
          <xdr:rowOff>390525</xdr:rowOff>
        </xdr:to>
        <xdr:sp macro="" textlink="">
          <xdr:nvSpPr>
            <xdr:cNvPr id="35853" name="Option Button 13" hidden="1">
              <a:extLst>
                <a:ext uri="{63B3BB69-23CF-44E3-9099-C40C66FF867C}">
                  <a14:compatExt spid="_x0000_s35853"/>
                </a:ext>
                <a:ext uri="{FF2B5EF4-FFF2-40B4-BE49-F238E27FC236}">
                  <a16:creationId xmlns:a16="http://schemas.microsoft.com/office/drawing/2014/main" id="{00000000-0008-0000-04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180975</xdr:rowOff>
        </xdr:from>
        <xdr:to>
          <xdr:col>7</xdr:col>
          <xdr:colOff>457200</xdr:colOff>
          <xdr:row>33</xdr:row>
          <xdr:rowOff>390525</xdr:rowOff>
        </xdr:to>
        <xdr:sp macro="" textlink="">
          <xdr:nvSpPr>
            <xdr:cNvPr id="35854" name="Option Button 14" hidden="1">
              <a:extLst>
                <a:ext uri="{63B3BB69-23CF-44E3-9099-C40C66FF867C}">
                  <a14:compatExt spid="_x0000_s35854"/>
                </a:ext>
                <a:ext uri="{FF2B5EF4-FFF2-40B4-BE49-F238E27FC236}">
                  <a16:creationId xmlns:a16="http://schemas.microsoft.com/office/drawing/2014/main" id="{00000000-0008-0000-04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33</xdr:row>
          <xdr:rowOff>66675</xdr:rowOff>
        </xdr:from>
        <xdr:to>
          <xdr:col>7</xdr:col>
          <xdr:colOff>685800</xdr:colOff>
          <xdr:row>33</xdr:row>
          <xdr:rowOff>457200</xdr:rowOff>
        </xdr:to>
        <xdr:sp macro="" textlink="">
          <xdr:nvSpPr>
            <xdr:cNvPr id="35855" name="Group Box 15" hidden="1">
              <a:extLst>
                <a:ext uri="{63B3BB69-23CF-44E3-9099-C40C66FF867C}">
                  <a14:compatExt spid="_x0000_s35855"/>
                </a:ext>
                <a:ext uri="{FF2B5EF4-FFF2-40B4-BE49-F238E27FC236}">
                  <a16:creationId xmlns:a16="http://schemas.microsoft.com/office/drawing/2014/main" id="{00000000-0008-0000-0400-00000F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34</xdr:row>
          <xdr:rowOff>200025</xdr:rowOff>
        </xdr:from>
        <xdr:to>
          <xdr:col>6</xdr:col>
          <xdr:colOff>657225</xdr:colOff>
          <xdr:row>34</xdr:row>
          <xdr:rowOff>428625</xdr:rowOff>
        </xdr:to>
        <xdr:sp macro="" textlink="">
          <xdr:nvSpPr>
            <xdr:cNvPr id="35856" name="Option Button 16" hidden="1">
              <a:extLst>
                <a:ext uri="{63B3BB69-23CF-44E3-9099-C40C66FF867C}">
                  <a14:compatExt spid="_x0000_s35856"/>
                </a:ext>
                <a:ext uri="{FF2B5EF4-FFF2-40B4-BE49-F238E27FC236}">
                  <a16:creationId xmlns:a16="http://schemas.microsoft.com/office/drawing/2014/main" id="{00000000-0008-0000-04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34</xdr:row>
          <xdr:rowOff>200025</xdr:rowOff>
        </xdr:from>
        <xdr:to>
          <xdr:col>7</xdr:col>
          <xdr:colOff>466725</xdr:colOff>
          <xdr:row>34</xdr:row>
          <xdr:rowOff>428625</xdr:rowOff>
        </xdr:to>
        <xdr:sp macro="" textlink="">
          <xdr:nvSpPr>
            <xdr:cNvPr id="35857" name="Option Button 17" hidden="1">
              <a:extLst>
                <a:ext uri="{63B3BB69-23CF-44E3-9099-C40C66FF867C}">
                  <a14:compatExt spid="_x0000_s35857"/>
                </a:ext>
                <a:ext uri="{FF2B5EF4-FFF2-40B4-BE49-F238E27FC236}">
                  <a16:creationId xmlns:a16="http://schemas.microsoft.com/office/drawing/2014/main" id="{00000000-0008-0000-04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34</xdr:row>
          <xdr:rowOff>95250</xdr:rowOff>
        </xdr:from>
        <xdr:to>
          <xdr:col>7</xdr:col>
          <xdr:colOff>676275</xdr:colOff>
          <xdr:row>34</xdr:row>
          <xdr:rowOff>485775</xdr:rowOff>
        </xdr:to>
        <xdr:sp macro="" textlink="">
          <xdr:nvSpPr>
            <xdr:cNvPr id="35858" name="Group Box 18" hidden="1">
              <a:extLst>
                <a:ext uri="{63B3BB69-23CF-44E3-9099-C40C66FF867C}">
                  <a14:compatExt spid="_x0000_s35858"/>
                </a:ext>
                <a:ext uri="{FF2B5EF4-FFF2-40B4-BE49-F238E27FC236}">
                  <a16:creationId xmlns:a16="http://schemas.microsoft.com/office/drawing/2014/main" id="{00000000-0008-0000-0400-000012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35</xdr:row>
          <xdr:rowOff>238125</xdr:rowOff>
        </xdr:from>
        <xdr:to>
          <xdr:col>6</xdr:col>
          <xdr:colOff>704850</xdr:colOff>
          <xdr:row>35</xdr:row>
          <xdr:rowOff>476250</xdr:rowOff>
        </xdr:to>
        <xdr:sp macro="" textlink="">
          <xdr:nvSpPr>
            <xdr:cNvPr id="35859" name="Option Button 19" hidden="1">
              <a:extLst>
                <a:ext uri="{63B3BB69-23CF-44E3-9099-C40C66FF867C}">
                  <a14:compatExt spid="_x0000_s35859"/>
                </a:ext>
                <a:ext uri="{FF2B5EF4-FFF2-40B4-BE49-F238E27FC236}">
                  <a16:creationId xmlns:a16="http://schemas.microsoft.com/office/drawing/2014/main" id="{00000000-0008-0000-0400-00001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238125</xdr:rowOff>
        </xdr:from>
        <xdr:to>
          <xdr:col>7</xdr:col>
          <xdr:colOff>514350</xdr:colOff>
          <xdr:row>35</xdr:row>
          <xdr:rowOff>476250</xdr:rowOff>
        </xdr:to>
        <xdr:sp macro="" textlink="">
          <xdr:nvSpPr>
            <xdr:cNvPr id="35860" name="Option Button 20" hidden="1">
              <a:extLst>
                <a:ext uri="{63B3BB69-23CF-44E3-9099-C40C66FF867C}">
                  <a14:compatExt spid="_x0000_s35860"/>
                </a:ext>
                <a:ext uri="{FF2B5EF4-FFF2-40B4-BE49-F238E27FC236}">
                  <a16:creationId xmlns:a16="http://schemas.microsoft.com/office/drawing/2014/main" id="{00000000-0008-0000-0400-00001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35</xdr:row>
          <xdr:rowOff>104775</xdr:rowOff>
        </xdr:from>
        <xdr:to>
          <xdr:col>7</xdr:col>
          <xdr:colOff>676275</xdr:colOff>
          <xdr:row>35</xdr:row>
          <xdr:rowOff>542925</xdr:rowOff>
        </xdr:to>
        <xdr:sp macro="" textlink="">
          <xdr:nvSpPr>
            <xdr:cNvPr id="35861" name="Group Box 21" hidden="1">
              <a:extLst>
                <a:ext uri="{63B3BB69-23CF-44E3-9099-C40C66FF867C}">
                  <a14:compatExt spid="_x0000_s35861"/>
                </a:ext>
                <a:ext uri="{FF2B5EF4-FFF2-40B4-BE49-F238E27FC236}">
                  <a16:creationId xmlns:a16="http://schemas.microsoft.com/office/drawing/2014/main" id="{00000000-0008-0000-0400-000015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권리성1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36</xdr:row>
          <xdr:rowOff>257175</xdr:rowOff>
        </xdr:from>
        <xdr:to>
          <xdr:col>6</xdr:col>
          <xdr:colOff>657225</xdr:colOff>
          <xdr:row>36</xdr:row>
          <xdr:rowOff>466725</xdr:rowOff>
        </xdr:to>
        <xdr:sp macro="" textlink="">
          <xdr:nvSpPr>
            <xdr:cNvPr id="35862" name="Option Button 22" hidden="1">
              <a:extLst>
                <a:ext uri="{63B3BB69-23CF-44E3-9099-C40C66FF867C}">
                  <a14:compatExt spid="_x0000_s35862"/>
                </a:ext>
                <a:ext uri="{FF2B5EF4-FFF2-40B4-BE49-F238E27FC236}">
                  <a16:creationId xmlns:a16="http://schemas.microsoft.com/office/drawing/2014/main" id="{00000000-0008-0000-0400-00001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36</xdr:row>
          <xdr:rowOff>257175</xdr:rowOff>
        </xdr:from>
        <xdr:to>
          <xdr:col>7</xdr:col>
          <xdr:colOff>457200</xdr:colOff>
          <xdr:row>36</xdr:row>
          <xdr:rowOff>466725</xdr:rowOff>
        </xdr:to>
        <xdr:sp macro="" textlink="">
          <xdr:nvSpPr>
            <xdr:cNvPr id="35863" name="Option Button 23" hidden="1">
              <a:extLst>
                <a:ext uri="{63B3BB69-23CF-44E3-9099-C40C66FF867C}">
                  <a14:compatExt spid="_x0000_s35863"/>
                </a:ext>
                <a:ext uri="{FF2B5EF4-FFF2-40B4-BE49-F238E27FC236}">
                  <a16:creationId xmlns:a16="http://schemas.microsoft.com/office/drawing/2014/main" id="{00000000-0008-0000-0400-00001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36</xdr:row>
          <xdr:rowOff>85725</xdr:rowOff>
        </xdr:from>
        <xdr:to>
          <xdr:col>7</xdr:col>
          <xdr:colOff>676275</xdr:colOff>
          <xdr:row>36</xdr:row>
          <xdr:rowOff>561975</xdr:rowOff>
        </xdr:to>
        <xdr:sp macro="" textlink="">
          <xdr:nvSpPr>
            <xdr:cNvPr id="35864" name="Group Box 24" hidden="1">
              <a:extLst>
                <a:ext uri="{63B3BB69-23CF-44E3-9099-C40C66FF867C}">
                  <a14:compatExt spid="_x0000_s35864"/>
                </a:ext>
                <a:ext uri="{FF2B5EF4-FFF2-40B4-BE49-F238E27FC236}">
                  <a16:creationId xmlns:a16="http://schemas.microsoft.com/office/drawing/2014/main" id="{00000000-0008-0000-0400-000018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권리성2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37</xdr:row>
          <xdr:rowOff>266700</xdr:rowOff>
        </xdr:from>
        <xdr:to>
          <xdr:col>6</xdr:col>
          <xdr:colOff>733425</xdr:colOff>
          <xdr:row>37</xdr:row>
          <xdr:rowOff>466725</xdr:rowOff>
        </xdr:to>
        <xdr:sp macro="" textlink="">
          <xdr:nvSpPr>
            <xdr:cNvPr id="35865" name="Option Button 25" hidden="1">
              <a:extLst>
                <a:ext uri="{63B3BB69-23CF-44E3-9099-C40C66FF867C}">
                  <a14:compatExt spid="_x0000_s35865"/>
                </a:ext>
                <a:ext uri="{FF2B5EF4-FFF2-40B4-BE49-F238E27FC236}">
                  <a16:creationId xmlns:a16="http://schemas.microsoft.com/office/drawing/2014/main" id="{00000000-0008-0000-0400-00001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37</xdr:row>
          <xdr:rowOff>266700</xdr:rowOff>
        </xdr:from>
        <xdr:to>
          <xdr:col>7</xdr:col>
          <xdr:colOff>552450</xdr:colOff>
          <xdr:row>37</xdr:row>
          <xdr:rowOff>466725</xdr:rowOff>
        </xdr:to>
        <xdr:sp macro="" textlink="">
          <xdr:nvSpPr>
            <xdr:cNvPr id="35866" name="Option Button 26" hidden="1">
              <a:extLst>
                <a:ext uri="{63B3BB69-23CF-44E3-9099-C40C66FF867C}">
                  <a14:compatExt spid="_x0000_s35866"/>
                </a:ext>
                <a:ext uri="{FF2B5EF4-FFF2-40B4-BE49-F238E27FC236}">
                  <a16:creationId xmlns:a16="http://schemas.microsoft.com/office/drawing/2014/main" id="{00000000-0008-0000-0400-00001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37</xdr:row>
          <xdr:rowOff>142875</xdr:rowOff>
        </xdr:from>
        <xdr:to>
          <xdr:col>7</xdr:col>
          <xdr:colOff>666750</xdr:colOff>
          <xdr:row>37</xdr:row>
          <xdr:rowOff>561975</xdr:rowOff>
        </xdr:to>
        <xdr:sp macro="" textlink="">
          <xdr:nvSpPr>
            <xdr:cNvPr id="35867" name="Group Box 27" hidden="1">
              <a:extLst>
                <a:ext uri="{63B3BB69-23CF-44E3-9099-C40C66FF867C}">
                  <a14:compatExt spid="_x0000_s35867"/>
                </a:ext>
                <a:ext uri="{FF2B5EF4-FFF2-40B4-BE49-F238E27FC236}">
                  <a16:creationId xmlns:a16="http://schemas.microsoft.com/office/drawing/2014/main" id="{00000000-0008-0000-0400-00001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38</xdr:row>
          <xdr:rowOff>276225</xdr:rowOff>
        </xdr:from>
        <xdr:to>
          <xdr:col>6</xdr:col>
          <xdr:colOff>638175</xdr:colOff>
          <xdr:row>38</xdr:row>
          <xdr:rowOff>485775</xdr:rowOff>
        </xdr:to>
        <xdr:sp macro="" textlink="">
          <xdr:nvSpPr>
            <xdr:cNvPr id="35868" name="Option Button 28" hidden="1">
              <a:extLst>
                <a:ext uri="{63B3BB69-23CF-44E3-9099-C40C66FF867C}">
                  <a14:compatExt spid="_x0000_s35868"/>
                </a:ext>
                <a:ext uri="{FF2B5EF4-FFF2-40B4-BE49-F238E27FC236}">
                  <a16:creationId xmlns:a16="http://schemas.microsoft.com/office/drawing/2014/main" id="{00000000-0008-0000-0400-00001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38</xdr:row>
          <xdr:rowOff>276225</xdr:rowOff>
        </xdr:from>
        <xdr:to>
          <xdr:col>7</xdr:col>
          <xdr:colOff>476250</xdr:colOff>
          <xdr:row>38</xdr:row>
          <xdr:rowOff>485775</xdr:rowOff>
        </xdr:to>
        <xdr:sp macro="" textlink="">
          <xdr:nvSpPr>
            <xdr:cNvPr id="35869" name="Option Button 29" hidden="1">
              <a:extLst>
                <a:ext uri="{63B3BB69-23CF-44E3-9099-C40C66FF867C}">
                  <a14:compatExt spid="_x0000_s35869"/>
                </a:ext>
                <a:ext uri="{FF2B5EF4-FFF2-40B4-BE49-F238E27FC236}">
                  <a16:creationId xmlns:a16="http://schemas.microsoft.com/office/drawing/2014/main" id="{00000000-0008-0000-0400-00001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38</xdr:row>
          <xdr:rowOff>133350</xdr:rowOff>
        </xdr:from>
        <xdr:to>
          <xdr:col>7</xdr:col>
          <xdr:colOff>657225</xdr:colOff>
          <xdr:row>38</xdr:row>
          <xdr:rowOff>561975</xdr:rowOff>
        </xdr:to>
        <xdr:sp macro="" textlink="">
          <xdr:nvSpPr>
            <xdr:cNvPr id="35870" name="Group Box 30" hidden="1">
              <a:extLst>
                <a:ext uri="{63B3BB69-23CF-44E3-9099-C40C66FF867C}">
                  <a14:compatExt spid="_x0000_s35870"/>
                </a:ext>
                <a:ext uri="{FF2B5EF4-FFF2-40B4-BE49-F238E27FC236}">
                  <a16:creationId xmlns:a16="http://schemas.microsoft.com/office/drawing/2014/main" id="{00000000-0008-0000-0400-00001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39</xdr:row>
          <xdr:rowOff>238125</xdr:rowOff>
        </xdr:from>
        <xdr:to>
          <xdr:col>6</xdr:col>
          <xdr:colOff>600075</xdr:colOff>
          <xdr:row>39</xdr:row>
          <xdr:rowOff>447675</xdr:rowOff>
        </xdr:to>
        <xdr:sp macro="" textlink="">
          <xdr:nvSpPr>
            <xdr:cNvPr id="35871" name="Option Button 31" hidden="1">
              <a:extLst>
                <a:ext uri="{63B3BB69-23CF-44E3-9099-C40C66FF867C}">
                  <a14:compatExt spid="_x0000_s35871"/>
                </a:ext>
                <a:ext uri="{FF2B5EF4-FFF2-40B4-BE49-F238E27FC236}">
                  <a16:creationId xmlns:a16="http://schemas.microsoft.com/office/drawing/2014/main" id="{00000000-0008-0000-0400-00001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39</xdr:row>
          <xdr:rowOff>238125</xdr:rowOff>
        </xdr:from>
        <xdr:to>
          <xdr:col>7</xdr:col>
          <xdr:colOff>438150</xdr:colOff>
          <xdr:row>39</xdr:row>
          <xdr:rowOff>447675</xdr:rowOff>
        </xdr:to>
        <xdr:sp macro="" textlink="">
          <xdr:nvSpPr>
            <xdr:cNvPr id="35872" name="Option Button 32" hidden="1">
              <a:extLst>
                <a:ext uri="{63B3BB69-23CF-44E3-9099-C40C66FF867C}">
                  <a14:compatExt spid="_x0000_s35872"/>
                </a:ext>
                <a:ext uri="{FF2B5EF4-FFF2-40B4-BE49-F238E27FC236}">
                  <a16:creationId xmlns:a16="http://schemas.microsoft.com/office/drawing/2014/main" id="{00000000-0008-0000-0400-00002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39</xdr:row>
          <xdr:rowOff>95250</xdr:rowOff>
        </xdr:from>
        <xdr:to>
          <xdr:col>7</xdr:col>
          <xdr:colOff>647700</xdr:colOff>
          <xdr:row>39</xdr:row>
          <xdr:rowOff>523875</xdr:rowOff>
        </xdr:to>
        <xdr:sp macro="" textlink="">
          <xdr:nvSpPr>
            <xdr:cNvPr id="35873" name="Group Box 33" hidden="1">
              <a:extLst>
                <a:ext uri="{63B3BB69-23CF-44E3-9099-C40C66FF867C}">
                  <a14:compatExt spid="_x0000_s35873"/>
                </a:ext>
                <a:ext uri="{FF2B5EF4-FFF2-40B4-BE49-F238E27FC236}">
                  <a16:creationId xmlns:a16="http://schemas.microsoft.com/office/drawing/2014/main" id="{00000000-0008-0000-0400-00002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40</xdr:row>
          <xdr:rowOff>266700</xdr:rowOff>
        </xdr:from>
        <xdr:to>
          <xdr:col>6</xdr:col>
          <xdr:colOff>695325</xdr:colOff>
          <xdr:row>40</xdr:row>
          <xdr:rowOff>476250</xdr:rowOff>
        </xdr:to>
        <xdr:sp macro="" textlink="">
          <xdr:nvSpPr>
            <xdr:cNvPr id="35874" name="Option Button 34" hidden="1">
              <a:extLst>
                <a:ext uri="{63B3BB69-23CF-44E3-9099-C40C66FF867C}">
                  <a14:compatExt spid="_x0000_s35874"/>
                </a:ext>
                <a:ext uri="{FF2B5EF4-FFF2-40B4-BE49-F238E27FC236}">
                  <a16:creationId xmlns:a16="http://schemas.microsoft.com/office/drawing/2014/main" id="{00000000-0008-0000-0400-00002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40</xdr:row>
          <xdr:rowOff>266700</xdr:rowOff>
        </xdr:from>
        <xdr:to>
          <xdr:col>7</xdr:col>
          <xdr:colOff>523875</xdr:colOff>
          <xdr:row>40</xdr:row>
          <xdr:rowOff>476250</xdr:rowOff>
        </xdr:to>
        <xdr:sp macro="" textlink="">
          <xdr:nvSpPr>
            <xdr:cNvPr id="35875" name="Option Button 35" hidden="1">
              <a:extLst>
                <a:ext uri="{63B3BB69-23CF-44E3-9099-C40C66FF867C}">
                  <a14:compatExt spid="_x0000_s35875"/>
                </a:ext>
                <a:ext uri="{FF2B5EF4-FFF2-40B4-BE49-F238E27FC236}">
                  <a16:creationId xmlns:a16="http://schemas.microsoft.com/office/drawing/2014/main" id="{00000000-0008-0000-0400-00002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40</xdr:row>
          <xdr:rowOff>114300</xdr:rowOff>
        </xdr:from>
        <xdr:to>
          <xdr:col>7</xdr:col>
          <xdr:colOff>638175</xdr:colOff>
          <xdr:row>40</xdr:row>
          <xdr:rowOff>561975</xdr:rowOff>
        </xdr:to>
        <xdr:sp macro="" textlink="">
          <xdr:nvSpPr>
            <xdr:cNvPr id="35876" name="Group Box 36" hidden="1">
              <a:extLst>
                <a:ext uri="{63B3BB69-23CF-44E3-9099-C40C66FF867C}">
                  <a14:compatExt spid="_x0000_s35876"/>
                </a:ext>
                <a:ext uri="{FF2B5EF4-FFF2-40B4-BE49-F238E27FC236}">
                  <a16:creationId xmlns:a16="http://schemas.microsoft.com/office/drawing/2014/main" id="{00000000-0008-0000-0400-00002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사업성1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41</xdr:row>
          <xdr:rowOff>276225</xdr:rowOff>
        </xdr:from>
        <xdr:to>
          <xdr:col>6</xdr:col>
          <xdr:colOff>657225</xdr:colOff>
          <xdr:row>41</xdr:row>
          <xdr:rowOff>485775</xdr:rowOff>
        </xdr:to>
        <xdr:sp macro="" textlink="">
          <xdr:nvSpPr>
            <xdr:cNvPr id="35877" name="Option Button 37" hidden="1">
              <a:extLst>
                <a:ext uri="{63B3BB69-23CF-44E3-9099-C40C66FF867C}">
                  <a14:compatExt spid="_x0000_s35877"/>
                </a:ext>
                <a:ext uri="{FF2B5EF4-FFF2-40B4-BE49-F238E27FC236}">
                  <a16:creationId xmlns:a16="http://schemas.microsoft.com/office/drawing/2014/main" id="{00000000-0008-0000-0400-00002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41</xdr:row>
          <xdr:rowOff>276225</xdr:rowOff>
        </xdr:from>
        <xdr:to>
          <xdr:col>7</xdr:col>
          <xdr:colOff>514350</xdr:colOff>
          <xdr:row>41</xdr:row>
          <xdr:rowOff>485775</xdr:rowOff>
        </xdr:to>
        <xdr:sp macro="" textlink="">
          <xdr:nvSpPr>
            <xdr:cNvPr id="35878" name="Option Button 38" hidden="1">
              <a:extLst>
                <a:ext uri="{63B3BB69-23CF-44E3-9099-C40C66FF867C}">
                  <a14:compatExt spid="_x0000_s35878"/>
                </a:ext>
                <a:ext uri="{FF2B5EF4-FFF2-40B4-BE49-F238E27FC236}">
                  <a16:creationId xmlns:a16="http://schemas.microsoft.com/office/drawing/2014/main" id="{00000000-0008-0000-0400-00002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41</xdr:row>
          <xdr:rowOff>104775</xdr:rowOff>
        </xdr:from>
        <xdr:to>
          <xdr:col>7</xdr:col>
          <xdr:colOff>638175</xdr:colOff>
          <xdr:row>41</xdr:row>
          <xdr:rowOff>542925</xdr:rowOff>
        </xdr:to>
        <xdr:sp macro="" textlink="">
          <xdr:nvSpPr>
            <xdr:cNvPr id="35879" name="Group Box 39" hidden="1">
              <a:extLst>
                <a:ext uri="{63B3BB69-23CF-44E3-9099-C40C66FF867C}">
                  <a14:compatExt spid="_x0000_s35879"/>
                </a:ext>
                <a:ext uri="{FF2B5EF4-FFF2-40B4-BE49-F238E27FC236}">
                  <a16:creationId xmlns:a16="http://schemas.microsoft.com/office/drawing/2014/main" id="{00000000-0008-0000-0400-00002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사업성2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52</xdr:row>
          <xdr:rowOff>257175</xdr:rowOff>
        </xdr:from>
        <xdr:to>
          <xdr:col>6</xdr:col>
          <xdr:colOff>666750</xdr:colOff>
          <xdr:row>52</xdr:row>
          <xdr:rowOff>466725</xdr:rowOff>
        </xdr:to>
        <xdr:sp macro="" textlink="">
          <xdr:nvSpPr>
            <xdr:cNvPr id="35880" name="Option Button 40" hidden="1">
              <a:extLst>
                <a:ext uri="{63B3BB69-23CF-44E3-9099-C40C66FF867C}">
                  <a14:compatExt spid="_x0000_s35880"/>
                </a:ext>
                <a:ext uri="{FF2B5EF4-FFF2-40B4-BE49-F238E27FC236}">
                  <a16:creationId xmlns:a16="http://schemas.microsoft.com/office/drawing/2014/main" id="{00000000-0008-0000-0400-00002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257175</xdr:rowOff>
        </xdr:from>
        <xdr:to>
          <xdr:col>7</xdr:col>
          <xdr:colOff>457200</xdr:colOff>
          <xdr:row>52</xdr:row>
          <xdr:rowOff>466725</xdr:rowOff>
        </xdr:to>
        <xdr:sp macro="" textlink="">
          <xdr:nvSpPr>
            <xdr:cNvPr id="35881" name="Option Button 41" hidden="1">
              <a:extLst>
                <a:ext uri="{63B3BB69-23CF-44E3-9099-C40C66FF867C}">
                  <a14:compatExt spid="_x0000_s35881"/>
                </a:ext>
                <a:ext uri="{FF2B5EF4-FFF2-40B4-BE49-F238E27FC236}">
                  <a16:creationId xmlns:a16="http://schemas.microsoft.com/office/drawing/2014/main" id="{00000000-0008-0000-0400-00002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52</xdr:row>
          <xdr:rowOff>133350</xdr:rowOff>
        </xdr:from>
        <xdr:to>
          <xdr:col>7</xdr:col>
          <xdr:colOff>647700</xdr:colOff>
          <xdr:row>52</xdr:row>
          <xdr:rowOff>514350</xdr:rowOff>
        </xdr:to>
        <xdr:sp macro="" textlink="">
          <xdr:nvSpPr>
            <xdr:cNvPr id="35882" name="Group Box 42" hidden="1">
              <a:extLst>
                <a:ext uri="{63B3BB69-23CF-44E3-9099-C40C66FF867C}">
                  <a14:compatExt spid="_x0000_s35882"/>
                </a:ext>
                <a:ext uri="{FF2B5EF4-FFF2-40B4-BE49-F238E27FC236}">
                  <a16:creationId xmlns:a16="http://schemas.microsoft.com/office/drawing/2014/main" id="{00000000-0008-0000-0400-00002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 수명1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53</xdr:row>
          <xdr:rowOff>285750</xdr:rowOff>
        </xdr:from>
        <xdr:to>
          <xdr:col>6</xdr:col>
          <xdr:colOff>676275</xdr:colOff>
          <xdr:row>53</xdr:row>
          <xdr:rowOff>495300</xdr:rowOff>
        </xdr:to>
        <xdr:sp macro="" textlink="">
          <xdr:nvSpPr>
            <xdr:cNvPr id="35883" name="Option Button 43" hidden="1">
              <a:extLst>
                <a:ext uri="{63B3BB69-23CF-44E3-9099-C40C66FF867C}">
                  <a14:compatExt spid="_x0000_s35883"/>
                </a:ext>
                <a:ext uri="{FF2B5EF4-FFF2-40B4-BE49-F238E27FC236}">
                  <a16:creationId xmlns:a16="http://schemas.microsoft.com/office/drawing/2014/main" id="{00000000-0008-0000-0400-00002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53</xdr:row>
          <xdr:rowOff>285750</xdr:rowOff>
        </xdr:from>
        <xdr:to>
          <xdr:col>7</xdr:col>
          <xdr:colOff>428625</xdr:colOff>
          <xdr:row>53</xdr:row>
          <xdr:rowOff>495300</xdr:rowOff>
        </xdr:to>
        <xdr:sp macro="" textlink="">
          <xdr:nvSpPr>
            <xdr:cNvPr id="35884" name="Option Button 44" hidden="1">
              <a:extLst>
                <a:ext uri="{63B3BB69-23CF-44E3-9099-C40C66FF867C}">
                  <a14:compatExt spid="_x0000_s35884"/>
                </a:ext>
                <a:ext uri="{FF2B5EF4-FFF2-40B4-BE49-F238E27FC236}">
                  <a16:creationId xmlns:a16="http://schemas.microsoft.com/office/drawing/2014/main" id="{00000000-0008-0000-0400-00002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53</xdr:row>
          <xdr:rowOff>133350</xdr:rowOff>
        </xdr:from>
        <xdr:to>
          <xdr:col>7</xdr:col>
          <xdr:colOff>657225</xdr:colOff>
          <xdr:row>53</xdr:row>
          <xdr:rowOff>542925</xdr:rowOff>
        </xdr:to>
        <xdr:sp macro="" textlink="">
          <xdr:nvSpPr>
            <xdr:cNvPr id="35885" name="Group Box 45" hidden="1">
              <a:extLst>
                <a:ext uri="{63B3BB69-23CF-44E3-9099-C40C66FF867C}">
                  <a14:compatExt spid="_x0000_s35885"/>
                </a:ext>
                <a:ext uri="{FF2B5EF4-FFF2-40B4-BE49-F238E27FC236}">
                  <a16:creationId xmlns:a16="http://schemas.microsoft.com/office/drawing/2014/main" id="{00000000-0008-0000-0400-00002D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 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54</xdr:row>
          <xdr:rowOff>304800</xdr:rowOff>
        </xdr:from>
        <xdr:to>
          <xdr:col>6</xdr:col>
          <xdr:colOff>695325</xdr:colOff>
          <xdr:row>54</xdr:row>
          <xdr:rowOff>514350</xdr:rowOff>
        </xdr:to>
        <xdr:sp macro="" textlink="">
          <xdr:nvSpPr>
            <xdr:cNvPr id="35886" name="Option Button 46" hidden="1">
              <a:extLst>
                <a:ext uri="{63B3BB69-23CF-44E3-9099-C40C66FF867C}">
                  <a14:compatExt spid="_x0000_s35886"/>
                </a:ext>
                <a:ext uri="{FF2B5EF4-FFF2-40B4-BE49-F238E27FC236}">
                  <a16:creationId xmlns:a16="http://schemas.microsoft.com/office/drawing/2014/main" id="{00000000-0008-0000-0400-00002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54</xdr:row>
          <xdr:rowOff>304800</xdr:rowOff>
        </xdr:from>
        <xdr:to>
          <xdr:col>7</xdr:col>
          <xdr:colOff>504825</xdr:colOff>
          <xdr:row>54</xdr:row>
          <xdr:rowOff>514350</xdr:rowOff>
        </xdr:to>
        <xdr:sp macro="" textlink="">
          <xdr:nvSpPr>
            <xdr:cNvPr id="35887" name="Option Button 47" hidden="1">
              <a:extLst>
                <a:ext uri="{63B3BB69-23CF-44E3-9099-C40C66FF867C}">
                  <a14:compatExt spid="_x0000_s35887"/>
                </a:ext>
                <a:ext uri="{FF2B5EF4-FFF2-40B4-BE49-F238E27FC236}">
                  <a16:creationId xmlns:a16="http://schemas.microsoft.com/office/drawing/2014/main" id="{00000000-0008-0000-0400-00002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54</xdr:row>
          <xdr:rowOff>133350</xdr:rowOff>
        </xdr:from>
        <xdr:to>
          <xdr:col>7</xdr:col>
          <xdr:colOff>647700</xdr:colOff>
          <xdr:row>54</xdr:row>
          <xdr:rowOff>619125</xdr:rowOff>
        </xdr:to>
        <xdr:sp macro="" textlink="">
          <xdr:nvSpPr>
            <xdr:cNvPr id="35888" name="Group Box 48" hidden="1">
              <a:extLst>
                <a:ext uri="{63B3BB69-23CF-44E3-9099-C40C66FF867C}">
                  <a14:compatExt spid="_x0000_s35888"/>
                </a:ext>
                <a:ext uri="{FF2B5EF4-FFF2-40B4-BE49-F238E27FC236}">
                  <a16:creationId xmlns:a16="http://schemas.microsoft.com/office/drawing/2014/main" id="{00000000-0008-0000-0400-00003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55</xdr:row>
          <xdr:rowOff>161925</xdr:rowOff>
        </xdr:from>
        <xdr:to>
          <xdr:col>6</xdr:col>
          <xdr:colOff>733425</xdr:colOff>
          <xdr:row>55</xdr:row>
          <xdr:rowOff>371475</xdr:rowOff>
        </xdr:to>
        <xdr:sp macro="" textlink="">
          <xdr:nvSpPr>
            <xdr:cNvPr id="35889" name="Option Button 49" hidden="1">
              <a:extLst>
                <a:ext uri="{63B3BB69-23CF-44E3-9099-C40C66FF867C}">
                  <a14:compatExt spid="_x0000_s35889"/>
                </a:ext>
                <a:ext uri="{FF2B5EF4-FFF2-40B4-BE49-F238E27FC236}">
                  <a16:creationId xmlns:a16="http://schemas.microsoft.com/office/drawing/2014/main" id="{00000000-0008-0000-0400-00003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55</xdr:row>
          <xdr:rowOff>161925</xdr:rowOff>
        </xdr:from>
        <xdr:to>
          <xdr:col>7</xdr:col>
          <xdr:colOff>533400</xdr:colOff>
          <xdr:row>55</xdr:row>
          <xdr:rowOff>371475</xdr:rowOff>
        </xdr:to>
        <xdr:sp macro="" textlink="">
          <xdr:nvSpPr>
            <xdr:cNvPr id="35890" name="Option Button 50" hidden="1">
              <a:extLst>
                <a:ext uri="{63B3BB69-23CF-44E3-9099-C40C66FF867C}">
                  <a14:compatExt spid="_x0000_s35890"/>
                </a:ext>
                <a:ext uri="{FF2B5EF4-FFF2-40B4-BE49-F238E27FC236}">
                  <a16:creationId xmlns:a16="http://schemas.microsoft.com/office/drawing/2014/main" id="{00000000-0008-0000-0400-00003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55</xdr:row>
          <xdr:rowOff>66675</xdr:rowOff>
        </xdr:from>
        <xdr:to>
          <xdr:col>7</xdr:col>
          <xdr:colOff>638175</xdr:colOff>
          <xdr:row>55</xdr:row>
          <xdr:rowOff>390525</xdr:rowOff>
        </xdr:to>
        <xdr:sp macro="" textlink="">
          <xdr:nvSpPr>
            <xdr:cNvPr id="35891" name="Group Box 51" hidden="1">
              <a:extLst>
                <a:ext uri="{63B3BB69-23CF-44E3-9099-C40C66FF867C}">
                  <a14:compatExt spid="_x0000_s35891"/>
                </a:ext>
                <a:ext uri="{FF2B5EF4-FFF2-40B4-BE49-F238E27FC236}">
                  <a16:creationId xmlns:a16="http://schemas.microsoft.com/office/drawing/2014/main" id="{00000000-0008-0000-0400-000033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56</xdr:row>
          <xdr:rowOff>161925</xdr:rowOff>
        </xdr:from>
        <xdr:to>
          <xdr:col>6</xdr:col>
          <xdr:colOff>657225</xdr:colOff>
          <xdr:row>56</xdr:row>
          <xdr:rowOff>371475</xdr:rowOff>
        </xdr:to>
        <xdr:sp macro="" textlink="">
          <xdr:nvSpPr>
            <xdr:cNvPr id="35892" name="Option Button 52" hidden="1">
              <a:extLst>
                <a:ext uri="{63B3BB69-23CF-44E3-9099-C40C66FF867C}">
                  <a14:compatExt spid="_x0000_s35892"/>
                </a:ext>
                <a:ext uri="{FF2B5EF4-FFF2-40B4-BE49-F238E27FC236}">
                  <a16:creationId xmlns:a16="http://schemas.microsoft.com/office/drawing/2014/main" id="{00000000-0008-0000-0400-00003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56</xdr:row>
          <xdr:rowOff>161925</xdr:rowOff>
        </xdr:from>
        <xdr:to>
          <xdr:col>7</xdr:col>
          <xdr:colOff>457200</xdr:colOff>
          <xdr:row>56</xdr:row>
          <xdr:rowOff>371475</xdr:rowOff>
        </xdr:to>
        <xdr:sp macro="" textlink="">
          <xdr:nvSpPr>
            <xdr:cNvPr id="35893" name="Option Button 53" hidden="1">
              <a:extLst>
                <a:ext uri="{63B3BB69-23CF-44E3-9099-C40C66FF867C}">
                  <a14:compatExt spid="_x0000_s35893"/>
                </a:ext>
                <a:ext uri="{FF2B5EF4-FFF2-40B4-BE49-F238E27FC236}">
                  <a16:creationId xmlns:a16="http://schemas.microsoft.com/office/drawing/2014/main" id="{00000000-0008-0000-0400-00003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56</xdr:row>
          <xdr:rowOff>47625</xdr:rowOff>
        </xdr:from>
        <xdr:to>
          <xdr:col>7</xdr:col>
          <xdr:colOff>638175</xdr:colOff>
          <xdr:row>56</xdr:row>
          <xdr:rowOff>409575</xdr:rowOff>
        </xdr:to>
        <xdr:sp macro="" textlink="">
          <xdr:nvSpPr>
            <xdr:cNvPr id="35894" name="Group Box 54" hidden="1">
              <a:extLst>
                <a:ext uri="{63B3BB69-23CF-44E3-9099-C40C66FF867C}">
                  <a14:compatExt spid="_x0000_s35894"/>
                </a:ext>
                <a:ext uri="{FF2B5EF4-FFF2-40B4-BE49-F238E27FC236}">
                  <a16:creationId xmlns:a16="http://schemas.microsoft.com/office/drawing/2014/main" id="{00000000-0008-0000-0400-00003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57</xdr:row>
          <xdr:rowOff>161925</xdr:rowOff>
        </xdr:from>
        <xdr:to>
          <xdr:col>6</xdr:col>
          <xdr:colOff>657225</xdr:colOff>
          <xdr:row>57</xdr:row>
          <xdr:rowOff>371475</xdr:rowOff>
        </xdr:to>
        <xdr:sp macro="" textlink="">
          <xdr:nvSpPr>
            <xdr:cNvPr id="35895" name="Option Button 55" hidden="1">
              <a:extLst>
                <a:ext uri="{63B3BB69-23CF-44E3-9099-C40C66FF867C}">
                  <a14:compatExt spid="_x0000_s35895"/>
                </a:ext>
                <a:ext uri="{FF2B5EF4-FFF2-40B4-BE49-F238E27FC236}">
                  <a16:creationId xmlns:a16="http://schemas.microsoft.com/office/drawing/2014/main" id="{00000000-0008-0000-0400-00003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57</xdr:row>
          <xdr:rowOff>161925</xdr:rowOff>
        </xdr:from>
        <xdr:to>
          <xdr:col>7</xdr:col>
          <xdr:colOff>438150</xdr:colOff>
          <xdr:row>57</xdr:row>
          <xdr:rowOff>371475</xdr:rowOff>
        </xdr:to>
        <xdr:sp macro="" textlink="">
          <xdr:nvSpPr>
            <xdr:cNvPr id="35896" name="Option Button 56" hidden="1">
              <a:extLst>
                <a:ext uri="{63B3BB69-23CF-44E3-9099-C40C66FF867C}">
                  <a14:compatExt spid="_x0000_s35896"/>
                </a:ext>
                <a:ext uri="{FF2B5EF4-FFF2-40B4-BE49-F238E27FC236}">
                  <a16:creationId xmlns:a16="http://schemas.microsoft.com/office/drawing/2014/main" id="{00000000-0008-0000-0400-00003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57</xdr:row>
          <xdr:rowOff>66675</xdr:rowOff>
        </xdr:from>
        <xdr:to>
          <xdr:col>7</xdr:col>
          <xdr:colOff>638175</xdr:colOff>
          <xdr:row>57</xdr:row>
          <xdr:rowOff>419100</xdr:rowOff>
        </xdr:to>
        <xdr:sp macro="" textlink="">
          <xdr:nvSpPr>
            <xdr:cNvPr id="35897" name="Group Box 57" hidden="1">
              <a:extLst>
                <a:ext uri="{63B3BB69-23CF-44E3-9099-C40C66FF867C}">
                  <a14:compatExt spid="_x0000_s35897"/>
                </a:ext>
                <a:ext uri="{FF2B5EF4-FFF2-40B4-BE49-F238E27FC236}">
                  <a16:creationId xmlns:a16="http://schemas.microsoft.com/office/drawing/2014/main" id="{00000000-0008-0000-0400-000039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58</xdr:row>
          <xdr:rowOff>238125</xdr:rowOff>
        </xdr:from>
        <xdr:to>
          <xdr:col>6</xdr:col>
          <xdr:colOff>676275</xdr:colOff>
          <xdr:row>58</xdr:row>
          <xdr:rowOff>447675</xdr:rowOff>
        </xdr:to>
        <xdr:sp macro="" textlink="">
          <xdr:nvSpPr>
            <xdr:cNvPr id="35898" name="Option Button 58" hidden="1">
              <a:extLst>
                <a:ext uri="{63B3BB69-23CF-44E3-9099-C40C66FF867C}">
                  <a14:compatExt spid="_x0000_s35898"/>
                </a:ext>
                <a:ext uri="{FF2B5EF4-FFF2-40B4-BE49-F238E27FC236}">
                  <a16:creationId xmlns:a16="http://schemas.microsoft.com/office/drawing/2014/main" id="{00000000-0008-0000-0400-00003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58</xdr:row>
          <xdr:rowOff>238125</xdr:rowOff>
        </xdr:from>
        <xdr:to>
          <xdr:col>7</xdr:col>
          <xdr:colOff>457200</xdr:colOff>
          <xdr:row>58</xdr:row>
          <xdr:rowOff>447675</xdr:rowOff>
        </xdr:to>
        <xdr:sp macro="" textlink="">
          <xdr:nvSpPr>
            <xdr:cNvPr id="35899" name="Option Button 59" hidden="1">
              <a:extLst>
                <a:ext uri="{63B3BB69-23CF-44E3-9099-C40C66FF867C}">
                  <a14:compatExt spid="_x0000_s35899"/>
                </a:ext>
                <a:ext uri="{FF2B5EF4-FFF2-40B4-BE49-F238E27FC236}">
                  <a16:creationId xmlns:a16="http://schemas.microsoft.com/office/drawing/2014/main" id="{00000000-0008-0000-0400-00003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58</xdr:row>
          <xdr:rowOff>95250</xdr:rowOff>
        </xdr:from>
        <xdr:to>
          <xdr:col>7</xdr:col>
          <xdr:colOff>638175</xdr:colOff>
          <xdr:row>58</xdr:row>
          <xdr:rowOff>514350</xdr:rowOff>
        </xdr:to>
        <xdr:sp macro="" textlink="">
          <xdr:nvSpPr>
            <xdr:cNvPr id="35900" name="Group Box 60" hidden="1">
              <a:extLst>
                <a:ext uri="{63B3BB69-23CF-44E3-9099-C40C66FF867C}">
                  <a14:compatExt spid="_x0000_s35900"/>
                </a:ext>
                <a:ext uri="{FF2B5EF4-FFF2-40B4-BE49-F238E27FC236}">
                  <a16:creationId xmlns:a16="http://schemas.microsoft.com/office/drawing/2014/main" id="{00000000-0008-0000-0400-00003C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할인율1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59</xdr:row>
          <xdr:rowOff>228600</xdr:rowOff>
        </xdr:from>
        <xdr:to>
          <xdr:col>6</xdr:col>
          <xdr:colOff>628650</xdr:colOff>
          <xdr:row>59</xdr:row>
          <xdr:rowOff>438150</xdr:rowOff>
        </xdr:to>
        <xdr:sp macro="" textlink="">
          <xdr:nvSpPr>
            <xdr:cNvPr id="35901" name="Option Button 61" hidden="1">
              <a:extLst>
                <a:ext uri="{63B3BB69-23CF-44E3-9099-C40C66FF867C}">
                  <a14:compatExt spid="_x0000_s35901"/>
                </a:ext>
                <a:ext uri="{FF2B5EF4-FFF2-40B4-BE49-F238E27FC236}">
                  <a16:creationId xmlns:a16="http://schemas.microsoft.com/office/drawing/2014/main" id="{00000000-0008-0000-0400-00003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59</xdr:row>
          <xdr:rowOff>228600</xdr:rowOff>
        </xdr:from>
        <xdr:to>
          <xdr:col>7</xdr:col>
          <xdr:colOff>419100</xdr:colOff>
          <xdr:row>59</xdr:row>
          <xdr:rowOff>438150</xdr:rowOff>
        </xdr:to>
        <xdr:sp macro="" textlink="">
          <xdr:nvSpPr>
            <xdr:cNvPr id="35902" name="Option Button 62" hidden="1">
              <a:extLst>
                <a:ext uri="{63B3BB69-23CF-44E3-9099-C40C66FF867C}">
                  <a14:compatExt spid="_x0000_s35902"/>
                </a:ext>
                <a:ext uri="{FF2B5EF4-FFF2-40B4-BE49-F238E27FC236}">
                  <a16:creationId xmlns:a16="http://schemas.microsoft.com/office/drawing/2014/main" id="{00000000-0008-0000-0400-00003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59</xdr:row>
          <xdr:rowOff>85725</xdr:rowOff>
        </xdr:from>
        <xdr:to>
          <xdr:col>7</xdr:col>
          <xdr:colOff>647700</xdr:colOff>
          <xdr:row>59</xdr:row>
          <xdr:rowOff>495300</xdr:rowOff>
        </xdr:to>
        <xdr:sp macro="" textlink="">
          <xdr:nvSpPr>
            <xdr:cNvPr id="35903" name="Group Box 63" hidden="1">
              <a:extLst>
                <a:ext uri="{63B3BB69-23CF-44E3-9099-C40C66FF867C}">
                  <a14:compatExt spid="_x0000_s35903"/>
                </a:ext>
                <a:ext uri="{FF2B5EF4-FFF2-40B4-BE49-F238E27FC236}">
                  <a16:creationId xmlns:a16="http://schemas.microsoft.com/office/drawing/2014/main" id="{00000000-0008-0000-0400-00003F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할인율2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60</xdr:row>
          <xdr:rowOff>247650</xdr:rowOff>
        </xdr:from>
        <xdr:to>
          <xdr:col>6</xdr:col>
          <xdr:colOff>676275</xdr:colOff>
          <xdr:row>60</xdr:row>
          <xdr:rowOff>457200</xdr:rowOff>
        </xdr:to>
        <xdr:sp macro="" textlink="">
          <xdr:nvSpPr>
            <xdr:cNvPr id="35904" name="Option Button 64" hidden="1">
              <a:extLst>
                <a:ext uri="{63B3BB69-23CF-44E3-9099-C40C66FF867C}">
                  <a14:compatExt spid="_x0000_s35904"/>
                </a:ext>
                <a:ext uri="{FF2B5EF4-FFF2-40B4-BE49-F238E27FC236}">
                  <a16:creationId xmlns:a16="http://schemas.microsoft.com/office/drawing/2014/main" id="{00000000-0008-0000-0400-00004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60</xdr:row>
          <xdr:rowOff>247650</xdr:rowOff>
        </xdr:from>
        <xdr:to>
          <xdr:col>7</xdr:col>
          <xdr:colOff>476250</xdr:colOff>
          <xdr:row>60</xdr:row>
          <xdr:rowOff>457200</xdr:rowOff>
        </xdr:to>
        <xdr:sp macro="" textlink="">
          <xdr:nvSpPr>
            <xdr:cNvPr id="35905" name="Option Button 65" hidden="1">
              <a:extLst>
                <a:ext uri="{63B3BB69-23CF-44E3-9099-C40C66FF867C}">
                  <a14:compatExt spid="_x0000_s35905"/>
                </a:ext>
                <a:ext uri="{FF2B5EF4-FFF2-40B4-BE49-F238E27FC236}">
                  <a16:creationId xmlns:a16="http://schemas.microsoft.com/office/drawing/2014/main" id="{00000000-0008-0000-0400-00004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60</xdr:row>
          <xdr:rowOff>85725</xdr:rowOff>
        </xdr:from>
        <xdr:to>
          <xdr:col>7</xdr:col>
          <xdr:colOff>647700</xdr:colOff>
          <xdr:row>60</xdr:row>
          <xdr:rowOff>523875</xdr:rowOff>
        </xdr:to>
        <xdr:sp macro="" textlink="">
          <xdr:nvSpPr>
            <xdr:cNvPr id="35906" name="Group Box 66" hidden="1">
              <a:extLst>
                <a:ext uri="{63B3BB69-23CF-44E3-9099-C40C66FF867C}">
                  <a14:compatExt spid="_x0000_s35906"/>
                </a:ext>
                <a:ext uri="{FF2B5EF4-FFF2-40B4-BE49-F238E27FC236}">
                  <a16:creationId xmlns:a16="http://schemas.microsoft.com/office/drawing/2014/main" id="{00000000-0008-0000-0400-000042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기술기여도1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61</xdr:row>
          <xdr:rowOff>257175</xdr:rowOff>
        </xdr:from>
        <xdr:to>
          <xdr:col>6</xdr:col>
          <xdr:colOff>685800</xdr:colOff>
          <xdr:row>61</xdr:row>
          <xdr:rowOff>466725</xdr:rowOff>
        </xdr:to>
        <xdr:sp macro="" textlink="">
          <xdr:nvSpPr>
            <xdr:cNvPr id="35907" name="Option Button 67" hidden="1">
              <a:extLst>
                <a:ext uri="{63B3BB69-23CF-44E3-9099-C40C66FF867C}">
                  <a14:compatExt spid="_x0000_s35907"/>
                </a:ext>
                <a:ext uri="{FF2B5EF4-FFF2-40B4-BE49-F238E27FC236}">
                  <a16:creationId xmlns:a16="http://schemas.microsoft.com/office/drawing/2014/main" id="{00000000-0008-0000-0400-00004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61</xdr:row>
          <xdr:rowOff>257175</xdr:rowOff>
        </xdr:from>
        <xdr:to>
          <xdr:col>7</xdr:col>
          <xdr:colOff>476250</xdr:colOff>
          <xdr:row>61</xdr:row>
          <xdr:rowOff>466725</xdr:rowOff>
        </xdr:to>
        <xdr:sp macro="" textlink="">
          <xdr:nvSpPr>
            <xdr:cNvPr id="35908" name="Option Button 68" hidden="1">
              <a:extLst>
                <a:ext uri="{63B3BB69-23CF-44E3-9099-C40C66FF867C}">
                  <a14:compatExt spid="_x0000_s35908"/>
                </a:ext>
                <a:ext uri="{FF2B5EF4-FFF2-40B4-BE49-F238E27FC236}">
                  <a16:creationId xmlns:a16="http://schemas.microsoft.com/office/drawing/2014/main" id="{00000000-0008-0000-0400-00004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61</xdr:row>
          <xdr:rowOff>104775</xdr:rowOff>
        </xdr:from>
        <xdr:to>
          <xdr:col>7</xdr:col>
          <xdr:colOff>647700</xdr:colOff>
          <xdr:row>61</xdr:row>
          <xdr:rowOff>485775</xdr:rowOff>
        </xdr:to>
        <xdr:sp macro="" textlink="">
          <xdr:nvSpPr>
            <xdr:cNvPr id="35909" name="Group Box 69" hidden="1">
              <a:extLst>
                <a:ext uri="{63B3BB69-23CF-44E3-9099-C40C66FF867C}">
                  <a14:compatExt spid="_x0000_s35909"/>
                </a:ext>
                <a:ext uri="{FF2B5EF4-FFF2-40B4-BE49-F238E27FC236}">
                  <a16:creationId xmlns:a16="http://schemas.microsoft.com/office/drawing/2014/main" id="{00000000-0008-0000-0400-000045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기술기여도2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62</xdr:row>
          <xdr:rowOff>266700</xdr:rowOff>
        </xdr:from>
        <xdr:to>
          <xdr:col>6</xdr:col>
          <xdr:colOff>666750</xdr:colOff>
          <xdr:row>62</xdr:row>
          <xdr:rowOff>476250</xdr:rowOff>
        </xdr:to>
        <xdr:sp macro="" textlink="">
          <xdr:nvSpPr>
            <xdr:cNvPr id="35910" name="Option Button 70" hidden="1">
              <a:extLst>
                <a:ext uri="{63B3BB69-23CF-44E3-9099-C40C66FF867C}">
                  <a14:compatExt spid="_x0000_s35910"/>
                </a:ext>
                <a:ext uri="{FF2B5EF4-FFF2-40B4-BE49-F238E27FC236}">
                  <a16:creationId xmlns:a16="http://schemas.microsoft.com/office/drawing/2014/main" id="{00000000-0008-0000-0400-00004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62</xdr:row>
          <xdr:rowOff>266700</xdr:rowOff>
        </xdr:from>
        <xdr:to>
          <xdr:col>7</xdr:col>
          <xdr:colOff>447675</xdr:colOff>
          <xdr:row>62</xdr:row>
          <xdr:rowOff>476250</xdr:rowOff>
        </xdr:to>
        <xdr:sp macro="" textlink="">
          <xdr:nvSpPr>
            <xdr:cNvPr id="35911" name="Option Button 71" hidden="1">
              <a:extLst>
                <a:ext uri="{63B3BB69-23CF-44E3-9099-C40C66FF867C}">
                  <a14:compatExt spid="_x0000_s35911"/>
                </a:ext>
                <a:ext uri="{FF2B5EF4-FFF2-40B4-BE49-F238E27FC236}">
                  <a16:creationId xmlns:a16="http://schemas.microsoft.com/office/drawing/2014/main" id="{00000000-0008-0000-0400-00004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62</xdr:row>
          <xdr:rowOff>123825</xdr:rowOff>
        </xdr:from>
        <xdr:to>
          <xdr:col>7</xdr:col>
          <xdr:colOff>647700</xdr:colOff>
          <xdr:row>62</xdr:row>
          <xdr:rowOff>514350</xdr:rowOff>
        </xdr:to>
        <xdr:sp macro="" textlink="">
          <xdr:nvSpPr>
            <xdr:cNvPr id="35912" name="Group Box 72" hidden="1">
              <a:extLst>
                <a:ext uri="{63B3BB69-23CF-44E3-9099-C40C66FF867C}">
                  <a14:compatExt spid="_x0000_s35912"/>
                </a:ext>
                <a:ext uri="{FF2B5EF4-FFF2-40B4-BE49-F238E27FC236}">
                  <a16:creationId xmlns:a16="http://schemas.microsoft.com/office/drawing/2014/main" id="{00000000-0008-0000-0400-000048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제한조건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73</xdr:row>
          <xdr:rowOff>257175</xdr:rowOff>
        </xdr:from>
        <xdr:to>
          <xdr:col>6</xdr:col>
          <xdr:colOff>666750</xdr:colOff>
          <xdr:row>73</xdr:row>
          <xdr:rowOff>466725</xdr:rowOff>
        </xdr:to>
        <xdr:sp macro="" textlink="">
          <xdr:nvSpPr>
            <xdr:cNvPr id="35913" name="Option Button 73" hidden="1">
              <a:extLst>
                <a:ext uri="{63B3BB69-23CF-44E3-9099-C40C66FF867C}">
                  <a14:compatExt spid="_x0000_s35913"/>
                </a:ext>
                <a:ext uri="{FF2B5EF4-FFF2-40B4-BE49-F238E27FC236}">
                  <a16:creationId xmlns:a16="http://schemas.microsoft.com/office/drawing/2014/main" id="{00000000-0008-0000-0400-00004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73</xdr:row>
          <xdr:rowOff>257175</xdr:rowOff>
        </xdr:from>
        <xdr:to>
          <xdr:col>7</xdr:col>
          <xdr:colOff>514350</xdr:colOff>
          <xdr:row>73</xdr:row>
          <xdr:rowOff>466725</xdr:rowOff>
        </xdr:to>
        <xdr:sp macro="" textlink="">
          <xdr:nvSpPr>
            <xdr:cNvPr id="35914" name="Option Button 74" hidden="1">
              <a:extLst>
                <a:ext uri="{63B3BB69-23CF-44E3-9099-C40C66FF867C}">
                  <a14:compatExt spid="_x0000_s35914"/>
                </a:ext>
                <a:ext uri="{FF2B5EF4-FFF2-40B4-BE49-F238E27FC236}">
                  <a16:creationId xmlns:a16="http://schemas.microsoft.com/office/drawing/2014/main" id="{00000000-0008-0000-0400-00004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73</xdr:row>
          <xdr:rowOff>104775</xdr:rowOff>
        </xdr:from>
        <xdr:to>
          <xdr:col>7</xdr:col>
          <xdr:colOff>685800</xdr:colOff>
          <xdr:row>73</xdr:row>
          <xdr:rowOff>561975</xdr:rowOff>
        </xdr:to>
        <xdr:sp macro="" textlink="">
          <xdr:nvSpPr>
            <xdr:cNvPr id="35915" name="Group Box 75" hidden="1">
              <a:extLst>
                <a:ext uri="{63B3BB69-23CF-44E3-9099-C40C66FF867C}">
                  <a14:compatExt spid="_x0000_s35915"/>
                </a:ext>
                <a:ext uri="{FF2B5EF4-FFF2-40B4-BE49-F238E27FC236}">
                  <a16:creationId xmlns:a16="http://schemas.microsoft.com/office/drawing/2014/main" id="{00000000-0008-0000-0400-00004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74</xdr:row>
          <xdr:rowOff>238125</xdr:rowOff>
        </xdr:from>
        <xdr:to>
          <xdr:col>6</xdr:col>
          <xdr:colOff>666750</xdr:colOff>
          <xdr:row>74</xdr:row>
          <xdr:rowOff>447675</xdr:rowOff>
        </xdr:to>
        <xdr:sp macro="" textlink="">
          <xdr:nvSpPr>
            <xdr:cNvPr id="35916" name="Option Button 76" hidden="1">
              <a:extLst>
                <a:ext uri="{63B3BB69-23CF-44E3-9099-C40C66FF867C}">
                  <a14:compatExt spid="_x0000_s35916"/>
                </a:ext>
                <a:ext uri="{FF2B5EF4-FFF2-40B4-BE49-F238E27FC236}">
                  <a16:creationId xmlns:a16="http://schemas.microsoft.com/office/drawing/2014/main" id="{00000000-0008-0000-0400-00004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74</xdr:row>
          <xdr:rowOff>238125</xdr:rowOff>
        </xdr:from>
        <xdr:to>
          <xdr:col>7</xdr:col>
          <xdr:colOff>514350</xdr:colOff>
          <xdr:row>74</xdr:row>
          <xdr:rowOff>447675</xdr:rowOff>
        </xdr:to>
        <xdr:sp macro="" textlink="">
          <xdr:nvSpPr>
            <xdr:cNvPr id="35917" name="Option Button 77" hidden="1">
              <a:extLst>
                <a:ext uri="{63B3BB69-23CF-44E3-9099-C40C66FF867C}">
                  <a14:compatExt spid="_x0000_s35917"/>
                </a:ext>
                <a:ext uri="{FF2B5EF4-FFF2-40B4-BE49-F238E27FC236}">
                  <a16:creationId xmlns:a16="http://schemas.microsoft.com/office/drawing/2014/main" id="{00000000-0008-0000-0400-00004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74</xdr:row>
          <xdr:rowOff>85725</xdr:rowOff>
        </xdr:from>
        <xdr:to>
          <xdr:col>7</xdr:col>
          <xdr:colOff>685800</xdr:colOff>
          <xdr:row>74</xdr:row>
          <xdr:rowOff>542925</xdr:rowOff>
        </xdr:to>
        <xdr:sp macro="" textlink="">
          <xdr:nvSpPr>
            <xdr:cNvPr id="35918" name="Group Box 78" hidden="1">
              <a:extLst>
                <a:ext uri="{63B3BB69-23CF-44E3-9099-C40C66FF867C}">
                  <a14:compatExt spid="_x0000_s35918"/>
                </a:ext>
                <a:ext uri="{FF2B5EF4-FFF2-40B4-BE49-F238E27FC236}">
                  <a16:creationId xmlns:a16="http://schemas.microsoft.com/office/drawing/2014/main" id="{00000000-0008-0000-0400-00004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75</xdr:row>
          <xdr:rowOff>285750</xdr:rowOff>
        </xdr:from>
        <xdr:to>
          <xdr:col>6</xdr:col>
          <xdr:colOff>666750</xdr:colOff>
          <xdr:row>75</xdr:row>
          <xdr:rowOff>495300</xdr:rowOff>
        </xdr:to>
        <xdr:sp macro="" textlink="">
          <xdr:nvSpPr>
            <xdr:cNvPr id="35919" name="Option Button 79" hidden="1">
              <a:extLst>
                <a:ext uri="{63B3BB69-23CF-44E3-9099-C40C66FF867C}">
                  <a14:compatExt spid="_x0000_s35919"/>
                </a:ext>
                <a:ext uri="{FF2B5EF4-FFF2-40B4-BE49-F238E27FC236}">
                  <a16:creationId xmlns:a16="http://schemas.microsoft.com/office/drawing/2014/main" id="{00000000-0008-0000-0400-00004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75</xdr:row>
          <xdr:rowOff>285750</xdr:rowOff>
        </xdr:from>
        <xdr:to>
          <xdr:col>7</xdr:col>
          <xdr:colOff>514350</xdr:colOff>
          <xdr:row>75</xdr:row>
          <xdr:rowOff>495300</xdr:rowOff>
        </xdr:to>
        <xdr:sp macro="" textlink="">
          <xdr:nvSpPr>
            <xdr:cNvPr id="35920" name="Option Button 80" hidden="1">
              <a:extLst>
                <a:ext uri="{63B3BB69-23CF-44E3-9099-C40C66FF867C}">
                  <a14:compatExt spid="_x0000_s35920"/>
                </a:ext>
                <a:ext uri="{FF2B5EF4-FFF2-40B4-BE49-F238E27FC236}">
                  <a16:creationId xmlns:a16="http://schemas.microsoft.com/office/drawing/2014/main" id="{00000000-0008-0000-0400-00005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75</xdr:row>
          <xdr:rowOff>123825</xdr:rowOff>
        </xdr:from>
        <xdr:to>
          <xdr:col>7</xdr:col>
          <xdr:colOff>685800</xdr:colOff>
          <xdr:row>75</xdr:row>
          <xdr:rowOff>581025</xdr:rowOff>
        </xdr:to>
        <xdr:sp macro="" textlink="">
          <xdr:nvSpPr>
            <xdr:cNvPr id="35921" name="Group Box 81" hidden="1">
              <a:extLst>
                <a:ext uri="{63B3BB69-23CF-44E3-9099-C40C66FF867C}">
                  <a14:compatExt spid="_x0000_s35921"/>
                </a:ext>
                <a:ext uri="{FF2B5EF4-FFF2-40B4-BE49-F238E27FC236}">
                  <a16:creationId xmlns:a16="http://schemas.microsoft.com/office/drawing/2014/main" id="{00000000-0008-0000-0400-00005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77</xdr:row>
          <xdr:rowOff>247650</xdr:rowOff>
        </xdr:from>
        <xdr:to>
          <xdr:col>6</xdr:col>
          <xdr:colOff>666750</xdr:colOff>
          <xdr:row>77</xdr:row>
          <xdr:rowOff>457200</xdr:rowOff>
        </xdr:to>
        <xdr:sp macro="" textlink="">
          <xdr:nvSpPr>
            <xdr:cNvPr id="35922" name="Option Button 82" hidden="1">
              <a:extLst>
                <a:ext uri="{63B3BB69-23CF-44E3-9099-C40C66FF867C}">
                  <a14:compatExt spid="_x0000_s35922"/>
                </a:ext>
                <a:ext uri="{FF2B5EF4-FFF2-40B4-BE49-F238E27FC236}">
                  <a16:creationId xmlns:a16="http://schemas.microsoft.com/office/drawing/2014/main" id="{00000000-0008-0000-0400-00005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77</xdr:row>
          <xdr:rowOff>247650</xdr:rowOff>
        </xdr:from>
        <xdr:to>
          <xdr:col>7</xdr:col>
          <xdr:colOff>514350</xdr:colOff>
          <xdr:row>77</xdr:row>
          <xdr:rowOff>457200</xdr:rowOff>
        </xdr:to>
        <xdr:sp macro="" textlink="">
          <xdr:nvSpPr>
            <xdr:cNvPr id="35923" name="Option Button 83" hidden="1">
              <a:extLst>
                <a:ext uri="{63B3BB69-23CF-44E3-9099-C40C66FF867C}">
                  <a14:compatExt spid="_x0000_s35923"/>
                </a:ext>
                <a:ext uri="{FF2B5EF4-FFF2-40B4-BE49-F238E27FC236}">
                  <a16:creationId xmlns:a16="http://schemas.microsoft.com/office/drawing/2014/main" id="{00000000-0008-0000-0400-00005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77</xdr:row>
          <xdr:rowOff>95250</xdr:rowOff>
        </xdr:from>
        <xdr:to>
          <xdr:col>7</xdr:col>
          <xdr:colOff>685800</xdr:colOff>
          <xdr:row>77</xdr:row>
          <xdr:rowOff>552450</xdr:rowOff>
        </xdr:to>
        <xdr:sp macro="" textlink="">
          <xdr:nvSpPr>
            <xdr:cNvPr id="35924" name="Group Box 84" hidden="1">
              <a:extLst>
                <a:ext uri="{63B3BB69-23CF-44E3-9099-C40C66FF867C}">
                  <a14:compatExt spid="_x0000_s35924"/>
                </a:ext>
                <a:ext uri="{FF2B5EF4-FFF2-40B4-BE49-F238E27FC236}">
                  <a16:creationId xmlns:a16="http://schemas.microsoft.com/office/drawing/2014/main" id="{00000000-0008-0000-0400-00005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78</xdr:row>
          <xdr:rowOff>333375</xdr:rowOff>
        </xdr:from>
        <xdr:to>
          <xdr:col>6</xdr:col>
          <xdr:colOff>666750</xdr:colOff>
          <xdr:row>78</xdr:row>
          <xdr:rowOff>542925</xdr:rowOff>
        </xdr:to>
        <xdr:sp macro="" textlink="">
          <xdr:nvSpPr>
            <xdr:cNvPr id="35925" name="Option Button 85" hidden="1">
              <a:extLst>
                <a:ext uri="{63B3BB69-23CF-44E3-9099-C40C66FF867C}">
                  <a14:compatExt spid="_x0000_s35925"/>
                </a:ext>
                <a:ext uri="{FF2B5EF4-FFF2-40B4-BE49-F238E27FC236}">
                  <a16:creationId xmlns:a16="http://schemas.microsoft.com/office/drawing/2014/main" id="{00000000-0008-0000-0400-00005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78</xdr:row>
          <xdr:rowOff>333375</xdr:rowOff>
        </xdr:from>
        <xdr:to>
          <xdr:col>7</xdr:col>
          <xdr:colOff>514350</xdr:colOff>
          <xdr:row>78</xdr:row>
          <xdr:rowOff>542925</xdr:rowOff>
        </xdr:to>
        <xdr:sp macro="" textlink="">
          <xdr:nvSpPr>
            <xdr:cNvPr id="35926" name="Option Button 86" hidden="1">
              <a:extLst>
                <a:ext uri="{63B3BB69-23CF-44E3-9099-C40C66FF867C}">
                  <a14:compatExt spid="_x0000_s35926"/>
                </a:ext>
                <a:ext uri="{FF2B5EF4-FFF2-40B4-BE49-F238E27FC236}">
                  <a16:creationId xmlns:a16="http://schemas.microsoft.com/office/drawing/2014/main" id="{00000000-0008-0000-0400-00005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78</xdr:row>
          <xdr:rowOff>171450</xdr:rowOff>
        </xdr:from>
        <xdr:to>
          <xdr:col>7</xdr:col>
          <xdr:colOff>685800</xdr:colOff>
          <xdr:row>78</xdr:row>
          <xdr:rowOff>628650</xdr:rowOff>
        </xdr:to>
        <xdr:sp macro="" textlink="">
          <xdr:nvSpPr>
            <xdr:cNvPr id="35927" name="Group Box 87" hidden="1">
              <a:extLst>
                <a:ext uri="{63B3BB69-23CF-44E3-9099-C40C66FF867C}">
                  <a14:compatExt spid="_x0000_s35927"/>
                </a:ext>
                <a:ext uri="{FF2B5EF4-FFF2-40B4-BE49-F238E27FC236}">
                  <a16:creationId xmlns:a16="http://schemas.microsoft.com/office/drawing/2014/main" id="{00000000-0008-0000-0400-00005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79</xdr:row>
          <xdr:rowOff>238125</xdr:rowOff>
        </xdr:from>
        <xdr:to>
          <xdr:col>6</xdr:col>
          <xdr:colOff>666750</xdr:colOff>
          <xdr:row>79</xdr:row>
          <xdr:rowOff>447675</xdr:rowOff>
        </xdr:to>
        <xdr:sp macro="" textlink="">
          <xdr:nvSpPr>
            <xdr:cNvPr id="35928" name="Option Button 88" hidden="1">
              <a:extLst>
                <a:ext uri="{63B3BB69-23CF-44E3-9099-C40C66FF867C}">
                  <a14:compatExt spid="_x0000_s35928"/>
                </a:ext>
                <a:ext uri="{FF2B5EF4-FFF2-40B4-BE49-F238E27FC236}">
                  <a16:creationId xmlns:a16="http://schemas.microsoft.com/office/drawing/2014/main" id="{00000000-0008-0000-0400-00005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79</xdr:row>
          <xdr:rowOff>238125</xdr:rowOff>
        </xdr:from>
        <xdr:to>
          <xdr:col>7</xdr:col>
          <xdr:colOff>514350</xdr:colOff>
          <xdr:row>79</xdr:row>
          <xdr:rowOff>447675</xdr:rowOff>
        </xdr:to>
        <xdr:sp macro="" textlink="">
          <xdr:nvSpPr>
            <xdr:cNvPr id="35929" name="Option Button 89" hidden="1">
              <a:extLst>
                <a:ext uri="{63B3BB69-23CF-44E3-9099-C40C66FF867C}">
                  <a14:compatExt spid="_x0000_s35929"/>
                </a:ext>
                <a:ext uri="{FF2B5EF4-FFF2-40B4-BE49-F238E27FC236}">
                  <a16:creationId xmlns:a16="http://schemas.microsoft.com/office/drawing/2014/main" id="{00000000-0008-0000-0400-00005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79</xdr:row>
          <xdr:rowOff>85725</xdr:rowOff>
        </xdr:from>
        <xdr:to>
          <xdr:col>7</xdr:col>
          <xdr:colOff>685800</xdr:colOff>
          <xdr:row>79</xdr:row>
          <xdr:rowOff>542925</xdr:rowOff>
        </xdr:to>
        <xdr:sp macro="" textlink="">
          <xdr:nvSpPr>
            <xdr:cNvPr id="35930" name="Group Box 90" hidden="1">
              <a:extLst>
                <a:ext uri="{63B3BB69-23CF-44E3-9099-C40C66FF867C}">
                  <a14:compatExt spid="_x0000_s35930"/>
                </a:ext>
                <a:ext uri="{FF2B5EF4-FFF2-40B4-BE49-F238E27FC236}">
                  <a16:creationId xmlns:a16="http://schemas.microsoft.com/office/drawing/2014/main" id="{00000000-0008-0000-0400-00005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80</xdr:row>
          <xdr:rowOff>247650</xdr:rowOff>
        </xdr:from>
        <xdr:to>
          <xdr:col>6</xdr:col>
          <xdr:colOff>666750</xdr:colOff>
          <xdr:row>80</xdr:row>
          <xdr:rowOff>457200</xdr:rowOff>
        </xdr:to>
        <xdr:sp macro="" textlink="">
          <xdr:nvSpPr>
            <xdr:cNvPr id="35931" name="Option Button 91" hidden="1">
              <a:extLst>
                <a:ext uri="{63B3BB69-23CF-44E3-9099-C40C66FF867C}">
                  <a14:compatExt spid="_x0000_s35931"/>
                </a:ext>
                <a:ext uri="{FF2B5EF4-FFF2-40B4-BE49-F238E27FC236}">
                  <a16:creationId xmlns:a16="http://schemas.microsoft.com/office/drawing/2014/main" id="{00000000-0008-0000-0400-00005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80</xdr:row>
          <xdr:rowOff>247650</xdr:rowOff>
        </xdr:from>
        <xdr:to>
          <xdr:col>7</xdr:col>
          <xdr:colOff>514350</xdr:colOff>
          <xdr:row>80</xdr:row>
          <xdr:rowOff>457200</xdr:rowOff>
        </xdr:to>
        <xdr:sp macro="" textlink="">
          <xdr:nvSpPr>
            <xdr:cNvPr id="35932" name="Option Button 92" hidden="1">
              <a:extLst>
                <a:ext uri="{63B3BB69-23CF-44E3-9099-C40C66FF867C}">
                  <a14:compatExt spid="_x0000_s35932"/>
                </a:ext>
                <a:ext uri="{FF2B5EF4-FFF2-40B4-BE49-F238E27FC236}">
                  <a16:creationId xmlns:a16="http://schemas.microsoft.com/office/drawing/2014/main" id="{00000000-0008-0000-0400-00005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80</xdr:row>
          <xdr:rowOff>85725</xdr:rowOff>
        </xdr:from>
        <xdr:to>
          <xdr:col>7</xdr:col>
          <xdr:colOff>685800</xdr:colOff>
          <xdr:row>80</xdr:row>
          <xdr:rowOff>542925</xdr:rowOff>
        </xdr:to>
        <xdr:sp macro="" textlink="">
          <xdr:nvSpPr>
            <xdr:cNvPr id="35933" name="Group Box 93" hidden="1">
              <a:extLst>
                <a:ext uri="{63B3BB69-23CF-44E3-9099-C40C66FF867C}">
                  <a14:compatExt spid="_x0000_s35933"/>
                </a:ext>
                <a:ext uri="{FF2B5EF4-FFF2-40B4-BE49-F238E27FC236}">
                  <a16:creationId xmlns:a16="http://schemas.microsoft.com/office/drawing/2014/main" id="{00000000-0008-0000-0400-00005D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82</xdr:row>
          <xdr:rowOff>247650</xdr:rowOff>
        </xdr:from>
        <xdr:to>
          <xdr:col>6</xdr:col>
          <xdr:colOff>666750</xdr:colOff>
          <xdr:row>82</xdr:row>
          <xdr:rowOff>457200</xdr:rowOff>
        </xdr:to>
        <xdr:sp macro="" textlink="">
          <xdr:nvSpPr>
            <xdr:cNvPr id="35934" name="Option Button 94" hidden="1">
              <a:extLst>
                <a:ext uri="{63B3BB69-23CF-44E3-9099-C40C66FF867C}">
                  <a14:compatExt spid="_x0000_s35934"/>
                </a:ext>
                <a:ext uri="{FF2B5EF4-FFF2-40B4-BE49-F238E27FC236}">
                  <a16:creationId xmlns:a16="http://schemas.microsoft.com/office/drawing/2014/main" id="{00000000-0008-0000-0400-00005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82</xdr:row>
          <xdr:rowOff>247650</xdr:rowOff>
        </xdr:from>
        <xdr:to>
          <xdr:col>7</xdr:col>
          <xdr:colOff>514350</xdr:colOff>
          <xdr:row>82</xdr:row>
          <xdr:rowOff>457200</xdr:rowOff>
        </xdr:to>
        <xdr:sp macro="" textlink="">
          <xdr:nvSpPr>
            <xdr:cNvPr id="35935" name="Option Button 95" hidden="1">
              <a:extLst>
                <a:ext uri="{63B3BB69-23CF-44E3-9099-C40C66FF867C}">
                  <a14:compatExt spid="_x0000_s35935"/>
                </a:ext>
                <a:ext uri="{FF2B5EF4-FFF2-40B4-BE49-F238E27FC236}">
                  <a16:creationId xmlns:a16="http://schemas.microsoft.com/office/drawing/2014/main" id="{00000000-0008-0000-0400-00005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82</xdr:row>
          <xdr:rowOff>95250</xdr:rowOff>
        </xdr:from>
        <xdr:to>
          <xdr:col>7</xdr:col>
          <xdr:colOff>685800</xdr:colOff>
          <xdr:row>82</xdr:row>
          <xdr:rowOff>552450</xdr:rowOff>
        </xdr:to>
        <xdr:sp macro="" textlink="">
          <xdr:nvSpPr>
            <xdr:cNvPr id="35936" name="Group Box 96" hidden="1">
              <a:extLst>
                <a:ext uri="{63B3BB69-23CF-44E3-9099-C40C66FF867C}">
                  <a14:compatExt spid="_x0000_s35936"/>
                </a:ext>
                <a:ext uri="{FF2B5EF4-FFF2-40B4-BE49-F238E27FC236}">
                  <a16:creationId xmlns:a16="http://schemas.microsoft.com/office/drawing/2014/main" id="{00000000-0008-0000-0400-00006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11207</xdr:colOff>
      <xdr:row>0</xdr:row>
      <xdr:rowOff>44822</xdr:rowOff>
    </xdr:from>
    <xdr:to>
      <xdr:col>2</xdr:col>
      <xdr:colOff>930089</xdr:colOff>
      <xdr:row>2</xdr:row>
      <xdr:rowOff>156881</xdr:rowOff>
    </xdr:to>
    <xdr:sp macro="[0]!dhTest" textlink="">
      <xdr:nvSpPr>
        <xdr:cNvPr id="11" name="모서리가 둥근 직사각형 10">
          <a:extLst>
            <a:ext uri="{FF2B5EF4-FFF2-40B4-BE49-F238E27FC236}">
              <a16:creationId xmlns:a16="http://schemas.microsoft.com/office/drawing/2014/main" id="{00000000-0008-0000-0600-00000B000000}"/>
            </a:ext>
          </a:extLst>
        </xdr:cNvPr>
        <xdr:cNvSpPr/>
      </xdr:nvSpPr>
      <xdr:spPr>
        <a:xfrm>
          <a:off x="1120589" y="44822"/>
          <a:ext cx="1109382" cy="336177"/>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49</xdr:row>
          <xdr:rowOff>0</xdr:rowOff>
        </xdr:from>
        <xdr:to>
          <xdr:col>13</xdr:col>
          <xdr:colOff>0</xdr:colOff>
          <xdr:row>51</xdr:row>
          <xdr:rowOff>0</xdr:rowOff>
        </xdr:to>
        <xdr:sp macro="" textlink="">
          <xdr:nvSpPr>
            <xdr:cNvPr id="13332" name="Drop Down 20" hidden="1">
              <a:extLst>
                <a:ext uri="{63B3BB69-23CF-44E3-9099-C40C66FF867C}">
                  <a14:compatExt spid="_x0000_s13332"/>
                </a:ext>
                <a:ext uri="{FF2B5EF4-FFF2-40B4-BE49-F238E27FC236}">
                  <a16:creationId xmlns:a16="http://schemas.microsoft.com/office/drawing/2014/main" id="{00000000-0008-0000-06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15</xdr:row>
          <xdr:rowOff>9525</xdr:rowOff>
        </xdr:from>
        <xdr:to>
          <xdr:col>21</xdr:col>
          <xdr:colOff>923925</xdr:colOff>
          <xdr:row>15</xdr:row>
          <xdr:rowOff>323850</xdr:rowOff>
        </xdr:to>
        <xdr:sp macro="" textlink="">
          <xdr:nvSpPr>
            <xdr:cNvPr id="13334" name="Drop Down 22" hidden="1">
              <a:extLst>
                <a:ext uri="{63B3BB69-23CF-44E3-9099-C40C66FF867C}">
                  <a14:compatExt spid="_x0000_s13334"/>
                </a:ext>
                <a:ext uri="{FF2B5EF4-FFF2-40B4-BE49-F238E27FC236}">
                  <a16:creationId xmlns:a16="http://schemas.microsoft.com/office/drawing/2014/main" id="{00000000-0008-0000-0600-00001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15</xdr:row>
          <xdr:rowOff>9525</xdr:rowOff>
        </xdr:from>
        <xdr:to>
          <xdr:col>22</xdr:col>
          <xdr:colOff>923925</xdr:colOff>
          <xdr:row>15</xdr:row>
          <xdr:rowOff>323850</xdr:rowOff>
        </xdr:to>
        <xdr:sp macro="" textlink="">
          <xdr:nvSpPr>
            <xdr:cNvPr id="13335" name="Drop Down 23" hidden="1">
              <a:extLst>
                <a:ext uri="{63B3BB69-23CF-44E3-9099-C40C66FF867C}">
                  <a14:compatExt spid="_x0000_s13335"/>
                </a:ext>
                <a:ext uri="{FF2B5EF4-FFF2-40B4-BE49-F238E27FC236}">
                  <a16:creationId xmlns:a16="http://schemas.microsoft.com/office/drawing/2014/main" id="{00000000-0008-0000-0600-00001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51</xdr:row>
          <xdr:rowOff>238125</xdr:rowOff>
        </xdr:from>
        <xdr:to>
          <xdr:col>17</xdr:col>
          <xdr:colOff>0</xdr:colOff>
          <xdr:row>52</xdr:row>
          <xdr:rowOff>0</xdr:rowOff>
        </xdr:to>
        <xdr:sp macro="" textlink="">
          <xdr:nvSpPr>
            <xdr:cNvPr id="13340" name="Drop Down 28" hidden="1">
              <a:extLst>
                <a:ext uri="{63B3BB69-23CF-44E3-9099-C40C66FF867C}">
                  <a14:compatExt spid="_x0000_s13340"/>
                </a:ext>
                <a:ext uri="{FF2B5EF4-FFF2-40B4-BE49-F238E27FC236}">
                  <a16:creationId xmlns:a16="http://schemas.microsoft.com/office/drawing/2014/main" id="{00000000-0008-0000-06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238125</xdr:rowOff>
        </xdr:from>
        <xdr:to>
          <xdr:col>18</xdr:col>
          <xdr:colOff>0</xdr:colOff>
          <xdr:row>52</xdr:row>
          <xdr:rowOff>0</xdr:rowOff>
        </xdr:to>
        <xdr:sp macro="" textlink="">
          <xdr:nvSpPr>
            <xdr:cNvPr id="13341" name="Drop Down 29" hidden="1">
              <a:extLst>
                <a:ext uri="{63B3BB69-23CF-44E3-9099-C40C66FF867C}">
                  <a14:compatExt spid="_x0000_s13341"/>
                </a:ext>
                <a:ext uri="{FF2B5EF4-FFF2-40B4-BE49-F238E27FC236}">
                  <a16:creationId xmlns:a16="http://schemas.microsoft.com/office/drawing/2014/main" id="{00000000-0008-0000-06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238125</xdr:rowOff>
        </xdr:from>
        <xdr:to>
          <xdr:col>19</xdr:col>
          <xdr:colOff>0</xdr:colOff>
          <xdr:row>52</xdr:row>
          <xdr:rowOff>0</xdr:rowOff>
        </xdr:to>
        <xdr:sp macro="" textlink="">
          <xdr:nvSpPr>
            <xdr:cNvPr id="13342" name="Drop Dow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51</xdr:row>
          <xdr:rowOff>238125</xdr:rowOff>
        </xdr:from>
        <xdr:to>
          <xdr:col>20</xdr:col>
          <xdr:colOff>0</xdr:colOff>
          <xdr:row>52</xdr:row>
          <xdr:rowOff>0</xdr:rowOff>
        </xdr:to>
        <xdr:sp macro="" textlink="">
          <xdr:nvSpPr>
            <xdr:cNvPr id="13343" name="Drop Down 31" hidden="1">
              <a:extLst>
                <a:ext uri="{63B3BB69-23CF-44E3-9099-C40C66FF867C}">
                  <a14:compatExt spid="_x0000_s13343"/>
                </a:ext>
                <a:ext uri="{FF2B5EF4-FFF2-40B4-BE49-F238E27FC236}">
                  <a16:creationId xmlns:a16="http://schemas.microsoft.com/office/drawing/2014/main" id="{00000000-0008-0000-0600-00001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51</xdr:row>
          <xdr:rowOff>238125</xdr:rowOff>
        </xdr:from>
        <xdr:to>
          <xdr:col>17</xdr:col>
          <xdr:colOff>0</xdr:colOff>
          <xdr:row>52</xdr:row>
          <xdr:rowOff>0</xdr:rowOff>
        </xdr:to>
        <xdr:sp macro="" textlink="">
          <xdr:nvSpPr>
            <xdr:cNvPr id="13348" name="Drop Down 36" hidden="1">
              <a:extLst>
                <a:ext uri="{63B3BB69-23CF-44E3-9099-C40C66FF867C}">
                  <a14:compatExt spid="_x0000_s13348"/>
                </a:ext>
                <a:ext uri="{FF2B5EF4-FFF2-40B4-BE49-F238E27FC236}">
                  <a16:creationId xmlns:a16="http://schemas.microsoft.com/office/drawing/2014/main" id="{00000000-0008-0000-06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19050</xdr:colOff>
          <xdr:row>48</xdr:row>
          <xdr:rowOff>314325</xdr:rowOff>
        </xdr:from>
        <xdr:to>
          <xdr:col>21</xdr:col>
          <xdr:colOff>19050</xdr:colOff>
          <xdr:row>50</xdr:row>
          <xdr:rowOff>200025</xdr:rowOff>
        </xdr:to>
        <xdr:sp macro="" textlink="">
          <xdr:nvSpPr>
            <xdr:cNvPr id="13349" name="Button 37" hidden="1">
              <a:extLst>
                <a:ext uri="{63B3BB69-23CF-44E3-9099-C40C66FF867C}">
                  <a14:compatExt spid="_x0000_s13349"/>
                </a:ext>
                <a:ext uri="{FF2B5EF4-FFF2-40B4-BE49-F238E27FC236}">
                  <a16:creationId xmlns:a16="http://schemas.microsoft.com/office/drawing/2014/main" id="{00000000-0008-0000-0600-00002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a:ea typeface="맑은 고딕"/>
                </a:rPr>
                <a:t>감가상각</a:t>
              </a:r>
            </a:p>
            <a:p>
              <a:pPr algn="ctr" rtl="0">
                <a:defRPr sz="1000"/>
              </a:pPr>
              <a:r>
                <a:rPr lang="ko-KR" altLang="en-US" sz="1100" b="0" i="0" u="none" strike="noStrike" baseline="0">
                  <a:solidFill>
                    <a:srgbClr val="000000"/>
                  </a:solidFill>
                  <a:latin typeface="맑은 고딕"/>
                  <a:ea typeface="맑은 고딕"/>
                </a:rPr>
                <a:t>계산</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10583</xdr:colOff>
      <xdr:row>13</xdr:row>
      <xdr:rowOff>10583</xdr:rowOff>
    </xdr:from>
    <xdr:to>
      <xdr:col>5</xdr:col>
      <xdr:colOff>529166</xdr:colOff>
      <xdr:row>26</xdr:row>
      <xdr:rowOff>159524</xdr:rowOff>
    </xdr:to>
    <xdr:graphicFrame macro="">
      <xdr:nvGraphicFramePr>
        <xdr:cNvPr id="5" name="차트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783166</xdr:colOff>
      <xdr:row>13</xdr:row>
      <xdr:rowOff>10583</xdr:rowOff>
    </xdr:from>
    <xdr:to>
      <xdr:col>9</xdr:col>
      <xdr:colOff>878417</xdr:colOff>
      <xdr:row>26</xdr:row>
      <xdr:rowOff>149087</xdr:rowOff>
    </xdr:to>
    <xdr:graphicFrame macro="">
      <xdr:nvGraphicFramePr>
        <xdr:cNvPr id="8" name="차트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57978</xdr:colOff>
      <xdr:row>0</xdr:row>
      <xdr:rowOff>33128</xdr:rowOff>
    </xdr:from>
    <xdr:to>
      <xdr:col>2</xdr:col>
      <xdr:colOff>494057</xdr:colOff>
      <xdr:row>0</xdr:row>
      <xdr:rowOff>337928</xdr:rowOff>
    </xdr:to>
    <xdr:sp macro="[0]!dhTest" textlink="">
      <xdr:nvSpPr>
        <xdr:cNvPr id="4" name="모서리가 둥근 직사각형 3">
          <a:extLst>
            <a:ext uri="{FF2B5EF4-FFF2-40B4-BE49-F238E27FC236}">
              <a16:creationId xmlns:a16="http://schemas.microsoft.com/office/drawing/2014/main" id="{00000000-0008-0000-0500-000004000000}"/>
            </a:ext>
          </a:extLst>
        </xdr:cNvPr>
        <xdr:cNvSpPr/>
      </xdr:nvSpPr>
      <xdr:spPr>
        <a:xfrm>
          <a:off x="57978" y="33128"/>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47626</xdr:colOff>
      <xdr:row>0</xdr:row>
      <xdr:rowOff>19051</xdr:rowOff>
    </xdr:from>
    <xdr:to>
      <xdr:col>2</xdr:col>
      <xdr:colOff>142875</xdr:colOff>
      <xdr:row>0</xdr:row>
      <xdr:rowOff>285750</xdr:rowOff>
    </xdr:to>
    <xdr:sp macro="[0]!dhTest" textlink="">
      <xdr:nvSpPr>
        <xdr:cNvPr id="2" name="모서리가 둥근 직사각형 1">
          <a:extLst>
            <a:ext uri="{FF2B5EF4-FFF2-40B4-BE49-F238E27FC236}">
              <a16:creationId xmlns:a16="http://schemas.microsoft.com/office/drawing/2014/main" id="{00000000-0008-0000-0800-000002000000}"/>
            </a:ext>
          </a:extLst>
        </xdr:cNvPr>
        <xdr:cNvSpPr/>
      </xdr:nvSpPr>
      <xdr:spPr>
        <a:xfrm>
          <a:off x="47626" y="19051"/>
          <a:ext cx="800099" cy="266699"/>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8</xdr:col>
          <xdr:colOff>0</xdr:colOff>
          <xdr:row>36</xdr:row>
          <xdr:rowOff>9525</xdr:rowOff>
        </xdr:from>
        <xdr:to>
          <xdr:col>8</xdr:col>
          <xdr:colOff>1362075</xdr:colOff>
          <xdr:row>37</xdr:row>
          <xdr:rowOff>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800099</xdr:colOff>
      <xdr:row>0</xdr:row>
      <xdr:rowOff>266699</xdr:rowOff>
    </xdr:to>
    <xdr:sp macro="[0]!dhTest" textlink="">
      <xdr:nvSpPr>
        <xdr:cNvPr id="2" name="모서리가 둥근 직사각형 1">
          <a:extLst>
            <a:ext uri="{FF2B5EF4-FFF2-40B4-BE49-F238E27FC236}">
              <a16:creationId xmlns:a16="http://schemas.microsoft.com/office/drawing/2014/main" id="{00000000-0008-0000-0900-000002000000}"/>
            </a:ext>
          </a:extLst>
        </xdr:cNvPr>
        <xdr:cNvSpPr/>
      </xdr:nvSpPr>
      <xdr:spPr>
        <a:xfrm>
          <a:off x="0" y="0"/>
          <a:ext cx="800099" cy="266699"/>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28575</xdr:rowOff>
    </xdr:from>
    <xdr:to>
      <xdr:col>1</xdr:col>
      <xdr:colOff>838200</xdr:colOff>
      <xdr:row>0</xdr:row>
      <xdr:rowOff>400050</xdr:rowOff>
    </xdr:to>
    <xdr:sp macro="[0]!dhTest" textlink="">
      <xdr:nvSpPr>
        <xdr:cNvPr id="2" name="모서리가 둥근 직사각형 1">
          <a:extLst>
            <a:ext uri="{FF2B5EF4-FFF2-40B4-BE49-F238E27FC236}">
              <a16:creationId xmlns:a16="http://schemas.microsoft.com/office/drawing/2014/main" id="{00000000-0008-0000-0A00-000002000000}"/>
            </a:ext>
          </a:extLst>
        </xdr:cNvPr>
        <xdr:cNvSpPr/>
      </xdr:nvSpPr>
      <xdr:spPr>
        <a:xfrm>
          <a:off x="0" y="28575"/>
          <a:ext cx="1019175" cy="371475"/>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819150</xdr:colOff>
          <xdr:row>6</xdr:row>
          <xdr:rowOff>247650</xdr:rowOff>
        </xdr:to>
        <xdr:sp macro="" textlink="">
          <xdr:nvSpPr>
            <xdr:cNvPr id="14339" name="Drop Down 3"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95250</xdr:colOff>
      <xdr:row>0</xdr:row>
      <xdr:rowOff>66675</xdr:rowOff>
    </xdr:from>
    <xdr:to>
      <xdr:col>3</xdr:col>
      <xdr:colOff>457200</xdr:colOff>
      <xdr:row>0</xdr:row>
      <xdr:rowOff>466725</xdr:rowOff>
    </xdr:to>
    <xdr:sp macro="[0]!dhTest" textlink="">
      <xdr:nvSpPr>
        <xdr:cNvPr id="2" name="모서리가 둥근 직사각형 1">
          <a:extLst>
            <a:ext uri="{FF2B5EF4-FFF2-40B4-BE49-F238E27FC236}">
              <a16:creationId xmlns:a16="http://schemas.microsoft.com/office/drawing/2014/main" id="{00000000-0008-0000-0B00-000002000000}"/>
            </a:ext>
          </a:extLst>
        </xdr:cNvPr>
        <xdr:cNvSpPr/>
      </xdr:nvSpPr>
      <xdr:spPr>
        <a:xfrm>
          <a:off x="95250" y="66675"/>
          <a:ext cx="1123950" cy="40005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8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8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541422</xdr:colOff>
      <xdr:row>0</xdr:row>
      <xdr:rowOff>165434</xdr:rowOff>
    </xdr:to>
    <xdr:sp macro="[0]!dhTest" textlink="">
      <xdr:nvSpPr>
        <xdr:cNvPr id="2" name="모서리가 둥근 직사각형 1">
          <a:extLst>
            <a:ext uri="{FF2B5EF4-FFF2-40B4-BE49-F238E27FC236}">
              <a16:creationId xmlns:a16="http://schemas.microsoft.com/office/drawing/2014/main" id="{00000000-0008-0000-0C00-000002000000}"/>
            </a:ext>
          </a:extLst>
        </xdr:cNvPr>
        <xdr:cNvSpPr/>
      </xdr:nvSpPr>
      <xdr:spPr>
        <a:xfrm>
          <a:off x="1" y="0"/>
          <a:ext cx="617621" cy="165434"/>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19050</xdr:colOff>
      <xdr:row>0</xdr:row>
      <xdr:rowOff>57150</xdr:rowOff>
    </xdr:from>
    <xdr:to>
      <xdr:col>2</xdr:col>
      <xdr:colOff>123825</xdr:colOff>
      <xdr:row>0</xdr:row>
      <xdr:rowOff>361950</xdr:rowOff>
    </xdr:to>
    <xdr:sp macro="[0]!dhTest" textlink="">
      <xdr:nvSpPr>
        <xdr:cNvPr id="2" name="모서리가 둥근 직사각형 1">
          <a:extLst>
            <a:ext uri="{FF2B5EF4-FFF2-40B4-BE49-F238E27FC236}">
              <a16:creationId xmlns:a16="http://schemas.microsoft.com/office/drawing/2014/main" id="{00000000-0008-0000-0D00-000002000000}"/>
            </a:ext>
          </a:extLst>
        </xdr:cNvPr>
        <xdr:cNvSpPr/>
      </xdr:nvSpPr>
      <xdr:spPr>
        <a:xfrm>
          <a:off x="238125" y="57150"/>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0</xdr:row>
      <xdr:rowOff>85725</xdr:rowOff>
    </xdr:from>
    <xdr:to>
      <xdr:col>2</xdr:col>
      <xdr:colOff>114300</xdr:colOff>
      <xdr:row>0</xdr:row>
      <xdr:rowOff>390525</xdr:rowOff>
    </xdr:to>
    <xdr:sp macro="[0]!dhTest" textlink="">
      <xdr:nvSpPr>
        <xdr:cNvPr id="2" name="모서리가 둥근 직사각형 1">
          <a:extLst>
            <a:ext uri="{FF2B5EF4-FFF2-40B4-BE49-F238E27FC236}">
              <a16:creationId xmlns:a16="http://schemas.microsoft.com/office/drawing/2014/main" id="{00000000-0008-0000-1000-000002000000}"/>
            </a:ext>
          </a:extLst>
        </xdr:cNvPr>
        <xdr:cNvSpPr/>
      </xdr:nvSpPr>
      <xdr:spPr>
        <a:xfrm>
          <a:off x="238125" y="85725"/>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76200</xdr:colOff>
      <xdr:row>1</xdr:row>
      <xdr:rowOff>76200</xdr:rowOff>
    </xdr:to>
    <xdr:pic>
      <xdr:nvPicPr>
        <xdr:cNvPr id="2" name="그림 1" descr="C:\Users\fact\Desktop\2013_01버전_IPC조회프로그램\Data\HTML\Kor\img\notthis.gif">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 name="그림 2" descr="C:\Users\fact\Desktop\2013_01버전_IPC조회프로그램\Data\HTML\Kor\img\notthis.gif">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4" name="그림 3" descr="C:\Users\fact\Desktop\2013_01버전_IPC조회프로그램\Data\HTML\Kor\img\notthis.gif">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5" name="그림 4" descr="C:\Users\fact\Desktop\2013_01버전_IPC조회프로그램\Data\HTML\Kor\img\notthis.gif">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6" name="그림 5" descr="C:\Users\fact\Desktop\2013_01버전_IPC조회프로그램\Data\HTML\Kor\img\notthis.gif">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7" name="그림 6" descr="C:\Users\fact\Desktop\2013_01버전_IPC조회프로그램\Data\HTML\Kor\img\notthis.gif">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8" name="그림 7" descr="C:\Users\fact\Desktop\2013_01버전_IPC조회프로그램\Data\HTML\Kor\img\notthis.gif">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9" name="그림 8" descr="C:\Users\fact\Desktop\2013_01버전_IPC조회프로그램\Data\HTML\Kor\img\notthis.gif">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0" name="그림 9" descr="C:\Users\fact\Desktop\2013_01버전_IPC조회프로그램\Data\HTML\Kor\img\notthis.gif">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1" name="그림 10" descr="C:\Users\fact\Desktop\2013_01버전_IPC조회프로그램\Data\HTML\Kor\img\notthis.gif">
          <a:extLst>
            <a:ext uri="{FF2B5EF4-FFF2-40B4-BE49-F238E27FC236}">
              <a16:creationId xmlns:a16="http://schemas.microsoft.com/office/drawing/2014/main" id="{00000000-0008-0000-1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2" name="그림 11" descr="C:\Users\fact\Desktop\2013_01버전_IPC조회프로그램\Data\HTML\Kor\img\notthis.gif">
          <a:extLst>
            <a:ext uri="{FF2B5EF4-FFF2-40B4-BE49-F238E27FC236}">
              <a16:creationId xmlns:a16="http://schemas.microsoft.com/office/drawing/2014/main" id="{00000000-0008-0000-1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3" name="그림 12" descr="C:\Users\fact\Desktop\2013_01버전_IPC조회프로그램\Data\HTML\Kor\img\notthis.gif">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4" name="그림 13" descr="C:\Users\fact\Desktop\2013_01버전_IPC조회프로그램\Data\HTML\Kor\img\notthis.gif">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5" name="그림 14" descr="C:\Users\fact\Desktop\2013_01버전_IPC조회프로그램\Data\HTML\Kor\img\notthis.gif">
          <a:extLst>
            <a:ext uri="{FF2B5EF4-FFF2-40B4-BE49-F238E27FC236}">
              <a16:creationId xmlns:a16="http://schemas.microsoft.com/office/drawing/2014/main" id="{00000000-0008-0000-1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6" name="그림 15" descr="C:\Users\fact\Desktop\2013_01버전_IPC조회프로그램\Data\HTML\Kor\img\notthis.gif">
          <a:extLst>
            <a:ext uri="{FF2B5EF4-FFF2-40B4-BE49-F238E27FC236}">
              <a16:creationId xmlns:a16="http://schemas.microsoft.com/office/drawing/2014/main" id="{00000000-0008-0000-1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7" name="그림 16" descr="C:\Users\fact\Desktop\2013_01버전_IPC조회프로그램\Data\HTML\Kor\img\notthis.gif">
          <a:extLst>
            <a:ext uri="{FF2B5EF4-FFF2-40B4-BE49-F238E27FC236}">
              <a16:creationId xmlns:a16="http://schemas.microsoft.com/office/drawing/2014/main" id="{00000000-0008-0000-1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8" name="그림 17" descr="C:\Users\fact\Desktop\2013_01버전_IPC조회프로그램\Data\HTML\Kor\img\notthis.gif">
          <a:extLst>
            <a:ext uri="{FF2B5EF4-FFF2-40B4-BE49-F238E27FC236}">
              <a16:creationId xmlns:a16="http://schemas.microsoft.com/office/drawing/2014/main" id="{00000000-0008-0000-1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9" name="그림 18" descr="C:\Users\fact\Desktop\2013_01버전_IPC조회프로그램\Data\HTML\Kor\img\notthis.gif">
          <a:extLst>
            <a:ext uri="{FF2B5EF4-FFF2-40B4-BE49-F238E27FC236}">
              <a16:creationId xmlns:a16="http://schemas.microsoft.com/office/drawing/2014/main" id="{00000000-0008-0000-1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0" name="그림 19" descr="C:\Users\fact\Desktop\2013_01버전_IPC조회프로그램\Data\HTML\Kor\img\notthis.gif">
          <a:extLst>
            <a:ext uri="{FF2B5EF4-FFF2-40B4-BE49-F238E27FC236}">
              <a16:creationId xmlns:a16="http://schemas.microsoft.com/office/drawing/2014/main" id="{00000000-0008-0000-1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1" name="그림 20" descr="C:\Users\fact\Desktop\2013_01버전_IPC조회프로그램\Data\HTML\Kor\img\notthis.gif">
          <a:extLst>
            <a:ext uri="{FF2B5EF4-FFF2-40B4-BE49-F238E27FC236}">
              <a16:creationId xmlns:a16="http://schemas.microsoft.com/office/drawing/2014/main" id="{00000000-0008-0000-1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2" name="그림 21" descr="C:\Users\fact\Desktop\2013_01버전_IPC조회프로그램\Data\HTML\Kor\img\notthis.gif">
          <a:extLst>
            <a:ext uri="{FF2B5EF4-FFF2-40B4-BE49-F238E27FC236}">
              <a16:creationId xmlns:a16="http://schemas.microsoft.com/office/drawing/2014/main" id="{00000000-0008-0000-1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3" name="그림 22" descr="C:\Users\fact\Desktop\2013_01버전_IPC조회프로그램\Data\HTML\Kor\img\notthis.gif">
          <a:extLst>
            <a:ext uri="{FF2B5EF4-FFF2-40B4-BE49-F238E27FC236}">
              <a16:creationId xmlns:a16="http://schemas.microsoft.com/office/drawing/2014/main" id="{00000000-0008-0000-1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4" name="그림 23" descr="C:\Users\fact\Desktop\2013_01버전_IPC조회프로그램\Data\HTML\Kor\img\notthis.gif">
          <a:extLst>
            <a:ext uri="{FF2B5EF4-FFF2-40B4-BE49-F238E27FC236}">
              <a16:creationId xmlns:a16="http://schemas.microsoft.com/office/drawing/2014/main" id="{00000000-0008-0000-1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5" name="그림 24" descr="C:\Users\fact\Desktop\2013_01버전_IPC조회프로그램\Data\HTML\Kor\img\notthis.gif">
          <a:extLst>
            <a:ext uri="{FF2B5EF4-FFF2-40B4-BE49-F238E27FC236}">
              <a16:creationId xmlns:a16="http://schemas.microsoft.com/office/drawing/2014/main" id="{00000000-0008-0000-1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6" name="그림 25" descr="C:\Users\fact\Desktop\2013_01버전_IPC조회프로그램\Data\HTML\Kor\img\notthis.gif">
          <a:extLst>
            <a:ext uri="{FF2B5EF4-FFF2-40B4-BE49-F238E27FC236}">
              <a16:creationId xmlns:a16="http://schemas.microsoft.com/office/drawing/2014/main" id="{00000000-0008-0000-1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7" name="그림 26" descr="C:\Users\fact\Desktop\2013_01버전_IPC조회프로그램\Data\HTML\Kor\img\notthis.gif">
          <a:extLst>
            <a:ext uri="{FF2B5EF4-FFF2-40B4-BE49-F238E27FC236}">
              <a16:creationId xmlns:a16="http://schemas.microsoft.com/office/drawing/2014/main" id="{00000000-0008-0000-1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8" name="그림 27" descr="C:\Users\fact\Desktop\2013_01버전_IPC조회프로그램\Data\HTML\Kor\img\notthis.gif">
          <a:extLst>
            <a:ext uri="{FF2B5EF4-FFF2-40B4-BE49-F238E27FC236}">
              <a16:creationId xmlns:a16="http://schemas.microsoft.com/office/drawing/2014/main" id="{00000000-0008-0000-1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9" name="그림 28" descr="C:\Users\fact\Desktop\2013_01버전_IPC조회프로그램\Data\HTML\Kor\img\notthis.gif">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0" name="그림 29" descr="C:\Users\fact\Desktop\2013_01버전_IPC조회프로그램\Data\HTML\Kor\img\notthis.gif">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1" name="그림 30" descr="C:\Users\fact\Desktop\2013_01버전_IPC조회프로그램\Data\HTML\Kor\img\notthis.gif">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2" name="그림 31" descr="C:\Users\fact\Desktop\2013_01버전_IPC조회프로그램\Data\HTML\Kor\img\notthis.gif">
          <a:extLst>
            <a:ext uri="{FF2B5EF4-FFF2-40B4-BE49-F238E27FC236}">
              <a16:creationId xmlns:a16="http://schemas.microsoft.com/office/drawing/2014/main" id="{00000000-0008-0000-1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3" name="그림 32" descr="C:\Users\fact\Desktop\2013_01버전_IPC조회프로그램\Data\HTML\Kor\img\notthis.gif">
          <a:extLst>
            <a:ext uri="{FF2B5EF4-FFF2-40B4-BE49-F238E27FC236}">
              <a16:creationId xmlns:a16="http://schemas.microsoft.com/office/drawing/2014/main" id="{00000000-0008-0000-1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4" name="그림 33" descr="C:\Users\fact\Desktop\2013_01버전_IPC조회프로그램\Data\HTML\Kor\img\notthis.gif">
          <a:extLst>
            <a:ext uri="{FF2B5EF4-FFF2-40B4-BE49-F238E27FC236}">
              <a16:creationId xmlns:a16="http://schemas.microsoft.com/office/drawing/2014/main" id="{00000000-0008-0000-1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5" name="그림 34" descr="C:\Users\fact\Desktop\2013_01버전_IPC조회프로그램\Data\HTML\Kor\img\notthis.gif">
          <a:extLst>
            <a:ext uri="{FF2B5EF4-FFF2-40B4-BE49-F238E27FC236}">
              <a16:creationId xmlns:a16="http://schemas.microsoft.com/office/drawing/2014/main" id="{00000000-0008-0000-1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6" name="그림 35" descr="C:\Users\fact\Desktop\2013_01버전_IPC조회프로그램\Data\HTML\Kor\img\notthis.gif">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7" name="그림 36" descr="C:\Users\fact\Desktop\2013_01버전_IPC조회프로그램\Data\HTML\Kor\img\notthis.gif">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8" name="그림 37" descr="C:\Users\fact\Desktop\2013_01버전_IPC조회프로그램\Data\HTML\Kor\img\notthis.gif">
          <a:extLst>
            <a:ext uri="{FF2B5EF4-FFF2-40B4-BE49-F238E27FC236}">
              <a16:creationId xmlns:a16="http://schemas.microsoft.com/office/drawing/2014/main" id="{00000000-0008-0000-1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9" name="그림 38" descr="C:\Users\fact\Desktop\2013_01버전_IPC조회프로그램\Data\HTML\Kor\img\notthis.gif">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40" name="그림 39" descr="C:\Users\fact\Desktop\2013_01버전_IPC조회프로그램\Data\HTML\Kor\img\notthis.gif">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76200</xdr:colOff>
      <xdr:row>18</xdr:row>
      <xdr:rowOff>76200</xdr:rowOff>
    </xdr:to>
    <xdr:pic>
      <xdr:nvPicPr>
        <xdr:cNvPr id="41" name="그림 40" descr="C:\Users\fact\Desktop\2013_01버전_IPC조회프로그램\Data\HTML\Kor\img\notthis.gif">
          <a:extLst>
            <a:ext uri="{FF2B5EF4-FFF2-40B4-BE49-F238E27FC236}">
              <a16:creationId xmlns:a16="http://schemas.microsoft.com/office/drawing/2014/main" id="{00000000-0008-0000-1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56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76200</xdr:colOff>
      <xdr:row>18</xdr:row>
      <xdr:rowOff>76200</xdr:rowOff>
    </xdr:to>
    <xdr:pic>
      <xdr:nvPicPr>
        <xdr:cNvPr id="42" name="그림 41" descr="C:\Users\fact\Desktop\2013_01버전_IPC조회프로그램\Data\HTML\Kor\img\notthis.gif">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56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3" name="그림 42" descr="C:\Users\fact\Desktop\2013_01버전_IPC조회프로그램\Data\HTML\Kor\img\notthis.gif">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4" name="그림 43" descr="C:\Users\fact\Desktop\2013_01버전_IPC조회프로그램\Data\HTML\Kor\img\notthis.gif">
          <a:extLst>
            <a:ext uri="{FF2B5EF4-FFF2-40B4-BE49-F238E27FC236}">
              <a16:creationId xmlns:a16="http://schemas.microsoft.com/office/drawing/2014/main" id="{00000000-0008-0000-1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5" name="그림 44" descr="C:\Users\fact\Desktop\2013_01버전_IPC조회프로그램\Data\HTML\Kor\img\notthis.gif">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6" name="그림 45" descr="C:\Users\fact\Desktop\2013_01버전_IPC조회프로그램\Data\HTML\Kor\img\notthis.gif">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7" name="그림 46" descr="C:\Users\fact\Desktop\2013_01버전_IPC조회프로그램\Data\HTML\Kor\img\notthis.gif">
          <a:extLst>
            <a:ext uri="{FF2B5EF4-FFF2-40B4-BE49-F238E27FC236}">
              <a16:creationId xmlns:a16="http://schemas.microsoft.com/office/drawing/2014/main" id="{00000000-0008-0000-1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8" name="그림 47" descr="C:\Users\fact\Desktop\2013_01버전_IPC조회프로그램\Data\HTML\Kor\img\notthis.gif">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9" name="그림 48" descr="C:\Users\fact\Desktop\2013_01버전_IPC조회프로그램\Data\HTML\Kor\img\notthis.gif">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0" name="그림 49" descr="C:\Users\fact\Desktop\2013_01버전_IPC조회프로그램\Data\HTML\Kor\img\notthis.gif">
          <a:extLst>
            <a:ext uri="{FF2B5EF4-FFF2-40B4-BE49-F238E27FC236}">
              <a16:creationId xmlns:a16="http://schemas.microsoft.com/office/drawing/2014/main" id="{00000000-0008-0000-1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1" name="그림 50" descr="C:\Users\fact\Desktop\2013_01버전_IPC조회프로그램\Data\HTML\Kor\img\notthis.gif">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2" name="그림 51" descr="C:\Users\fact\Desktop\2013_01버전_IPC조회프로그램\Data\HTML\Kor\img\notthis.gif">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3" name="그림 52" descr="C:\Users\fact\Desktop\2013_01버전_IPC조회프로그램\Data\HTML\Kor\img\notthis.gif">
          <a:extLst>
            <a:ext uri="{FF2B5EF4-FFF2-40B4-BE49-F238E27FC236}">
              <a16:creationId xmlns:a16="http://schemas.microsoft.com/office/drawing/2014/main" id="{00000000-0008-0000-1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4" name="그림 53" descr="C:\Users\fact\Desktop\2013_01버전_IPC조회프로그램\Data\HTML\Kor\img\notthis.gif">
          <a:extLst>
            <a:ext uri="{FF2B5EF4-FFF2-40B4-BE49-F238E27FC236}">
              <a16:creationId xmlns:a16="http://schemas.microsoft.com/office/drawing/2014/main" id="{00000000-0008-0000-1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5" name="그림 54" descr="C:\Users\fact\Desktop\2013_01버전_IPC조회프로그램\Data\HTML\Kor\img\notthis.gif">
          <a:extLst>
            <a:ext uri="{FF2B5EF4-FFF2-40B4-BE49-F238E27FC236}">
              <a16:creationId xmlns:a16="http://schemas.microsoft.com/office/drawing/2014/main" id="{00000000-0008-0000-1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6" name="그림 55" descr="C:\Users\fact\Desktop\2013_01버전_IPC조회프로그램\Data\HTML\Kor\img\notthis.gif">
          <a:extLst>
            <a:ext uri="{FF2B5EF4-FFF2-40B4-BE49-F238E27FC236}">
              <a16:creationId xmlns:a16="http://schemas.microsoft.com/office/drawing/2014/main" id="{00000000-0008-0000-1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7" name="그림 56" descr="C:\Users\fact\Desktop\2013_01버전_IPC조회프로그램\Data\HTML\Kor\img\notthis.gif">
          <a:extLst>
            <a:ext uri="{FF2B5EF4-FFF2-40B4-BE49-F238E27FC236}">
              <a16:creationId xmlns:a16="http://schemas.microsoft.com/office/drawing/2014/main" id="{00000000-0008-0000-1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76200</xdr:colOff>
      <xdr:row>98</xdr:row>
      <xdr:rowOff>76200</xdr:rowOff>
    </xdr:to>
    <xdr:pic>
      <xdr:nvPicPr>
        <xdr:cNvPr id="58" name="그림 57" descr="C:\Users\fact\Desktop\2013_01버전_IPC조회프로그램\Data\HTML\Kor\img\notthis.gif">
          <a:extLst>
            <a:ext uri="{FF2B5EF4-FFF2-40B4-BE49-F238E27FC236}">
              <a16:creationId xmlns:a16="http://schemas.microsoft.com/office/drawing/2014/main" id="{00000000-0008-0000-1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0326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76200</xdr:colOff>
      <xdr:row>98</xdr:row>
      <xdr:rowOff>76200</xdr:rowOff>
    </xdr:to>
    <xdr:pic>
      <xdr:nvPicPr>
        <xdr:cNvPr id="59" name="그림 58" descr="C:\Users\fact\Desktop\2013_01버전_IPC조회프로그램\Data\HTML\Kor\img\notthis.gif">
          <a:extLst>
            <a:ext uri="{FF2B5EF4-FFF2-40B4-BE49-F238E27FC236}">
              <a16:creationId xmlns:a16="http://schemas.microsoft.com/office/drawing/2014/main" id="{00000000-0008-0000-1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0326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0" name="그림 59" descr="C:\Users\fact\Desktop\2013_01버전_IPC조회프로그램\Data\HTML\Kor\img\notthis.gif">
          <a:extLst>
            <a:ext uri="{FF2B5EF4-FFF2-40B4-BE49-F238E27FC236}">
              <a16:creationId xmlns:a16="http://schemas.microsoft.com/office/drawing/2014/main" id="{00000000-0008-0000-1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1" name="그림 60" descr="C:\Users\fact\Desktop\2013_01버전_IPC조회프로그램\Data\HTML\Kor\img\notthis.gif">
          <a:extLst>
            <a:ext uri="{FF2B5EF4-FFF2-40B4-BE49-F238E27FC236}">
              <a16:creationId xmlns:a16="http://schemas.microsoft.com/office/drawing/2014/main" id="{00000000-0008-0000-1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2" name="그림 61" descr="C:\Users\fact\Desktop\2013_01버전_IPC조회프로그램\Data\HTML\Kor\img\notthis.gif">
          <a:extLst>
            <a:ext uri="{FF2B5EF4-FFF2-40B4-BE49-F238E27FC236}">
              <a16:creationId xmlns:a16="http://schemas.microsoft.com/office/drawing/2014/main" id="{00000000-0008-0000-1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3" name="그림 62" descr="C:\Users\fact\Desktop\2013_01버전_IPC조회프로그램\Data\HTML\Kor\img\notthis.gif">
          <a:extLst>
            <a:ext uri="{FF2B5EF4-FFF2-40B4-BE49-F238E27FC236}">
              <a16:creationId xmlns:a16="http://schemas.microsoft.com/office/drawing/2014/main" id="{00000000-0008-0000-1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4" name="그림 63" descr="C:\Users\fact\Desktop\2013_01버전_IPC조회프로그램\Data\HTML\Kor\img\notthis.gif">
          <a:extLst>
            <a:ext uri="{FF2B5EF4-FFF2-40B4-BE49-F238E27FC236}">
              <a16:creationId xmlns:a16="http://schemas.microsoft.com/office/drawing/2014/main" id="{00000000-0008-0000-1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5" name="그림 64" descr="C:\Users\fact\Desktop\2013_01버전_IPC조회프로그램\Data\HTML\Kor\img\notthis.gif">
          <a:extLst>
            <a:ext uri="{FF2B5EF4-FFF2-40B4-BE49-F238E27FC236}">
              <a16:creationId xmlns:a16="http://schemas.microsoft.com/office/drawing/2014/main" id="{00000000-0008-0000-1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6" name="그림 65" descr="C:\Users\fact\Desktop\2013_01버전_IPC조회프로그램\Data\HTML\Kor\img\notthis.gif">
          <a:extLst>
            <a:ext uri="{FF2B5EF4-FFF2-40B4-BE49-F238E27FC236}">
              <a16:creationId xmlns:a16="http://schemas.microsoft.com/office/drawing/2014/main" id="{00000000-0008-0000-1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7" name="그림 66" descr="C:\Users\fact\Desktop\2013_01버전_IPC조회프로그램\Data\HTML\Kor\img\notthis.gif">
          <a:extLst>
            <a:ext uri="{FF2B5EF4-FFF2-40B4-BE49-F238E27FC236}">
              <a16:creationId xmlns:a16="http://schemas.microsoft.com/office/drawing/2014/main" id="{00000000-0008-0000-1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8" name="그림 67" descr="C:\Users\fact\Desktop\2013_01버전_IPC조회프로그램\Data\HTML\Kor\img\notthis.gif">
          <a:extLst>
            <a:ext uri="{FF2B5EF4-FFF2-40B4-BE49-F238E27FC236}">
              <a16:creationId xmlns:a16="http://schemas.microsoft.com/office/drawing/2014/main" id="{00000000-0008-0000-1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9" name="그림 68" descr="C:\Users\fact\Desktop\2013_01버전_IPC조회프로그램\Data\HTML\Kor\img\notthis.gif">
          <a:extLst>
            <a:ext uri="{FF2B5EF4-FFF2-40B4-BE49-F238E27FC236}">
              <a16:creationId xmlns:a16="http://schemas.microsoft.com/office/drawing/2014/main" id="{00000000-0008-0000-1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70" name="그림 69" descr="C:\Users\fact\Desktop\2013_01버전_IPC조회프로그램\Data\HTML\Kor\img\notthis.gif">
          <a:extLst>
            <a:ext uri="{FF2B5EF4-FFF2-40B4-BE49-F238E27FC236}">
              <a16:creationId xmlns:a16="http://schemas.microsoft.com/office/drawing/2014/main" id="{00000000-0008-0000-1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71" name="그림 70" descr="C:\Users\fact\Desktop\2013_01버전_IPC조회프로그램\Data\HTML\Kor\img\notthis.gif">
          <a:extLst>
            <a:ext uri="{FF2B5EF4-FFF2-40B4-BE49-F238E27FC236}">
              <a16:creationId xmlns:a16="http://schemas.microsoft.com/office/drawing/2014/main" id="{00000000-0008-0000-1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38100</xdr:rowOff>
    </xdr:from>
    <xdr:to>
      <xdr:col>2</xdr:col>
      <xdr:colOff>247650</xdr:colOff>
      <xdr:row>0</xdr:row>
      <xdr:rowOff>342900</xdr:rowOff>
    </xdr:to>
    <xdr:sp macro="[0]!dhTest" textlink="">
      <xdr:nvSpPr>
        <xdr:cNvPr id="75" name="모서리가 둥근 직사각형 74">
          <a:extLst>
            <a:ext uri="{FF2B5EF4-FFF2-40B4-BE49-F238E27FC236}">
              <a16:creationId xmlns:a16="http://schemas.microsoft.com/office/drawing/2014/main" id="{00000000-0008-0000-1300-00004B000000}"/>
            </a:ext>
          </a:extLst>
        </xdr:cNvPr>
        <xdr:cNvSpPr/>
      </xdr:nvSpPr>
      <xdr:spPr>
        <a:xfrm>
          <a:off x="200025" y="38100"/>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ctrlProp" Target="../ctrlProps/ctrlProp82.xml"/><Relationship Id="rId89" Type="http://schemas.openxmlformats.org/officeDocument/2006/relationships/ctrlProp" Target="../ctrlProps/ctrlProp87.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ctrlProp" Target="../ctrlProps/ctrlProp77.xml"/><Relationship Id="rId5" Type="http://schemas.openxmlformats.org/officeDocument/2006/relationships/ctrlProp" Target="../ctrlProps/ctrlProp3.xml"/><Relationship Id="rId90" Type="http://schemas.openxmlformats.org/officeDocument/2006/relationships/ctrlProp" Target="../ctrlProps/ctrlProp88.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ctrlProp" Target="../ctrlProps/ctrlProp78.xml"/><Relationship Id="rId85" Type="http://schemas.openxmlformats.org/officeDocument/2006/relationships/ctrlProp" Target="../ctrlProps/ctrlProp83.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83" Type="http://schemas.openxmlformats.org/officeDocument/2006/relationships/ctrlProp" Target="../ctrlProps/ctrlProp81.xml"/><Relationship Id="rId88" Type="http://schemas.openxmlformats.org/officeDocument/2006/relationships/ctrlProp" Target="../ctrlProps/ctrlProp86.xml"/><Relationship Id="rId91" Type="http://schemas.openxmlformats.org/officeDocument/2006/relationships/ctrlProp" Target="../ctrlProps/ctrlProp89.xml"/><Relationship Id="rId96" Type="http://schemas.openxmlformats.org/officeDocument/2006/relationships/ctrlProp" Target="../ctrlProps/ctrlProp94.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trlProp" Target="../ctrlProps/ctrlProp76.xml"/><Relationship Id="rId81" Type="http://schemas.openxmlformats.org/officeDocument/2006/relationships/ctrlProp" Target="../ctrlProps/ctrlProp79.xml"/><Relationship Id="rId86" Type="http://schemas.openxmlformats.org/officeDocument/2006/relationships/ctrlProp" Target="../ctrlProps/ctrlProp84.xml"/><Relationship Id="rId94" Type="http://schemas.openxmlformats.org/officeDocument/2006/relationships/ctrlProp" Target="../ctrlProps/ctrlProp92.xml"/><Relationship Id="rId99" Type="http://schemas.openxmlformats.org/officeDocument/2006/relationships/ctrlProp" Target="../ctrlProps/ctrlProp97.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drawing" Target="../drawings/drawing4.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trlProp" Target="../ctrlProps/ctrlProp10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hyperlink" Target="../AppData/Local/Microsoft/Windows/INetCache/IE/AppData/&#44396;&#48120;&#49884;%20&#51665;/2015_01&#48260;&#51204;_IPC&#51312;&#54924;&#54532;&#47196;&#44536;&#47016;/IPC%20&#51312;&#54924;&#54532;&#47196;&#44536;&#47016;%20&#49892;&#54665;.exe"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tabColor rgb="FFFFC000"/>
    <pageSetUpPr fitToPage="1"/>
  </sheetPr>
  <dimension ref="B2:J97"/>
  <sheetViews>
    <sheetView showGridLines="0" view="pageBreakPreview" zoomScale="130" zoomScaleNormal="100" zoomScaleSheetLayoutView="130" workbookViewId="0">
      <pane xSplit="1" ySplit="2" topLeftCell="B12" activePane="bottomRight" state="frozen"/>
      <selection activeCell="G24" sqref="G24"/>
      <selection pane="topRight" activeCell="G24" sqref="G24"/>
      <selection pane="bottomLeft" activeCell="G24" sqref="G24"/>
      <selection pane="bottomRight" activeCell="F24" sqref="F24"/>
    </sheetView>
  </sheetViews>
  <sheetFormatPr defaultRowHeight="16.5"/>
  <cols>
    <col min="1" max="1" width="2.5546875" style="39" customWidth="1"/>
    <col min="2" max="2" width="2.109375" style="39" customWidth="1"/>
    <col min="3" max="3" width="1.6640625" style="39" customWidth="1"/>
    <col min="4" max="4" width="12.5546875" style="39" customWidth="1"/>
    <col min="5" max="5" width="7.88671875" style="39" customWidth="1"/>
    <col min="6" max="6" width="14.88671875" style="39" customWidth="1"/>
    <col min="7" max="7" width="19.21875" style="39" bestFit="1" customWidth="1"/>
    <col min="8" max="8" width="1.77734375" style="39" customWidth="1"/>
    <col min="9" max="9" width="8.109375" style="39" customWidth="1"/>
    <col min="10" max="10" width="8.88671875" style="39" customWidth="1"/>
    <col min="11" max="16384" width="8.88671875" style="39"/>
  </cols>
  <sheetData>
    <row r="2" spans="2:10" ht="45.75" customHeight="1">
      <c r="B2" s="1021" t="s">
        <v>1546</v>
      </c>
      <c r="C2" s="1021"/>
      <c r="D2" s="1021"/>
      <c r="E2" s="1021"/>
      <c r="F2" s="1021"/>
      <c r="G2" s="1021"/>
      <c r="H2" s="1021"/>
      <c r="I2" s="1021"/>
      <c r="J2" s="1021"/>
    </row>
    <row r="3" spans="2:10" s="66" customFormat="1" ht="19.5" customHeight="1">
      <c r="B3" s="65"/>
      <c r="C3" s="65"/>
      <c r="D3" s="65"/>
      <c r="E3" s="65"/>
      <c r="F3" s="65"/>
      <c r="G3" s="65"/>
      <c r="H3" s="65"/>
      <c r="I3" s="65"/>
      <c r="J3" s="67" t="s">
        <v>1545</v>
      </c>
    </row>
    <row r="4" spans="2:10" s="40" customFormat="1" ht="24" customHeight="1">
      <c r="B4" s="41" t="s">
        <v>1443</v>
      </c>
      <c r="C4" s="42" t="s">
        <v>1444</v>
      </c>
    </row>
    <row r="5" spans="2:10" s="40" customFormat="1" ht="16.5" customHeight="1">
      <c r="B5" s="41"/>
      <c r="D5" s="48" t="s">
        <v>1445</v>
      </c>
      <c r="E5" s="44" t="s">
        <v>3242</v>
      </c>
      <c r="F5" s="45"/>
    </row>
    <row r="6" spans="2:10" s="40" customFormat="1" ht="16.5" customHeight="1">
      <c r="B6" s="41"/>
      <c r="D6" s="48" t="s">
        <v>1446</v>
      </c>
      <c r="E6" s="841" t="s">
        <v>3243</v>
      </c>
      <c r="F6" s="45"/>
    </row>
    <row r="7" spans="2:10" s="40" customFormat="1" ht="16.5" customHeight="1">
      <c r="B7" s="41"/>
      <c r="D7" s="48" t="s">
        <v>1547</v>
      </c>
      <c r="E7" s="48" t="s">
        <v>2982</v>
      </c>
    </row>
    <row r="8" spans="2:10" s="40" customFormat="1" ht="15.75" customHeight="1">
      <c r="B8" s="41"/>
      <c r="D8" s="70"/>
      <c r="E8" s="1024" t="s">
        <v>2981</v>
      </c>
      <c r="F8" s="1024"/>
      <c r="G8" s="1024"/>
      <c r="H8" s="1024"/>
      <c r="I8" s="1024"/>
      <c r="J8" s="1024"/>
    </row>
    <row r="9" spans="2:10" s="40" customFormat="1" ht="8.25" customHeight="1">
      <c r="B9" s="41"/>
      <c r="D9" s="70"/>
      <c r="E9" s="46"/>
    </row>
    <row r="10" spans="2:10" s="47" customFormat="1" ht="24" customHeight="1">
      <c r="B10" s="42" t="s">
        <v>1443</v>
      </c>
      <c r="C10" s="42" t="s">
        <v>1447</v>
      </c>
    </row>
    <row r="11" spans="2:10" s="40" customFormat="1" ht="15.75" customHeight="1">
      <c r="D11" s="48" t="s">
        <v>1491</v>
      </c>
    </row>
    <row r="12" spans="2:10" s="40" customFormat="1" ht="15.75" customHeight="1">
      <c r="D12" s="48" t="s">
        <v>1492</v>
      </c>
    </row>
    <row r="13" spans="2:10" s="40" customFormat="1" ht="15.75" customHeight="1">
      <c r="D13" s="48" t="s">
        <v>1509</v>
      </c>
    </row>
    <row r="14" spans="2:10" s="40" customFormat="1" ht="11.25" customHeight="1"/>
    <row r="15" spans="2:10" s="47" customFormat="1" ht="24" customHeight="1" thickBot="1">
      <c r="B15" s="47" t="s">
        <v>1443</v>
      </c>
      <c r="C15" s="42" t="s">
        <v>1448</v>
      </c>
    </row>
    <row r="16" spans="2:10" s="47" customFormat="1" ht="19.5" customHeight="1" thickBot="1">
      <c r="C16" s="42"/>
      <c r="D16" s="60" t="s">
        <v>1488</v>
      </c>
      <c r="E16" s="61" t="s">
        <v>1489</v>
      </c>
      <c r="F16" s="1022" t="s">
        <v>1490</v>
      </c>
      <c r="G16" s="1023"/>
    </row>
    <row r="17" spans="2:9" s="40" customFormat="1" ht="17.25" customHeight="1" thickTop="1">
      <c r="D17" s="57"/>
      <c r="E17" s="62" t="s">
        <v>1484</v>
      </c>
      <c r="F17" s="58" t="s">
        <v>1486</v>
      </c>
      <c r="G17" s="59"/>
      <c r="H17" s="49"/>
      <c r="I17" s="49"/>
    </row>
    <row r="18" spans="2:9" s="40" customFormat="1" ht="17.25" customHeight="1">
      <c r="D18" s="50"/>
      <c r="E18" s="63" t="s">
        <v>1749</v>
      </c>
      <c r="F18" s="55" t="s">
        <v>1751</v>
      </c>
      <c r="G18" s="53"/>
      <c r="H18" s="49"/>
      <c r="I18" s="49"/>
    </row>
    <row r="19" spans="2:9" s="40" customFormat="1" ht="17.25" customHeight="1">
      <c r="D19" s="51"/>
      <c r="E19" s="63" t="s">
        <v>1750</v>
      </c>
      <c r="F19" s="55" t="s">
        <v>1748</v>
      </c>
      <c r="G19" s="53"/>
      <c r="H19" s="49"/>
      <c r="I19" s="49"/>
    </row>
    <row r="20" spans="2:9" s="40" customFormat="1" ht="17.25" customHeight="1" thickBot="1">
      <c r="D20" s="52"/>
      <c r="E20" s="64" t="s">
        <v>1485</v>
      </c>
      <c r="F20" s="56" t="s">
        <v>1487</v>
      </c>
      <c r="G20" s="54"/>
      <c r="H20" s="49"/>
      <c r="I20" s="49"/>
    </row>
    <row r="21" spans="2:9" s="40" customFormat="1" ht="15.75" customHeight="1">
      <c r="D21" s="48"/>
      <c r="E21" s="48"/>
      <c r="F21" s="48"/>
      <c r="G21" s="48"/>
    </row>
    <row r="22" spans="2:9" s="47" customFormat="1" ht="24" customHeight="1">
      <c r="B22" s="47" t="s">
        <v>1443</v>
      </c>
      <c r="C22" s="47" t="s">
        <v>1449</v>
      </c>
    </row>
    <row r="23" spans="2:9" s="40" customFormat="1" ht="19.5" customHeight="1">
      <c r="D23" s="43" t="s">
        <v>1450</v>
      </c>
      <c r="E23" s="43"/>
      <c r="F23" s="43"/>
      <c r="G23" s="43"/>
      <c r="H23" s="43"/>
      <c r="I23" s="43"/>
    </row>
    <row r="24" spans="2:9" s="40" customFormat="1" ht="19.5" customHeight="1">
      <c r="D24" s="44" t="s">
        <v>1451</v>
      </c>
      <c r="E24" s="43"/>
      <c r="F24" s="43"/>
      <c r="G24" s="43"/>
      <c r="H24" s="43"/>
      <c r="I24" s="43"/>
    </row>
    <row r="25" spans="2:9" s="40" customFormat="1" ht="19.5" customHeight="1">
      <c r="D25" s="43" t="s">
        <v>1452</v>
      </c>
      <c r="E25" s="43"/>
      <c r="F25" s="43"/>
      <c r="G25" s="43"/>
      <c r="H25" s="43"/>
      <c r="I25" s="43"/>
    </row>
    <row r="26" spans="2:9" s="40" customFormat="1" ht="19.5" customHeight="1">
      <c r="D26" s="44" t="s">
        <v>1453</v>
      </c>
      <c r="E26" s="43"/>
      <c r="F26" s="43"/>
      <c r="G26" s="43"/>
      <c r="H26" s="43"/>
      <c r="I26" s="43"/>
    </row>
    <row r="27" spans="2:9" s="40" customFormat="1" ht="21.75" customHeight="1">
      <c r="D27" s="43"/>
      <c r="E27" s="43"/>
      <c r="F27" s="43"/>
      <c r="G27" s="43"/>
      <c r="H27" s="43"/>
      <c r="I27" s="43"/>
    </row>
    <row r="28" spans="2:9" s="40" customFormat="1" ht="21.75" customHeight="1">
      <c r="D28" s="43"/>
      <c r="E28" s="43"/>
      <c r="F28" s="43"/>
      <c r="G28" s="43"/>
      <c r="H28" s="43"/>
      <c r="I28" s="43"/>
    </row>
    <row r="29" spans="2:9" s="40" customFormat="1" ht="21.75" customHeight="1">
      <c r="D29" s="43"/>
      <c r="E29" s="43"/>
      <c r="F29" s="43"/>
      <c r="G29" s="43"/>
      <c r="H29" s="43"/>
      <c r="I29" s="43"/>
    </row>
    <row r="30" spans="2:9" s="40" customFormat="1" ht="21.75" customHeight="1">
      <c r="D30" s="43"/>
      <c r="E30" s="43"/>
      <c r="F30" s="43"/>
      <c r="G30" s="43"/>
      <c r="H30" s="43"/>
      <c r="I30" s="43"/>
    </row>
    <row r="31" spans="2:9" s="40" customFormat="1" ht="21.75" customHeight="1">
      <c r="D31" s="43"/>
      <c r="E31" s="43"/>
      <c r="F31" s="43"/>
      <c r="G31" s="43"/>
      <c r="H31" s="43"/>
      <c r="I31" s="43"/>
    </row>
    <row r="32" spans="2:9" s="40" customFormat="1" ht="21.75" customHeight="1">
      <c r="D32" s="43"/>
      <c r="E32" s="43"/>
      <c r="F32" s="43"/>
      <c r="G32" s="43"/>
      <c r="H32" s="43"/>
      <c r="I32" s="43"/>
    </row>
    <row r="33" spans="4:9" s="40" customFormat="1" ht="21.75" customHeight="1">
      <c r="D33" s="43"/>
      <c r="E33" s="43"/>
      <c r="F33" s="43"/>
      <c r="G33" s="43"/>
      <c r="H33" s="43"/>
      <c r="I33" s="43"/>
    </row>
    <row r="34" spans="4:9" s="40" customFormat="1" ht="21.75" customHeight="1">
      <c r="D34" s="43"/>
      <c r="E34" s="43"/>
      <c r="F34" s="43"/>
      <c r="G34" s="43"/>
      <c r="H34" s="43"/>
      <c r="I34" s="43"/>
    </row>
    <row r="35" spans="4:9" s="109" customFormat="1" ht="21" customHeight="1">
      <c r="D35" s="108" t="s">
        <v>1493</v>
      </c>
      <c r="E35" s="108"/>
      <c r="F35" s="108"/>
      <c r="G35" s="108"/>
      <c r="H35" s="108"/>
      <c r="I35" s="108"/>
    </row>
    <row r="36" spans="4:9" s="109" customFormat="1" ht="21" customHeight="1">
      <c r="D36" s="110" t="s">
        <v>1494</v>
      </c>
    </row>
    <row r="37" spans="4:9" s="109" customFormat="1" ht="21" customHeight="1">
      <c r="D37" s="110" t="s">
        <v>1544</v>
      </c>
    </row>
    <row r="38" spans="4:9" s="109" customFormat="1" ht="18" customHeight="1">
      <c r="D38" s="111" t="s">
        <v>1496</v>
      </c>
    </row>
    <row r="39" spans="4:9" s="40" customFormat="1" ht="17.25"/>
    <row r="40" spans="4:9" s="40" customFormat="1" ht="17.25"/>
    <row r="41" spans="4:9" s="40" customFormat="1" ht="17.25"/>
    <row r="42" spans="4:9" s="40" customFormat="1" ht="17.25"/>
    <row r="43" spans="4:9" s="40" customFormat="1" ht="17.25"/>
    <row r="44" spans="4:9" s="40" customFormat="1" ht="17.25"/>
    <row r="45" spans="4:9" s="40" customFormat="1" ht="17.25"/>
    <row r="46" spans="4:9" s="40" customFormat="1" ht="17.25"/>
    <row r="47" spans="4:9" s="40" customFormat="1" ht="17.25"/>
    <row r="48" spans="4:9" s="40" customFormat="1" ht="17.25"/>
    <row r="49" s="40" customFormat="1" ht="17.25"/>
    <row r="50" s="40" customFormat="1" ht="17.25"/>
    <row r="51" s="40" customFormat="1" ht="17.25"/>
    <row r="52" s="40" customFormat="1" ht="17.25"/>
    <row r="53" s="40" customFormat="1" ht="17.25"/>
    <row r="54" s="40" customFormat="1" ht="17.25"/>
    <row r="55" s="40" customFormat="1" ht="17.25"/>
    <row r="56" s="40" customFormat="1" ht="17.25"/>
    <row r="57" s="40" customFormat="1" ht="17.25"/>
    <row r="58" s="40" customFormat="1" ht="17.25"/>
    <row r="59" s="40" customFormat="1" ht="17.25"/>
    <row r="60" s="40" customFormat="1" ht="17.25"/>
    <row r="61" s="40" customFormat="1" ht="17.25"/>
    <row r="62" s="40" customFormat="1" ht="17.25"/>
    <row r="63" s="40" customFormat="1" ht="17.25"/>
    <row r="64" s="40" customFormat="1" ht="17.25"/>
    <row r="65" s="40" customFormat="1" ht="17.25"/>
    <row r="66" s="40" customFormat="1" ht="17.25"/>
    <row r="67" s="40" customFormat="1" ht="17.25"/>
    <row r="68" s="40" customFormat="1" ht="17.25"/>
    <row r="69" s="40" customFormat="1" ht="17.25"/>
    <row r="70" s="40" customFormat="1" ht="17.25"/>
    <row r="71" s="40" customFormat="1" ht="17.25"/>
    <row r="72" s="40" customFormat="1" ht="17.25"/>
    <row r="73" s="40" customFormat="1" ht="17.25"/>
    <row r="74" s="40" customFormat="1" ht="17.25"/>
    <row r="75" s="40" customFormat="1" ht="17.25"/>
    <row r="76" s="40" customFormat="1" ht="17.25"/>
    <row r="77" s="40" customFormat="1" ht="17.25"/>
    <row r="78" s="40" customFormat="1" ht="17.25"/>
    <row r="79" s="40" customFormat="1" ht="17.25"/>
    <row r="80" s="40" customFormat="1" ht="17.25"/>
    <row r="81" s="40" customFormat="1" ht="17.25"/>
    <row r="82" s="40" customFormat="1" ht="17.25"/>
    <row r="83" s="40" customFormat="1" ht="17.25"/>
    <row r="84" s="40" customFormat="1" ht="17.25"/>
    <row r="85" s="40" customFormat="1" ht="17.25"/>
    <row r="86" s="40" customFormat="1" ht="17.25"/>
    <row r="87" s="40" customFormat="1" ht="17.25"/>
    <row r="88" s="40" customFormat="1" ht="17.25"/>
    <row r="89" s="40" customFormat="1" ht="17.25"/>
    <row r="90" s="40" customFormat="1" ht="17.25"/>
    <row r="91" s="40" customFormat="1" ht="17.25"/>
    <row r="92" s="40" customFormat="1" ht="17.25"/>
    <row r="93" s="40" customFormat="1" ht="17.25"/>
    <row r="94" s="40" customFormat="1" ht="17.25"/>
    <row r="95" s="40" customFormat="1" ht="17.25"/>
    <row r="96" s="40" customFormat="1" ht="17.25"/>
    <row r="97" s="40" customFormat="1" ht="17.25"/>
  </sheetData>
  <mergeCells count="3">
    <mergeCell ref="B2:J2"/>
    <mergeCell ref="F16:G16"/>
    <mergeCell ref="E8:J8"/>
  </mergeCells>
  <phoneticPr fontId="11" type="noConversion"/>
  <pageMargins left="0.7" right="0.7" top="0.75" bottom="0.75" header="0.3" footer="0.3"/>
  <pageSetup paperSize="9" scale="98"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tabColor theme="1"/>
  </sheetPr>
  <dimension ref="B2:G40"/>
  <sheetViews>
    <sheetView showGridLines="0" view="pageBreakPreview" topLeftCell="A37" zoomScaleNormal="100" zoomScaleSheetLayoutView="100" workbookViewId="0">
      <selection activeCell="F39" sqref="F39"/>
    </sheetView>
  </sheetViews>
  <sheetFormatPr defaultRowHeight="13.5"/>
  <cols>
    <col min="1" max="1" width="1.77734375" customWidth="1"/>
    <col min="3" max="3" width="11.44140625" bestFit="1" customWidth="1"/>
    <col min="5" max="5" width="11.44140625" customWidth="1"/>
    <col min="6" max="6" width="96.77734375" customWidth="1"/>
    <col min="7" max="7" width="12" customWidth="1"/>
    <col min="8" max="8" width="1.44140625" customWidth="1"/>
  </cols>
  <sheetData>
    <row r="2" spans="2:7" ht="27" customHeight="1">
      <c r="B2" s="72" t="s">
        <v>1574</v>
      </c>
    </row>
    <row r="3" spans="2:7" ht="23.25" customHeight="1">
      <c r="B3" s="71" t="s">
        <v>1569</v>
      </c>
      <c r="C3" s="71" t="s">
        <v>1552</v>
      </c>
      <c r="D3" s="71" t="s">
        <v>1568</v>
      </c>
      <c r="E3" s="71" t="s">
        <v>1747</v>
      </c>
      <c r="F3" s="71" t="s">
        <v>1575</v>
      </c>
      <c r="G3" s="88" t="s">
        <v>1577</v>
      </c>
    </row>
    <row r="4" spans="2:7" s="9" customFormat="1" ht="15.75" customHeight="1">
      <c r="B4" s="73" t="s">
        <v>1548</v>
      </c>
      <c r="C4" s="74">
        <v>42277</v>
      </c>
      <c r="D4" s="75" t="s">
        <v>1549</v>
      </c>
      <c r="E4" s="87" t="s">
        <v>1563</v>
      </c>
      <c r="F4" s="75" t="s">
        <v>1565</v>
      </c>
      <c r="G4" s="76" t="s">
        <v>1578</v>
      </c>
    </row>
    <row r="5" spans="2:7" s="9" customFormat="1" ht="15.75" customHeight="1">
      <c r="B5" s="73" t="s">
        <v>1550</v>
      </c>
      <c r="C5" s="74">
        <v>42265</v>
      </c>
      <c r="D5" s="75" t="s">
        <v>1759</v>
      </c>
      <c r="E5" s="73" t="s">
        <v>1563</v>
      </c>
      <c r="F5" s="76" t="s">
        <v>1559</v>
      </c>
      <c r="G5" s="76" t="s">
        <v>1578</v>
      </c>
    </row>
    <row r="6" spans="2:7" s="9" customFormat="1">
      <c r="B6" s="133" t="s">
        <v>1551</v>
      </c>
      <c r="C6" s="78">
        <v>42270</v>
      </c>
      <c r="D6" s="79" t="s">
        <v>1553</v>
      </c>
      <c r="E6" s="77" t="s">
        <v>1563</v>
      </c>
      <c r="F6" s="80" t="s">
        <v>1554</v>
      </c>
      <c r="G6" s="80"/>
    </row>
    <row r="7" spans="2:7" s="9" customFormat="1">
      <c r="B7" s="81" t="s">
        <v>1571</v>
      </c>
      <c r="C7" s="82"/>
      <c r="D7" s="83"/>
      <c r="E7" s="81"/>
      <c r="F7" s="82" t="s">
        <v>1555</v>
      </c>
      <c r="G7" s="82"/>
    </row>
    <row r="8" spans="2:7" s="9" customFormat="1">
      <c r="B8" s="81"/>
      <c r="C8" s="82"/>
      <c r="D8" s="83"/>
      <c r="E8" s="81"/>
      <c r="F8" s="82" t="s">
        <v>1556</v>
      </c>
      <c r="G8" s="82"/>
    </row>
    <row r="9" spans="2:7" s="9" customFormat="1">
      <c r="B9" s="81"/>
      <c r="C9" s="82"/>
      <c r="D9" s="83"/>
      <c r="E9" s="81"/>
      <c r="F9" s="82" t="s">
        <v>1557</v>
      </c>
      <c r="G9" s="82"/>
    </row>
    <row r="10" spans="2:7" s="9" customFormat="1">
      <c r="B10" s="84"/>
      <c r="C10" s="85"/>
      <c r="D10" s="86"/>
      <c r="E10" s="84"/>
      <c r="F10" s="85" t="s">
        <v>1558</v>
      </c>
      <c r="G10" s="85"/>
    </row>
    <row r="11" spans="2:7" s="9" customFormat="1" ht="15.75" customHeight="1">
      <c r="B11" s="73" t="s">
        <v>1551</v>
      </c>
      <c r="C11" s="74">
        <v>42326</v>
      </c>
      <c r="D11" s="76" t="s">
        <v>1560</v>
      </c>
      <c r="E11" s="73" t="s">
        <v>1563</v>
      </c>
      <c r="F11" s="76" t="s">
        <v>1570</v>
      </c>
      <c r="G11" s="76"/>
    </row>
    <row r="12" spans="2:7" s="9" customFormat="1" ht="15.75" customHeight="1">
      <c r="B12" s="73" t="s">
        <v>1551</v>
      </c>
      <c r="C12" s="74">
        <v>42538</v>
      </c>
      <c r="D12" s="76" t="s">
        <v>1561</v>
      </c>
      <c r="E12" s="73" t="s">
        <v>1563</v>
      </c>
      <c r="F12" s="76" t="s">
        <v>1567</v>
      </c>
      <c r="G12" s="76"/>
    </row>
    <row r="13" spans="2:7" s="9" customFormat="1" ht="15.75" customHeight="1">
      <c r="B13" s="73" t="s">
        <v>1551</v>
      </c>
      <c r="C13" s="74">
        <v>42544</v>
      </c>
      <c r="D13" s="76" t="s">
        <v>1562</v>
      </c>
      <c r="E13" s="73" t="s">
        <v>1564</v>
      </c>
      <c r="F13" s="76" t="s">
        <v>1566</v>
      </c>
      <c r="G13" s="76"/>
    </row>
    <row r="14" spans="2:7" s="9" customFormat="1" ht="15.75" customHeight="1">
      <c r="B14" s="73" t="s">
        <v>1551</v>
      </c>
      <c r="C14" s="74">
        <v>42545</v>
      </c>
      <c r="D14" s="76" t="s">
        <v>1572</v>
      </c>
      <c r="E14" s="73" t="s">
        <v>1365</v>
      </c>
      <c r="F14" s="76" t="s">
        <v>1573</v>
      </c>
      <c r="G14" s="76"/>
    </row>
    <row r="15" spans="2:7">
      <c r="B15" s="73" t="s">
        <v>1551</v>
      </c>
      <c r="C15" s="74">
        <v>42551</v>
      </c>
      <c r="D15" s="76" t="s">
        <v>1576</v>
      </c>
      <c r="E15" s="73" t="s">
        <v>1365</v>
      </c>
      <c r="F15" s="76" t="s">
        <v>1580</v>
      </c>
      <c r="G15" s="76" t="s">
        <v>1579</v>
      </c>
    </row>
    <row r="16" spans="2:7">
      <c r="B16" s="73" t="s">
        <v>1551</v>
      </c>
      <c r="C16" s="74">
        <v>42653</v>
      </c>
      <c r="D16" s="76" t="s">
        <v>1586</v>
      </c>
      <c r="E16" s="73" t="s">
        <v>1587</v>
      </c>
      <c r="F16" s="76" t="s">
        <v>1588</v>
      </c>
      <c r="G16" s="76"/>
    </row>
    <row r="17" spans="2:7">
      <c r="B17" s="77" t="s">
        <v>1551</v>
      </c>
      <c r="C17" s="78">
        <v>42838</v>
      </c>
      <c r="D17" s="128">
        <v>1.3</v>
      </c>
      <c r="E17" s="77" t="s">
        <v>1675</v>
      </c>
      <c r="F17" s="129" t="s">
        <v>1738</v>
      </c>
      <c r="G17" s="80" t="s">
        <v>1745</v>
      </c>
    </row>
    <row r="18" spans="2:7">
      <c r="B18" s="81"/>
      <c r="C18" s="122"/>
      <c r="D18" s="82"/>
      <c r="E18" s="81"/>
      <c r="F18" s="123" t="s">
        <v>1739</v>
      </c>
      <c r="G18" s="81" t="s">
        <v>1746</v>
      </c>
    </row>
    <row r="19" spans="2:7">
      <c r="B19" s="124"/>
      <c r="C19" s="124"/>
      <c r="D19" s="124"/>
      <c r="E19" s="124"/>
      <c r="F19" s="125" t="s">
        <v>1740</v>
      </c>
      <c r="G19" s="124"/>
    </row>
    <row r="20" spans="2:7">
      <c r="B20" s="124"/>
      <c r="C20" s="124"/>
      <c r="D20" s="124"/>
      <c r="E20" s="124"/>
      <c r="F20" s="126" t="s">
        <v>1741</v>
      </c>
      <c r="G20" s="124"/>
    </row>
    <row r="21" spans="2:7">
      <c r="B21" s="124"/>
      <c r="C21" s="124"/>
      <c r="D21" s="124"/>
      <c r="E21" s="124"/>
      <c r="F21" s="125" t="s">
        <v>1742</v>
      </c>
      <c r="G21" s="124"/>
    </row>
    <row r="22" spans="2:7">
      <c r="B22" s="124"/>
      <c r="C22" s="124"/>
      <c r="D22" s="124"/>
      <c r="E22" s="124"/>
      <c r="F22" s="125" t="s">
        <v>1743</v>
      </c>
      <c r="G22" s="124"/>
    </row>
    <row r="23" spans="2:7">
      <c r="B23" s="127"/>
      <c r="C23" s="127"/>
      <c r="D23" s="127"/>
      <c r="E23" s="127"/>
      <c r="F23" s="130" t="s">
        <v>1744</v>
      </c>
      <c r="G23" s="127"/>
    </row>
    <row r="24" spans="2:7">
      <c r="B24" s="77" t="s">
        <v>1551</v>
      </c>
      <c r="C24" s="78">
        <v>42885</v>
      </c>
      <c r="D24" s="80" t="s">
        <v>1754</v>
      </c>
      <c r="E24" s="77" t="s">
        <v>1755</v>
      </c>
      <c r="F24" s="131" t="s">
        <v>1757</v>
      </c>
      <c r="G24" s="80"/>
    </row>
    <row r="25" spans="2:7">
      <c r="B25" s="127"/>
      <c r="C25" s="127"/>
      <c r="D25" s="127"/>
      <c r="E25" s="127"/>
      <c r="F25" s="127" t="s">
        <v>1756</v>
      </c>
      <c r="G25" s="127"/>
    </row>
    <row r="26" spans="2:7">
      <c r="B26" s="73" t="s">
        <v>1551</v>
      </c>
      <c r="C26" s="74">
        <v>42885</v>
      </c>
      <c r="D26" s="76" t="s">
        <v>1760</v>
      </c>
      <c r="E26" s="73" t="s">
        <v>1755</v>
      </c>
      <c r="F26" s="132" t="s">
        <v>1762</v>
      </c>
      <c r="G26" s="76" t="s">
        <v>1761</v>
      </c>
    </row>
    <row r="27" spans="2:7">
      <c r="B27" s="77" t="s">
        <v>1551</v>
      </c>
      <c r="C27" s="78">
        <v>42956</v>
      </c>
      <c r="D27" s="80" t="s">
        <v>1771</v>
      </c>
      <c r="E27" s="77" t="s">
        <v>1755</v>
      </c>
      <c r="F27" s="131" t="s">
        <v>1772</v>
      </c>
      <c r="G27" s="80"/>
    </row>
    <row r="28" spans="2:7">
      <c r="B28" s="81"/>
      <c r="C28" s="122"/>
      <c r="D28" s="82"/>
      <c r="E28" s="81"/>
      <c r="F28" s="136" t="s">
        <v>1773</v>
      </c>
      <c r="G28" s="82"/>
    </row>
    <row r="29" spans="2:7">
      <c r="B29" s="84"/>
      <c r="C29" s="134"/>
      <c r="D29" s="85"/>
      <c r="E29" s="84"/>
      <c r="F29" s="135" t="s">
        <v>1774</v>
      </c>
      <c r="G29" s="85" t="s">
        <v>1775</v>
      </c>
    </row>
    <row r="30" spans="2:7">
      <c r="B30" s="73" t="s">
        <v>1551</v>
      </c>
      <c r="C30" s="74">
        <v>43087</v>
      </c>
      <c r="D30" s="76" t="s">
        <v>1777</v>
      </c>
      <c r="E30" s="73" t="s">
        <v>1755</v>
      </c>
      <c r="F30" s="132" t="s">
        <v>1778</v>
      </c>
      <c r="G30" s="85"/>
    </row>
    <row r="31" spans="2:7" ht="27">
      <c r="B31" s="73" t="s">
        <v>1551</v>
      </c>
      <c r="C31" s="74">
        <v>43614</v>
      </c>
      <c r="D31" s="76" t="s">
        <v>1779</v>
      </c>
      <c r="E31" s="73" t="s">
        <v>1780</v>
      </c>
      <c r="F31" s="132" t="s">
        <v>1783</v>
      </c>
      <c r="G31" s="132" t="s">
        <v>1781</v>
      </c>
    </row>
    <row r="32" spans="2:7" ht="30" customHeight="1">
      <c r="B32" s="73" t="s">
        <v>1551</v>
      </c>
      <c r="C32" s="74">
        <v>43895</v>
      </c>
      <c r="D32" s="76" t="s">
        <v>1784</v>
      </c>
      <c r="E32" s="73" t="s">
        <v>1785</v>
      </c>
      <c r="F32" s="132" t="s">
        <v>1786</v>
      </c>
      <c r="G32" s="132" t="s">
        <v>1787</v>
      </c>
    </row>
    <row r="33" spans="2:7" ht="43.5" customHeight="1">
      <c r="B33" s="73" t="s">
        <v>1551</v>
      </c>
      <c r="C33" s="74">
        <v>43896</v>
      </c>
      <c r="D33" s="76" t="s">
        <v>1788</v>
      </c>
      <c r="E33" s="73" t="s">
        <v>1785</v>
      </c>
      <c r="F33" s="132" t="s">
        <v>1799</v>
      </c>
      <c r="G33" s="132" t="s">
        <v>1787</v>
      </c>
    </row>
    <row r="34" spans="2:7" ht="43.5" customHeight="1">
      <c r="B34" s="73" t="s">
        <v>1551</v>
      </c>
      <c r="C34" s="74">
        <v>44215</v>
      </c>
      <c r="D34" s="76" t="s">
        <v>2235</v>
      </c>
      <c r="E34" s="73" t="s">
        <v>1796</v>
      </c>
      <c r="F34" s="219" t="s">
        <v>2234</v>
      </c>
      <c r="G34" s="132" t="s">
        <v>1787</v>
      </c>
    </row>
    <row r="35" spans="2:7" ht="202.5">
      <c r="B35" s="73" t="s">
        <v>1551</v>
      </c>
      <c r="C35" s="74">
        <v>44243</v>
      </c>
      <c r="D35" s="76" t="s">
        <v>2244</v>
      </c>
      <c r="E35" s="73" t="s">
        <v>1780</v>
      </c>
      <c r="F35" s="219" t="s">
        <v>2952</v>
      </c>
      <c r="G35" s="132" t="s">
        <v>2245</v>
      </c>
    </row>
    <row r="36" spans="2:7" ht="27">
      <c r="B36" s="73" t="s">
        <v>1551</v>
      </c>
      <c r="C36" s="74">
        <v>44257</v>
      </c>
      <c r="D36" s="76" t="s">
        <v>2963</v>
      </c>
      <c r="E36" s="73" t="s">
        <v>2962</v>
      </c>
      <c r="F36" s="219" t="s">
        <v>2960</v>
      </c>
      <c r="G36" s="132" t="s">
        <v>2961</v>
      </c>
    </row>
    <row r="37" spans="2:7" ht="40.5">
      <c r="B37" s="73" t="s">
        <v>1551</v>
      </c>
      <c r="C37" s="74">
        <v>44259</v>
      </c>
      <c r="D37" s="76" t="s">
        <v>2964</v>
      </c>
      <c r="E37" s="73" t="s">
        <v>2965</v>
      </c>
      <c r="F37" s="219" t="s">
        <v>2966</v>
      </c>
      <c r="G37" s="132" t="s">
        <v>2245</v>
      </c>
    </row>
    <row r="38" spans="2:7" ht="102.75" customHeight="1">
      <c r="B38" s="73" t="s">
        <v>1551</v>
      </c>
      <c r="C38" s="74">
        <v>44628</v>
      </c>
      <c r="D38" s="76" t="s">
        <v>2977</v>
      </c>
      <c r="E38" s="73" t="s">
        <v>1785</v>
      </c>
      <c r="F38" s="219" t="s">
        <v>3032</v>
      </c>
      <c r="G38" s="132" t="s">
        <v>3033</v>
      </c>
    </row>
    <row r="39" spans="2:7" ht="94.5">
      <c r="B39" s="73" t="s">
        <v>1551</v>
      </c>
      <c r="C39" s="74">
        <v>45016</v>
      </c>
      <c r="D39" s="76" t="s">
        <v>3139</v>
      </c>
      <c r="E39" s="73" t="s">
        <v>3111</v>
      </c>
      <c r="F39" s="219" t="s">
        <v>3170</v>
      </c>
      <c r="G39" s="132" t="s">
        <v>3167</v>
      </c>
    </row>
    <row r="40" spans="2:7" ht="102.75" customHeight="1">
      <c r="B40" s="73" t="s">
        <v>1551</v>
      </c>
      <c r="C40" s="74">
        <v>45343</v>
      </c>
      <c r="D40" s="76" t="s">
        <v>3227</v>
      </c>
      <c r="E40" s="73" t="s">
        <v>3247</v>
      </c>
      <c r="F40" s="219" t="s">
        <v>3248</v>
      </c>
      <c r="G40" s="132" t="s">
        <v>3228</v>
      </c>
    </row>
  </sheetData>
  <phoneticPr fontId="11" type="noConversion"/>
  <pageMargins left="0.7" right="0.7" top="0.75" bottom="0.75" header="0.3" footer="0.3"/>
  <pageSetup paperSize="9" scale="53" orientation="portrait" r:id="rId1"/>
  <colBreaks count="1" manualBreakCount="1">
    <brk id="7" max="38"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C1:AC93"/>
  <sheetViews>
    <sheetView showGridLines="0" tabSelected="1" zoomScale="85" zoomScaleNormal="85" zoomScaleSheetLayoutView="70" workbookViewId="0">
      <pane xSplit="1" ySplit="2" topLeftCell="B3" activePane="bottomRight" state="frozen"/>
      <selection activeCell="G24" sqref="G24"/>
      <selection pane="topRight" activeCell="G24" sqref="G24"/>
      <selection pane="bottomLeft" activeCell="G24" sqref="G24"/>
      <selection pane="bottomRight" activeCell="AC13" sqref="AC13"/>
    </sheetView>
  </sheetViews>
  <sheetFormatPr defaultRowHeight="16.5"/>
  <cols>
    <col min="1" max="1" width="8" style="222" customWidth="1"/>
    <col min="2" max="2" width="1.21875" style="222" customWidth="1"/>
    <col min="3" max="3" width="10.44140625" style="222" customWidth="1"/>
    <col min="4" max="4" width="16.33203125" style="222" customWidth="1"/>
    <col min="5" max="5" width="11.5546875" style="222" customWidth="1"/>
    <col min="6" max="6" width="14.6640625" style="222" customWidth="1"/>
    <col min="7" max="7" width="12.44140625" style="222" customWidth="1"/>
    <col min="8" max="8" width="6.109375" style="222" customWidth="1"/>
    <col min="9" max="9" width="14.33203125" style="222" customWidth="1"/>
    <col min="10" max="10" width="11.5546875" style="222" customWidth="1"/>
    <col min="11" max="11" width="15.6640625" style="222" customWidth="1"/>
    <col min="12" max="12" width="12.44140625" style="222" customWidth="1"/>
    <col min="13" max="13" width="6.5546875" style="222" bestFit="1" customWidth="1"/>
    <col min="14" max="14" width="0.77734375" style="222" customWidth="1"/>
    <col min="15" max="15" width="8.88671875" style="222" hidden="1" customWidth="1"/>
    <col min="16" max="16" width="7" style="222" hidden="1" customWidth="1"/>
    <col min="17" max="17" width="7.21875" style="222" hidden="1" customWidth="1"/>
    <col min="18" max="18" width="7.109375" style="222" hidden="1" customWidth="1"/>
    <col min="19" max="19" width="8.44140625" style="222" hidden="1" customWidth="1"/>
    <col min="20" max="20" width="13.44140625" style="222" hidden="1" customWidth="1"/>
    <col min="21" max="21" width="4.44140625" style="222" hidden="1" customWidth="1"/>
    <col min="22" max="22" width="6.33203125" style="222" hidden="1" customWidth="1"/>
    <col min="23" max="23" width="6" style="222" hidden="1" customWidth="1"/>
    <col min="24" max="24" width="5" style="222" hidden="1" customWidth="1"/>
    <col min="25" max="25" width="5.21875" style="222" hidden="1" customWidth="1"/>
    <col min="26" max="26" width="4.109375" style="222" hidden="1" customWidth="1"/>
    <col min="27" max="27" width="3.88671875" style="222" hidden="1" customWidth="1"/>
    <col min="28" max="28" width="2.44140625" style="222" hidden="1" customWidth="1"/>
    <col min="29" max="29" width="8.88671875" style="222" customWidth="1"/>
    <col min="30" max="16384" width="8.88671875" style="222"/>
  </cols>
  <sheetData>
    <row r="1" spans="3:26" ht="35.25" customHeight="1" thickBot="1">
      <c r="F1" s="513"/>
    </row>
    <row r="2" spans="3:26" ht="42" thickBot="1">
      <c r="C2" s="1070" t="s">
        <v>1584</v>
      </c>
      <c r="D2" s="1071"/>
      <c r="E2" s="1071"/>
      <c r="F2" s="1071"/>
      <c r="G2" s="1071"/>
      <c r="H2" s="1071"/>
      <c r="I2" s="1071"/>
      <c r="J2" s="1071"/>
      <c r="K2" s="1071"/>
      <c r="L2" s="1071"/>
      <c r="M2" s="1072"/>
      <c r="N2" s="514"/>
    </row>
    <row r="3" spans="3:26" ht="23.25" customHeight="1"/>
    <row r="4" spans="3:26" s="220" customFormat="1" ht="26.25" customHeight="1" thickBot="1">
      <c r="C4" s="225" t="s">
        <v>1371</v>
      </c>
    </row>
    <row r="5" spans="3:26" s="220" customFormat="1" ht="19.5" customHeight="1">
      <c r="C5" s="25"/>
      <c r="D5" s="226"/>
      <c r="E5" s="227" t="s">
        <v>1373</v>
      </c>
      <c r="F5" s="227" t="s">
        <v>1416</v>
      </c>
      <c r="G5" s="227" t="s">
        <v>1375</v>
      </c>
      <c r="H5" s="1089" t="s">
        <v>1374</v>
      </c>
      <c r="I5" s="1089"/>
      <c r="J5" s="1089"/>
      <c r="K5" s="1089"/>
      <c r="L5" s="1090"/>
    </row>
    <row r="6" spans="3:26" s="220" customFormat="1" ht="34.5" customHeight="1" thickBot="1">
      <c r="C6" s="25"/>
      <c r="D6" s="228"/>
      <c r="E6" s="229"/>
      <c r="F6" s="230" t="s">
        <v>1527</v>
      </c>
      <c r="G6" s="229" t="s">
        <v>2693</v>
      </c>
      <c r="H6" s="1047"/>
      <c r="I6" s="1047"/>
      <c r="J6" s="1047"/>
      <c r="K6" s="1047"/>
      <c r="L6" s="1048"/>
    </row>
    <row r="7" spans="3:26" s="220" customFormat="1" ht="9" customHeight="1">
      <c r="C7" s="25"/>
      <c r="D7" s="231"/>
      <c r="E7" s="231"/>
      <c r="F7" s="231"/>
      <c r="G7" s="232"/>
      <c r="H7" s="232"/>
      <c r="I7" s="232"/>
      <c r="J7" s="232"/>
      <c r="K7" s="232"/>
      <c r="L7" s="232"/>
    </row>
    <row r="8" spans="3:26" s="220" customFormat="1" ht="21.75" customHeight="1" thickBot="1">
      <c r="C8" s="25"/>
      <c r="D8" s="233" t="s">
        <v>1482</v>
      </c>
      <c r="E8" s="10"/>
      <c r="F8" s="10"/>
      <c r="G8" s="10"/>
      <c r="H8" s="10"/>
      <c r="I8" s="233" t="s">
        <v>1528</v>
      </c>
      <c r="J8" s="10"/>
      <c r="P8" s="220" t="s">
        <v>1420</v>
      </c>
      <c r="Q8" s="220" t="s">
        <v>1417</v>
      </c>
      <c r="R8" s="515" t="s">
        <v>1386</v>
      </c>
      <c r="S8" s="515" t="s">
        <v>1385</v>
      </c>
      <c r="T8" s="515" t="s">
        <v>1384</v>
      </c>
      <c r="U8" s="262" t="s">
        <v>1387</v>
      </c>
      <c r="V8" s="262" t="s">
        <v>1395</v>
      </c>
      <c r="W8" s="263" t="s">
        <v>1378</v>
      </c>
      <c r="X8" s="220" t="s">
        <v>1407</v>
      </c>
      <c r="Y8" s="220" t="s">
        <v>1408</v>
      </c>
      <c r="Z8" s="220" t="s">
        <v>1412</v>
      </c>
    </row>
    <row r="9" spans="3:26" s="220" customFormat="1" ht="27.75" customHeight="1">
      <c r="D9" s="226" t="s">
        <v>1360</v>
      </c>
      <c r="E9" s="227" t="s">
        <v>1366</v>
      </c>
      <c r="F9" s="227" t="s">
        <v>1369</v>
      </c>
      <c r="G9" s="270" t="s">
        <v>1376</v>
      </c>
      <c r="I9" s="226" t="s">
        <v>1151</v>
      </c>
      <c r="J9" s="227" t="s">
        <v>227</v>
      </c>
      <c r="K9" s="234" t="s">
        <v>1361</v>
      </c>
      <c r="L9" s="235" t="s">
        <v>1400</v>
      </c>
      <c r="P9" s="220" t="s">
        <v>1421</v>
      </c>
      <c r="Q9" s="220" t="s">
        <v>1418</v>
      </c>
      <c r="R9" s="222" t="s">
        <v>3108</v>
      </c>
      <c r="S9" s="220" t="s">
        <v>1367</v>
      </c>
      <c r="T9" s="220" t="s">
        <v>1377</v>
      </c>
      <c r="U9" s="220" t="s">
        <v>1377</v>
      </c>
      <c r="V9" s="264" t="s">
        <v>1396</v>
      </c>
      <c r="W9" s="264" t="s">
        <v>1379</v>
      </c>
      <c r="X9" s="516">
        <v>0.1</v>
      </c>
      <c r="Y9" s="220" t="s">
        <v>1409</v>
      </c>
      <c r="Z9" s="220">
        <v>0</v>
      </c>
    </row>
    <row r="10" spans="3:26" s="220" customFormat="1" ht="23.25" customHeight="1" thickBot="1">
      <c r="D10" s="236" t="s">
        <v>3173</v>
      </c>
      <c r="E10" s="237" t="s">
        <v>3207</v>
      </c>
      <c r="F10" s="237" t="s">
        <v>2955</v>
      </c>
      <c r="G10" s="238">
        <v>45292</v>
      </c>
      <c r="I10" s="239">
        <v>44926</v>
      </c>
      <c r="J10" s="237">
        <v>45107</v>
      </c>
      <c r="K10" s="240">
        <v>0</v>
      </c>
      <c r="L10" s="241" t="s">
        <v>1185</v>
      </c>
      <c r="P10" s="220" t="s">
        <v>1422</v>
      </c>
      <c r="Q10" s="220" t="s">
        <v>1419</v>
      </c>
      <c r="R10" s="222" t="s">
        <v>3172</v>
      </c>
      <c r="S10" s="220" t="s">
        <v>3037</v>
      </c>
      <c r="U10" s="264" t="s">
        <v>1388</v>
      </c>
      <c r="V10" s="264" t="s">
        <v>1397</v>
      </c>
      <c r="W10" s="264" t="s">
        <v>1380</v>
      </c>
      <c r="X10" s="516">
        <v>0.06</v>
      </c>
      <c r="Y10" s="220" t="s">
        <v>1410</v>
      </c>
      <c r="Z10" s="220">
        <v>-1</v>
      </c>
    </row>
    <row r="11" spans="3:26" ht="26.25" customHeight="1" thickTop="1" thickBot="1">
      <c r="C11" s="220"/>
      <c r="D11" s="242" t="str">
        <f>IF(E10="로열티공제법1","로열티율",IF(E10="로열티공제법2","로열티율",""))</f>
        <v/>
      </c>
      <c r="E11" s="243" t="str">
        <f>IF(D11="로열티율",경상로열티!$J$5,"")</f>
        <v/>
      </c>
      <c r="F11" s="343" t="s">
        <v>1656</v>
      </c>
      <c r="G11" s="269" t="s">
        <v>1679</v>
      </c>
      <c r="H11" s="220"/>
      <c r="I11" s="344" t="s">
        <v>1413</v>
      </c>
      <c r="J11" s="244" t="s">
        <v>1581</v>
      </c>
      <c r="K11" s="345" t="s">
        <v>1414</v>
      </c>
      <c r="L11" s="245">
        <v>0</v>
      </c>
      <c r="M11" s="220"/>
      <c r="N11" s="220"/>
      <c r="P11" s="222" t="s">
        <v>1423</v>
      </c>
      <c r="R11" s="220" t="s">
        <v>3109</v>
      </c>
      <c r="S11" s="220" t="s">
        <v>3038</v>
      </c>
      <c r="U11" s="264" t="s">
        <v>1389</v>
      </c>
      <c r="V11" s="264" t="s">
        <v>1398</v>
      </c>
      <c r="W11" s="264" t="s">
        <v>1381</v>
      </c>
      <c r="X11" s="517">
        <v>0.04</v>
      </c>
      <c r="Y11" s="222" t="s">
        <v>1411</v>
      </c>
      <c r="Z11" s="220">
        <v>-2</v>
      </c>
    </row>
    <row r="12" spans="3:26" s="220" customFormat="1" ht="11.25" customHeight="1">
      <c r="I12" s="246"/>
      <c r="J12" s="247"/>
      <c r="K12" s="247"/>
      <c r="L12" s="231"/>
      <c r="R12" s="220" t="s">
        <v>3110</v>
      </c>
      <c r="U12" s="264" t="s">
        <v>2953</v>
      </c>
      <c r="V12" s="264"/>
      <c r="W12" s="264" t="s">
        <v>1382</v>
      </c>
      <c r="X12" s="516">
        <v>0.02</v>
      </c>
      <c r="Z12" s="222">
        <v>1</v>
      </c>
    </row>
    <row r="13" spans="3:26" ht="17.25" customHeight="1" thickBot="1">
      <c r="C13" s="220"/>
      <c r="D13" s="233" t="s">
        <v>1481</v>
      </c>
      <c r="E13" s="220"/>
      <c r="F13" s="220"/>
      <c r="G13" s="220"/>
      <c r="H13" s="220"/>
      <c r="I13" s="220"/>
      <c r="J13" s="220"/>
      <c r="K13" s="220"/>
      <c r="L13" s="220"/>
      <c r="M13" s="220"/>
      <c r="N13" s="220"/>
      <c r="R13" s="220" t="s">
        <v>3174</v>
      </c>
      <c r="U13" s="264" t="s">
        <v>2954</v>
      </c>
      <c r="V13" s="264"/>
      <c r="W13" s="264" t="s">
        <v>1383</v>
      </c>
      <c r="X13" s="517">
        <v>0</v>
      </c>
    </row>
    <row r="14" spans="3:26" s="220" customFormat="1" ht="19.5" customHeight="1">
      <c r="C14" s="222"/>
      <c r="D14" s="248" t="s">
        <v>1368</v>
      </c>
      <c r="E14" s="249" t="s">
        <v>1193</v>
      </c>
      <c r="F14" s="1049" t="s">
        <v>1504</v>
      </c>
      <c r="G14" s="1050"/>
      <c r="H14" s="1050"/>
      <c r="I14" s="1050"/>
      <c r="J14" s="1050"/>
      <c r="K14" s="1050"/>
      <c r="L14" s="1051"/>
      <c r="M14" s="222"/>
      <c r="N14" s="222"/>
      <c r="R14" s="222" t="s">
        <v>1797</v>
      </c>
      <c r="U14" s="264" t="s">
        <v>1390</v>
      </c>
      <c r="V14" s="264"/>
    </row>
    <row r="15" spans="3:26" s="220" customFormat="1" ht="32.25" customHeight="1">
      <c r="C15" s="222"/>
      <c r="D15" s="250" t="s">
        <v>1191</v>
      </c>
      <c r="E15" s="251" t="s">
        <v>252</v>
      </c>
      <c r="F15" s="1055" t="str">
        <f>VLOOKUP(E15,IPC!B3:C630,2,0)</f>
        <v>식용유지 예· 마가린, 쇼트닝(shortenings), 식용유(채취, 정제, 보존. C11B, C11C; 수소첨가 C11C 3/12)</v>
      </c>
      <c r="G15" s="1055"/>
      <c r="H15" s="1055"/>
      <c r="I15" s="1055"/>
      <c r="J15" s="1055"/>
      <c r="K15" s="1055"/>
      <c r="L15" s="1056"/>
      <c r="M15" s="222"/>
      <c r="N15" s="222"/>
      <c r="R15" s="222" t="s">
        <v>1798</v>
      </c>
      <c r="U15" s="264" t="s">
        <v>1391</v>
      </c>
      <c r="V15" s="264"/>
    </row>
    <row r="16" spans="3:26" s="220" customFormat="1" ht="19.5" customHeight="1">
      <c r="D16" s="252" t="s">
        <v>2773</v>
      </c>
      <c r="E16" s="293">
        <v>429</v>
      </c>
      <c r="F16" s="1057" t="str">
        <f>VLOOKUP(E16,업종분류!B9:K121,10,0)</f>
        <v>기타 임산물 가공품 제조업</v>
      </c>
      <c r="G16" s="1058"/>
      <c r="H16" s="1058"/>
      <c r="I16" s="1058"/>
      <c r="J16" s="1058"/>
      <c r="K16" s="1058"/>
      <c r="L16" s="1059"/>
      <c r="R16" s="222" t="s">
        <v>2978</v>
      </c>
      <c r="U16" s="264" t="s">
        <v>1392</v>
      </c>
      <c r="V16" s="264"/>
    </row>
    <row r="17" spans="3:29" s="220" customFormat="1" ht="19.5" customHeight="1" thickBot="1">
      <c r="C17" s="222"/>
      <c r="D17" s="253" t="s">
        <v>2770</v>
      </c>
      <c r="E17" s="254">
        <v>20423</v>
      </c>
      <c r="F17" s="1052" t="str">
        <f>IFERROR(VLOOKUP(E17,표준산업분류!B3:C182,2,0),"")</f>
        <v>화장품제조업</v>
      </c>
      <c r="G17" s="1053"/>
      <c r="H17" s="1053"/>
      <c r="I17" s="1053"/>
      <c r="J17" s="1053"/>
      <c r="K17" s="1053"/>
      <c r="L17" s="1054"/>
      <c r="M17" s="222"/>
      <c r="N17" s="222"/>
      <c r="R17" s="222" t="s">
        <v>2980</v>
      </c>
      <c r="U17" s="264" t="s">
        <v>1394</v>
      </c>
      <c r="V17" s="264"/>
    </row>
    <row r="18" spans="3:29" ht="15.75" customHeight="1">
      <c r="R18" s="222" t="s">
        <v>2979</v>
      </c>
      <c r="U18" s="264" t="s">
        <v>1393</v>
      </c>
    </row>
    <row r="19" spans="3:29" ht="23.25" customHeight="1" thickBot="1">
      <c r="D19" s="425" t="s">
        <v>1441</v>
      </c>
      <c r="E19" s="255"/>
      <c r="F19" s="255"/>
      <c r="G19" s="255"/>
      <c r="H19" s="220"/>
      <c r="I19" s="425" t="s">
        <v>1480</v>
      </c>
      <c r="J19" s="255"/>
      <c r="K19" s="255"/>
      <c r="L19" s="255"/>
      <c r="M19" s="220"/>
      <c r="N19" s="220"/>
      <c r="O19" s="222" t="s">
        <v>3158</v>
      </c>
    </row>
    <row r="20" spans="3:29" s="220" customFormat="1" ht="19.5" customHeight="1">
      <c r="C20" s="222"/>
      <c r="D20" s="256" t="s">
        <v>1363</v>
      </c>
      <c r="E20" s="1036" t="s">
        <v>201</v>
      </c>
      <c r="F20" s="1036"/>
      <c r="G20" s="257" t="s">
        <v>1370</v>
      </c>
      <c r="H20" s="222"/>
      <c r="I20" s="256" t="s">
        <v>158</v>
      </c>
      <c r="J20" s="1036" t="s">
        <v>201</v>
      </c>
      <c r="K20" s="1036"/>
      <c r="L20" s="258" t="s">
        <v>1370</v>
      </c>
      <c r="M20" s="222"/>
      <c r="N20" s="222"/>
      <c r="AB20" s="222"/>
      <c r="AC20" s="222"/>
    </row>
    <row r="21" spans="3:29" ht="15.75" customHeight="1">
      <c r="D21" s="1065" t="s">
        <v>2986</v>
      </c>
      <c r="E21" s="1076" t="s">
        <v>2990</v>
      </c>
      <c r="F21" s="1076"/>
      <c r="G21" s="370" t="s">
        <v>3140</v>
      </c>
      <c r="I21" s="1065" t="s">
        <v>3112</v>
      </c>
      <c r="J21" s="1063" t="s">
        <v>3011</v>
      </c>
      <c r="K21" s="1063"/>
      <c r="L21" s="410" t="s">
        <v>3224</v>
      </c>
      <c r="P21" s="222" t="s">
        <v>1582</v>
      </c>
    </row>
    <row r="22" spans="3:29" ht="15.75" customHeight="1">
      <c r="D22" s="1065"/>
      <c r="E22" s="1060" t="s">
        <v>3036</v>
      </c>
      <c r="F22" s="1060"/>
      <c r="G22" s="404" t="s">
        <v>1615</v>
      </c>
      <c r="I22" s="1065"/>
      <c r="J22" s="1080" t="s">
        <v>3035</v>
      </c>
      <c r="K22" s="1081"/>
      <c r="L22" s="410" t="s">
        <v>3168</v>
      </c>
      <c r="P22" s="222" t="s">
        <v>1583</v>
      </c>
    </row>
    <row r="23" spans="3:29" ht="15.75" customHeight="1">
      <c r="D23" s="1065"/>
      <c r="E23" s="1060" t="s">
        <v>2994</v>
      </c>
      <c r="F23" s="1060"/>
      <c r="G23" s="405" t="s">
        <v>3168</v>
      </c>
      <c r="I23" s="1065"/>
      <c r="J23" s="1078" t="s">
        <v>3041</v>
      </c>
      <c r="K23" s="1079"/>
      <c r="L23" s="259" t="s">
        <v>3225</v>
      </c>
    </row>
    <row r="24" spans="3:29" ht="15.75" customHeight="1">
      <c r="D24" s="1065"/>
      <c r="E24" s="1060" t="s">
        <v>2996</v>
      </c>
      <c r="F24" s="1060"/>
      <c r="G24" s="406" t="s">
        <v>1615</v>
      </c>
      <c r="I24" s="1065"/>
      <c r="J24" s="1078" t="s">
        <v>2996</v>
      </c>
      <c r="K24" s="1079"/>
      <c r="L24" s="410" t="s">
        <v>3169</v>
      </c>
      <c r="R24" s="222" t="s">
        <v>3129</v>
      </c>
    </row>
    <row r="25" spans="3:29" ht="15.75" customHeight="1">
      <c r="D25" s="1065"/>
      <c r="E25" s="1077" t="s">
        <v>2998</v>
      </c>
      <c r="F25" s="1077"/>
      <c r="G25" s="407" t="s">
        <v>3168</v>
      </c>
      <c r="I25" s="1065"/>
      <c r="J25" s="1085" t="s">
        <v>3126</v>
      </c>
      <c r="K25" s="1086"/>
      <c r="L25" s="373" t="s">
        <v>3224</v>
      </c>
      <c r="R25" s="222" t="s">
        <v>3130</v>
      </c>
    </row>
    <row r="26" spans="3:29" ht="15.75" customHeight="1">
      <c r="D26" s="1065" t="s">
        <v>2988</v>
      </c>
      <c r="E26" s="1076" t="s">
        <v>3000</v>
      </c>
      <c r="F26" s="1076"/>
      <c r="G26" s="408" t="s">
        <v>3168</v>
      </c>
      <c r="I26" s="1065" t="s">
        <v>1364</v>
      </c>
      <c r="J26" s="1087" t="s">
        <v>3000</v>
      </c>
      <c r="K26" s="1088"/>
      <c r="L26" s="407" t="s">
        <v>3168</v>
      </c>
      <c r="R26" s="222" t="s">
        <v>3131</v>
      </c>
    </row>
    <row r="27" spans="3:29" ht="15.75" customHeight="1">
      <c r="D27" s="1065"/>
      <c r="E27" s="1060" t="s">
        <v>2992</v>
      </c>
      <c r="F27" s="1060"/>
      <c r="G27" s="405" t="s">
        <v>1615</v>
      </c>
      <c r="I27" s="1065"/>
      <c r="J27" s="1078" t="s">
        <v>2992</v>
      </c>
      <c r="K27" s="1079"/>
      <c r="L27" s="410" t="s">
        <v>1615</v>
      </c>
      <c r="R27" s="222" t="s">
        <v>1616</v>
      </c>
    </row>
    <row r="28" spans="3:29" ht="15.75" customHeight="1">
      <c r="D28" s="1065"/>
      <c r="E28" s="1060" t="s">
        <v>3002</v>
      </c>
      <c r="F28" s="1060"/>
      <c r="G28" s="371" t="s">
        <v>1615</v>
      </c>
      <c r="I28" s="1065"/>
      <c r="J28" s="1078" t="s">
        <v>3060</v>
      </c>
      <c r="K28" s="1079"/>
      <c r="L28" s="410" t="s">
        <v>3168</v>
      </c>
      <c r="R28" s="222" t="s">
        <v>1615</v>
      </c>
    </row>
    <row r="29" spans="3:29" ht="15.75" customHeight="1">
      <c r="D29" s="1065"/>
      <c r="E29" s="1060" t="s">
        <v>3004</v>
      </c>
      <c r="F29" s="1060"/>
      <c r="G29" s="371" t="s">
        <v>1615</v>
      </c>
      <c r="I29" s="1065"/>
      <c r="J29" s="1078" t="s">
        <v>3127</v>
      </c>
      <c r="K29" s="1079"/>
      <c r="L29" s="372" t="s">
        <v>1615</v>
      </c>
    </row>
    <row r="30" spans="3:29" s="220" customFormat="1" ht="15.75" customHeight="1" thickBot="1">
      <c r="C30" s="222"/>
      <c r="D30" s="1066"/>
      <c r="E30" s="1064" t="s">
        <v>3006</v>
      </c>
      <c r="F30" s="1064"/>
      <c r="G30" s="409" t="s">
        <v>1615</v>
      </c>
      <c r="H30" s="222"/>
      <c r="I30" s="1066"/>
      <c r="J30" s="1083" t="s">
        <v>3030</v>
      </c>
      <c r="K30" s="1084"/>
      <c r="L30" s="409" t="s">
        <v>1615</v>
      </c>
      <c r="M30" s="222"/>
      <c r="N30" s="222"/>
      <c r="AB30" s="222"/>
      <c r="AC30" s="222"/>
    </row>
    <row r="31" spans="3:29" ht="8.25" customHeight="1"/>
    <row r="32" spans="3:29" ht="24" customHeight="1" thickBot="1">
      <c r="D32" s="1082" t="s">
        <v>3128</v>
      </c>
      <c r="E32" s="1082"/>
      <c r="F32" s="1082"/>
      <c r="G32" s="1082"/>
      <c r="H32" s="1082"/>
      <c r="I32" s="1082"/>
      <c r="J32" s="1082"/>
      <c r="K32" s="1082"/>
      <c r="L32" s="1082"/>
    </row>
    <row r="33" spans="3:29" s="23" customFormat="1" ht="19.5" customHeight="1" thickBot="1">
      <c r="C33" s="222"/>
      <c r="D33" s="222"/>
      <c r="E33" s="1036" t="s">
        <v>201</v>
      </c>
      <c r="F33" s="1036"/>
      <c r="G33" s="260" t="s">
        <v>180</v>
      </c>
      <c r="H33" s="222"/>
      <c r="I33" s="222"/>
      <c r="J33" s="1036" t="s">
        <v>201</v>
      </c>
      <c r="K33" s="1036"/>
      <c r="L33" s="260" t="s">
        <v>1359</v>
      </c>
      <c r="M33" s="222"/>
      <c r="N33" s="222"/>
      <c r="P33" s="222"/>
      <c r="Q33" s="222"/>
      <c r="R33" s="222"/>
      <c r="S33" s="222"/>
      <c r="T33" s="222"/>
      <c r="U33" s="222"/>
      <c r="V33" s="222"/>
      <c r="W33" s="222"/>
      <c r="X33" s="222"/>
      <c r="Y33" s="222"/>
      <c r="Z33" s="222"/>
      <c r="AA33" s="222"/>
      <c r="AB33" s="222"/>
      <c r="AC33" s="222"/>
    </row>
    <row r="34" spans="3:29" s="220" customFormat="1" ht="15.75" customHeight="1">
      <c r="D34" s="1073" t="s">
        <v>3007</v>
      </c>
      <c r="E34" s="1060" t="s">
        <v>3010</v>
      </c>
      <c r="F34" s="1060"/>
      <c r="G34" s="400" t="s">
        <v>3168</v>
      </c>
      <c r="I34" s="1073" t="s">
        <v>3008</v>
      </c>
      <c r="J34" s="1060" t="s">
        <v>3000</v>
      </c>
      <c r="K34" s="1060"/>
      <c r="L34" s="413" t="s">
        <v>3168</v>
      </c>
      <c r="P34" s="222"/>
      <c r="Q34" s="222"/>
      <c r="R34" s="222"/>
      <c r="S34" s="222"/>
      <c r="T34" s="222"/>
      <c r="U34" s="222"/>
      <c r="V34" s="222"/>
      <c r="W34" s="222"/>
      <c r="X34" s="222"/>
      <c r="Y34" s="222"/>
      <c r="Z34" s="222"/>
      <c r="AA34" s="222"/>
      <c r="AB34" s="222"/>
      <c r="AC34" s="222"/>
    </row>
    <row r="35" spans="3:29" s="220" customFormat="1" ht="15.75" customHeight="1">
      <c r="D35" s="1074"/>
      <c r="E35" s="1063" t="s">
        <v>3011</v>
      </c>
      <c r="F35" s="1063"/>
      <c r="G35" s="411" t="s">
        <v>1615</v>
      </c>
      <c r="I35" s="1074"/>
      <c r="J35" s="1060" t="s">
        <v>3021</v>
      </c>
      <c r="K35" s="1060"/>
      <c r="L35" s="401" t="s">
        <v>1615</v>
      </c>
      <c r="P35" s="222"/>
      <c r="Q35" s="222"/>
      <c r="R35" s="222"/>
      <c r="S35" s="222"/>
      <c r="T35" s="222"/>
      <c r="U35" s="222"/>
      <c r="V35" s="222"/>
      <c r="W35" s="222"/>
      <c r="X35" s="222"/>
      <c r="Y35" s="222"/>
      <c r="Z35" s="222"/>
      <c r="AA35" s="222"/>
      <c r="AB35" s="222"/>
      <c r="AC35" s="222"/>
    </row>
    <row r="36" spans="3:29" s="220" customFormat="1" ht="15.75" customHeight="1">
      <c r="D36" s="1074"/>
      <c r="E36" s="1060" t="s">
        <v>2994</v>
      </c>
      <c r="F36" s="1060"/>
      <c r="G36" s="411" t="s">
        <v>3131</v>
      </c>
      <c r="I36" s="1074"/>
      <c r="J36" s="1060" t="s">
        <v>3006</v>
      </c>
      <c r="K36" s="1060"/>
      <c r="L36" s="411" t="s">
        <v>3131</v>
      </c>
      <c r="P36" s="222"/>
      <c r="Q36" s="222"/>
      <c r="R36" s="222"/>
      <c r="S36" s="222"/>
      <c r="T36" s="222"/>
      <c r="U36" s="222"/>
      <c r="V36" s="222"/>
      <c r="W36" s="222"/>
      <c r="X36" s="222"/>
      <c r="Y36" s="222"/>
      <c r="Z36" s="222"/>
      <c r="AA36" s="222"/>
      <c r="AB36" s="222"/>
      <c r="AC36" s="222"/>
    </row>
    <row r="37" spans="3:29" s="220" customFormat="1" ht="15.75" customHeight="1">
      <c r="D37" s="1074"/>
      <c r="E37" s="1060" t="s">
        <v>3012</v>
      </c>
      <c r="F37" s="1060"/>
      <c r="G37" s="401" t="s">
        <v>1615</v>
      </c>
      <c r="I37" s="1074"/>
      <c r="J37" s="1060" t="s">
        <v>3022</v>
      </c>
      <c r="K37" s="1060"/>
      <c r="L37" s="401" t="s">
        <v>1615</v>
      </c>
      <c r="P37" s="222"/>
      <c r="Q37" s="222"/>
      <c r="R37" s="222"/>
      <c r="S37" s="222"/>
      <c r="T37" s="222"/>
      <c r="U37" s="222"/>
      <c r="V37" s="222"/>
      <c r="W37" s="222"/>
      <c r="X37" s="222"/>
      <c r="Y37" s="222"/>
      <c r="Z37" s="222"/>
      <c r="AA37" s="222"/>
      <c r="AB37" s="222"/>
      <c r="AC37" s="222"/>
    </row>
    <row r="38" spans="3:29" s="220" customFormat="1" ht="15.75" customHeight="1">
      <c r="D38" s="1074"/>
      <c r="E38" s="1060" t="s">
        <v>3040</v>
      </c>
      <c r="F38" s="1060"/>
      <c r="G38" s="401" t="s">
        <v>3131</v>
      </c>
      <c r="I38" s="1074"/>
      <c r="J38" s="1060" t="s">
        <v>2992</v>
      </c>
      <c r="K38" s="1060"/>
      <c r="L38" s="411" t="s">
        <v>1615</v>
      </c>
      <c r="P38" s="222"/>
      <c r="Q38" s="222"/>
      <c r="R38" s="222"/>
      <c r="S38" s="222"/>
      <c r="T38" s="222"/>
      <c r="U38" s="222"/>
      <c r="V38" s="222"/>
      <c r="W38" s="222"/>
      <c r="X38" s="222"/>
      <c r="Y38" s="222"/>
      <c r="Z38" s="222"/>
      <c r="AA38" s="222"/>
      <c r="AB38" s="222"/>
      <c r="AC38" s="222"/>
    </row>
    <row r="39" spans="3:29" s="220" customFormat="1" ht="15.75" customHeight="1">
      <c r="D39" s="1074"/>
      <c r="E39" s="1060" t="s">
        <v>3013</v>
      </c>
      <c r="F39" s="1060"/>
      <c r="G39" s="401" t="s">
        <v>3169</v>
      </c>
      <c r="I39" s="1074"/>
      <c r="J39" s="1060" t="s">
        <v>3024</v>
      </c>
      <c r="K39" s="1060"/>
      <c r="L39" s="401" t="s">
        <v>3131</v>
      </c>
      <c r="P39" s="222"/>
      <c r="Q39" s="222"/>
      <c r="R39" s="222"/>
      <c r="S39" s="222"/>
      <c r="T39" s="222"/>
      <c r="U39" s="222"/>
      <c r="V39" s="222"/>
      <c r="W39" s="222"/>
      <c r="X39" s="222"/>
      <c r="Y39" s="222"/>
      <c r="Z39" s="222"/>
      <c r="AA39" s="222"/>
      <c r="AB39" s="222"/>
      <c r="AC39" s="222"/>
    </row>
    <row r="40" spans="3:29" s="220" customFormat="1" ht="15.75" customHeight="1">
      <c r="D40" s="1074"/>
      <c r="E40" s="1060" t="s">
        <v>3015</v>
      </c>
      <c r="F40" s="1060"/>
      <c r="G40" s="401" t="s">
        <v>3131</v>
      </c>
      <c r="I40" s="1074"/>
      <c r="J40" s="1060" t="s">
        <v>3026</v>
      </c>
      <c r="K40" s="1060"/>
      <c r="L40" s="401" t="s">
        <v>1615</v>
      </c>
      <c r="P40" s="222"/>
      <c r="Q40" s="222"/>
      <c r="R40" s="222"/>
      <c r="S40" s="222"/>
      <c r="T40" s="222"/>
      <c r="U40" s="222"/>
      <c r="V40" s="222"/>
      <c r="W40" s="222"/>
      <c r="X40" s="222"/>
      <c r="Y40" s="222"/>
      <c r="Z40" s="222"/>
      <c r="AA40" s="222"/>
      <c r="AB40" s="222"/>
      <c r="AC40" s="222"/>
    </row>
    <row r="41" spans="3:29" s="220" customFormat="1" ht="15.75" customHeight="1">
      <c r="D41" s="1074"/>
      <c r="E41" s="1060" t="s">
        <v>2996</v>
      </c>
      <c r="F41" s="1060"/>
      <c r="G41" s="411" t="s">
        <v>1615</v>
      </c>
      <c r="I41" s="1074"/>
      <c r="J41" s="1060" t="s">
        <v>3027</v>
      </c>
      <c r="K41" s="1060"/>
      <c r="L41" s="401" t="s">
        <v>1615</v>
      </c>
      <c r="P41" s="222"/>
      <c r="Q41" s="222"/>
      <c r="R41" s="222"/>
      <c r="S41" s="222"/>
      <c r="T41" s="222"/>
      <c r="U41" s="222"/>
      <c r="V41" s="222"/>
      <c r="W41" s="222"/>
      <c r="X41" s="222"/>
      <c r="Y41" s="222"/>
      <c r="Z41" s="222"/>
      <c r="AA41" s="222"/>
      <c r="AB41" s="222"/>
      <c r="AC41" s="222"/>
    </row>
    <row r="42" spans="3:29" s="220" customFormat="1" ht="15.75" customHeight="1">
      <c r="D42" s="1074"/>
      <c r="E42" s="1060" t="s">
        <v>2998</v>
      </c>
      <c r="F42" s="1060"/>
      <c r="G42" s="411" t="s">
        <v>3131</v>
      </c>
      <c r="I42" s="1074"/>
      <c r="J42" s="1060" t="s">
        <v>3029</v>
      </c>
      <c r="K42" s="1060"/>
      <c r="L42" s="401" t="s">
        <v>3131</v>
      </c>
      <c r="P42" s="222"/>
      <c r="Q42" s="222"/>
      <c r="R42" s="222"/>
      <c r="S42" s="222"/>
      <c r="T42" s="222"/>
      <c r="U42" s="222"/>
      <c r="V42" s="222"/>
      <c r="W42" s="222"/>
      <c r="X42" s="222"/>
      <c r="Y42" s="222"/>
      <c r="Z42" s="222"/>
      <c r="AA42" s="222"/>
      <c r="AB42" s="222"/>
      <c r="AC42" s="222"/>
    </row>
    <row r="43" spans="3:29" s="220" customFormat="1" ht="15.75" customHeight="1">
      <c r="D43" s="1074"/>
      <c r="E43" s="1060" t="s">
        <v>3017</v>
      </c>
      <c r="F43" s="1060"/>
      <c r="G43" s="401" t="s">
        <v>3169</v>
      </c>
      <c r="I43" s="1074"/>
      <c r="J43" s="1060" t="s">
        <v>3060</v>
      </c>
      <c r="K43" s="1060"/>
      <c r="L43" s="411" t="s">
        <v>1615</v>
      </c>
      <c r="P43" s="222"/>
      <c r="Q43" s="222"/>
      <c r="R43" s="222"/>
      <c r="S43" s="222"/>
      <c r="T43" s="222"/>
      <c r="U43" s="222"/>
      <c r="V43" s="222"/>
      <c r="W43" s="222"/>
      <c r="X43" s="222"/>
      <c r="Y43" s="222"/>
      <c r="Z43" s="222"/>
      <c r="AA43" s="222"/>
      <c r="AB43" s="222"/>
      <c r="AC43" s="222"/>
    </row>
    <row r="44" spans="3:29" s="220" customFormat="1" ht="15.75" customHeight="1">
      <c r="D44" s="1074"/>
      <c r="E44" s="1095" t="s">
        <v>3019</v>
      </c>
      <c r="F44" s="1095"/>
      <c r="G44" s="402" t="s">
        <v>3131</v>
      </c>
      <c r="I44" s="1074"/>
      <c r="J44" s="1069" t="s">
        <v>3030</v>
      </c>
      <c r="K44" s="1060"/>
      <c r="L44" s="411" t="s">
        <v>3131</v>
      </c>
      <c r="P44" s="222"/>
      <c r="Q44" s="222"/>
      <c r="R44" s="222"/>
      <c r="S44" s="222"/>
      <c r="T44" s="222"/>
      <c r="U44" s="222"/>
      <c r="V44" s="222"/>
      <c r="W44" s="222"/>
      <c r="X44" s="222"/>
      <c r="Y44" s="222"/>
      <c r="Z44" s="222"/>
      <c r="AA44" s="222"/>
      <c r="AB44" s="222"/>
      <c r="AC44" s="222"/>
    </row>
    <row r="45" spans="3:29" s="220" customFormat="1" ht="15.75" customHeight="1" thickBot="1">
      <c r="D45" s="1075"/>
      <c r="E45" s="1061" t="s">
        <v>3035</v>
      </c>
      <c r="F45" s="1062"/>
      <c r="G45" s="412" t="s">
        <v>1615</v>
      </c>
      <c r="I45" s="1075"/>
      <c r="J45" s="1067" t="s">
        <v>3031</v>
      </c>
      <c r="K45" s="1068"/>
      <c r="L45" s="403" t="s">
        <v>1615</v>
      </c>
      <c r="P45" s="222"/>
      <c r="Q45" s="222"/>
      <c r="R45" s="222"/>
      <c r="S45" s="222"/>
      <c r="T45" s="222"/>
      <c r="U45" s="222"/>
      <c r="V45" s="222"/>
      <c r="W45" s="222"/>
      <c r="X45" s="222"/>
      <c r="Y45" s="222"/>
      <c r="Z45" s="222"/>
      <c r="AA45" s="222"/>
      <c r="AB45" s="222"/>
    </row>
    <row r="46" spans="3:29" s="422" customFormat="1" ht="15.75" customHeight="1">
      <c r="D46" s="423"/>
      <c r="E46" s="424"/>
      <c r="F46" s="424"/>
      <c r="G46" s="421"/>
      <c r="I46" s="423"/>
      <c r="J46" s="424"/>
      <c r="K46" s="424"/>
      <c r="L46" s="421"/>
      <c r="P46" s="518"/>
      <c r="Q46" s="518"/>
      <c r="R46" s="518"/>
      <c r="S46" s="518"/>
      <c r="T46" s="518"/>
      <c r="U46" s="518"/>
      <c r="V46" s="518"/>
      <c r="W46" s="518"/>
      <c r="X46" s="518"/>
      <c r="Y46" s="518"/>
      <c r="Z46" s="518"/>
      <c r="AA46" s="518"/>
      <c r="AB46" s="518"/>
    </row>
    <row r="47" spans="3:29" s="422" customFormat="1" ht="15.75" customHeight="1" thickBot="1">
      <c r="D47" s="1033" t="s">
        <v>3145</v>
      </c>
      <c r="E47" s="1034"/>
      <c r="F47" s="1034"/>
      <c r="G47" s="1034"/>
      <c r="H47" s="1034"/>
      <c r="I47" s="1034"/>
      <c r="J47" s="1034"/>
      <c r="K47" s="1034"/>
      <c r="L47" s="1035"/>
      <c r="P47" s="518"/>
      <c r="Q47" s="518"/>
      <c r="R47" s="518"/>
      <c r="S47" s="518"/>
      <c r="T47" s="518"/>
      <c r="U47" s="518"/>
      <c r="V47" s="518"/>
      <c r="W47" s="518"/>
      <c r="X47" s="518"/>
      <c r="Y47" s="518"/>
      <c r="Z47" s="518"/>
      <c r="AA47" s="518"/>
      <c r="AB47" s="518"/>
    </row>
    <row r="48" spans="3:29" s="422" customFormat="1" ht="15.75" customHeight="1" thickBot="1">
      <c r="D48" s="488"/>
      <c r="E48" s="1036" t="s">
        <v>201</v>
      </c>
      <c r="F48" s="1036"/>
      <c r="G48" s="426" t="s">
        <v>180</v>
      </c>
      <c r="H48" s="489"/>
      <c r="I48" s="489"/>
      <c r="J48" s="1036" t="s">
        <v>201</v>
      </c>
      <c r="K48" s="1036"/>
      <c r="L48" s="426" t="s">
        <v>180</v>
      </c>
      <c r="P48" s="518"/>
      <c r="Q48" s="518"/>
      <c r="R48" s="518"/>
      <c r="S48" s="518"/>
      <c r="T48" s="518"/>
      <c r="U48" s="518"/>
      <c r="V48" s="518"/>
      <c r="W48" s="518"/>
      <c r="X48" s="518"/>
      <c r="Y48" s="518"/>
      <c r="Z48" s="518"/>
      <c r="AA48" s="518"/>
      <c r="AB48" s="518"/>
    </row>
    <row r="49" spans="3:28" s="422" customFormat="1" ht="15.75" customHeight="1">
      <c r="D49" s="1037" t="s">
        <v>3017</v>
      </c>
      <c r="E49" s="1027" t="s">
        <v>3146</v>
      </c>
      <c r="F49" s="1028"/>
      <c r="G49" s="490" t="s">
        <v>3169</v>
      </c>
      <c r="H49" s="489"/>
      <c r="I49" s="1037" t="s">
        <v>3155</v>
      </c>
      <c r="J49" s="1027" t="s">
        <v>3150</v>
      </c>
      <c r="K49" s="1028"/>
      <c r="L49" s="491" t="s">
        <v>3225</v>
      </c>
      <c r="P49" s="518"/>
      <c r="Q49" s="518"/>
      <c r="R49" s="518"/>
      <c r="S49" s="518"/>
      <c r="T49" s="518"/>
      <c r="U49" s="518"/>
      <c r="V49" s="518"/>
      <c r="W49" s="518"/>
      <c r="X49" s="518"/>
      <c r="Y49" s="518"/>
      <c r="Z49" s="518"/>
      <c r="AA49" s="518"/>
      <c r="AB49" s="518"/>
    </row>
    <row r="50" spans="3:28" s="422" customFormat="1" ht="15.75" customHeight="1" thickBot="1">
      <c r="D50" s="1038"/>
      <c r="E50" s="1039" t="s">
        <v>3147</v>
      </c>
      <c r="F50" s="1040"/>
      <c r="G50" s="492" t="s">
        <v>3224</v>
      </c>
      <c r="H50" s="489"/>
      <c r="I50" s="1038"/>
      <c r="J50" s="1029" t="s">
        <v>3151</v>
      </c>
      <c r="K50" s="1030"/>
      <c r="L50" s="492" t="s">
        <v>3168</v>
      </c>
      <c r="P50" s="518"/>
      <c r="Q50" s="518"/>
      <c r="R50" s="518"/>
      <c r="S50" s="518"/>
      <c r="T50" s="518"/>
      <c r="U50" s="518"/>
      <c r="V50" s="518"/>
      <c r="W50" s="518"/>
      <c r="X50" s="518"/>
      <c r="Y50" s="518"/>
      <c r="Z50" s="518"/>
      <c r="AA50" s="518"/>
      <c r="AB50" s="518"/>
    </row>
    <row r="51" spans="3:28" s="422" customFormat="1" ht="15.75" customHeight="1">
      <c r="D51" s="1025" t="s">
        <v>3154</v>
      </c>
      <c r="E51" s="1027" t="s">
        <v>3148</v>
      </c>
      <c r="F51" s="1028"/>
      <c r="G51" s="492" t="s">
        <v>3225</v>
      </c>
      <c r="H51" s="489"/>
      <c r="I51" s="1025" t="s">
        <v>3156</v>
      </c>
      <c r="J51" s="1029" t="s">
        <v>3152</v>
      </c>
      <c r="K51" s="1030"/>
      <c r="L51" s="493" t="s">
        <v>3224</v>
      </c>
      <c r="P51" s="518"/>
      <c r="Q51" s="518"/>
      <c r="R51" s="518"/>
      <c r="S51" s="518"/>
      <c r="T51" s="518"/>
      <c r="U51" s="518"/>
      <c r="V51" s="518"/>
      <c r="W51" s="518"/>
      <c r="X51" s="518"/>
      <c r="Y51" s="518"/>
      <c r="Z51" s="518"/>
      <c r="AA51" s="518"/>
      <c r="AB51" s="518"/>
    </row>
    <row r="52" spans="3:28" s="422" customFormat="1" ht="15.75" customHeight="1" thickBot="1">
      <c r="D52" s="1026"/>
      <c r="E52" s="1031" t="s">
        <v>3149</v>
      </c>
      <c r="F52" s="1032"/>
      <c r="G52" s="494" t="s">
        <v>3168</v>
      </c>
      <c r="H52" s="495"/>
      <c r="I52" s="1026"/>
      <c r="J52" s="1031" t="s">
        <v>3153</v>
      </c>
      <c r="K52" s="1032"/>
      <c r="L52" s="496" t="s">
        <v>3169</v>
      </c>
      <c r="P52" s="518"/>
      <c r="Q52" s="518"/>
      <c r="R52" s="518"/>
      <c r="S52" s="518"/>
      <c r="T52" s="518"/>
      <c r="U52" s="518"/>
      <c r="V52" s="518"/>
      <c r="W52" s="518"/>
      <c r="X52" s="518"/>
      <c r="Y52" s="518"/>
      <c r="Z52" s="518"/>
      <c r="AA52" s="518"/>
      <c r="AB52" s="518"/>
    </row>
    <row r="53" spans="3:28" s="422" customFormat="1" ht="15.75" customHeight="1">
      <c r="D53" s="423"/>
      <c r="E53" s="424"/>
      <c r="F53" s="424"/>
      <c r="G53" s="421"/>
      <c r="I53" s="423"/>
      <c r="J53" s="424"/>
      <c r="K53" s="424"/>
      <c r="L53" s="421"/>
      <c r="P53" s="518"/>
      <c r="Q53" s="518"/>
      <c r="R53" s="518"/>
      <c r="S53" s="518"/>
      <c r="T53" s="518"/>
      <c r="U53" s="518"/>
      <c r="V53" s="518"/>
      <c r="W53" s="518"/>
      <c r="X53" s="518"/>
      <c r="Y53" s="518"/>
      <c r="Z53" s="518"/>
      <c r="AA53" s="518"/>
      <c r="AB53" s="518"/>
    </row>
    <row r="54" spans="3:28" s="422" customFormat="1" ht="15.75" customHeight="1">
      <c r="C54" s="225" t="s">
        <v>3223</v>
      </c>
      <c r="D54" s="519"/>
      <c r="E54" s="519"/>
      <c r="F54" s="519"/>
      <c r="G54" s="519"/>
      <c r="H54" s="519"/>
      <c r="I54" s="519"/>
      <c r="J54" s="424"/>
      <c r="K54" s="424"/>
      <c r="L54" s="421"/>
      <c r="P54" s="518"/>
      <c r="Q54" s="518"/>
      <c r="R54" s="518"/>
      <c r="S54" s="518"/>
      <c r="T54" s="518"/>
      <c r="U54" s="518"/>
      <c r="V54" s="518"/>
      <c r="W54" s="518"/>
      <c r="X54" s="518"/>
      <c r="Y54" s="518"/>
      <c r="Z54" s="518"/>
      <c r="AA54" s="518"/>
      <c r="AB54" s="518"/>
    </row>
    <row r="55" spans="3:28" s="422" customFormat="1" ht="19.5" customHeight="1">
      <c r="D55" s="1098" t="s">
        <v>3208</v>
      </c>
      <c r="E55" s="1098"/>
      <c r="F55" s="520" t="s">
        <v>3211</v>
      </c>
      <c r="G55" s="1099" t="s">
        <v>3209</v>
      </c>
      <c r="H55" s="1099"/>
      <c r="I55" s="1099"/>
      <c r="J55" s="483" t="s">
        <v>3212</v>
      </c>
      <c r="K55" s="483" t="s">
        <v>3095</v>
      </c>
      <c r="L55" s="484" t="s">
        <v>3213</v>
      </c>
      <c r="P55" s="518"/>
      <c r="Q55" s="518"/>
      <c r="R55" s="518"/>
      <c r="S55" s="518"/>
      <c r="T55" s="518"/>
      <c r="U55" s="518"/>
      <c r="V55" s="518"/>
      <c r="W55" s="518"/>
      <c r="X55" s="518"/>
      <c r="Y55" s="518"/>
      <c r="Z55" s="518"/>
      <c r="AA55" s="518"/>
      <c r="AB55" s="518"/>
    </row>
    <row r="56" spans="3:28" s="422" customFormat="1" ht="15.75" customHeight="1">
      <c r="D56" s="1045" t="s">
        <v>3210</v>
      </c>
      <c r="E56" s="1045"/>
      <c r="F56" s="1046">
        <v>0.6</v>
      </c>
      <c r="G56" s="1041" t="s">
        <v>3214</v>
      </c>
      <c r="H56" s="1041"/>
      <c r="I56" s="1041"/>
      <c r="J56" s="482">
        <v>0.25</v>
      </c>
      <c r="K56" s="481" t="s">
        <v>3216</v>
      </c>
      <c r="L56" s="486">
        <f>$F$56*J56</f>
        <v>0.15</v>
      </c>
      <c r="P56" s="518"/>
      <c r="Q56" s="518"/>
      <c r="R56" s="518"/>
      <c r="S56" s="518"/>
      <c r="T56" s="518"/>
      <c r="U56" s="518"/>
      <c r="V56" s="518"/>
      <c r="W56" s="518"/>
      <c r="X56" s="518"/>
      <c r="Y56" s="518"/>
      <c r="Z56" s="518"/>
      <c r="AA56" s="518"/>
      <c r="AB56" s="518"/>
    </row>
    <row r="57" spans="3:28" s="422" customFormat="1" ht="15.75" customHeight="1">
      <c r="D57" s="1045"/>
      <c r="E57" s="1045"/>
      <c r="F57" s="1046"/>
      <c r="G57" s="1041" t="s">
        <v>3051</v>
      </c>
      <c r="H57" s="1041"/>
      <c r="I57" s="1041"/>
      <c r="J57" s="482">
        <v>0</v>
      </c>
      <c r="K57" s="481" t="s">
        <v>3058</v>
      </c>
      <c r="L57" s="486">
        <f t="shared" ref="L57:L59" si="0">$F$56*J57</f>
        <v>0</v>
      </c>
      <c r="P57" s="518"/>
      <c r="Q57" s="518"/>
      <c r="R57" s="518"/>
      <c r="S57" s="518"/>
      <c r="T57" s="518"/>
      <c r="U57" s="518"/>
      <c r="V57" s="518"/>
      <c r="W57" s="518"/>
      <c r="X57" s="518"/>
      <c r="Y57" s="518"/>
      <c r="Z57" s="518"/>
      <c r="AA57" s="518"/>
      <c r="AB57" s="518"/>
    </row>
    <row r="58" spans="3:28" s="422" customFormat="1" ht="15.75" customHeight="1">
      <c r="D58" s="1045"/>
      <c r="E58" s="1045"/>
      <c r="F58" s="1046"/>
      <c r="G58" s="1041" t="s">
        <v>3215</v>
      </c>
      <c r="H58" s="1041"/>
      <c r="I58" s="1041"/>
      <c r="J58" s="482">
        <v>0</v>
      </c>
      <c r="K58" s="481" t="s">
        <v>3058</v>
      </c>
      <c r="L58" s="486">
        <f t="shared" si="0"/>
        <v>0</v>
      </c>
      <c r="P58" s="518"/>
      <c r="Q58" s="518"/>
      <c r="R58" s="518"/>
      <c r="S58" s="518"/>
      <c r="T58" s="518"/>
      <c r="U58" s="518"/>
      <c r="V58" s="518"/>
      <c r="W58" s="518"/>
      <c r="X58" s="518"/>
      <c r="Y58" s="518"/>
      <c r="Z58" s="518"/>
      <c r="AA58" s="518"/>
      <c r="AB58" s="518"/>
    </row>
    <row r="59" spans="3:28" s="422" customFormat="1" ht="15.75" customHeight="1">
      <c r="D59" s="1045"/>
      <c r="E59" s="1045"/>
      <c r="F59" s="1046"/>
      <c r="G59" s="1041"/>
      <c r="H59" s="1041"/>
      <c r="I59" s="1041"/>
      <c r="J59" s="482">
        <v>0.25</v>
      </c>
      <c r="K59" s="481" t="s">
        <v>3216</v>
      </c>
      <c r="L59" s="486">
        <f t="shared" si="0"/>
        <v>0.15</v>
      </c>
      <c r="P59" s="518"/>
      <c r="Q59" s="518"/>
      <c r="R59" s="518"/>
      <c r="S59" s="518"/>
      <c r="T59" s="518"/>
      <c r="U59" s="518"/>
      <c r="V59" s="518"/>
      <c r="W59" s="518"/>
      <c r="X59" s="518"/>
      <c r="Y59" s="518"/>
      <c r="Z59" s="518"/>
      <c r="AA59" s="518"/>
      <c r="AB59" s="518"/>
    </row>
    <row r="60" spans="3:28" s="422" customFormat="1" ht="15.75" customHeight="1">
      <c r="D60" s="1042" t="s">
        <v>3217</v>
      </c>
      <c r="E60" s="1043"/>
      <c r="F60" s="1043"/>
      <c r="G60" s="1043"/>
      <c r="H60" s="1043"/>
      <c r="I60" s="1043"/>
      <c r="J60" s="1043"/>
      <c r="K60" s="1044"/>
      <c r="L60" s="487">
        <f>SUM(L56:L59)</f>
        <v>0.3</v>
      </c>
      <c r="P60" s="518"/>
      <c r="Q60" s="518"/>
      <c r="R60" s="518"/>
      <c r="S60" s="518"/>
      <c r="T60" s="518"/>
      <c r="U60" s="518"/>
      <c r="V60" s="518"/>
      <c r="W60" s="518"/>
      <c r="X60" s="518"/>
      <c r="Y60" s="518"/>
      <c r="Z60" s="518"/>
      <c r="AA60" s="518"/>
      <c r="AB60" s="518"/>
    </row>
    <row r="61" spans="3:28" s="422" customFormat="1" ht="15.75" customHeight="1">
      <c r="D61" s="1045" t="s">
        <v>3219</v>
      </c>
      <c r="E61" s="1045"/>
      <c r="F61" s="1046">
        <v>0.3</v>
      </c>
      <c r="G61" s="1041" t="s">
        <v>3052</v>
      </c>
      <c r="H61" s="1041"/>
      <c r="I61" s="1041"/>
      <c r="J61" s="482">
        <v>0.15</v>
      </c>
      <c r="K61" s="481" t="s">
        <v>3216</v>
      </c>
      <c r="L61" s="486">
        <f>$F$61*J61</f>
        <v>4.4999999999999998E-2</v>
      </c>
      <c r="P61" s="518"/>
      <c r="Q61" s="518"/>
      <c r="R61" s="518"/>
      <c r="S61" s="518"/>
      <c r="T61" s="518"/>
      <c r="U61" s="518"/>
      <c r="V61" s="518"/>
      <c r="W61" s="518"/>
      <c r="X61" s="518"/>
      <c r="Y61" s="518"/>
      <c r="Z61" s="518"/>
      <c r="AA61" s="518"/>
      <c r="AB61" s="518"/>
    </row>
    <row r="62" spans="3:28" s="422" customFormat="1" ht="15.75" customHeight="1">
      <c r="D62" s="1045"/>
      <c r="E62" s="1045"/>
      <c r="F62" s="1046"/>
      <c r="G62" s="1041" t="s">
        <v>3053</v>
      </c>
      <c r="H62" s="1041"/>
      <c r="I62" s="1041"/>
      <c r="J62" s="482">
        <v>0</v>
      </c>
      <c r="K62" s="481" t="s">
        <v>3058</v>
      </c>
      <c r="L62" s="486">
        <f t="shared" ref="L62:L63" si="1">$F$56*J62</f>
        <v>0</v>
      </c>
      <c r="P62" s="518"/>
      <c r="Q62" s="518"/>
      <c r="R62" s="518"/>
      <c r="S62" s="518"/>
      <c r="T62" s="518"/>
      <c r="U62" s="518"/>
      <c r="V62" s="518"/>
      <c r="W62" s="518"/>
      <c r="X62" s="518"/>
      <c r="Y62" s="518"/>
      <c r="Z62" s="518"/>
      <c r="AA62" s="518"/>
      <c r="AB62" s="518"/>
    </row>
    <row r="63" spans="3:28" s="422" customFormat="1" ht="15.75" customHeight="1">
      <c r="D63" s="1045"/>
      <c r="E63" s="1045"/>
      <c r="F63" s="1046"/>
      <c r="G63" s="1041" t="s">
        <v>3056</v>
      </c>
      <c r="H63" s="1041"/>
      <c r="I63" s="1041"/>
      <c r="J63" s="482">
        <v>0</v>
      </c>
      <c r="K63" s="481" t="s">
        <v>3058</v>
      </c>
      <c r="L63" s="486">
        <f t="shared" si="1"/>
        <v>0</v>
      </c>
      <c r="P63" s="518"/>
      <c r="Q63" s="518"/>
      <c r="R63" s="518"/>
      <c r="S63" s="518"/>
      <c r="T63" s="518"/>
      <c r="U63" s="518"/>
      <c r="V63" s="518"/>
      <c r="W63" s="518"/>
      <c r="X63" s="518"/>
      <c r="Y63" s="518"/>
      <c r="Z63" s="518"/>
      <c r="AA63" s="518"/>
      <c r="AB63" s="518"/>
    </row>
    <row r="64" spans="3:28" s="422" customFormat="1" ht="15.75" customHeight="1">
      <c r="D64" s="1045"/>
      <c r="E64" s="1045"/>
      <c r="F64" s="1046"/>
      <c r="G64" s="1041"/>
      <c r="H64" s="1041"/>
      <c r="I64" s="1041"/>
      <c r="J64" s="482">
        <v>0.35</v>
      </c>
      <c r="K64" s="481" t="s">
        <v>3216</v>
      </c>
      <c r="L64" s="486">
        <f>$F$61*J64</f>
        <v>0.105</v>
      </c>
      <c r="P64" s="518"/>
      <c r="Q64" s="518"/>
      <c r="R64" s="518"/>
      <c r="S64" s="518"/>
      <c r="T64" s="518"/>
      <c r="U64" s="518"/>
      <c r="V64" s="518"/>
      <c r="W64" s="518"/>
      <c r="X64" s="518"/>
      <c r="Y64" s="518"/>
      <c r="Z64" s="518"/>
      <c r="AA64" s="518"/>
      <c r="AB64" s="518"/>
    </row>
    <row r="65" spans="3:28" s="422" customFormat="1" ht="15.75" customHeight="1">
      <c r="D65" s="1042" t="s">
        <v>3218</v>
      </c>
      <c r="E65" s="1043"/>
      <c r="F65" s="1043"/>
      <c r="G65" s="1043"/>
      <c r="H65" s="1043"/>
      <c r="I65" s="1043"/>
      <c r="J65" s="1043"/>
      <c r="K65" s="1044"/>
      <c r="L65" s="487">
        <f>SUM(L61:L64)</f>
        <v>0.15</v>
      </c>
      <c r="P65" s="518"/>
      <c r="Q65" s="518"/>
      <c r="R65" s="518"/>
      <c r="S65" s="518"/>
      <c r="T65" s="518"/>
      <c r="U65" s="518"/>
      <c r="V65" s="518"/>
      <c r="W65" s="518"/>
      <c r="X65" s="518"/>
      <c r="Y65" s="518"/>
      <c r="Z65" s="518"/>
      <c r="AA65" s="518"/>
      <c r="AB65" s="518"/>
    </row>
    <row r="66" spans="3:28" s="422" customFormat="1" ht="15.75" customHeight="1">
      <c r="D66" s="1045" t="s">
        <v>3220</v>
      </c>
      <c r="E66" s="1045"/>
      <c r="F66" s="1046">
        <v>0.1</v>
      </c>
      <c r="G66" s="1041" t="s">
        <v>3055</v>
      </c>
      <c r="H66" s="1041"/>
      <c r="I66" s="1041"/>
      <c r="J66" s="482">
        <v>0</v>
      </c>
      <c r="K66" s="481" t="s">
        <v>3216</v>
      </c>
      <c r="L66" s="486">
        <f>$F$66*J66</f>
        <v>0</v>
      </c>
      <c r="P66" s="518"/>
      <c r="Q66" s="518"/>
      <c r="R66" s="518"/>
      <c r="S66" s="518"/>
      <c r="T66" s="518"/>
      <c r="U66" s="518"/>
      <c r="V66" s="518"/>
      <c r="W66" s="518"/>
      <c r="X66" s="518"/>
      <c r="Y66" s="518"/>
      <c r="Z66" s="518"/>
      <c r="AA66" s="518"/>
      <c r="AB66" s="518"/>
    </row>
    <row r="67" spans="3:28" s="422" customFormat="1" ht="15.75" customHeight="1">
      <c r="D67" s="1045"/>
      <c r="E67" s="1045"/>
      <c r="F67" s="1046"/>
      <c r="G67" s="1041" t="s">
        <v>3057</v>
      </c>
      <c r="H67" s="1041"/>
      <c r="I67" s="1041"/>
      <c r="J67" s="482">
        <v>0</v>
      </c>
      <c r="K67" s="481" t="s">
        <v>3058</v>
      </c>
      <c r="L67" s="486">
        <f t="shared" ref="L67:L69" si="2">$F$66*J67</f>
        <v>0</v>
      </c>
      <c r="P67" s="518"/>
      <c r="Q67" s="518"/>
      <c r="R67" s="518"/>
      <c r="S67" s="518"/>
      <c r="T67" s="518"/>
      <c r="U67" s="518"/>
      <c r="V67" s="518"/>
      <c r="W67" s="518"/>
      <c r="X67" s="518"/>
      <c r="Y67" s="518"/>
      <c r="Z67" s="518"/>
      <c r="AA67" s="518"/>
      <c r="AB67" s="518"/>
    </row>
    <row r="68" spans="3:28" s="422" customFormat="1" ht="15.75" customHeight="1">
      <c r="D68" s="1045"/>
      <c r="E68" s="1045"/>
      <c r="F68" s="1046"/>
      <c r="G68" s="1041" t="s">
        <v>3054</v>
      </c>
      <c r="H68" s="1041"/>
      <c r="I68" s="1041"/>
      <c r="J68" s="482">
        <v>0</v>
      </c>
      <c r="K68" s="481" t="s">
        <v>3058</v>
      </c>
      <c r="L68" s="486">
        <f t="shared" si="2"/>
        <v>0</v>
      </c>
      <c r="P68" s="518"/>
      <c r="Q68" s="518"/>
      <c r="R68" s="518"/>
      <c r="S68" s="518"/>
      <c r="T68" s="518"/>
      <c r="U68" s="518"/>
      <c r="V68" s="518"/>
      <c r="W68" s="518"/>
      <c r="X68" s="518"/>
      <c r="Y68" s="518"/>
      <c r="Z68" s="518"/>
      <c r="AA68" s="518"/>
      <c r="AB68" s="518"/>
    </row>
    <row r="69" spans="3:28" s="422" customFormat="1" ht="15.75" customHeight="1">
      <c r="D69" s="1045"/>
      <c r="E69" s="1045"/>
      <c r="F69" s="1046"/>
      <c r="G69" s="1041"/>
      <c r="H69" s="1041"/>
      <c r="I69" s="1041"/>
      <c r="J69" s="482">
        <v>0</v>
      </c>
      <c r="K69" s="481" t="s">
        <v>3216</v>
      </c>
      <c r="L69" s="486">
        <f t="shared" si="2"/>
        <v>0</v>
      </c>
      <c r="P69" s="518"/>
      <c r="Q69" s="518"/>
      <c r="R69" s="518"/>
      <c r="S69" s="518"/>
      <c r="T69" s="518"/>
      <c r="U69" s="518"/>
      <c r="V69" s="518"/>
      <c r="W69" s="518"/>
      <c r="X69" s="518"/>
      <c r="Y69" s="518"/>
      <c r="Z69" s="518"/>
      <c r="AA69" s="518"/>
      <c r="AB69" s="518"/>
    </row>
    <row r="70" spans="3:28" s="422" customFormat="1" ht="15.75" customHeight="1">
      <c r="D70" s="1097" t="s">
        <v>3221</v>
      </c>
      <c r="E70" s="1097"/>
      <c r="F70" s="1097"/>
      <c r="G70" s="1097"/>
      <c r="H70" s="1097"/>
      <c r="I70" s="1097"/>
      <c r="J70" s="1097"/>
      <c r="K70" s="1097"/>
      <c r="L70" s="486">
        <f>SUM(L66:L69)</f>
        <v>0</v>
      </c>
      <c r="P70" s="518"/>
      <c r="Q70" s="518"/>
      <c r="R70" s="518"/>
      <c r="S70" s="518"/>
      <c r="T70" s="518"/>
      <c r="U70" s="518"/>
      <c r="V70" s="518"/>
      <c r="W70" s="518"/>
      <c r="X70" s="518"/>
      <c r="Y70" s="518"/>
      <c r="Z70" s="518"/>
      <c r="AA70" s="518"/>
      <c r="AB70" s="518"/>
    </row>
    <row r="71" spans="3:28" s="422" customFormat="1" ht="15.75" customHeight="1">
      <c r="D71" s="1097" t="s">
        <v>3222</v>
      </c>
      <c r="E71" s="1097"/>
      <c r="F71" s="1097"/>
      <c r="G71" s="1097"/>
      <c r="H71" s="1097"/>
      <c r="I71" s="1097"/>
      <c r="J71" s="1097"/>
      <c r="K71" s="1097"/>
      <c r="L71" s="486">
        <f>SUM(L60+L65+L70)</f>
        <v>0.44999999999999996</v>
      </c>
      <c r="P71" s="518"/>
      <c r="Q71" s="518"/>
      <c r="R71" s="518"/>
      <c r="S71" s="518"/>
      <c r="T71" s="518"/>
      <c r="U71" s="518"/>
      <c r="V71" s="518"/>
      <c r="W71" s="518"/>
      <c r="X71" s="518"/>
      <c r="Y71" s="518"/>
      <c r="Z71" s="518"/>
      <c r="AA71" s="518"/>
      <c r="AB71" s="518"/>
    </row>
    <row r="72" spans="3:28" s="220" customFormat="1" ht="27.75" customHeight="1">
      <c r="D72" s="1096"/>
      <c r="E72" s="1096"/>
      <c r="F72" s="1096"/>
      <c r="G72" s="1096"/>
      <c r="H72" s="1096"/>
      <c r="I72" s="1096"/>
      <c r="J72" s="1096"/>
      <c r="K72" s="1096"/>
      <c r="L72" s="485"/>
      <c r="P72" s="222"/>
      <c r="Q72" s="222"/>
      <c r="R72" s="222"/>
      <c r="S72" s="222"/>
      <c r="T72" s="222"/>
      <c r="U72" s="222"/>
      <c r="V72" s="222"/>
      <c r="W72" s="222"/>
      <c r="X72" s="222"/>
      <c r="Y72" s="222"/>
      <c r="Z72" s="222"/>
      <c r="AA72" s="222"/>
      <c r="AB72" s="222"/>
    </row>
    <row r="73" spans="3:28" s="422" customFormat="1" ht="15.75" customHeight="1" thickBot="1">
      <c r="D73" s="423"/>
      <c r="E73" s="424"/>
      <c r="F73" s="424"/>
      <c r="G73" s="421"/>
      <c r="I73" s="423"/>
      <c r="J73" s="424"/>
      <c r="K73" s="424"/>
      <c r="L73" s="421"/>
      <c r="P73" s="518"/>
      <c r="Q73" s="518"/>
      <c r="R73" s="518"/>
      <c r="S73" s="518"/>
      <c r="T73" s="518"/>
      <c r="U73" s="518"/>
      <c r="V73" s="518"/>
      <c r="W73" s="518"/>
      <c r="X73" s="518"/>
      <c r="Y73" s="518"/>
      <c r="Z73" s="518"/>
      <c r="AA73" s="518"/>
      <c r="AB73" s="518"/>
    </row>
    <row r="74" spans="3:28" ht="21.75" customHeight="1" thickBot="1">
      <c r="C74" s="225" t="s">
        <v>1531</v>
      </c>
      <c r="D74" s="220"/>
      <c r="E74" s="428" t="s">
        <v>1533</v>
      </c>
      <c r="F74" s="1093" t="s">
        <v>3171</v>
      </c>
      <c r="G74" s="1094"/>
      <c r="H74" s="220"/>
      <c r="I74" s="267" t="str">
        <f>IF($F$74=$Q$85,"기술점유율(%)","")</f>
        <v/>
      </c>
      <c r="J74" s="224">
        <v>1</v>
      </c>
      <c r="K74" s="266" t="s">
        <v>1737</v>
      </c>
      <c r="L74" s="221"/>
      <c r="M74" s="261"/>
      <c r="N74" s="261"/>
      <c r="P74" s="222" t="s">
        <v>1427</v>
      </c>
      <c r="R74" s="222">
        <v>6</v>
      </c>
    </row>
    <row r="75" spans="3:28" ht="34.5" customHeight="1" thickBot="1">
      <c r="C75" s="23"/>
      <c r="E75" s="1091" t="s">
        <v>1776</v>
      </c>
      <c r="F75" s="1092"/>
      <c r="G75" s="427">
        <f>D78</f>
        <v>1000</v>
      </c>
      <c r="I75" s="265" t="s">
        <v>1795</v>
      </c>
      <c r="J75" s="224" t="s">
        <v>2709</v>
      </c>
      <c r="K75" s="420" t="s">
        <v>3159</v>
      </c>
      <c r="L75" s="842">
        <f>L71</f>
        <v>0.44999999999999996</v>
      </c>
      <c r="M75" s="223"/>
      <c r="N75" s="223"/>
    </row>
    <row r="76" spans="3:28" ht="17.25" thickBot="1">
      <c r="C76" s="512" t="s">
        <v>3226</v>
      </c>
      <c r="I76" s="223"/>
      <c r="J76" s="223"/>
      <c r="K76" s="223"/>
      <c r="L76" s="223"/>
      <c r="M76" s="223"/>
      <c r="N76" s="223"/>
    </row>
    <row r="77" spans="3:28" s="220" customFormat="1" ht="21" customHeight="1">
      <c r="C77" s="506" t="s">
        <v>1585</v>
      </c>
      <c r="D77" s="507">
        <f>IF(ISBLANK(현금흐름!$D$5),"",현금흐름!$D$5)</f>
        <v>2024</v>
      </c>
      <c r="E77" s="507">
        <f>IF(ISBLANK(현금흐름!$E$5),"",현금흐름!$E$5)</f>
        <v>2025</v>
      </c>
      <c r="F77" s="507">
        <f>IF(ISBLANK(현금흐름!$F$5),"",현금흐름!$F$5)</f>
        <v>2026</v>
      </c>
      <c r="G77" s="507">
        <f>IF(ISBLANK(현금흐름!$G$5),"",현금흐름!$G$5)</f>
        <v>2027</v>
      </c>
      <c r="H77" s="507">
        <f>IF(ISBLANK(현금흐름!$H$5),"",현금흐름!$H$5)</f>
        <v>2028</v>
      </c>
      <c r="I77" s="507">
        <f>IF(ISBLANK(현금흐름!$I$5),"",현금흐름!$I$5)</f>
        <v>2029</v>
      </c>
      <c r="J77" s="507">
        <f>IF(ISBLANK(현금흐름!$J$5),"",현금흐름!$J$5)</f>
        <v>2030</v>
      </c>
      <c r="K77" s="507">
        <f>IF(ISBLANK(현금흐름!$K$5),"",현금흐름!$K$5)</f>
        <v>2031</v>
      </c>
      <c r="L77" s="507">
        <f>IF(ISBLANK(현금흐름!$L$5),"",현금흐름!$L$5)</f>
        <v>2032</v>
      </c>
      <c r="M77" s="508">
        <f>IF(ISBLANK(현금흐름!$M$5),"",현금흐름!$M$5)</f>
        <v>2033</v>
      </c>
      <c r="N77" s="521"/>
      <c r="P77" s="222" t="s">
        <v>1653</v>
      </c>
      <c r="Q77" s="222" t="s">
        <v>1800</v>
      </c>
      <c r="R77" s="222"/>
      <c r="S77" s="222"/>
      <c r="T77" s="222"/>
      <c r="U77" s="222"/>
      <c r="V77" s="222"/>
      <c r="W77" s="222"/>
      <c r="X77" s="222"/>
      <c r="Y77" s="222"/>
      <c r="Z77" s="222"/>
      <c r="AA77" s="222"/>
      <c r="AB77" s="222"/>
    </row>
    <row r="78" spans="3:28" s="220" customFormat="1" ht="15.75" customHeight="1" thickBot="1">
      <c r="C78" s="509" t="str">
        <f>IF($F$74=$Q$85,"시장규모",IF($F$74=$Q$86,"생산량","추정매출액"))</f>
        <v>추정매출액</v>
      </c>
      <c r="D78" s="510">
        <v>1000</v>
      </c>
      <c r="E78" s="510">
        <v>2000</v>
      </c>
      <c r="F78" s="510">
        <v>3000</v>
      </c>
      <c r="G78" s="510">
        <v>4000</v>
      </c>
      <c r="H78" s="510">
        <v>5000</v>
      </c>
      <c r="I78" s="510">
        <v>9200</v>
      </c>
      <c r="J78" s="510">
        <v>11111</v>
      </c>
      <c r="K78" s="510">
        <v>13000</v>
      </c>
      <c r="L78" s="510">
        <v>14000</v>
      </c>
      <c r="M78" s="511">
        <v>15000</v>
      </c>
      <c r="N78" s="521"/>
      <c r="P78" s="222" t="s">
        <v>1654</v>
      </c>
      <c r="Q78" s="222" t="s">
        <v>1801</v>
      </c>
      <c r="R78" s="222"/>
      <c r="S78" s="222"/>
      <c r="T78" s="222"/>
      <c r="U78" s="222"/>
      <c r="V78" s="222"/>
      <c r="W78" s="222"/>
      <c r="X78" s="222"/>
      <c r="Y78" s="222"/>
      <c r="Z78" s="222"/>
      <c r="AA78" s="222"/>
      <c r="AB78" s="222"/>
    </row>
    <row r="79" spans="3:28" s="220" customFormat="1" ht="15.75" customHeight="1">
      <c r="C79" s="440" t="str">
        <f>IF($F$74=$Q$85,"점유율",IF($F$74=$Q$86,"단가",""))</f>
        <v/>
      </c>
      <c r="D79" s="441">
        <v>0.01</v>
      </c>
      <c r="E79" s="441">
        <v>0.02</v>
      </c>
      <c r="F79" s="441">
        <v>0.03</v>
      </c>
      <c r="G79" s="441">
        <v>0.04</v>
      </c>
      <c r="H79" s="441">
        <v>0.05</v>
      </c>
      <c r="I79" s="441">
        <v>0.06</v>
      </c>
      <c r="J79" s="441">
        <v>7.0000000000000007E-2</v>
      </c>
      <c r="K79" s="441">
        <v>0.08</v>
      </c>
      <c r="L79" s="441">
        <v>0.09</v>
      </c>
      <c r="M79" s="441">
        <v>0.1</v>
      </c>
      <c r="N79" s="521"/>
      <c r="P79" s="222" t="s">
        <v>1655</v>
      </c>
      <c r="Q79" s="222"/>
      <c r="R79" s="222"/>
      <c r="S79" s="222"/>
      <c r="T79" s="222"/>
      <c r="U79" s="222"/>
      <c r="V79" s="222"/>
      <c r="W79" s="222"/>
      <c r="X79" s="222"/>
      <c r="Y79" s="222"/>
      <c r="Z79" s="222"/>
      <c r="AA79" s="222"/>
      <c r="AB79" s="222"/>
    </row>
    <row r="80" spans="3:28" s="220" customFormat="1" ht="15.75" customHeight="1">
      <c r="C80" s="389" t="str">
        <f>IF($F$74="직접 추정","","추정매출액")</f>
        <v/>
      </c>
      <c r="D80" s="390">
        <f t="shared" ref="D80:M80" si="3">IF(OR(D78="",D79=""),"",IF($F$74=$Q$85,D78*D79*$J$74,D78*D79))</f>
        <v>10</v>
      </c>
      <c r="E80" s="390">
        <f t="shared" si="3"/>
        <v>40</v>
      </c>
      <c r="F80" s="390">
        <f t="shared" si="3"/>
        <v>90</v>
      </c>
      <c r="G80" s="390">
        <f t="shared" si="3"/>
        <v>160</v>
      </c>
      <c r="H80" s="390">
        <f t="shared" si="3"/>
        <v>250</v>
      </c>
      <c r="I80" s="390">
        <f t="shared" si="3"/>
        <v>552</v>
      </c>
      <c r="J80" s="390">
        <f t="shared" si="3"/>
        <v>777.7700000000001</v>
      </c>
      <c r="K80" s="390">
        <f t="shared" si="3"/>
        <v>1040</v>
      </c>
      <c r="L80" s="390">
        <f t="shared" si="3"/>
        <v>1260</v>
      </c>
      <c r="M80" s="390">
        <f t="shared" si="3"/>
        <v>1500</v>
      </c>
      <c r="N80" s="521"/>
      <c r="P80" s="222" t="s">
        <v>1650</v>
      </c>
      <c r="Q80" s="222"/>
      <c r="R80" s="222"/>
      <c r="S80" s="222"/>
      <c r="T80" s="222"/>
      <c r="U80" s="222"/>
      <c r="V80" s="222"/>
      <c r="W80" s="222"/>
      <c r="X80" s="222"/>
      <c r="Y80" s="222"/>
      <c r="Z80" s="222"/>
      <c r="AA80" s="222"/>
      <c r="AB80" s="222"/>
    </row>
    <row r="81" spans="3:28" s="220" customFormat="1" ht="15.75" customHeight="1" thickBot="1">
      <c r="C81" s="222"/>
      <c r="D81" s="222"/>
      <c r="E81" s="222"/>
      <c r="F81" s="222"/>
      <c r="G81" s="222"/>
      <c r="H81" s="222"/>
      <c r="I81" s="222"/>
      <c r="J81" s="222"/>
      <c r="K81" s="222"/>
      <c r="L81" s="222"/>
      <c r="M81" s="222"/>
      <c r="N81" s="521"/>
      <c r="P81" s="222" t="s">
        <v>1651</v>
      </c>
      <c r="Q81" s="222"/>
      <c r="R81" s="222"/>
      <c r="S81" s="222"/>
      <c r="T81" s="222"/>
      <c r="U81" s="222"/>
      <c r="V81" s="222"/>
      <c r="W81" s="222"/>
      <c r="X81" s="222"/>
      <c r="Y81" s="222"/>
      <c r="Z81" s="222"/>
      <c r="AA81" s="222"/>
      <c r="AB81" s="222"/>
    </row>
    <row r="82" spans="3:28" s="220" customFormat="1" ht="15.75" customHeight="1">
      <c r="C82" s="500" t="s">
        <v>1585</v>
      </c>
      <c r="D82" s="501">
        <f>IF(ISBLANK(현금흐름!$N$5),"",현금흐름!$N$5)</f>
        <v>2034</v>
      </c>
      <c r="E82" s="501">
        <f>현금흐름!$O$5</f>
        <v>2035</v>
      </c>
      <c r="F82" s="501">
        <f>현금흐름!$P$5</f>
        <v>2036</v>
      </c>
      <c r="G82" s="501">
        <f>현금흐름!$Q$5</f>
        <v>2037</v>
      </c>
      <c r="H82" s="501" t="str">
        <f>현금흐름!$R$5</f>
        <v/>
      </c>
      <c r="I82" s="501" t="str">
        <f>현금흐름!$S$5</f>
        <v/>
      </c>
      <c r="J82" s="501" t="str">
        <f>현금흐름!$T$5</f>
        <v/>
      </c>
      <c r="K82" s="501" t="str">
        <f>현금흐름!$U$5</f>
        <v/>
      </c>
      <c r="L82" s="501" t="str">
        <f>현금흐름!$V$5</f>
        <v/>
      </c>
      <c r="M82" s="502" t="str">
        <f>현금흐름!$W$5</f>
        <v/>
      </c>
      <c r="N82" s="521"/>
      <c r="P82" s="222" t="s">
        <v>1652</v>
      </c>
      <c r="Q82" s="222"/>
      <c r="R82" s="222"/>
      <c r="S82" s="222"/>
      <c r="T82" s="222"/>
      <c r="U82" s="222"/>
      <c r="V82" s="222"/>
      <c r="W82" s="222"/>
      <c r="X82" s="222"/>
      <c r="Y82" s="222"/>
      <c r="Z82" s="222"/>
      <c r="AA82" s="222"/>
      <c r="AB82" s="222"/>
    </row>
    <row r="83" spans="3:28" s="220" customFormat="1" ht="15.75" customHeight="1" thickBot="1">
      <c r="C83" s="503" t="str">
        <f>IF($F$74=$Q$85,"시장규모",IF($F$74=$Q$86,"생산량","추정매출액"))</f>
        <v>추정매출액</v>
      </c>
      <c r="D83" s="504">
        <v>16000</v>
      </c>
      <c r="E83" s="504">
        <v>17000</v>
      </c>
      <c r="F83" s="504">
        <v>16000</v>
      </c>
      <c r="G83" s="504">
        <v>15000</v>
      </c>
      <c r="H83" s="504"/>
      <c r="I83" s="504"/>
      <c r="J83" s="504"/>
      <c r="K83" s="504"/>
      <c r="L83" s="504"/>
      <c r="M83" s="505"/>
      <c r="N83" s="521"/>
      <c r="P83" s="222"/>
      <c r="Q83" s="222"/>
      <c r="R83" s="222"/>
      <c r="S83" s="222"/>
      <c r="T83" s="222"/>
      <c r="U83" s="222"/>
      <c r="V83" s="222"/>
      <c r="W83" s="222"/>
      <c r="X83" s="222"/>
      <c r="Y83" s="222"/>
      <c r="Z83" s="222"/>
      <c r="AA83" s="222"/>
      <c r="AB83" s="222"/>
    </row>
    <row r="84" spans="3:28" s="220" customFormat="1" ht="15.75" customHeight="1">
      <c r="C84" s="440" t="str">
        <f>IF($F$74=$Q$85,"점유율",IF($F$74=$Q$86,"단가",""))</f>
        <v/>
      </c>
      <c r="D84" s="499">
        <v>0.11</v>
      </c>
      <c r="E84" s="499">
        <v>0.12</v>
      </c>
      <c r="F84" s="499">
        <v>0.13</v>
      </c>
      <c r="G84" s="499">
        <v>0.14000000000000001</v>
      </c>
      <c r="H84" s="499">
        <v>0.15</v>
      </c>
      <c r="I84" s="499">
        <v>0.16</v>
      </c>
      <c r="J84" s="499">
        <v>0.17</v>
      </c>
      <c r="K84" s="499">
        <v>0.18</v>
      </c>
      <c r="L84" s="499">
        <v>0.19</v>
      </c>
      <c r="M84" s="499">
        <v>0.2</v>
      </c>
      <c r="N84" s="521"/>
      <c r="P84" s="222" t="s">
        <v>1532</v>
      </c>
      <c r="Q84" s="222"/>
      <c r="R84" s="222"/>
      <c r="S84" s="222"/>
      <c r="T84" s="222"/>
      <c r="U84" s="222"/>
      <c r="V84" s="222"/>
      <c r="W84" s="222"/>
      <c r="X84" s="222"/>
      <c r="Y84" s="222"/>
      <c r="Z84" s="222"/>
      <c r="AA84" s="222"/>
      <c r="AB84" s="222"/>
    </row>
    <row r="85" spans="3:28" s="220" customFormat="1" ht="15.75" customHeight="1">
      <c r="C85" s="389" t="str">
        <f>IF($F$74="직접 추정","","추정매출액")</f>
        <v/>
      </c>
      <c r="D85" s="391">
        <f t="shared" ref="D85:M85" si="4">IF(OR(D83="",D84=""),"",IF($F$74=$Q$85,D83*D84*$J$74,D83*D84))</f>
        <v>1760</v>
      </c>
      <c r="E85" s="391">
        <f t="shared" si="4"/>
        <v>2040</v>
      </c>
      <c r="F85" s="391">
        <f t="shared" si="4"/>
        <v>2080</v>
      </c>
      <c r="G85" s="391">
        <f t="shared" si="4"/>
        <v>2100</v>
      </c>
      <c r="H85" s="391" t="str">
        <f t="shared" si="4"/>
        <v/>
      </c>
      <c r="I85" s="391" t="str">
        <f t="shared" si="4"/>
        <v/>
      </c>
      <c r="J85" s="391" t="str">
        <f t="shared" si="4"/>
        <v/>
      </c>
      <c r="K85" s="391" t="str">
        <f t="shared" si="4"/>
        <v/>
      </c>
      <c r="L85" s="391" t="str">
        <f t="shared" si="4"/>
        <v/>
      </c>
      <c r="M85" s="391" t="str">
        <f t="shared" si="4"/>
        <v/>
      </c>
      <c r="N85" s="521"/>
      <c r="P85" s="470">
        <v>1</v>
      </c>
      <c r="Q85" s="222" t="s">
        <v>1647</v>
      </c>
      <c r="R85" s="222"/>
      <c r="S85" s="222"/>
      <c r="T85" s="222"/>
      <c r="U85" s="222"/>
      <c r="V85" s="222"/>
      <c r="W85" s="222"/>
      <c r="X85" s="222"/>
      <c r="Y85" s="222"/>
      <c r="Z85" s="222"/>
      <c r="AA85" s="222"/>
      <c r="AB85" s="222"/>
    </row>
    <row r="86" spans="3:28" s="220" customFormat="1" ht="15.75" customHeight="1">
      <c r="C86" s="378"/>
      <c r="D86" s="379"/>
      <c r="E86" s="380"/>
      <c r="F86" s="381"/>
      <c r="G86" s="382"/>
      <c r="H86" s="383"/>
      <c r="I86" s="384"/>
      <c r="J86" s="385"/>
      <c r="K86" s="386"/>
      <c r="L86" s="387"/>
      <c r="M86" s="388"/>
      <c r="N86" s="521"/>
      <c r="P86" s="470">
        <v>2</v>
      </c>
      <c r="Q86" s="222" t="s">
        <v>1648</v>
      </c>
      <c r="R86" s="222"/>
      <c r="S86" s="222"/>
      <c r="T86" s="222"/>
      <c r="U86" s="222"/>
    </row>
    <row r="87" spans="3:28" s="220" customFormat="1" ht="15.75" customHeight="1">
      <c r="C87" s="378"/>
      <c r="D87" s="379"/>
      <c r="E87" s="380"/>
      <c r="F87" s="381"/>
      <c r="G87" s="382"/>
      <c r="H87" s="383"/>
      <c r="I87" s="384"/>
      <c r="J87" s="385"/>
      <c r="K87" s="386"/>
      <c r="L87" s="387"/>
      <c r="M87" s="388"/>
      <c r="N87" s="521"/>
      <c r="P87" s="470">
        <v>3</v>
      </c>
      <c r="Q87" s="222" t="s">
        <v>1649</v>
      </c>
      <c r="R87" s="222"/>
      <c r="S87" s="222"/>
      <c r="T87" s="222"/>
      <c r="U87" s="222"/>
    </row>
    <row r="88" spans="3:28">
      <c r="O88" s="220"/>
    </row>
    <row r="89" spans="3:28">
      <c r="O89" s="220"/>
      <c r="P89" s="220"/>
      <c r="Q89" s="220"/>
      <c r="R89" s="220"/>
      <c r="S89" s="220"/>
      <c r="T89" s="220"/>
      <c r="U89" s="220"/>
    </row>
    <row r="90" spans="3:28">
      <c r="O90" s="220"/>
      <c r="P90" s="220"/>
      <c r="Q90" s="220"/>
      <c r="R90" s="220"/>
      <c r="S90" s="220"/>
      <c r="T90" s="220"/>
      <c r="U90" s="220"/>
    </row>
    <row r="93" spans="3:28" ht="14.25" customHeight="1"/>
  </sheetData>
  <sheetProtection formatCells="0" formatColumns="0" formatRows="0" insertColumns="0" insertRows="0" deleteColumns="0" deleteRows="0"/>
  <mergeCells count="104">
    <mergeCell ref="E75:F75"/>
    <mergeCell ref="E27:F27"/>
    <mergeCell ref="E28:F28"/>
    <mergeCell ref="F74:G74"/>
    <mergeCell ref="J37:K37"/>
    <mergeCell ref="J36:K36"/>
    <mergeCell ref="J35:K35"/>
    <mergeCell ref="J39:K39"/>
    <mergeCell ref="E37:F37"/>
    <mergeCell ref="E36:F36"/>
    <mergeCell ref="E35:F35"/>
    <mergeCell ref="E44:F44"/>
    <mergeCell ref="E42:F42"/>
    <mergeCell ref="E41:F41"/>
    <mergeCell ref="E40:F40"/>
    <mergeCell ref="E38:F38"/>
    <mergeCell ref="D72:K72"/>
    <mergeCell ref="D71:K71"/>
    <mergeCell ref="D70:K70"/>
    <mergeCell ref="D55:E55"/>
    <mergeCell ref="D56:E59"/>
    <mergeCell ref="F56:F59"/>
    <mergeCell ref="G55:I55"/>
    <mergeCell ref="G56:I56"/>
    <mergeCell ref="C2:M2"/>
    <mergeCell ref="D34:D45"/>
    <mergeCell ref="I34:I45"/>
    <mergeCell ref="E20:F20"/>
    <mergeCell ref="D21:D25"/>
    <mergeCell ref="E21:F21"/>
    <mergeCell ref="E22:F22"/>
    <mergeCell ref="E23:F23"/>
    <mergeCell ref="E24:F24"/>
    <mergeCell ref="E25:F25"/>
    <mergeCell ref="D26:D30"/>
    <mergeCell ref="E26:F26"/>
    <mergeCell ref="J27:K27"/>
    <mergeCell ref="J28:K28"/>
    <mergeCell ref="J29:K29"/>
    <mergeCell ref="E39:F39"/>
    <mergeCell ref="J22:K22"/>
    <mergeCell ref="J23:K23"/>
    <mergeCell ref="D32:L32"/>
    <mergeCell ref="J30:K30"/>
    <mergeCell ref="J24:K24"/>
    <mergeCell ref="J25:K25"/>
    <mergeCell ref="J26:K26"/>
    <mergeCell ref="H5:L5"/>
    <mergeCell ref="H6:L6"/>
    <mergeCell ref="F14:L14"/>
    <mergeCell ref="F17:L17"/>
    <mergeCell ref="F15:L15"/>
    <mergeCell ref="F16:L16"/>
    <mergeCell ref="J42:K42"/>
    <mergeCell ref="J41:K41"/>
    <mergeCell ref="J40:K40"/>
    <mergeCell ref="E45:F45"/>
    <mergeCell ref="J20:K20"/>
    <mergeCell ref="J21:K21"/>
    <mergeCell ref="E29:F29"/>
    <mergeCell ref="E30:F30"/>
    <mergeCell ref="I21:I25"/>
    <mergeCell ref="I26:I30"/>
    <mergeCell ref="J38:K38"/>
    <mergeCell ref="J43:K43"/>
    <mergeCell ref="E43:F43"/>
    <mergeCell ref="J34:K34"/>
    <mergeCell ref="J33:K33"/>
    <mergeCell ref="E34:F34"/>
    <mergeCell ref="E33:F33"/>
    <mergeCell ref="J45:K45"/>
    <mergeCell ref="J44:K44"/>
    <mergeCell ref="G57:I57"/>
    <mergeCell ref="D65:K65"/>
    <mergeCell ref="D66:E69"/>
    <mergeCell ref="F66:F69"/>
    <mergeCell ref="G66:I66"/>
    <mergeCell ref="G67:I67"/>
    <mergeCell ref="G68:I68"/>
    <mergeCell ref="G69:I69"/>
    <mergeCell ref="G58:I58"/>
    <mergeCell ref="G59:I59"/>
    <mergeCell ref="D60:K60"/>
    <mergeCell ref="D61:E64"/>
    <mergeCell ref="F61:F64"/>
    <mergeCell ref="G61:I61"/>
    <mergeCell ref="G62:I62"/>
    <mergeCell ref="G63:I63"/>
    <mergeCell ref="G64:I64"/>
    <mergeCell ref="D51:D52"/>
    <mergeCell ref="E51:F51"/>
    <mergeCell ref="I51:I52"/>
    <mergeCell ref="J51:K51"/>
    <mergeCell ref="E52:F52"/>
    <mergeCell ref="J52:K52"/>
    <mergeCell ref="D47:L47"/>
    <mergeCell ref="E48:F48"/>
    <mergeCell ref="J48:K48"/>
    <mergeCell ref="D49:D50"/>
    <mergeCell ref="E49:F49"/>
    <mergeCell ref="I49:I50"/>
    <mergeCell ref="J49:K49"/>
    <mergeCell ref="E50:F50"/>
    <mergeCell ref="J50:K50"/>
  </mergeCells>
  <phoneticPr fontId="11" type="noConversion"/>
  <conditionalFormatting sqref="L21:L30 G21:G30">
    <cfRule type="cellIs" dxfId="42" priority="63" operator="lessThan">
      <formula>0</formula>
    </cfRule>
  </conditionalFormatting>
  <conditionalFormatting sqref="F86:G87 K86:L87">
    <cfRule type="expression" dxfId="41" priority="56">
      <formula>$F$74="직접 추정"</formula>
    </cfRule>
  </conditionalFormatting>
  <conditionalFormatting sqref="D11:E11">
    <cfRule type="expression" dxfId="40" priority="55">
      <formula>$E$10="수익접근법"</formula>
    </cfRule>
  </conditionalFormatting>
  <conditionalFormatting sqref="F11">
    <cfRule type="expression" dxfId="39" priority="54">
      <formula>$E$10="수익접근법"</formula>
    </cfRule>
  </conditionalFormatting>
  <conditionalFormatting sqref="G34:G44">
    <cfRule type="cellIs" dxfId="38" priority="48" operator="lessThan">
      <formula>3</formula>
    </cfRule>
  </conditionalFormatting>
  <conditionalFormatting sqref="L73 L34:L46 L65 L53:L60">
    <cfRule type="cellIs" dxfId="37" priority="47" operator="lessThan">
      <formula>3</formula>
    </cfRule>
  </conditionalFormatting>
  <conditionalFormatting sqref="G45:G46 G73 G58 G53:G56">
    <cfRule type="cellIs" dxfId="36" priority="49" operator="lessThan">
      <formula>3</formula>
    </cfRule>
  </conditionalFormatting>
  <conditionalFormatting sqref="C79:M79">
    <cfRule type="expression" dxfId="35" priority="44">
      <formula>$F$74="직접 추정"</formula>
    </cfRule>
  </conditionalFormatting>
  <conditionalFormatting sqref="C80:M80">
    <cfRule type="expression" dxfId="34" priority="43">
      <formula>$F$74="직접 추정"</formula>
    </cfRule>
  </conditionalFormatting>
  <conditionalFormatting sqref="C84:M84">
    <cfRule type="expression" dxfId="33" priority="41">
      <formula>$F$74="직접 추정"</formula>
    </cfRule>
  </conditionalFormatting>
  <conditionalFormatting sqref="C85:M85">
    <cfRule type="expression" dxfId="32" priority="40">
      <formula>$F$74="직접 추정"</formula>
    </cfRule>
  </conditionalFormatting>
  <conditionalFormatting sqref="J73:K73 E21:F30 E34:F46 J34:K46 E73:F73 J21:K30 F55:F56 J53:K59 E53:F54">
    <cfRule type="duplicateValues" dxfId="31" priority="38"/>
  </conditionalFormatting>
  <conditionalFormatting sqref="E21:F30 E34:F45 J34:K45 J21:K30">
    <cfRule type="duplicateValues" dxfId="30" priority="23"/>
  </conditionalFormatting>
  <conditionalFormatting sqref="G57 G59">
    <cfRule type="cellIs" dxfId="29" priority="22" operator="lessThan">
      <formula>3</formula>
    </cfRule>
  </conditionalFormatting>
  <conditionalFormatting sqref="L61:L64">
    <cfRule type="cellIs" dxfId="28" priority="20" operator="lessThan">
      <formula>3</formula>
    </cfRule>
  </conditionalFormatting>
  <conditionalFormatting sqref="G61 G63">
    <cfRule type="cellIs" dxfId="27" priority="21" operator="lessThan">
      <formula>3</formula>
    </cfRule>
  </conditionalFormatting>
  <conditionalFormatting sqref="J61:K64 F61">
    <cfRule type="duplicateValues" dxfId="26" priority="19"/>
  </conditionalFormatting>
  <conditionalFormatting sqref="G62 G64">
    <cfRule type="cellIs" dxfId="25" priority="18" operator="lessThan">
      <formula>3</formula>
    </cfRule>
  </conditionalFormatting>
  <conditionalFormatting sqref="G67 G69">
    <cfRule type="cellIs" dxfId="24" priority="13" operator="lessThan">
      <formula>3</formula>
    </cfRule>
  </conditionalFormatting>
  <conditionalFormatting sqref="L72">
    <cfRule type="cellIs" dxfId="23" priority="17" operator="lessThan">
      <formula>3</formula>
    </cfRule>
  </conditionalFormatting>
  <conditionalFormatting sqref="L66:L71">
    <cfRule type="cellIs" dxfId="22" priority="15" operator="lessThan">
      <formula>3</formula>
    </cfRule>
  </conditionalFormatting>
  <conditionalFormatting sqref="G66 G68">
    <cfRule type="cellIs" dxfId="21" priority="16" operator="lessThan">
      <formula>3</formula>
    </cfRule>
  </conditionalFormatting>
  <conditionalFormatting sqref="J66:K69 F66">
    <cfRule type="duplicateValues" dxfId="20" priority="14"/>
  </conditionalFormatting>
  <conditionalFormatting sqref="E34:F45 J34:K45 E21:F30 J21:K30">
    <cfRule type="duplicateValues" dxfId="19" priority="79"/>
  </conditionalFormatting>
  <dataValidations count="12">
    <dataValidation type="list" allowBlank="1" showInputMessage="1" showErrorMessage="1" sqref="E10" xr:uid="{00000000-0002-0000-0200-000000000000}">
      <formula1>$S$9:$S$11</formula1>
    </dataValidation>
    <dataValidation type="list" allowBlank="1" showInputMessage="1" showErrorMessage="1" sqref="L10" xr:uid="{00000000-0002-0000-0200-000001000000}">
      <formula1>$W$9:$W$13</formula1>
    </dataValidation>
    <dataValidation type="list" allowBlank="1" showInputMessage="1" showErrorMessage="1" sqref="J11" xr:uid="{00000000-0002-0000-0200-000002000000}">
      <formula1>$Y$9:$Y$11</formula1>
    </dataValidation>
    <dataValidation type="list" allowBlank="1" showInputMessage="1" showErrorMessage="1" sqref="L11" xr:uid="{00000000-0002-0000-0200-000003000000}">
      <formula1>$Z$9:$Z$12</formula1>
    </dataValidation>
    <dataValidation type="list" allowBlank="1" showInputMessage="1" showErrorMessage="1" sqref="F6" xr:uid="{00000000-0002-0000-0200-000004000000}">
      <formula1>$Q$9:$Q$10</formula1>
    </dataValidation>
    <dataValidation type="list" allowBlank="1" showInputMessage="1" showErrorMessage="1" sqref="G6" xr:uid="{00000000-0002-0000-0200-000005000000}">
      <formula1>$P$9:$P$11</formula1>
    </dataValidation>
    <dataValidation type="list" allowBlank="1" showInputMessage="1" showErrorMessage="1" sqref="G11" xr:uid="{00000000-0002-0000-0200-000006000000}">
      <formula1>$P$21:$P$22</formula1>
    </dataValidation>
    <dataValidation type="list" allowBlank="1" showInputMessage="1" showErrorMessage="1" sqref="F74:G74" xr:uid="{00000000-0002-0000-0200-000007000000}">
      <formula1>$Q$85:$Q$87</formula1>
    </dataValidation>
    <dataValidation type="list" allowBlank="1" showInputMessage="1" showErrorMessage="1" sqref="J75" xr:uid="{00000000-0002-0000-0200-000008000000}">
      <formula1>$Q$77:$Q$78</formula1>
    </dataValidation>
    <dataValidation type="list" allowBlank="1" showInputMessage="1" showErrorMessage="1" sqref="G21:G30 L21:L30 L73 G73 G34:G45 L34:L45 G49:G52 L49:L52" xr:uid="{00000000-0002-0000-0200-000009000000}">
      <formula1>$R$24:$R$28</formula1>
    </dataValidation>
    <dataValidation type="list" allowBlank="1" showInputMessage="1" showErrorMessage="1" sqref="D10" xr:uid="{00000000-0002-0000-0200-00000A000000}">
      <formula1>$R$9:$R$18</formula1>
    </dataValidation>
    <dataValidation type="list" allowBlank="1" showInputMessage="1" showErrorMessage="1" sqref="F10" xr:uid="{00000000-0002-0000-0200-00000B000000}">
      <formula1>$U$9:$U$18</formula1>
    </dataValidation>
  </dataValidations>
  <pageMargins left="0.7" right="0.7"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0" r:id="rId4" name="Drop Down 74">
              <controlPr defaultSize="0" autoLine="0" autoPict="0">
                <anchor moveWithCells="1">
                  <from>
                    <xdr:col>11</xdr:col>
                    <xdr:colOff>19050</xdr:colOff>
                    <xdr:row>73</xdr:row>
                    <xdr:rowOff>0</xdr:rowOff>
                  </from>
                  <to>
                    <xdr:col>12</xdr:col>
                    <xdr:colOff>0</xdr:colOff>
                    <xdr:row>74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C000000}">
          <x14:formula1>
            <xm:f>업종분류!$B$9:$B$121</xm:f>
          </x14:formula1>
          <xm:sqref>E16</xm:sqref>
        </x14:dataValidation>
        <x14:dataValidation type="list" allowBlank="1" showInputMessage="1" showErrorMessage="1" xr:uid="{00000000-0002-0000-0200-00000D000000}">
          <x14:formula1>
            <xm:f>기술수명!$F$32:$J$32</xm:f>
          </x14:formula1>
          <xm:sqref>K43 K28:K30 K25 K23</xm:sqref>
        </x14:dataValidation>
        <x14:dataValidation type="list" allowBlank="1" showInputMessage="1" showErrorMessage="1" xr:uid="{00000000-0002-0000-0200-00000E000000}">
          <x14:formula1>
            <xm:f>IPC!$B$3:$B$630</xm:f>
          </x14:formula1>
          <xm:sqref>E15</xm:sqref>
        </x14:dataValidation>
        <x14:dataValidation type="list" allowBlank="1" showInputMessage="1" showErrorMessage="1" xr:uid="{00000000-0002-0000-0200-00000F000000}">
          <x14:formula1>
            <xm:f>OFFSET('산업기술요소(보조)'!$C$1,MATCH($E$16,'산업기술요소(보조)'!$B$2:$B$180,0),0,VLOOKUP($E$16,'산업기술요소(보조)'!$B$2:$D$180,3,0),1)</xm:f>
          </x14:formula1>
          <xm:sqref>E17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pageSetUpPr fitToPage="1"/>
  </sheetPr>
  <dimension ref="B1:AU56"/>
  <sheetViews>
    <sheetView showGridLines="0" zoomScale="55" zoomScaleNormal="55" zoomScaleSheetLayoutView="55" workbookViewId="0">
      <pane xSplit="1" ySplit="2" topLeftCell="B3" activePane="bottomRight" state="frozen"/>
      <selection activeCell="G24" sqref="G24"/>
      <selection pane="topRight" activeCell="G24" sqref="G24"/>
      <selection pane="bottomLeft" activeCell="G24" sqref="G24"/>
      <selection pane="bottomRight" activeCell="P9" sqref="P9"/>
    </sheetView>
  </sheetViews>
  <sheetFormatPr defaultRowHeight="16.5"/>
  <cols>
    <col min="1" max="1" width="10.6640625" style="222" customWidth="1"/>
    <col min="2" max="2" width="1.88671875" style="222" customWidth="1"/>
    <col min="3" max="3" width="23.5546875" style="222" bestFit="1" customWidth="1"/>
    <col min="4" max="4" width="12.21875" style="222" customWidth="1"/>
    <col min="5" max="6" width="11.44140625" style="222" customWidth="1"/>
    <col min="7" max="7" width="16.88671875" style="222" customWidth="1"/>
    <col min="8" max="10" width="11.44140625" style="222" customWidth="1"/>
    <col min="11" max="11" width="14.21875" style="222" customWidth="1"/>
    <col min="12" max="12" width="14.6640625" style="222" customWidth="1"/>
    <col min="13" max="19" width="11.44140625" style="222" customWidth="1"/>
    <col min="20" max="24" width="10.88671875" style="222" customWidth="1"/>
    <col min="25" max="25" width="2" style="222" customWidth="1"/>
    <col min="26" max="26" width="21" style="222" customWidth="1"/>
    <col min="27" max="45" width="8.88671875" style="222" customWidth="1"/>
    <col min="46" max="46" width="12.5546875" style="222" customWidth="1"/>
    <col min="47" max="16384" width="8.88671875" style="222"/>
  </cols>
  <sheetData>
    <row r="1" spans="2:46" ht="45.75" customHeight="1"/>
    <row r="2" spans="2:46" s="220" customFormat="1" ht="54.75" customHeight="1">
      <c r="B2" s="1157" t="s">
        <v>1510</v>
      </c>
      <c r="C2" s="1158"/>
      <c r="D2" s="1158"/>
      <c r="E2" s="1158"/>
      <c r="F2" s="1158"/>
      <c r="G2" s="1158"/>
      <c r="H2" s="1159"/>
      <c r="I2" s="1160" t="s">
        <v>1503</v>
      </c>
      <c r="J2" s="1161"/>
      <c r="K2" s="1154" t="str">
        <f ca="1">ROUND(L24,1)&amp;" 백만원"</f>
        <v>-294.1 백만원</v>
      </c>
      <c r="L2" s="1155"/>
      <c r="M2" s="1156"/>
      <c r="W2" s="222"/>
      <c r="X2" s="222"/>
      <c r="Y2" s="222"/>
      <c r="Z2" s="222">
        <v>1</v>
      </c>
      <c r="AA2" s="222">
        <f t="shared" ref="AA2:AT2" si="0">IF(Z2=22,"끝",IF(Z2-1=$L$20,22,Z2+1))</f>
        <v>2</v>
      </c>
      <c r="AB2" s="222">
        <f t="shared" si="0"/>
        <v>3</v>
      </c>
      <c r="AC2" s="222">
        <f t="shared" si="0"/>
        <v>4</v>
      </c>
      <c r="AD2" s="222">
        <f t="shared" si="0"/>
        <v>5</v>
      </c>
      <c r="AE2" s="222">
        <f t="shared" si="0"/>
        <v>6</v>
      </c>
      <c r="AF2" s="222">
        <f t="shared" si="0"/>
        <v>7</v>
      </c>
      <c r="AG2" s="222">
        <f t="shared" si="0"/>
        <v>8</v>
      </c>
      <c r="AH2" s="222">
        <f t="shared" si="0"/>
        <v>9</v>
      </c>
      <c r="AI2" s="222">
        <f t="shared" si="0"/>
        <v>10</v>
      </c>
      <c r="AJ2" s="222">
        <f t="shared" si="0"/>
        <v>11</v>
      </c>
      <c r="AK2" s="222">
        <f t="shared" si="0"/>
        <v>12</v>
      </c>
      <c r="AL2" s="222">
        <f t="shared" si="0"/>
        <v>13</v>
      </c>
      <c r="AM2" s="222">
        <f t="shared" si="0"/>
        <v>14</v>
      </c>
      <c r="AN2" s="222">
        <f t="shared" si="0"/>
        <v>15</v>
      </c>
      <c r="AO2" s="222">
        <f t="shared" si="0"/>
        <v>22</v>
      </c>
      <c r="AP2" s="222" t="str">
        <f t="shared" si="0"/>
        <v>끝</v>
      </c>
      <c r="AQ2" s="222" t="e">
        <f t="shared" si="0"/>
        <v>#VALUE!</v>
      </c>
      <c r="AR2" s="222" t="e">
        <f t="shared" si="0"/>
        <v>#VALUE!</v>
      </c>
      <c r="AS2" s="222" t="e">
        <f t="shared" si="0"/>
        <v>#VALUE!</v>
      </c>
      <c r="AT2" s="222" t="e">
        <f t="shared" si="0"/>
        <v>#VALUE!</v>
      </c>
    </row>
    <row r="3" spans="2:46" s="220" customFormat="1" ht="7.5" customHeight="1">
      <c r="C3" s="222"/>
      <c r="D3" s="222"/>
      <c r="E3" s="222"/>
      <c r="F3" s="222"/>
      <c r="G3" s="222"/>
      <c r="H3" s="232"/>
      <c r="I3" s="522"/>
      <c r="J3" s="522"/>
      <c r="K3" s="222"/>
      <c r="L3" s="222"/>
      <c r="W3" s="222"/>
      <c r="X3" s="222"/>
      <c r="Y3" s="222"/>
      <c r="Z3" s="222"/>
      <c r="AA3" s="222"/>
      <c r="AB3" s="222"/>
      <c r="AC3" s="222"/>
      <c r="AD3" s="222"/>
      <c r="AE3" s="222"/>
      <c r="AF3" s="222"/>
      <c r="AG3" s="222"/>
      <c r="AH3" s="222"/>
      <c r="AI3" s="222"/>
      <c r="AJ3" s="222"/>
      <c r="AK3" s="222"/>
      <c r="AL3" s="222"/>
      <c r="AM3" s="222"/>
      <c r="AN3" s="222"/>
    </row>
    <row r="4" spans="2:46" s="220" customFormat="1" ht="26.25" customHeight="1" thickBot="1">
      <c r="C4" s="523" t="s">
        <v>1497</v>
      </c>
      <c r="M4" s="222"/>
      <c r="N4" s="222"/>
      <c r="O4" s="222"/>
      <c r="P4" s="222"/>
      <c r="Q4" s="222"/>
      <c r="R4" s="222"/>
      <c r="S4" s="222"/>
      <c r="T4" s="222"/>
      <c r="W4" s="222"/>
      <c r="X4" s="222"/>
      <c r="Y4" s="222"/>
      <c r="Z4" s="222" t="e">
        <f ca="1">IF($K$16="수익접근법",OFFSET($Y$4,1,1,13,$L$20+2),OFFSET($Y$23,1,1,7,$L$20+2))</f>
        <v>#VALUE!</v>
      </c>
      <c r="AA4" s="222"/>
      <c r="AB4" s="222"/>
      <c r="AC4" s="222"/>
      <c r="AD4" s="222"/>
      <c r="AE4" s="222"/>
      <c r="AF4" s="222"/>
      <c r="AG4" s="222"/>
      <c r="AH4" s="222"/>
      <c r="AI4" s="222"/>
      <c r="AJ4" s="222"/>
      <c r="AK4" s="222"/>
      <c r="AL4" s="222"/>
      <c r="AM4" s="222"/>
      <c r="AN4" s="222"/>
    </row>
    <row r="5" spans="2:46" s="220" customFormat="1" ht="24.75" customHeight="1">
      <c r="B5" s="25"/>
      <c r="C5" s="524" t="s">
        <v>1372</v>
      </c>
      <c r="D5" s="1133" t="s">
        <v>1373</v>
      </c>
      <c r="E5" s="1165"/>
      <c r="F5" s="525" t="s">
        <v>1416</v>
      </c>
      <c r="G5" s="525" t="s">
        <v>1375</v>
      </c>
      <c r="H5" s="1133" t="s">
        <v>1374</v>
      </c>
      <c r="I5" s="1134"/>
      <c r="J5" s="1134"/>
      <c r="K5" s="1134"/>
      <c r="L5" s="1134"/>
      <c r="M5" s="1135"/>
      <c r="N5" s="222"/>
      <c r="O5" s="222"/>
      <c r="P5" s="222"/>
      <c r="Q5" s="222"/>
      <c r="R5" s="222"/>
      <c r="S5" s="222"/>
      <c r="T5" s="222"/>
      <c r="Y5" s="222">
        <v>1</v>
      </c>
      <c r="Z5" s="526" t="s">
        <v>1439</v>
      </c>
      <c r="AA5" s="526" t="str">
        <f>INDEX(현금흐름!$C$19:$X$31,OUTPUT!$Y5,AA$2)</f>
        <v>Y</v>
      </c>
      <c r="AB5" s="526" t="str">
        <f>INDEX(현금흐름!$C$19:$X$31,OUTPUT!$Y5,AB$2)</f>
        <v>Y+1</v>
      </c>
      <c r="AC5" s="526" t="str">
        <f>INDEX(현금흐름!$C$19:$X$31,OUTPUT!$Y5,AC$2)</f>
        <v>Y+2</v>
      </c>
      <c r="AD5" s="526" t="str">
        <f>INDEX(현금흐름!$C$19:$X$31,OUTPUT!$Y5,AD$2)</f>
        <v>Y+3</v>
      </c>
      <c r="AE5" s="526" t="str">
        <f>INDEX(현금흐름!$C$19:$X$31,OUTPUT!$Y5,AE$2)</f>
        <v>Y+4</v>
      </c>
      <c r="AF5" s="526" t="str">
        <f>INDEX(현금흐름!$C$19:$X$31,OUTPUT!$Y5,AF$2)</f>
        <v>Y+5</v>
      </c>
      <c r="AG5" s="526" t="str">
        <f>INDEX(현금흐름!$C$19:$X$31,OUTPUT!$Y5,AG$2)</f>
        <v>Y+6</v>
      </c>
      <c r="AH5" s="526" t="str">
        <f>INDEX(현금흐름!$C$19:$X$31,OUTPUT!$Y5,AH$2)</f>
        <v>Y+7</v>
      </c>
      <c r="AI5" s="526" t="str">
        <f>INDEX(현금흐름!$C$19:$X$31,OUTPUT!$Y5,AI$2)</f>
        <v>Y+8</v>
      </c>
      <c r="AJ5" s="526" t="str">
        <f>INDEX(현금흐름!$C$19:$X$31,OUTPUT!$Y5,AJ$2)</f>
        <v>Y+9</v>
      </c>
      <c r="AK5" s="526" t="str">
        <f>INDEX(현금흐름!$C$19:$X$31,OUTPUT!$Y5,AK$2)</f>
        <v>Y+10</v>
      </c>
      <c r="AL5" s="526" t="str">
        <f>INDEX(현금흐름!$C$19:$X$31,OUTPUT!$Y5,AL$2)</f>
        <v>Y+11</v>
      </c>
      <c r="AM5" s="526" t="str">
        <f>INDEX(현금흐름!$C$19:$X$31,OUTPUT!$Y5,AM$2)</f>
        <v>Y+12</v>
      </c>
      <c r="AN5" s="526" t="str">
        <f>INDEX(현금흐름!$C$19:$X$31,OUTPUT!$Y5,AN$2)</f>
        <v>Y+13</v>
      </c>
      <c r="AO5" s="526" t="str">
        <f>INDEX(현금흐름!$C$19:$X$31,OUTPUT!$Y5,AO$2)</f>
        <v>합계</v>
      </c>
      <c r="AP5" s="526" t="e">
        <f>INDEX(현금흐름!$C$19:$X$31,OUTPUT!$Y5,AP$2)</f>
        <v>#VALUE!</v>
      </c>
      <c r="AQ5" s="526" t="e">
        <f>INDEX(현금흐름!$C$19:$X$31,OUTPUT!$Y5,AQ$2)</f>
        <v>#VALUE!</v>
      </c>
      <c r="AR5" s="526" t="e">
        <f>INDEX(현금흐름!$C$19:$X$31,OUTPUT!$Y5,AR$2)</f>
        <v>#VALUE!</v>
      </c>
      <c r="AS5" s="526" t="e">
        <f>INDEX(현금흐름!$C$19:$X$31,OUTPUT!$Y5,AS$2)</f>
        <v>#VALUE!</v>
      </c>
      <c r="AT5" s="526" t="e">
        <f>INDEX(현금흐름!$C$19:$X$31,OUTPUT!$Y5,AT$2)</f>
        <v>#VALUE!</v>
      </c>
    </row>
    <row r="6" spans="2:46" s="220" customFormat="1" ht="40.5" customHeight="1" thickBot="1">
      <c r="B6" s="25"/>
      <c r="C6" s="527">
        <f>INPUT!D6</f>
        <v>0</v>
      </c>
      <c r="D6" s="1166" t="str">
        <f>IF(INPUT!E6="","",INPUT!E6)</f>
        <v/>
      </c>
      <c r="E6" s="1167"/>
      <c r="F6" s="528" t="str">
        <f>INPUT!F6</f>
        <v>특허</v>
      </c>
      <c r="G6" s="528" t="str">
        <f>INPUT!G6</f>
        <v>등록</v>
      </c>
      <c r="H6" s="1162">
        <f>INPUT!H6</f>
        <v>0</v>
      </c>
      <c r="I6" s="1163"/>
      <c r="J6" s="1163"/>
      <c r="K6" s="1163"/>
      <c r="L6" s="1163"/>
      <c r="M6" s="1164"/>
      <c r="N6" s="232"/>
      <c r="O6" s="232"/>
      <c r="P6" s="232"/>
      <c r="Q6" s="232"/>
      <c r="R6" s="232"/>
      <c r="S6" s="232"/>
      <c r="T6" s="232"/>
      <c r="Y6" s="222">
        <v>2</v>
      </c>
      <c r="Z6" s="529" t="s">
        <v>164</v>
      </c>
      <c r="AA6" s="530">
        <f>VLOOKUP($Z6,현금흐름!$C$20:$X$31,OUTPUT!AA$2,0)</f>
        <v>1000</v>
      </c>
      <c r="AB6" s="530">
        <f>VLOOKUP($Z6,현금흐름!$C$20:$X$31,OUTPUT!AB$2,0)</f>
        <v>2000</v>
      </c>
      <c r="AC6" s="530">
        <f>VLOOKUP($Z6,현금흐름!$C$20:$X$31,OUTPUT!AC$2,0)</f>
        <v>3000</v>
      </c>
      <c r="AD6" s="530">
        <f>VLOOKUP($Z6,현금흐름!$C$20:$X$31,OUTPUT!AD$2,0)</f>
        <v>4000</v>
      </c>
      <c r="AE6" s="530">
        <f>VLOOKUP($Z6,현금흐름!$C$20:$X$31,OUTPUT!AE$2,0)</f>
        <v>5000</v>
      </c>
      <c r="AF6" s="530">
        <f>VLOOKUP($Z6,현금흐름!$C$20:$X$31,OUTPUT!AF$2,0)</f>
        <v>9200</v>
      </c>
      <c r="AG6" s="530">
        <f>VLOOKUP($Z6,현금흐름!$C$20:$X$31,OUTPUT!AG$2,0)</f>
        <v>11111</v>
      </c>
      <c r="AH6" s="530">
        <f>VLOOKUP($Z6,현금흐름!$C$20:$X$31,OUTPUT!AH$2,0)</f>
        <v>13000</v>
      </c>
      <c r="AI6" s="530">
        <f>VLOOKUP($Z6,현금흐름!$C$20:$X$31,OUTPUT!AI$2,0)</f>
        <v>14000</v>
      </c>
      <c r="AJ6" s="530">
        <f>VLOOKUP($Z6,현금흐름!$C$20:$X$31,OUTPUT!AJ$2,0)</f>
        <v>15000</v>
      </c>
      <c r="AK6" s="530">
        <f>VLOOKUP($Z6,현금흐름!$C$20:$X$31,OUTPUT!AK$2,0)</f>
        <v>16000</v>
      </c>
      <c r="AL6" s="530">
        <f>VLOOKUP($Z6,현금흐름!$C$20:$X$31,OUTPUT!AL$2,0)</f>
        <v>17000</v>
      </c>
      <c r="AM6" s="530">
        <f>VLOOKUP($Z6,현금흐름!$C$20:$X$31,OUTPUT!AM$2,0)</f>
        <v>16000</v>
      </c>
      <c r="AN6" s="530">
        <f>VLOOKUP($Z6,현금흐름!$C$20:$X$31,OUTPUT!AN$2,0)</f>
        <v>15000</v>
      </c>
      <c r="AO6" s="530">
        <f>VLOOKUP($Z6,현금흐름!$C$20:$X$31,OUTPUT!AO$2,0)</f>
        <v>141311</v>
      </c>
      <c r="AP6" s="530" t="e">
        <f>VLOOKUP($Z6,현금흐름!$C$20:$X$31,OUTPUT!AP$2,0)</f>
        <v>#REF!</v>
      </c>
      <c r="AQ6" s="530" t="e">
        <f>VLOOKUP($Z6,현금흐름!$C$20:$X$31,OUTPUT!AQ$2,0)</f>
        <v>#REF!</v>
      </c>
      <c r="AR6" s="530" t="e">
        <f>VLOOKUP($Z6,현금흐름!$C$20:$X$31,OUTPUT!AR$2,0)</f>
        <v>#REF!</v>
      </c>
      <c r="AS6" s="530" t="e">
        <f>VLOOKUP($Z6,현금흐름!$C$20:$X$31,OUTPUT!AS$2,0)</f>
        <v>#REF!</v>
      </c>
      <c r="AT6" s="530" t="e">
        <f>VLOOKUP($Z6,현금흐름!$C$20:$X$31,OUTPUT!AT$2,0)</f>
        <v>#REF!</v>
      </c>
    </row>
    <row r="7" spans="2:46" ht="9.75" customHeight="1">
      <c r="B7" s="25"/>
      <c r="C7" s="231"/>
      <c r="D7" s="231"/>
      <c r="E7" s="231"/>
      <c r="F7" s="232"/>
      <c r="G7" s="232"/>
      <c r="H7" s="232"/>
      <c r="I7" s="232"/>
      <c r="J7" s="232"/>
      <c r="K7" s="232"/>
      <c r="L7" s="232"/>
      <c r="M7" s="220"/>
      <c r="N7" s="220"/>
      <c r="O7" s="220"/>
      <c r="P7" s="220"/>
      <c r="Q7" s="220"/>
      <c r="R7" s="220"/>
      <c r="S7" s="220"/>
      <c r="T7" s="220"/>
      <c r="U7" s="220"/>
      <c r="Y7" s="222">
        <v>3</v>
      </c>
      <c r="Z7" s="531" t="s">
        <v>165</v>
      </c>
      <c r="AA7" s="532">
        <f ca="1">VLOOKUP($Z7,현금흐름!$C$20:$X$31,OUTPUT!AA$2,0)</f>
        <v>845</v>
      </c>
      <c r="AB7" s="532">
        <f ca="1">VLOOKUP($Z7,현금흐름!$C$20:$X$31,OUTPUT!AB$2,0)</f>
        <v>1690</v>
      </c>
      <c r="AC7" s="532">
        <f ca="1">VLOOKUP($Z7,현금흐름!$C$20:$X$31,OUTPUT!AC$2,0)</f>
        <v>2535</v>
      </c>
      <c r="AD7" s="532">
        <f ca="1">VLOOKUP($Z7,현금흐름!$C$20:$X$31,OUTPUT!AD$2,0)</f>
        <v>3380</v>
      </c>
      <c r="AE7" s="532">
        <f ca="1">VLOOKUP($Z7,현금흐름!$C$20:$X$31,OUTPUT!AE$2,0)</f>
        <v>4225</v>
      </c>
      <c r="AF7" s="532">
        <f ca="1">VLOOKUP($Z7,현금흐름!$C$20:$X$31,OUTPUT!AF$2,0)</f>
        <v>7774</v>
      </c>
      <c r="AG7" s="532">
        <f ca="1">VLOOKUP($Z7,현금흐름!$C$20:$X$31,OUTPUT!AG$2,0)</f>
        <v>9388.7950000000001</v>
      </c>
      <c r="AH7" s="532">
        <f ca="1">VLOOKUP($Z7,현금흐름!$C$20:$X$31,OUTPUT!AH$2,0)</f>
        <v>10985</v>
      </c>
      <c r="AI7" s="532">
        <f ca="1">VLOOKUP($Z7,현금흐름!$C$20:$X$31,OUTPUT!AI$2,0)</f>
        <v>11830</v>
      </c>
      <c r="AJ7" s="532">
        <f ca="1">VLOOKUP($Z7,현금흐름!$C$20:$X$31,OUTPUT!AJ$2,0)</f>
        <v>12675</v>
      </c>
      <c r="AK7" s="532">
        <f ca="1">VLOOKUP($Z7,현금흐름!$C$20:$X$31,OUTPUT!AK$2,0)</f>
        <v>13520</v>
      </c>
      <c r="AL7" s="532">
        <f ca="1">VLOOKUP($Z7,현금흐름!$C$20:$X$31,OUTPUT!AL$2,0)</f>
        <v>14365</v>
      </c>
      <c r="AM7" s="532">
        <f ca="1">VLOOKUP($Z7,현금흐름!$C$20:$X$31,OUTPUT!AM$2,0)</f>
        <v>13520</v>
      </c>
      <c r="AN7" s="532">
        <f ca="1">VLOOKUP($Z7,현금흐름!$C$20:$X$31,OUTPUT!AN$2,0)</f>
        <v>12675</v>
      </c>
      <c r="AO7" s="532">
        <f ca="1">VLOOKUP($Z7,현금흐름!$C$20:$X$31,OUTPUT!AO$2,0)</f>
        <v>119407.795</v>
      </c>
      <c r="AP7" s="532" t="e">
        <f>VLOOKUP($Z7,현금흐름!$C$20:$X$31,OUTPUT!AP$2,0)</f>
        <v>#REF!</v>
      </c>
      <c r="AQ7" s="532" t="e">
        <f>VLOOKUP($Z7,현금흐름!$C$20:$X$31,OUTPUT!AQ$2,0)</f>
        <v>#REF!</v>
      </c>
      <c r="AR7" s="532" t="e">
        <f>VLOOKUP($Z7,현금흐름!$C$20:$X$31,OUTPUT!AR$2,0)</f>
        <v>#REF!</v>
      </c>
      <c r="AS7" s="532" t="e">
        <f>VLOOKUP($Z7,현금흐름!$C$20:$X$31,OUTPUT!AS$2,0)</f>
        <v>#REF!</v>
      </c>
      <c r="AT7" s="532" t="e">
        <f>VLOOKUP($Z7,현금흐름!$C$20:$X$31,OUTPUT!AT$2,0)</f>
        <v>#REF!</v>
      </c>
    </row>
    <row r="8" spans="2:46" s="220" customFormat="1" ht="26.25" customHeight="1" thickBot="1">
      <c r="C8" s="25" t="s">
        <v>1495</v>
      </c>
      <c r="M8" s="222"/>
      <c r="N8" s="222"/>
      <c r="O8" s="222"/>
      <c r="P8" s="222"/>
      <c r="Q8" s="222"/>
      <c r="R8" s="222"/>
      <c r="S8" s="222"/>
      <c r="T8" s="222"/>
      <c r="U8" s="222"/>
      <c r="Y8" s="222">
        <v>4</v>
      </c>
      <c r="Z8" s="531" t="s">
        <v>167</v>
      </c>
      <c r="AA8" s="532">
        <f ca="1">VLOOKUP($Z8,현금흐름!$C$20:$X$31,OUTPUT!AA$2,0)</f>
        <v>89</v>
      </c>
      <c r="AB8" s="532">
        <f ca="1">VLOOKUP($Z8,현금흐름!$C$20:$X$31,OUTPUT!AB$2,0)</f>
        <v>178</v>
      </c>
      <c r="AC8" s="532">
        <f ca="1">VLOOKUP($Z8,현금흐름!$C$20:$X$31,OUTPUT!AC$2,0)</f>
        <v>267</v>
      </c>
      <c r="AD8" s="532">
        <f ca="1">VLOOKUP($Z8,현금흐름!$C$20:$X$31,OUTPUT!AD$2,0)</f>
        <v>356</v>
      </c>
      <c r="AE8" s="532">
        <f ca="1">VLOOKUP($Z8,현금흐름!$C$20:$X$31,OUTPUT!AE$2,0)</f>
        <v>445</v>
      </c>
      <c r="AF8" s="532">
        <f ca="1">VLOOKUP($Z8,현금흐름!$C$20:$X$31,OUTPUT!AF$2,0)</f>
        <v>818.8</v>
      </c>
      <c r="AG8" s="532">
        <f ca="1">VLOOKUP($Z8,현금흐름!$C$20:$X$31,OUTPUT!AG$2,0)</f>
        <v>988.87899999999991</v>
      </c>
      <c r="AH8" s="532">
        <f ca="1">VLOOKUP($Z8,현금흐름!$C$20:$X$31,OUTPUT!AH$2,0)</f>
        <v>1157</v>
      </c>
      <c r="AI8" s="532">
        <f ca="1">VLOOKUP($Z8,현금흐름!$C$20:$X$31,OUTPUT!AI$2,0)</f>
        <v>1246</v>
      </c>
      <c r="AJ8" s="532">
        <f ca="1">VLOOKUP($Z8,현금흐름!$C$20:$X$31,OUTPUT!AJ$2,0)</f>
        <v>1335</v>
      </c>
      <c r="AK8" s="532">
        <f ca="1">VLOOKUP($Z8,현금흐름!$C$20:$X$31,OUTPUT!AK$2,0)</f>
        <v>1424</v>
      </c>
      <c r="AL8" s="532">
        <f ca="1">VLOOKUP($Z8,현금흐름!$C$20:$X$31,OUTPUT!AL$2,0)</f>
        <v>1513</v>
      </c>
      <c r="AM8" s="532">
        <f ca="1">VLOOKUP($Z8,현금흐름!$C$20:$X$31,OUTPUT!AM$2,0)</f>
        <v>1424</v>
      </c>
      <c r="AN8" s="532">
        <f ca="1">VLOOKUP($Z8,현금흐름!$C$20:$X$31,OUTPUT!AN$2,0)</f>
        <v>1335</v>
      </c>
      <c r="AO8" s="532">
        <f ca="1">VLOOKUP($Z8,현금흐름!$C$20:$X$31,OUTPUT!AO$2,0)</f>
        <v>12576.679</v>
      </c>
      <c r="AP8" s="532" t="e">
        <f>VLOOKUP($Z8,현금흐름!$C$20:$X$31,OUTPUT!AP$2,0)</f>
        <v>#REF!</v>
      </c>
      <c r="AQ8" s="532" t="e">
        <f>VLOOKUP($Z8,현금흐름!$C$20:$X$31,OUTPUT!AQ$2,0)</f>
        <v>#REF!</v>
      </c>
      <c r="AR8" s="532" t="e">
        <f>VLOOKUP($Z8,현금흐름!$C$20:$X$31,OUTPUT!AR$2,0)</f>
        <v>#REF!</v>
      </c>
      <c r="AS8" s="532" t="e">
        <f>VLOOKUP($Z8,현금흐름!$C$20:$X$31,OUTPUT!AS$2,0)</f>
        <v>#REF!</v>
      </c>
      <c r="AT8" s="532" t="e">
        <f>VLOOKUP($Z8,현금흐름!$C$20:$X$31,OUTPUT!AT$2,0)</f>
        <v>#REF!</v>
      </c>
    </row>
    <row r="9" spans="2:46" s="220" customFormat="1" ht="26.25" customHeight="1">
      <c r="B9" s="222"/>
      <c r="C9" s="533" t="s">
        <v>1368</v>
      </c>
      <c r="D9" s="525" t="s">
        <v>1193</v>
      </c>
      <c r="E9" s="1133" t="s">
        <v>1194</v>
      </c>
      <c r="F9" s="1134"/>
      <c r="G9" s="1134"/>
      <c r="H9" s="1134"/>
      <c r="I9" s="1134"/>
      <c r="J9" s="1134"/>
      <c r="K9" s="1134"/>
      <c r="L9" s="1134"/>
      <c r="M9" s="1135"/>
      <c r="N9" s="222"/>
      <c r="O9" s="222"/>
      <c r="P9" s="222"/>
      <c r="Q9" s="222"/>
      <c r="R9" s="222"/>
      <c r="S9" s="222"/>
      <c r="T9" s="222"/>
      <c r="U9" s="222"/>
      <c r="Y9" s="222">
        <v>5</v>
      </c>
      <c r="Z9" s="531" t="str">
        <f>IF(INPUT!$J$75="개인기업", "(-) 소득세비용","(-) 법인세비용")</f>
        <v>(-) 법인세비용</v>
      </c>
      <c r="AA9" s="534">
        <f ca="1">VLOOKUP($Z9,현금흐름!$C$20:$X$31,OUTPUT!AA$2,0)</f>
        <v>6.5340000000000007</v>
      </c>
      <c r="AB9" s="534">
        <f ca="1">VLOOKUP($Z9,현금흐름!$C$20:$X$31,OUTPUT!AB$2,0)</f>
        <v>13.068000000000001</v>
      </c>
      <c r="AC9" s="534">
        <f ca="1">VLOOKUP($Z9,현금흐름!$C$20:$X$31,OUTPUT!AC$2,0)</f>
        <v>19.602</v>
      </c>
      <c r="AD9" s="534">
        <f ca="1">VLOOKUP($Z9,현금흐름!$C$20:$X$31,OUTPUT!AD$2,0)</f>
        <v>33.176000000000002</v>
      </c>
      <c r="AE9" s="534">
        <f ca="1">VLOOKUP($Z9,현금흐름!$C$20:$X$31,OUTPUT!AE$2,0)</f>
        <v>46.97</v>
      </c>
      <c r="AF9" s="534">
        <f ca="1">VLOOKUP($Z9,현금흐름!$C$20:$X$31,OUTPUT!AF$2,0)</f>
        <v>104.90480000000001</v>
      </c>
      <c r="AG9" s="534">
        <f ca="1">VLOOKUP($Z9,현금흐름!$C$20:$X$31,OUTPUT!AG$2,0)</f>
        <v>131.26513400000002</v>
      </c>
      <c r="AH9" s="534">
        <f ca="1">VLOOKUP($Z9,현금흐름!$C$20:$X$31,OUTPUT!AH$2,0)</f>
        <v>157.322</v>
      </c>
      <c r="AI9" s="534">
        <f ca="1">VLOOKUP($Z9,현금흐름!$C$20:$X$31,OUTPUT!AI$2,0)</f>
        <v>171.11600000000001</v>
      </c>
      <c r="AJ9" s="534">
        <f ca="1">VLOOKUP($Z9,현금흐름!$C$20:$X$31,OUTPUT!AJ$2,0)</f>
        <v>184.91</v>
      </c>
      <c r="AK9" s="534">
        <f ca="1">VLOOKUP($Z9,현금흐름!$C$20:$X$31,OUTPUT!AK$2,0)</f>
        <v>198.70400000000001</v>
      </c>
      <c r="AL9" s="534">
        <f ca="1">VLOOKUP($Z9,현금흐름!$C$20:$X$31,OUTPUT!AL$2,0)</f>
        <v>212.49799999999999</v>
      </c>
      <c r="AM9" s="534">
        <f ca="1">VLOOKUP($Z9,현금흐름!$C$20:$X$31,OUTPUT!AM$2,0)</f>
        <v>198.70400000000001</v>
      </c>
      <c r="AN9" s="534">
        <f ca="1">VLOOKUP($Z9,현금흐름!$C$20:$X$31,OUTPUT!AN$2,0)</f>
        <v>184.91</v>
      </c>
      <c r="AO9" s="534">
        <f ca="1">VLOOKUP($Z9,현금흐름!$C$20:$X$31,OUTPUT!AO$2,0)</f>
        <v>1663.6839340000001</v>
      </c>
      <c r="AP9" s="534" t="e">
        <f>VLOOKUP($Z9,현금흐름!$C$20:$X$31,OUTPUT!AP$2,0)</f>
        <v>#REF!</v>
      </c>
      <c r="AQ9" s="534" t="e">
        <f>VLOOKUP($Z9,현금흐름!$C$20:$X$31,OUTPUT!AQ$2,0)</f>
        <v>#REF!</v>
      </c>
      <c r="AR9" s="534" t="e">
        <f>VLOOKUP($Z9,현금흐름!$C$20:$X$31,OUTPUT!AR$2,0)</f>
        <v>#REF!</v>
      </c>
      <c r="AS9" s="534" t="e">
        <f>VLOOKUP($Z9,현금흐름!$C$20:$X$31,OUTPUT!AS$2,0)</f>
        <v>#REF!</v>
      </c>
      <c r="AT9" s="534" t="e">
        <f>VLOOKUP($Z9,현금흐름!$C$20:$X$31,OUTPUT!AT$2,0)</f>
        <v>#REF!</v>
      </c>
    </row>
    <row r="10" spans="2:46" s="220" customFormat="1" ht="39" customHeight="1">
      <c r="B10" s="222"/>
      <c r="C10" s="535" t="s">
        <v>1191</v>
      </c>
      <c r="D10" s="536" t="str">
        <f>INPUT!E15</f>
        <v>A23D</v>
      </c>
      <c r="E10" s="1139" t="str">
        <f>INPUT!F15</f>
        <v>식용유지 예· 마가린, 쇼트닝(shortenings), 식용유(채취, 정제, 보존. C11B, C11C; 수소첨가 C11C 3/12)</v>
      </c>
      <c r="F10" s="1140"/>
      <c r="G10" s="1140"/>
      <c r="H10" s="1140"/>
      <c r="I10" s="1140"/>
      <c r="J10" s="1140"/>
      <c r="K10" s="1140"/>
      <c r="L10" s="1140"/>
      <c r="M10" s="1141"/>
      <c r="N10" s="222"/>
      <c r="O10" s="222"/>
      <c r="P10" s="222"/>
      <c r="Q10" s="222"/>
      <c r="R10" s="222"/>
      <c r="S10" s="222"/>
      <c r="T10" s="222"/>
      <c r="U10" s="222"/>
      <c r="Y10" s="222">
        <v>6</v>
      </c>
      <c r="Z10" s="537" t="s">
        <v>1512</v>
      </c>
      <c r="AA10" s="538">
        <f ca="1">VLOOKUP($Z10,현금흐름!$C$20:$X$31,OUTPUT!AA$2,0)</f>
        <v>59.466000000000001</v>
      </c>
      <c r="AB10" s="538">
        <f ca="1">VLOOKUP($Z10,현금흐름!$C$20:$X$31,OUTPUT!AB$2,0)</f>
        <v>118.932</v>
      </c>
      <c r="AC10" s="538">
        <f ca="1">VLOOKUP($Z10,현금흐름!$C$20:$X$31,OUTPUT!AC$2,0)</f>
        <v>178.398</v>
      </c>
      <c r="AD10" s="538">
        <f ca="1">VLOOKUP($Z10,현금흐름!$C$20:$X$31,OUTPUT!AD$2,0)</f>
        <v>230.82400000000001</v>
      </c>
      <c r="AE10" s="538">
        <f ca="1">VLOOKUP($Z10,현금흐름!$C$20:$X$31,OUTPUT!AE$2,0)</f>
        <v>283.02999999999997</v>
      </c>
      <c r="AF10" s="538">
        <f ca="1">VLOOKUP($Z10,현금흐름!$C$20:$X$31,OUTPUT!AF$2,0)</f>
        <v>502.29520000000002</v>
      </c>
      <c r="AG10" s="538">
        <f ca="1">VLOOKUP($Z10,현금흐름!$C$20:$X$31,OUTPUT!AG$2,0)</f>
        <v>602.06086600000003</v>
      </c>
      <c r="AH10" s="538">
        <f ca="1">VLOOKUP($Z10,현금흐름!$C$20:$X$31,OUTPUT!AH$2,0)</f>
        <v>700.678</v>
      </c>
      <c r="AI10" s="538">
        <f ca="1">VLOOKUP($Z10,현금흐름!$C$20:$X$31,OUTPUT!AI$2,0)</f>
        <v>752.88400000000001</v>
      </c>
      <c r="AJ10" s="538">
        <f ca="1">VLOOKUP($Z10,현금흐름!$C$20:$X$31,OUTPUT!AJ$2,0)</f>
        <v>805.09</v>
      </c>
      <c r="AK10" s="538">
        <f ca="1">VLOOKUP($Z10,현금흐름!$C$20:$X$31,OUTPUT!AK$2,0)</f>
        <v>857.29600000000005</v>
      </c>
      <c r="AL10" s="538">
        <f ca="1">VLOOKUP($Z10,현금흐름!$C$20:$X$31,OUTPUT!AL$2,0)</f>
        <v>909.50199999999995</v>
      </c>
      <c r="AM10" s="538">
        <f ca="1">VLOOKUP($Z10,현금흐름!$C$20:$X$31,OUTPUT!AM$2,0)</f>
        <v>857.29600000000005</v>
      </c>
      <c r="AN10" s="538">
        <f ca="1">VLOOKUP($Z10,현금흐름!$C$20:$X$31,OUTPUT!AN$2,0)</f>
        <v>805.09</v>
      </c>
      <c r="AO10" s="538">
        <f ca="1">VLOOKUP($Z10,현금흐름!$C$20:$X$31,OUTPUT!AO$2,0)</f>
        <v>7662.8420660000011</v>
      </c>
      <c r="AP10" s="538" t="e">
        <f>VLOOKUP($Z10,현금흐름!$C$20:$X$31,OUTPUT!AP$2,0)</f>
        <v>#REF!</v>
      </c>
      <c r="AQ10" s="538" t="e">
        <f>VLOOKUP($Z10,현금흐름!$C$20:$X$31,OUTPUT!AQ$2,0)</f>
        <v>#REF!</v>
      </c>
      <c r="AR10" s="538" t="e">
        <f>VLOOKUP($Z10,현금흐름!$C$20:$X$31,OUTPUT!AR$2,0)</f>
        <v>#REF!</v>
      </c>
      <c r="AS10" s="538" t="e">
        <f>VLOOKUP($Z10,현금흐름!$C$20:$X$31,OUTPUT!AS$2,0)</f>
        <v>#REF!</v>
      </c>
      <c r="AT10" s="538" t="e">
        <f>VLOOKUP($Z10,현금흐름!$C$20:$X$31,OUTPUT!AT$2,0)</f>
        <v>#REF!</v>
      </c>
    </row>
    <row r="11" spans="2:46" s="220" customFormat="1" ht="24" customHeight="1">
      <c r="B11" s="222"/>
      <c r="C11" s="539" t="s">
        <v>2771</v>
      </c>
      <c r="D11" s="536">
        <f>INPUT!E17</f>
        <v>20423</v>
      </c>
      <c r="E11" s="1139" t="str">
        <f>INPUT!F17</f>
        <v>화장품제조업</v>
      </c>
      <c r="F11" s="1140"/>
      <c r="G11" s="1140"/>
      <c r="H11" s="1140"/>
      <c r="I11" s="1140"/>
      <c r="J11" s="1140"/>
      <c r="K11" s="1140"/>
      <c r="L11" s="1140"/>
      <c r="M11" s="1141"/>
      <c r="N11" s="222"/>
      <c r="O11" s="222"/>
      <c r="P11" s="222"/>
      <c r="Q11" s="222"/>
      <c r="R11" s="222"/>
      <c r="S11" s="222"/>
      <c r="T11" s="222"/>
      <c r="Y11" s="222">
        <v>7</v>
      </c>
      <c r="Z11" s="540" t="s">
        <v>170</v>
      </c>
      <c r="AA11" s="541">
        <f ca="1">VLOOKUP($Z11,현금흐름!$C$20:$X$31,OUTPUT!AA$2,0)</f>
        <v>4</v>
      </c>
      <c r="AB11" s="541">
        <f ca="1">VLOOKUP($Z11,현금흐름!$C$20:$X$31,OUTPUT!AB$2,0)</f>
        <v>8</v>
      </c>
      <c r="AC11" s="541">
        <f ca="1">VLOOKUP($Z11,현금흐름!$C$20:$X$31,OUTPUT!AC$2,0)</f>
        <v>12</v>
      </c>
      <c r="AD11" s="541">
        <f ca="1">VLOOKUP($Z11,현금흐름!$C$20:$X$31,OUTPUT!AD$2,0)</f>
        <v>16</v>
      </c>
      <c r="AE11" s="541">
        <f ca="1">VLOOKUP($Z11,현금흐름!$C$20:$X$31,OUTPUT!AE$2,0)</f>
        <v>20</v>
      </c>
      <c r="AF11" s="541">
        <f ca="1">VLOOKUP($Z11,현금흐름!$C$20:$X$31,OUTPUT!AF$2,0)</f>
        <v>36.800000000000004</v>
      </c>
      <c r="AG11" s="541">
        <f ca="1">VLOOKUP($Z11,현금흐름!$C$20:$X$31,OUTPUT!AG$2,0)</f>
        <v>44.444000000000003</v>
      </c>
      <c r="AH11" s="541">
        <f ca="1">VLOOKUP($Z11,현금흐름!$C$20:$X$31,OUTPUT!AH$2,0)</f>
        <v>52</v>
      </c>
      <c r="AI11" s="541">
        <f ca="1">VLOOKUP($Z11,현금흐름!$C$20:$X$31,OUTPUT!AI$2,0)</f>
        <v>56</v>
      </c>
      <c r="AJ11" s="541">
        <f ca="1">VLOOKUP($Z11,현금흐름!$C$20:$X$31,OUTPUT!AJ$2,0)</f>
        <v>60</v>
      </c>
      <c r="AK11" s="541">
        <f ca="1">VLOOKUP($Z11,현금흐름!$C$20:$X$31,OUTPUT!AK$2,0)</f>
        <v>64</v>
      </c>
      <c r="AL11" s="541">
        <f ca="1">VLOOKUP($Z11,현금흐름!$C$20:$X$31,OUTPUT!AL$2,0)</f>
        <v>68</v>
      </c>
      <c r="AM11" s="541">
        <f ca="1">VLOOKUP($Z11,현금흐름!$C$20:$X$31,OUTPUT!AM$2,0)</f>
        <v>64</v>
      </c>
      <c r="AN11" s="541">
        <f ca="1">VLOOKUP($Z11,현금흐름!$C$20:$X$31,OUTPUT!AN$2,0)</f>
        <v>60</v>
      </c>
      <c r="AO11" s="541">
        <f ca="1">VLOOKUP($Z11,현금흐름!$C$20:$X$31,OUTPUT!AO$2,0)</f>
        <v>565.24400000000003</v>
      </c>
      <c r="AP11" s="541" t="e">
        <f>VLOOKUP($Z11,현금흐름!$C$20:$X$31,OUTPUT!AP$2,0)</f>
        <v>#REF!</v>
      </c>
      <c r="AQ11" s="541" t="e">
        <f>VLOOKUP($Z11,현금흐름!$C$20:$X$31,OUTPUT!AQ$2,0)</f>
        <v>#REF!</v>
      </c>
      <c r="AR11" s="541" t="e">
        <f>VLOOKUP($Z11,현금흐름!$C$20:$X$31,OUTPUT!AR$2,0)</f>
        <v>#REF!</v>
      </c>
      <c r="AS11" s="541" t="e">
        <f>VLOOKUP($Z11,현금흐름!$C$20:$X$31,OUTPUT!AS$2,0)</f>
        <v>#REF!</v>
      </c>
      <c r="AT11" s="541" t="e">
        <f>VLOOKUP($Z11,현금흐름!$C$20:$X$31,OUTPUT!AT$2,0)</f>
        <v>#REF!</v>
      </c>
    </row>
    <row r="12" spans="2:46" s="220" customFormat="1" ht="24" customHeight="1" thickBot="1">
      <c r="C12" s="542" t="s">
        <v>2772</v>
      </c>
      <c r="D12" s="543">
        <f>INPUT!E16</f>
        <v>429</v>
      </c>
      <c r="E12" s="1136" t="str">
        <f>INPUT!F16</f>
        <v>기타 임산물 가공품 제조업</v>
      </c>
      <c r="F12" s="1137"/>
      <c r="G12" s="1137"/>
      <c r="H12" s="1137"/>
      <c r="I12" s="1137"/>
      <c r="J12" s="1137"/>
      <c r="K12" s="1137"/>
      <c r="L12" s="1137"/>
      <c r="M12" s="1138"/>
      <c r="N12" s="222"/>
      <c r="O12" s="222"/>
      <c r="P12" s="222"/>
      <c r="Q12" s="222"/>
      <c r="R12" s="222"/>
      <c r="S12" s="222"/>
      <c r="T12" s="222"/>
      <c r="Y12" s="222">
        <v>8</v>
      </c>
      <c r="Z12" s="540" t="s">
        <v>171</v>
      </c>
      <c r="AA12" s="541">
        <f ca="1">VLOOKUP($Z12,현금흐름!$C$20:$X$31,OUTPUT!AA$2,0)</f>
        <v>545.57549234135661</v>
      </c>
      <c r="AB12" s="541">
        <f ca="1">VLOOKUP($Z12,현금흐름!$C$20:$X$31,OUTPUT!AB$2,0)</f>
        <v>549.57549234135661</v>
      </c>
      <c r="AC12" s="541">
        <f ca="1">VLOOKUP($Z12,현금흐름!$C$20:$X$31,OUTPUT!AC$2,0)</f>
        <v>553.57549234135661</v>
      </c>
      <c r="AD12" s="541">
        <f ca="1">VLOOKUP($Z12,현금흐름!$C$20:$X$31,OUTPUT!AD$2,0)</f>
        <v>557.57549234135661</v>
      </c>
      <c r="AE12" s="541">
        <f ca="1">VLOOKUP($Z12,현금흐름!$C$20:$X$31,OUTPUT!AE$2,0)</f>
        <v>561.57549234135661</v>
      </c>
      <c r="AF12" s="541">
        <f ca="1">VLOOKUP($Z12,현금흐름!$C$20:$X$31,OUTPUT!AF$2,0)</f>
        <v>2311.4170678336982</v>
      </c>
      <c r="AG12" s="541">
        <f ca="1">VLOOKUP($Z12,현금흐름!$C$20:$X$31,OUTPUT!AG$2,0)</f>
        <v>1079.3947658643324</v>
      </c>
      <c r="AH12" s="541">
        <f ca="1">VLOOKUP($Z12,현금흐름!$C$20:$X$31,OUTPUT!AH$2,0)</f>
        <v>1075.0361050328229</v>
      </c>
      <c r="AI12" s="541">
        <f ca="1">VLOOKUP($Z12,현금흐름!$C$20:$X$31,OUTPUT!AI$2,0)</f>
        <v>597.57549234135661</v>
      </c>
      <c r="AJ12" s="541">
        <f ca="1">VLOOKUP($Z12,현금흐름!$C$20:$X$31,OUTPUT!AJ$2,0)</f>
        <v>601.57549234135661</v>
      </c>
      <c r="AK12" s="541">
        <f ca="1">VLOOKUP($Z12,현금흐름!$C$20:$X$31,OUTPUT!AK$2,0)</f>
        <v>605.57549234135661</v>
      </c>
      <c r="AL12" s="541">
        <f ca="1">VLOOKUP($Z12,현금흐름!$C$20:$X$31,OUTPUT!AL$2,0)</f>
        <v>609.57549234135661</v>
      </c>
      <c r="AM12" s="541">
        <f ca="1">VLOOKUP($Z12,현금흐름!$C$20:$X$31,OUTPUT!AM$2,0)</f>
        <v>-477.57549234135661</v>
      </c>
      <c r="AN12" s="541">
        <f ca="1">VLOOKUP($Z12,현금흐름!$C$20:$X$31,OUTPUT!AN$2,0)</f>
        <v>-481.57549234135661</v>
      </c>
      <c r="AO12" s="541">
        <f ca="1">VLOOKUP($Z12,현금흐름!$C$20:$X$31,OUTPUT!AO$2,0)</f>
        <v>8688.8763851203494</v>
      </c>
      <c r="AP12" s="541" t="e">
        <f>VLOOKUP($Z12,현금흐름!$C$20:$X$31,OUTPUT!AP$2,0)</f>
        <v>#REF!</v>
      </c>
      <c r="AQ12" s="541" t="e">
        <f>VLOOKUP($Z12,현금흐름!$C$20:$X$31,OUTPUT!AQ$2,0)</f>
        <v>#REF!</v>
      </c>
      <c r="AR12" s="541" t="e">
        <f>VLOOKUP($Z12,현금흐름!$C$20:$X$31,OUTPUT!AR$2,0)</f>
        <v>#REF!</v>
      </c>
      <c r="AS12" s="541" t="e">
        <f>VLOOKUP($Z12,현금흐름!$C$20:$X$31,OUTPUT!AS$2,0)</f>
        <v>#REF!</v>
      </c>
      <c r="AT12" s="541" t="e">
        <f>VLOOKUP($Z12,현금흐름!$C$20:$X$31,OUTPUT!AT$2,0)</f>
        <v>#REF!</v>
      </c>
    </row>
    <row r="13" spans="2:46" s="220" customFormat="1" ht="11.25" customHeight="1">
      <c r="C13" s="222"/>
      <c r="D13" s="222"/>
      <c r="E13" s="222"/>
      <c r="F13" s="222"/>
      <c r="G13" s="222"/>
      <c r="H13" s="222"/>
      <c r="I13" s="222"/>
      <c r="J13" s="222"/>
      <c r="K13" s="222"/>
      <c r="L13" s="222"/>
      <c r="M13" s="222"/>
      <c r="N13" s="222"/>
      <c r="O13" s="222"/>
      <c r="P13" s="222"/>
      <c r="Q13" s="222"/>
      <c r="R13" s="222"/>
      <c r="S13" s="222"/>
      <c r="T13" s="222"/>
      <c r="Y13" s="222">
        <v>9</v>
      </c>
      <c r="Z13" s="540" t="s">
        <v>172</v>
      </c>
      <c r="AA13" s="541">
        <f ca="1">VLOOKUP($Z13,현금흐름!$C$20:$X$31,OUTPUT!AA$2,0)</f>
        <v>221.02034326030667</v>
      </c>
      <c r="AB13" s="541">
        <f ca="1">VLOOKUP($Z13,현금흐름!$C$20:$X$31,OUTPUT!AB$2,0)</f>
        <v>221.02034326030667</v>
      </c>
      <c r="AC13" s="541">
        <f ca="1">VLOOKUP($Z13,현금흐름!$C$20:$X$31,OUTPUT!AC$2,0)</f>
        <v>221.02034326030667</v>
      </c>
      <c r="AD13" s="541">
        <f ca="1">VLOOKUP($Z13,현금흐름!$C$20:$X$31,OUTPUT!AD$2,0)</f>
        <v>221.02034326030667</v>
      </c>
      <c r="AE13" s="541">
        <f ca="1">VLOOKUP($Z13,현금흐름!$C$20:$X$31,OUTPUT!AE$2,0)</f>
        <v>221.02034326030667</v>
      </c>
      <c r="AF13" s="541">
        <f ca="1">VLOOKUP($Z13,현금흐름!$C$20:$X$31,OUTPUT!AF$2,0)</f>
        <v>928.28544169328813</v>
      </c>
      <c r="AG13" s="541">
        <f ca="1">VLOOKUP($Z13,현금흐름!$C$20:$X$31,OUTPUT!AG$2,0)</f>
        <v>422.36987597044606</v>
      </c>
      <c r="AH13" s="541">
        <f ca="1">VLOOKUP($Z13,현금흐름!$C$20:$X$31,OUTPUT!AH$2,0)</f>
        <v>417.50742841871931</v>
      </c>
      <c r="AI13" s="541">
        <f ca="1">VLOOKUP($Z13,현금흐름!$C$20:$X$31,OUTPUT!AI$2,0)</f>
        <v>221.02034326030667</v>
      </c>
      <c r="AJ13" s="541">
        <f ca="1">VLOOKUP($Z13,현금흐름!$C$20:$X$31,OUTPUT!AJ$2,0)</f>
        <v>221.02034326030667</v>
      </c>
      <c r="AK13" s="541">
        <f ca="1">VLOOKUP($Z13,현금흐름!$C$20:$X$31,OUTPUT!AK$2,0)</f>
        <v>221.02034326030667</v>
      </c>
      <c r="AL13" s="541">
        <f ca="1">VLOOKUP($Z13,현금흐름!$C$20:$X$31,OUTPUT!AL$2,0)</f>
        <v>221.02034326030667</v>
      </c>
      <c r="AM13" s="541">
        <f ca="1">VLOOKUP($Z13,현금흐름!$C$20:$X$31,OUTPUT!AM$2,0)</f>
        <v>-221.02034326030667</v>
      </c>
      <c r="AN13" s="541">
        <f ca="1">VLOOKUP($Z13,현금흐름!$C$20:$X$31,OUTPUT!AN$2,0)</f>
        <v>-221.02034326030667</v>
      </c>
      <c r="AO13" s="541">
        <f ca="1">VLOOKUP($Z13,현금흐름!$C$20:$X$31,OUTPUT!AO$2,0)</f>
        <v>3315.3051489046002</v>
      </c>
      <c r="AP13" s="541" t="e">
        <f>VLOOKUP($Z13,현금흐름!$C$20:$X$31,OUTPUT!AP$2,0)</f>
        <v>#REF!</v>
      </c>
      <c r="AQ13" s="541" t="e">
        <f>VLOOKUP($Z13,현금흐름!$C$20:$X$31,OUTPUT!AQ$2,0)</f>
        <v>#REF!</v>
      </c>
      <c r="AR13" s="541" t="e">
        <f>VLOOKUP($Z13,현금흐름!$C$20:$X$31,OUTPUT!AR$2,0)</f>
        <v>#REF!</v>
      </c>
      <c r="AS13" s="541" t="e">
        <f>VLOOKUP($Z13,현금흐름!$C$20:$X$31,OUTPUT!AS$2,0)</f>
        <v>#REF!</v>
      </c>
      <c r="AT13" s="541" t="e">
        <f>VLOOKUP($Z13,현금흐름!$C$20:$X$31,OUTPUT!AT$2,0)</f>
        <v>#REF!</v>
      </c>
    </row>
    <row r="14" spans="2:46" s="220" customFormat="1" ht="24.75" customHeight="1" thickBot="1">
      <c r="C14" s="25" t="s">
        <v>1482</v>
      </c>
      <c r="D14" s="222"/>
      <c r="E14" s="222"/>
      <c r="F14" s="222"/>
      <c r="G14" s="222"/>
      <c r="H14" s="222"/>
      <c r="I14" s="222"/>
      <c r="J14" s="222"/>
      <c r="K14" s="222"/>
      <c r="L14" s="222"/>
      <c r="M14" s="222"/>
      <c r="N14" s="222"/>
      <c r="O14" s="222"/>
      <c r="P14" s="222"/>
      <c r="Q14" s="222"/>
      <c r="R14" s="222"/>
      <c r="S14" s="222"/>
      <c r="T14" s="222"/>
      <c r="Y14" s="222">
        <v>10</v>
      </c>
      <c r="Z14" s="540" t="s">
        <v>173</v>
      </c>
      <c r="AA14" s="544">
        <f>VLOOKUP($Z14,현금흐름!$C$20:$X$31,OUTPUT!AA$2,0)</f>
        <v>0</v>
      </c>
      <c r="AB14" s="544">
        <f>VLOOKUP($Z14,현금흐름!$C$20:$X$31,OUTPUT!AB$2,0)</f>
        <v>0</v>
      </c>
      <c r="AC14" s="544">
        <f>VLOOKUP($Z14,현금흐름!$C$20:$X$31,OUTPUT!AC$2,0)</f>
        <v>0</v>
      </c>
      <c r="AD14" s="544">
        <f>VLOOKUP($Z14,현금흐름!$C$20:$X$31,OUTPUT!AD$2,0)</f>
        <v>0</v>
      </c>
      <c r="AE14" s="544">
        <f>VLOOKUP($Z14,현금흐름!$C$20:$X$31,OUTPUT!AE$2,0)</f>
        <v>0</v>
      </c>
      <c r="AF14" s="544">
        <f>VLOOKUP($Z14,현금흐름!$C$20:$X$31,OUTPUT!AF$2,0)</f>
        <v>0</v>
      </c>
      <c r="AG14" s="544">
        <f>VLOOKUP($Z14,현금흐름!$C$20:$X$31,OUTPUT!AG$2,0)</f>
        <v>0</v>
      </c>
      <c r="AH14" s="544">
        <f>VLOOKUP($Z14,현금흐름!$C$20:$X$31,OUTPUT!AH$2,0)</f>
        <v>0</v>
      </c>
      <c r="AI14" s="544">
        <f>VLOOKUP($Z14,현금흐름!$C$20:$X$31,OUTPUT!AI$2,0)</f>
        <v>0</v>
      </c>
      <c r="AJ14" s="544">
        <f>VLOOKUP($Z14,현금흐름!$C$20:$X$31,OUTPUT!AJ$2,0)</f>
        <v>0</v>
      </c>
      <c r="AK14" s="544">
        <f>VLOOKUP($Z14,현금흐름!$C$20:$X$31,OUTPUT!AK$2,0)</f>
        <v>0</v>
      </c>
      <c r="AL14" s="544">
        <f>VLOOKUP($Z14,현금흐름!$C$20:$X$31,OUTPUT!AL$2,0)</f>
        <v>0</v>
      </c>
      <c r="AM14" s="544">
        <f>VLOOKUP($Z14,현금흐름!$C$20:$X$31,OUTPUT!AM$2,0)</f>
        <v>0</v>
      </c>
      <c r="AN14" s="544">
        <f ca="1">VLOOKUP($Z14,현금흐름!$C$20:$X$31,OUTPUT!AN$2,0)</f>
        <v>11438.937534024948</v>
      </c>
      <c r="AO14" s="544">
        <f ca="1">VLOOKUP($Z14,현금흐름!$C$20:$X$31,OUTPUT!AO$2,0)</f>
        <v>11438.937534024948</v>
      </c>
      <c r="AP14" s="544" t="e">
        <f>VLOOKUP($Z14,현금흐름!$C$20:$X$31,OUTPUT!AP$2,0)</f>
        <v>#REF!</v>
      </c>
      <c r="AQ14" s="544" t="e">
        <f>VLOOKUP($Z14,현금흐름!$C$20:$X$31,OUTPUT!AQ$2,0)</f>
        <v>#REF!</v>
      </c>
      <c r="AR14" s="544" t="e">
        <f>VLOOKUP($Z14,현금흐름!$C$20:$X$31,OUTPUT!AR$2,0)</f>
        <v>#REF!</v>
      </c>
      <c r="AS14" s="544" t="e">
        <f>VLOOKUP($Z14,현금흐름!$C$20:$X$31,OUTPUT!AS$2,0)</f>
        <v>#REF!</v>
      </c>
      <c r="AT14" s="544" t="e">
        <f>VLOOKUP($Z14,현금흐름!$C$20:$X$31,OUTPUT!AT$2,0)</f>
        <v>#REF!</v>
      </c>
    </row>
    <row r="15" spans="2:46" s="220" customFormat="1" ht="39.75" customHeight="1">
      <c r="C15" s="1100" t="s">
        <v>1360</v>
      </c>
      <c r="D15" s="1101"/>
      <c r="E15" s="1101" t="s">
        <v>1151</v>
      </c>
      <c r="F15" s="1101"/>
      <c r="G15" s="1101" t="s">
        <v>227</v>
      </c>
      <c r="H15" s="1101"/>
      <c r="I15" s="1101" t="s">
        <v>1376</v>
      </c>
      <c r="J15" s="1101"/>
      <c r="K15" s="545" t="s">
        <v>1366</v>
      </c>
      <c r="L15" s="545" t="s">
        <v>1369</v>
      </c>
      <c r="M15" s="546" t="s">
        <v>1517</v>
      </c>
      <c r="N15" s="222"/>
      <c r="O15" s="222"/>
      <c r="P15" s="222"/>
      <c r="Q15" s="222"/>
      <c r="R15" s="222"/>
      <c r="S15" s="222"/>
      <c r="T15" s="222"/>
      <c r="Y15" s="222">
        <v>11</v>
      </c>
      <c r="Z15" s="547" t="s">
        <v>174</v>
      </c>
      <c r="AA15" s="548">
        <f ca="1">VLOOKUP($Z15,현금흐름!$C$20:$X$31,OUTPUT!AA$2,0)</f>
        <v>-703.12983560166322</v>
      </c>
      <c r="AB15" s="548">
        <f ca="1">VLOOKUP($Z15,현금흐름!$C$20:$X$31,OUTPUT!AB$2,0)</f>
        <v>-643.66383560166332</v>
      </c>
      <c r="AC15" s="548">
        <f ca="1">VLOOKUP($Z15,현금흐름!$C$20:$X$31,OUTPUT!AC$2,0)</f>
        <v>-584.1978356016632</v>
      </c>
      <c r="AD15" s="548">
        <f ca="1">VLOOKUP($Z15,현금흐름!$C$20:$X$31,OUTPUT!AD$2,0)</f>
        <v>-531.77183560166327</v>
      </c>
      <c r="AE15" s="548">
        <f ca="1">VLOOKUP($Z15,현금흐름!$C$20:$X$31,OUTPUT!AE$2,0)</f>
        <v>-479.56583560166331</v>
      </c>
      <c r="AF15" s="548">
        <f ca="1">VLOOKUP($Z15,현금흐름!$C$20:$X$31,OUTPUT!AF$2,0)</f>
        <v>-2700.6073095269862</v>
      </c>
      <c r="AG15" s="548">
        <f ca="1">VLOOKUP($Z15,현금흐름!$C$20:$X$31,OUTPUT!AG$2,0)</f>
        <v>-855.25977583477845</v>
      </c>
      <c r="AH15" s="548">
        <f ca="1">VLOOKUP($Z15,현금흐름!$C$20:$X$31,OUTPUT!AH$2,0)</f>
        <v>-739.86553345154221</v>
      </c>
      <c r="AI15" s="548">
        <f ca="1">VLOOKUP($Z15,현금흐름!$C$20:$X$31,OUTPUT!AI$2,0)</f>
        <v>-9.7118356016632674</v>
      </c>
      <c r="AJ15" s="548">
        <f ca="1">VLOOKUP($Z15,현금흐름!$C$20:$X$31,OUTPUT!AJ$2,0)</f>
        <v>42.49416439833675</v>
      </c>
      <c r="AK15" s="548">
        <f ca="1">VLOOKUP($Z15,현금흐름!$C$20:$X$31,OUTPUT!AK$2,0)</f>
        <v>94.700164398336767</v>
      </c>
      <c r="AL15" s="548">
        <f ca="1">VLOOKUP($Z15,현금흐름!$C$20:$X$31,OUTPUT!AL$2,0)</f>
        <v>146.90616439833667</v>
      </c>
      <c r="AM15" s="548">
        <f ca="1">VLOOKUP($Z15,현금흐름!$C$20:$X$31,OUTPUT!AM$2,0)</f>
        <v>1619.8918356016634</v>
      </c>
      <c r="AN15" s="548">
        <f ca="1">VLOOKUP($Z15,현금흐름!$C$20:$X$31,OUTPUT!AN$2,0)</f>
        <v>13006.623369626612</v>
      </c>
      <c r="AO15" s="548">
        <f ca="1">VLOOKUP($Z15,현금흐름!$C$20:$X$31,OUTPUT!AO$2,0)</f>
        <v>7662.8420659999992</v>
      </c>
      <c r="AP15" s="548" t="e">
        <f>VLOOKUP($Z15,현금흐름!$C$20:$X$31,OUTPUT!AP$2,0)</f>
        <v>#REF!</v>
      </c>
      <c r="AQ15" s="548" t="e">
        <f>VLOOKUP($Z15,현금흐름!$C$20:$X$31,OUTPUT!AQ$2,0)</f>
        <v>#REF!</v>
      </c>
      <c r="AR15" s="548" t="e">
        <f>VLOOKUP($Z15,현금흐름!$C$20:$X$31,OUTPUT!AR$2,0)</f>
        <v>#REF!</v>
      </c>
      <c r="AS15" s="548" t="e">
        <f>VLOOKUP($Z15,현금흐름!$C$20:$X$31,OUTPUT!AS$2,0)</f>
        <v>#REF!</v>
      </c>
      <c r="AT15" s="548" t="e">
        <f>VLOOKUP($Z15,현금흐름!$C$20:$X$31,OUTPUT!AT$2,0)</f>
        <v>#REF!</v>
      </c>
    </row>
    <row r="16" spans="2:46" ht="33" customHeight="1" thickBot="1">
      <c r="B16" s="220"/>
      <c r="C16" s="1102" t="str">
        <f>INPUT!D10</f>
        <v>이용대</v>
      </c>
      <c r="D16" s="1103"/>
      <c r="E16" s="1143">
        <f>INPUT!I10</f>
        <v>44926</v>
      </c>
      <c r="F16" s="1143"/>
      <c r="G16" s="1143">
        <f>IF(INPUT!J10="","",INPUT!J10)</f>
        <v>45107</v>
      </c>
      <c r="H16" s="1143"/>
      <c r="I16" s="1143">
        <f>INPUT!G10</f>
        <v>45292</v>
      </c>
      <c r="J16" s="1143"/>
      <c r="K16" s="549" t="str">
        <f>INPUT!E10</f>
        <v>수익접근법</v>
      </c>
      <c r="L16" s="550" t="str">
        <f>INPUT!F10</f>
        <v>기술이전/거래용</v>
      </c>
      <c r="M16" s="551" t="str">
        <f>INPUT!L10</f>
        <v>실용화</v>
      </c>
      <c r="U16" s="220"/>
      <c r="Y16" s="222">
        <v>12</v>
      </c>
      <c r="Z16" s="552" t="s">
        <v>175</v>
      </c>
      <c r="AA16" s="553">
        <f ca="1">VLOOKUP($Z16,현금흐름!$C$20:$X$31,OUTPUT!AA$2,0)</f>
        <v>0.85403279629987205</v>
      </c>
      <c r="AB16" s="553">
        <f ca="1">VLOOKUP($Z16,현금흐름!$C$20:$X$31,OUTPUT!AB$2,0)</f>
        <v>0.72905591956764315</v>
      </c>
      <c r="AC16" s="553">
        <f ca="1">VLOOKUP($Z16,현금흐름!$C$20:$X$31,OUTPUT!AC$2,0)</f>
        <v>0.62236782493536824</v>
      </c>
      <c r="AD16" s="553">
        <f ca="1">VLOOKUP($Z16,현금흐름!$C$20:$X$31,OUTPUT!AD$2,0)</f>
        <v>0.53129218091321306</v>
      </c>
      <c r="AE16" s="553">
        <f ca="1">VLOOKUP($Z16,현금흐름!$C$20:$X$31,OUTPUT!AE$2,0)</f>
        <v>0.45354430320820593</v>
      </c>
      <c r="AF16" s="553">
        <f ca="1">VLOOKUP($Z16,현금흐름!$C$20:$X$31,OUTPUT!AF$2,0)</f>
        <v>0.38717384212025263</v>
      </c>
      <c r="AG16" s="553">
        <f ca="1">VLOOKUP($Z16,현금흐름!$C$20:$X$31,OUTPUT!AG$2,0)</f>
        <v>0.33051585691143154</v>
      </c>
      <c r="AH16" s="553">
        <f ca="1">VLOOKUP($Z16,현금흐름!$C$20:$X$31,OUTPUT!AH$2,0)</f>
        <v>0.282149049821317</v>
      </c>
      <c r="AI16" s="553">
        <f ca="1">VLOOKUP($Z16,현금흐름!$C$20:$X$31,OUTPUT!AI$2,0)</f>
        <v>0.24086011200486709</v>
      </c>
      <c r="AJ16" s="553">
        <f ca="1">VLOOKUP($Z16,현금흐름!$C$20:$X$31,OUTPUT!AJ$2,0)</f>
        <v>0.2056132869904638</v>
      </c>
      <c r="AK16" s="553">
        <f ca="1">VLOOKUP($Z16,현금흐름!$C$20:$X$31,OUTPUT!AK$2,0)</f>
        <v>0.17552438814015223</v>
      </c>
      <c r="AL16" s="553">
        <f ca="1">VLOOKUP($Z16,현금흐름!$C$20:$X$31,OUTPUT!AL$2,0)</f>
        <v>0.14983861832530163</v>
      </c>
      <c r="AM16" s="553">
        <f ca="1">VLOOKUP($Z16,현금흐름!$C$20:$X$31,OUTPUT!AM$2,0)</f>
        <v>0.1279116354116461</v>
      </c>
      <c r="AN16" s="553">
        <f ca="1">VLOOKUP($Z16,현금흐름!$C$20:$X$31,OUTPUT!AN$2,0)</f>
        <v>0.10919338857063601</v>
      </c>
      <c r="AO16" s="553">
        <f>VLOOKUP($Z16,현금흐름!$C$20:$X$31,OUTPUT!AO$2,0)</f>
        <v>0</v>
      </c>
      <c r="AP16" s="553" t="e">
        <f>VLOOKUP($Z16,현금흐름!$C$20:$X$31,OUTPUT!AP$2,0)</f>
        <v>#REF!</v>
      </c>
      <c r="AQ16" s="553" t="e">
        <f>VLOOKUP($Z16,현금흐름!$C$20:$X$31,OUTPUT!AQ$2,0)</f>
        <v>#REF!</v>
      </c>
      <c r="AR16" s="553" t="e">
        <f>VLOOKUP($Z16,현금흐름!$C$20:$X$31,OUTPUT!AR$2,0)</f>
        <v>#REF!</v>
      </c>
      <c r="AS16" s="553" t="e">
        <f>VLOOKUP($Z16,현금흐름!$C$20:$X$31,OUTPUT!AS$2,0)</f>
        <v>#REF!</v>
      </c>
      <c r="AT16" s="553" t="e">
        <f>VLOOKUP($Z16,현금흐름!$C$20:$X$31,OUTPUT!AT$2,0)</f>
        <v>#REF!</v>
      </c>
    </row>
    <row r="17" spans="2:47" ht="17.25" customHeight="1">
      <c r="B17" s="220"/>
      <c r="U17" s="220"/>
      <c r="Y17" s="222">
        <v>13</v>
      </c>
      <c r="Z17" s="554" t="s">
        <v>176</v>
      </c>
      <c r="AA17" s="555">
        <f ca="1">VLOOKUP($Z17,현금흐름!$C$20:$X$31,OUTPUT!AA$2,0)</f>
        <v>-600.49593966075781</v>
      </c>
      <c r="AB17" s="555">
        <f ca="1">VLOOKUP($Z17,현금흐름!$C$20:$X$31,OUTPUT!AB$2,0)</f>
        <v>-469.26692955700696</v>
      </c>
      <c r="AC17" s="555">
        <f ca="1">VLOOKUP($Z17,현금흐름!$C$20:$X$31,OUTPUT!AC$2,0)</f>
        <v>-363.58593627535697</v>
      </c>
      <c r="AD17" s="555">
        <f ca="1">VLOOKUP($Z17,현금흐름!$C$20:$X$31,OUTPUT!AD$2,0)</f>
        <v>-282.52621828503027</v>
      </c>
      <c r="AE17" s="555">
        <f ca="1">VLOOKUP($Z17,현금흐름!$C$20:$X$31,OUTPUT!AE$2,0)</f>
        <v>-217.50435275041741</v>
      </c>
      <c r="AF17" s="555">
        <f ca="1">VLOOKUP($Z17,현금흐름!$C$20:$X$31,OUTPUT!AF$2,0)</f>
        <v>-1045.6045080876015</v>
      </c>
      <c r="AG17" s="555">
        <f ca="1">VLOOKUP($Z17,현금흐름!$C$20:$X$31,OUTPUT!AG$2,0)</f>
        <v>-282.67691769191066</v>
      </c>
      <c r="AH17" s="555">
        <f ca="1">VLOOKUP($Z17,현금흐름!$C$20:$X$31,OUTPUT!AH$2,0)</f>
        <v>-208.75235725889445</v>
      </c>
      <c r="AI17" s="555">
        <f ca="1">VLOOKUP($Z17,현금흐름!$C$20:$X$31,OUTPUT!AI$2,0)</f>
        <v>-2.3391938107894705</v>
      </c>
      <c r="AJ17" s="555">
        <f ca="1">VLOOKUP($Z17,현금흐름!$C$20:$X$31,OUTPUT!AJ$2,0)</f>
        <v>8.7373648198551628</v>
      </c>
      <c r="AK17" s="555">
        <f ca="1">VLOOKUP($Z17,현금흐름!$C$20:$X$31,OUTPUT!AK$2,0)</f>
        <v>16.622188412789889</v>
      </c>
      <c r="AL17" s="555">
        <f ca="1">VLOOKUP($Z17,현금흐름!$C$20:$X$31,OUTPUT!AL$2,0)</f>
        <v>22.012216696916383</v>
      </c>
      <c r="AM17" s="555">
        <f ca="1">VLOOKUP($Z17,현금흐름!$C$20:$X$31,OUTPUT!AM$2,0)</f>
        <v>207.20301388178214</v>
      </c>
      <c r="AN17" s="555">
        <f ca="1">VLOOKUP($Z17,현금흐름!$C$20:$X$31,OUTPUT!AN$2,0)</f>
        <v>1420.2372795915537</v>
      </c>
      <c r="AO17" s="555">
        <f ca="1">VLOOKUP($Z17,현금흐름!$C$20:$X$31,OUTPUT!AO$2,0)</f>
        <v>-1797.9402899748682</v>
      </c>
      <c r="AP17" s="555" t="e">
        <f>VLOOKUP($Z17,현금흐름!$C$20:$X$31,OUTPUT!AP$2,0)</f>
        <v>#REF!</v>
      </c>
      <c r="AQ17" s="555" t="e">
        <f>VLOOKUP($Z17,현금흐름!$C$20:$X$31,OUTPUT!AQ$2,0)</f>
        <v>#REF!</v>
      </c>
      <c r="AR17" s="555" t="e">
        <f>VLOOKUP($Z17,현금흐름!$C$20:$X$31,OUTPUT!AR$2,0)</f>
        <v>#REF!</v>
      </c>
      <c r="AS17" s="555" t="e">
        <f>VLOOKUP($Z17,현금흐름!$C$20:$X$31,OUTPUT!AS$2,0)</f>
        <v>#REF!</v>
      </c>
      <c r="AT17" s="555" t="e">
        <f>VLOOKUP($Z17,현금흐름!$C$20:$X$31,OUTPUT!AT$2,0)</f>
        <v>#REF!</v>
      </c>
    </row>
    <row r="18" spans="2:47" ht="21" thickBot="1">
      <c r="B18" s="25"/>
      <c r="C18" s="25" t="s">
        <v>1483</v>
      </c>
      <c r="D18" s="220"/>
      <c r="E18" s="220"/>
      <c r="F18" s="220"/>
      <c r="G18" s="220"/>
      <c r="H18" s="515"/>
      <c r="I18" s="220"/>
      <c r="J18" s="220"/>
      <c r="K18" s="220"/>
      <c r="L18" s="220"/>
      <c r="M18" s="220"/>
      <c r="N18" s="220"/>
      <c r="O18" s="220"/>
      <c r="P18" s="220"/>
      <c r="Q18" s="220"/>
      <c r="R18" s="220"/>
      <c r="S18" s="220"/>
      <c r="T18" s="220"/>
      <c r="U18" s="220"/>
      <c r="Y18" s="556">
        <v>14</v>
      </c>
      <c r="Z18" s="554" t="s">
        <v>1437</v>
      </c>
      <c r="AA18" s="553"/>
      <c r="AB18" s="553"/>
      <c r="AC18" s="553"/>
      <c r="AD18" s="553"/>
      <c r="AE18" s="553"/>
      <c r="AF18" s="553"/>
      <c r="AG18" s="553"/>
      <c r="AH18" s="553"/>
      <c r="AI18" s="553"/>
      <c r="AJ18" s="553"/>
      <c r="AK18" s="553"/>
      <c r="AL18" s="553"/>
      <c r="AM18" s="553"/>
      <c r="AN18" s="553"/>
      <c r="AO18" s="553"/>
      <c r="AP18" s="553"/>
      <c r="AQ18" s="553"/>
      <c r="AR18" s="553"/>
      <c r="AS18" s="553"/>
      <c r="AT18" s="553">
        <f>I32</f>
        <v>0</v>
      </c>
      <c r="AU18" s="557"/>
    </row>
    <row r="19" spans="2:47" s="220" customFormat="1" ht="36" customHeight="1">
      <c r="C19" s="1122" t="s">
        <v>1415</v>
      </c>
      <c r="D19" s="1123"/>
      <c r="E19" s="1123"/>
      <c r="F19" s="1124"/>
      <c r="G19" s="430" t="s">
        <v>1514</v>
      </c>
      <c r="H19" s="1142" t="s">
        <v>1433</v>
      </c>
      <c r="I19" s="1142"/>
      <c r="J19" s="429" t="s">
        <v>1434</v>
      </c>
      <c r="K19" s="430" t="s">
        <v>1515</v>
      </c>
      <c r="L19" s="1129" t="s">
        <v>1516</v>
      </c>
      <c r="M19" s="1130"/>
      <c r="N19" s="222"/>
      <c r="O19" s="222"/>
      <c r="P19" s="222"/>
      <c r="Q19" s="222"/>
      <c r="R19" s="222"/>
      <c r="S19" s="222"/>
      <c r="T19" s="222"/>
      <c r="V19" s="222"/>
      <c r="W19" s="222"/>
      <c r="X19" s="222"/>
      <c r="Y19" s="558">
        <v>15</v>
      </c>
      <c r="Z19" s="559" t="s">
        <v>1438</v>
      </c>
      <c r="AA19" s="553"/>
      <c r="AB19" s="553"/>
      <c r="AC19" s="553"/>
      <c r="AD19" s="553"/>
      <c r="AE19" s="553"/>
      <c r="AF19" s="553"/>
      <c r="AG19" s="553"/>
      <c r="AH19" s="553"/>
      <c r="AI19" s="553"/>
      <c r="AJ19" s="553"/>
      <c r="AK19" s="553"/>
      <c r="AL19" s="553"/>
      <c r="AM19" s="553"/>
      <c r="AN19" s="553"/>
      <c r="AO19" s="553"/>
      <c r="AP19" s="553"/>
      <c r="AQ19" s="553"/>
      <c r="AR19" s="553"/>
      <c r="AS19" s="553"/>
      <c r="AT19" s="553" t="str">
        <f ca="1">ROUND(현금흐름!C16,1)&amp;" 백만원"</f>
        <v>-294.1 백만원</v>
      </c>
      <c r="AU19" s="560"/>
    </row>
    <row r="20" spans="2:47" s="220" customFormat="1" ht="32.25" customHeight="1" thickBot="1">
      <c r="C20" s="1125">
        <f>기술수명!E50</f>
        <v>13.6</v>
      </c>
      <c r="D20" s="1126"/>
      <c r="E20" s="1126"/>
      <c r="F20" s="1127"/>
      <c r="G20" s="561">
        <f>기술수명!F50</f>
        <v>18.997260273972604</v>
      </c>
      <c r="H20" s="1128">
        <f>기술수명!G50</f>
        <v>13.6</v>
      </c>
      <c r="I20" s="1128"/>
      <c r="J20" s="528" t="str">
        <f>기술수명!G51</f>
        <v>13년 7개월</v>
      </c>
      <c r="K20" s="528">
        <f>기술수명!H50</f>
        <v>0</v>
      </c>
      <c r="L20" s="1131">
        <f>기술수명!I50</f>
        <v>14</v>
      </c>
      <c r="M20" s="1132"/>
      <c r="N20" s="222"/>
      <c r="O20" s="222"/>
      <c r="P20" s="222"/>
      <c r="Q20" s="222"/>
      <c r="R20" s="222"/>
      <c r="S20" s="222"/>
      <c r="T20" s="222"/>
      <c r="V20" s="222"/>
      <c r="W20" s="222"/>
      <c r="X20" s="222"/>
      <c r="Y20" s="222"/>
      <c r="Z20" s="562"/>
      <c r="AA20" s="563"/>
      <c r="AB20" s="563"/>
      <c r="AC20" s="563"/>
      <c r="AD20" s="563"/>
      <c r="AE20" s="563"/>
      <c r="AF20" s="563"/>
      <c r="AG20" s="563"/>
      <c r="AH20" s="563"/>
      <c r="AI20" s="563"/>
      <c r="AJ20" s="563"/>
      <c r="AK20" s="563"/>
      <c r="AL20" s="563"/>
      <c r="AM20" s="563"/>
      <c r="AN20" s="563"/>
      <c r="AO20" s="222"/>
      <c r="AP20" s="222"/>
    </row>
    <row r="21" spans="2:47" s="220" customFormat="1" ht="22.5" customHeight="1">
      <c r="B21" s="222"/>
      <c r="C21" s="222"/>
      <c r="D21" s="222"/>
      <c r="E21" s="222"/>
      <c r="F21" s="222"/>
      <c r="G21" s="222"/>
      <c r="H21" s="222"/>
      <c r="I21" s="222"/>
      <c r="J21" s="222"/>
      <c r="K21" s="222"/>
      <c r="L21" s="222"/>
      <c r="M21" s="222"/>
      <c r="N21" s="222"/>
      <c r="O21" s="222"/>
      <c r="P21" s="222"/>
      <c r="Q21" s="222"/>
      <c r="R21" s="222"/>
      <c r="S21" s="222"/>
      <c r="T21" s="222"/>
      <c r="U21" s="222"/>
      <c r="V21" s="222"/>
      <c r="W21" s="222"/>
      <c r="X21" s="222"/>
      <c r="Y21" s="222"/>
      <c r="Z21" s="562"/>
      <c r="AA21" s="563"/>
      <c r="AB21" s="563"/>
      <c r="AC21" s="563"/>
      <c r="AD21" s="563"/>
      <c r="AE21" s="563"/>
      <c r="AF21" s="563"/>
      <c r="AG21" s="563"/>
      <c r="AH21" s="563"/>
      <c r="AI21" s="563"/>
      <c r="AJ21" s="563"/>
      <c r="AK21" s="563"/>
      <c r="AL21" s="563"/>
      <c r="AM21" s="563"/>
      <c r="AN21" s="563"/>
      <c r="AO21" s="222"/>
      <c r="AP21" s="222"/>
    </row>
    <row r="22" spans="2:47" s="220" customFormat="1" ht="36" customHeight="1" thickBot="1">
      <c r="B22" s="222"/>
      <c r="C22" s="523" t="s">
        <v>1498</v>
      </c>
      <c r="D22" s="222"/>
      <c r="E22" s="222"/>
      <c r="F22" s="222"/>
      <c r="G22" s="233"/>
      <c r="H22" s="222"/>
      <c r="I22" s="222"/>
      <c r="J22" s="222"/>
      <c r="K22" s="222"/>
      <c r="L22" s="222"/>
      <c r="M22" s="222"/>
      <c r="N22" s="222"/>
      <c r="O22" s="222"/>
      <c r="P22" s="222"/>
      <c r="Q22" s="222"/>
      <c r="R22" s="222"/>
      <c r="S22" s="222"/>
      <c r="T22" s="222"/>
      <c r="U22" s="222"/>
      <c r="V22" s="222"/>
      <c r="W22" s="222"/>
      <c r="X22" s="222"/>
      <c r="Y22" s="222"/>
      <c r="Z22" s="562"/>
      <c r="AA22" s="563"/>
      <c r="AB22" s="563"/>
      <c r="AC22" s="563"/>
      <c r="AD22" s="563"/>
      <c r="AE22" s="563"/>
      <c r="AF22" s="563"/>
      <c r="AG22" s="563"/>
      <c r="AH22" s="563"/>
      <c r="AI22" s="563"/>
      <c r="AJ22" s="563"/>
      <c r="AK22" s="563"/>
      <c r="AL22" s="563"/>
      <c r="AM22" s="563"/>
      <c r="AN22" s="563"/>
      <c r="AO22" s="222"/>
      <c r="AP22" s="222"/>
    </row>
    <row r="23" spans="2:47" s="220" customFormat="1" ht="40.5">
      <c r="B23" s="222"/>
      <c r="C23" s="1116" t="s">
        <v>1440</v>
      </c>
      <c r="D23" s="564" t="s">
        <v>1526</v>
      </c>
      <c r="E23" s="564" t="s">
        <v>1508</v>
      </c>
      <c r="F23" s="1114" t="s">
        <v>1518</v>
      </c>
      <c r="G23" s="1115"/>
      <c r="H23" s="1110" t="s">
        <v>1436</v>
      </c>
      <c r="I23" s="1111"/>
      <c r="J23" s="1118" t="s">
        <v>1763</v>
      </c>
      <c r="K23" s="1119"/>
      <c r="L23" s="1106" t="s">
        <v>1758</v>
      </c>
      <c r="M23" s="1107"/>
      <c r="N23" s="222"/>
      <c r="O23" s="222"/>
      <c r="P23" s="222"/>
      <c r="Q23" s="222"/>
      <c r="R23" s="222"/>
      <c r="S23" s="222"/>
      <c r="T23" s="222"/>
      <c r="U23" s="222"/>
      <c r="V23" s="222"/>
      <c r="W23" s="222"/>
      <c r="X23" s="222"/>
      <c r="Y23" s="222"/>
      <c r="Z23" s="222" t="e">
        <f ca="1">OFFSET($Y$23,1,1,7,$L$20+1)</f>
        <v>#VALUE!</v>
      </c>
      <c r="AA23" s="222"/>
      <c r="AB23" s="222"/>
      <c r="AC23" s="222"/>
      <c r="AD23" s="222"/>
      <c r="AE23" s="222"/>
      <c r="AF23" s="222"/>
      <c r="AG23" s="222"/>
      <c r="AH23" s="222"/>
      <c r="AI23" s="222"/>
      <c r="AJ23" s="222"/>
      <c r="AP23" s="222"/>
    </row>
    <row r="24" spans="2:47" s="220" customFormat="1" ht="27" customHeight="1" thickBot="1">
      <c r="B24" s="222"/>
      <c r="C24" s="1117"/>
      <c r="D24" s="565">
        <f>L20-K20</f>
        <v>14</v>
      </c>
      <c r="E24" s="566">
        <f ca="1">E33</f>
        <v>0.17142289552541426</v>
      </c>
      <c r="F24" s="1112">
        <f ca="1">IF(OUTPUT!$K$16="수익접근법",현금흐름!$X$31,현금흐름!$X$45)</f>
        <v>-1797.9402899748682</v>
      </c>
      <c r="G24" s="1113"/>
      <c r="H24" s="1108">
        <f>IF($K$16="수익접근법",$AC$41,"")</f>
        <v>0.1635876</v>
      </c>
      <c r="I24" s="1109"/>
      <c r="J24" s="1120" t="str">
        <f>IF(INPUT!$E$11="","",현금흐름!G37)</f>
        <v/>
      </c>
      <c r="K24" s="1121"/>
      <c r="L24" s="1104">
        <f ca="1">IF(K16="로열티공제법1",현금흐름!$C$37,IF(K16="로열티공제법2",현금흐름!$C$37,현금흐름!$C$16))</f>
        <v>-294.12073698029275</v>
      </c>
      <c r="M24" s="1105"/>
      <c r="N24" s="36"/>
      <c r="O24" s="36"/>
      <c r="P24" s="36"/>
      <c r="Q24" s="36"/>
      <c r="R24" s="36"/>
      <c r="S24" s="36"/>
      <c r="T24" s="36"/>
      <c r="U24" s="222"/>
      <c r="Z24" s="526" t="s">
        <v>1439</v>
      </c>
      <c r="AA24" s="526" t="str">
        <f t="shared" ref="AA24:AT24" si="1">AA5</f>
        <v>Y</v>
      </c>
      <c r="AB24" s="526" t="str">
        <f t="shared" si="1"/>
        <v>Y+1</v>
      </c>
      <c r="AC24" s="526" t="str">
        <f t="shared" si="1"/>
        <v>Y+2</v>
      </c>
      <c r="AD24" s="526" t="str">
        <f t="shared" si="1"/>
        <v>Y+3</v>
      </c>
      <c r="AE24" s="526" t="str">
        <f t="shared" si="1"/>
        <v>Y+4</v>
      </c>
      <c r="AF24" s="526" t="str">
        <f t="shared" si="1"/>
        <v>Y+5</v>
      </c>
      <c r="AG24" s="526" t="str">
        <f t="shared" si="1"/>
        <v>Y+6</v>
      </c>
      <c r="AH24" s="526" t="str">
        <f t="shared" si="1"/>
        <v>Y+7</v>
      </c>
      <c r="AI24" s="526" t="str">
        <f t="shared" si="1"/>
        <v>Y+8</v>
      </c>
      <c r="AJ24" s="526" t="str">
        <f t="shared" si="1"/>
        <v>Y+9</v>
      </c>
      <c r="AK24" s="526" t="str">
        <f t="shared" si="1"/>
        <v>Y+10</v>
      </c>
      <c r="AL24" s="526" t="str">
        <f t="shared" si="1"/>
        <v>Y+11</v>
      </c>
      <c r="AM24" s="526" t="str">
        <f t="shared" si="1"/>
        <v>Y+12</v>
      </c>
      <c r="AN24" s="526" t="str">
        <f t="shared" si="1"/>
        <v>Y+13</v>
      </c>
      <c r="AO24" s="526" t="str">
        <f t="shared" si="1"/>
        <v>합계</v>
      </c>
      <c r="AP24" s="526" t="e">
        <f t="shared" si="1"/>
        <v>#VALUE!</v>
      </c>
      <c r="AQ24" s="526" t="e">
        <f t="shared" si="1"/>
        <v>#VALUE!</v>
      </c>
      <c r="AR24" s="526" t="e">
        <f t="shared" si="1"/>
        <v>#VALUE!</v>
      </c>
      <c r="AS24" s="526" t="e">
        <f t="shared" si="1"/>
        <v>#VALUE!</v>
      </c>
      <c r="AT24" s="526" t="e">
        <f t="shared" si="1"/>
        <v>#VALUE!</v>
      </c>
    </row>
    <row r="25" spans="2:47" s="220" customFormat="1" ht="20.25" customHeight="1">
      <c r="B25" s="222"/>
      <c r="C25" s="567"/>
      <c r="D25" s="568"/>
      <c r="E25" s="569"/>
      <c r="F25" s="570"/>
      <c r="G25" s="222"/>
      <c r="H25" s="222"/>
      <c r="I25" s="222"/>
      <c r="J25" s="222"/>
      <c r="K25" s="222"/>
      <c r="L25" s="222"/>
      <c r="M25" s="36"/>
      <c r="N25" s="36"/>
      <c r="O25" s="36"/>
      <c r="P25" s="36"/>
      <c r="Q25" s="36"/>
      <c r="R25" s="36"/>
      <c r="S25" s="36"/>
      <c r="T25" s="36"/>
      <c r="U25" s="222"/>
      <c r="W25" s="222"/>
      <c r="X25" s="222"/>
      <c r="Y25" s="222"/>
      <c r="Z25" s="529" t="s">
        <v>164</v>
      </c>
      <c r="AA25" s="571">
        <f t="shared" ref="AA25" si="2">AA6</f>
        <v>1000</v>
      </c>
      <c r="AB25" s="571">
        <f t="shared" ref="AB25:AT25" si="3">AB6</f>
        <v>2000</v>
      </c>
      <c r="AC25" s="571">
        <f t="shared" si="3"/>
        <v>3000</v>
      </c>
      <c r="AD25" s="571">
        <f t="shared" si="3"/>
        <v>4000</v>
      </c>
      <c r="AE25" s="571">
        <f t="shared" si="3"/>
        <v>5000</v>
      </c>
      <c r="AF25" s="571">
        <f t="shared" si="3"/>
        <v>9200</v>
      </c>
      <c r="AG25" s="571">
        <f t="shared" si="3"/>
        <v>11111</v>
      </c>
      <c r="AH25" s="571">
        <f t="shared" si="3"/>
        <v>13000</v>
      </c>
      <c r="AI25" s="571">
        <f t="shared" si="3"/>
        <v>14000</v>
      </c>
      <c r="AJ25" s="571">
        <f t="shared" si="3"/>
        <v>15000</v>
      </c>
      <c r="AK25" s="571">
        <f t="shared" si="3"/>
        <v>16000</v>
      </c>
      <c r="AL25" s="571">
        <f t="shared" si="3"/>
        <v>17000</v>
      </c>
      <c r="AM25" s="571">
        <f t="shared" si="3"/>
        <v>16000</v>
      </c>
      <c r="AN25" s="571">
        <f t="shared" si="3"/>
        <v>15000</v>
      </c>
      <c r="AO25" s="571">
        <f t="shared" si="3"/>
        <v>141311</v>
      </c>
      <c r="AP25" s="571" t="e">
        <f t="shared" si="3"/>
        <v>#REF!</v>
      </c>
      <c r="AQ25" s="571" t="e">
        <f t="shared" si="3"/>
        <v>#REF!</v>
      </c>
      <c r="AR25" s="571" t="e">
        <f t="shared" si="3"/>
        <v>#REF!</v>
      </c>
      <c r="AS25" s="571" t="e">
        <f t="shared" si="3"/>
        <v>#REF!</v>
      </c>
      <c r="AT25" s="571" t="e">
        <f t="shared" si="3"/>
        <v>#REF!</v>
      </c>
    </row>
    <row r="26" spans="2:47" ht="20.25" customHeight="1" thickBot="1">
      <c r="B26" s="220"/>
      <c r="C26" s="25" t="s">
        <v>1499</v>
      </c>
      <c r="D26" s="225"/>
      <c r="E26" s="225"/>
      <c r="F26" s="225"/>
      <c r="G26" s="25" t="s">
        <v>3162</v>
      </c>
      <c r="M26" s="36"/>
      <c r="N26" s="36"/>
      <c r="O26" s="36"/>
      <c r="P26" s="36"/>
      <c r="Q26" s="36"/>
      <c r="R26" s="36"/>
      <c r="S26" s="36"/>
      <c r="T26" s="36"/>
      <c r="Z26" s="531" t="s">
        <v>1429</v>
      </c>
      <c r="AA26" s="572">
        <f>VLOOKUP($Z26,현금흐름!$C$39:$X$45,OUTPUT!AA$2,0)</f>
        <v>4.8599999999999994</v>
      </c>
      <c r="AB26" s="572">
        <f>VLOOKUP($Z26,현금흐름!$C$39:$X$45,OUTPUT!AB$2,0)</f>
        <v>9.7199999999999989</v>
      </c>
      <c r="AC26" s="572">
        <f>VLOOKUP($Z26,현금흐름!$C$39:$X$45,OUTPUT!AC$2,0)</f>
        <v>14.58</v>
      </c>
      <c r="AD26" s="572">
        <f>VLOOKUP($Z26,현금흐름!$C$39:$X$45,OUTPUT!AD$2,0)</f>
        <v>19.439999999999998</v>
      </c>
      <c r="AE26" s="572">
        <f>VLOOKUP($Z26,현금흐름!$C$39:$X$45,OUTPUT!AE$2,0)</f>
        <v>24.299999999999997</v>
      </c>
      <c r="AF26" s="572">
        <f>VLOOKUP($Z26,현금흐름!$C$39:$X$45,OUTPUT!AF$2,0)</f>
        <v>44.711999999999996</v>
      </c>
      <c r="AG26" s="572">
        <f>VLOOKUP($Z26,현금흐름!$C$39:$X$45,OUTPUT!AG$2,0)</f>
        <v>53.999459999999999</v>
      </c>
      <c r="AH26" s="572">
        <f>VLOOKUP($Z26,현금흐름!$C$39:$X$45,OUTPUT!AH$2,0)</f>
        <v>63.18</v>
      </c>
      <c r="AI26" s="572">
        <f>VLOOKUP($Z26,현금흐름!$C$39:$X$45,OUTPUT!AI$2,0)</f>
        <v>68.039999999999992</v>
      </c>
      <c r="AJ26" s="572">
        <f>VLOOKUP($Z26,현금흐름!$C$39:$X$45,OUTPUT!AJ$2,0)</f>
        <v>72.899999999999991</v>
      </c>
      <c r="AK26" s="572">
        <f>VLOOKUP($Z26,현금흐름!$C$39:$X$45,OUTPUT!AK$2,0)</f>
        <v>77.759999999999991</v>
      </c>
      <c r="AL26" s="572">
        <f>VLOOKUP($Z26,현금흐름!$C$39:$X$45,OUTPUT!AL$2,0)</f>
        <v>82.61999999999999</v>
      </c>
      <c r="AM26" s="572">
        <f>VLOOKUP($Z26,현금흐름!$C$39:$X$45,OUTPUT!AM$2,0)</f>
        <v>77.759999999999991</v>
      </c>
      <c r="AN26" s="572">
        <f>VLOOKUP($Z26,현금흐름!$C$39:$X$45,OUTPUT!AN$2,0)</f>
        <v>72.899999999999991</v>
      </c>
      <c r="AO26" s="572">
        <f>VLOOKUP($Z26,현금흐름!$C$39:$X$45,OUTPUT!AO$2,0)</f>
        <v>686.77145999999993</v>
      </c>
      <c r="AP26" s="572" t="e">
        <f>VLOOKUP($Z26,현금흐름!$C$39:$X$45,OUTPUT!AP$2,0)</f>
        <v>#REF!</v>
      </c>
      <c r="AQ26" s="572" t="e">
        <f>VLOOKUP($Z26,현금흐름!$C$39:$X$45,OUTPUT!AQ$2,0)</f>
        <v>#REF!</v>
      </c>
      <c r="AR26" s="572" t="e">
        <f>VLOOKUP($Z26,현금흐름!$C$39:$X$45,OUTPUT!AR$2,0)</f>
        <v>#REF!</v>
      </c>
      <c r="AS26" s="572" t="e">
        <f>VLOOKUP($Z26,현금흐름!$C$39:$X$45,OUTPUT!AS$2,0)</f>
        <v>#REF!</v>
      </c>
      <c r="AT26" s="572" t="e">
        <f>VLOOKUP($Z26,현금흐름!$C$39:$X$45,OUTPUT!AT$2,0)</f>
        <v>#REF!</v>
      </c>
    </row>
    <row r="27" spans="2:47" ht="26.25" customHeight="1" thickBot="1">
      <c r="B27" s="220"/>
      <c r="C27" s="1144" t="s">
        <v>2976</v>
      </c>
      <c r="D27" s="1145"/>
      <c r="E27" s="1146"/>
      <c r="G27" s="573" t="s">
        <v>185</v>
      </c>
      <c r="H27" s="574"/>
      <c r="I27" s="575" t="s">
        <v>186</v>
      </c>
      <c r="J27" s="576" t="s">
        <v>187</v>
      </c>
      <c r="M27" s="37"/>
      <c r="N27" s="37"/>
      <c r="O27" s="37"/>
      <c r="P27" s="37"/>
      <c r="Q27" s="37"/>
      <c r="R27" s="37"/>
      <c r="S27" s="37"/>
      <c r="T27" s="37"/>
      <c r="Z27" s="531" t="s">
        <v>169</v>
      </c>
      <c r="AA27" s="572">
        <f>VLOOKUP($Z27,현금흐름!$C$39:$X$45,OUTPUT!AA$2,0)</f>
        <v>0.48113999999999996</v>
      </c>
      <c r="AB27" s="572">
        <f>VLOOKUP($Z27,현금흐름!$C$39:$X$45,OUTPUT!AB$2,0)</f>
        <v>0.96227999999999991</v>
      </c>
      <c r="AC27" s="572">
        <f>VLOOKUP($Z27,현금흐름!$C$39:$X$45,OUTPUT!AC$2,0)</f>
        <v>1.4434200000000001</v>
      </c>
      <c r="AD27" s="572">
        <f>VLOOKUP($Z27,현금흐름!$C$39:$X$45,OUTPUT!AD$2,0)</f>
        <v>1.9245599999999998</v>
      </c>
      <c r="AE27" s="572">
        <f>VLOOKUP($Z27,현금흐름!$C$39:$X$45,OUTPUT!AE$2,0)</f>
        <v>2.4056999999999999</v>
      </c>
      <c r="AF27" s="572">
        <f>VLOOKUP($Z27,현금흐름!$C$39:$X$45,OUTPUT!AF$2,0)</f>
        <v>4.426488</v>
      </c>
      <c r="AG27" s="572">
        <f>VLOOKUP($Z27,현금흐름!$C$39:$X$45,OUTPUT!AG$2,0)</f>
        <v>5.3459465399999999</v>
      </c>
      <c r="AH27" s="572">
        <f>VLOOKUP($Z27,현금흐름!$C$39:$X$45,OUTPUT!AH$2,0)</f>
        <v>6.2548200000000005</v>
      </c>
      <c r="AI27" s="572">
        <f>VLOOKUP($Z27,현금흐름!$C$39:$X$45,OUTPUT!AI$2,0)</f>
        <v>6.7359599999999995</v>
      </c>
      <c r="AJ27" s="572">
        <f>VLOOKUP($Z27,현금흐름!$C$39:$X$45,OUTPUT!AJ$2,0)</f>
        <v>7.2170999999999994</v>
      </c>
      <c r="AK27" s="572">
        <f>VLOOKUP($Z27,현금흐름!$C$39:$X$45,OUTPUT!AK$2,0)</f>
        <v>7.6982399999999993</v>
      </c>
      <c r="AL27" s="572">
        <f>VLOOKUP($Z27,현금흐름!$C$39:$X$45,OUTPUT!AL$2,0)</f>
        <v>8.1793800000000001</v>
      </c>
      <c r="AM27" s="572">
        <f>VLOOKUP($Z27,현금흐름!$C$39:$X$45,OUTPUT!AM$2,0)</f>
        <v>7.6982399999999993</v>
      </c>
      <c r="AN27" s="572">
        <f>VLOOKUP($Z27,현금흐름!$C$39:$X$45,OUTPUT!AN$2,0)</f>
        <v>7.2170999999999994</v>
      </c>
      <c r="AO27" s="572">
        <f>VLOOKUP($Z27,현금흐름!$C$39:$X$45,OUTPUT!AO$2,0)</f>
        <v>67.990374540000005</v>
      </c>
      <c r="AP27" s="572" t="e">
        <f>VLOOKUP($Z27,현금흐름!$C$39:$X$45,OUTPUT!AP$2,0)</f>
        <v>#REF!</v>
      </c>
      <c r="AQ27" s="572" t="e">
        <f>VLOOKUP($Z27,현금흐름!$C$39:$X$45,OUTPUT!AQ$2,0)</f>
        <v>#REF!</v>
      </c>
      <c r="AR27" s="572" t="e">
        <f>VLOOKUP($Z27,현금흐름!$C$39:$X$45,OUTPUT!AR$2,0)</f>
        <v>#REF!</v>
      </c>
      <c r="AS27" s="572" t="e">
        <f>VLOOKUP($Z27,현금흐름!$C$39:$X$45,OUTPUT!AS$2,0)</f>
        <v>#REF!</v>
      </c>
      <c r="AT27" s="572" t="e">
        <f>VLOOKUP($Z27,현금흐름!$C$39:$X$45,OUTPUT!AT$2,0)</f>
        <v>#REF!</v>
      </c>
    </row>
    <row r="28" spans="2:47" ht="20.25" customHeight="1">
      <c r="B28" s="220"/>
      <c r="C28" s="1147" t="s">
        <v>194</v>
      </c>
      <c r="D28" s="577" t="s">
        <v>195</v>
      </c>
      <c r="E28" s="578">
        <f>할인율!D3</f>
        <v>8.4701072000000016E-2</v>
      </c>
      <c r="G28" s="579" t="s">
        <v>188</v>
      </c>
      <c r="H28" s="580"/>
      <c r="I28" s="581" t="b">
        <v>0</v>
      </c>
      <c r="J28" s="582" t="b">
        <v>0</v>
      </c>
      <c r="Z28" s="583" t="s">
        <v>1511</v>
      </c>
      <c r="AA28" s="584">
        <f>VLOOKUP($Z28,현금흐름!$C$39:$X$45,OUTPUT!AA$2,0)</f>
        <v>4.3788599999999995</v>
      </c>
      <c r="AB28" s="584">
        <f>VLOOKUP($Z28,현금흐름!$C$39:$X$45,OUTPUT!AB$2,0)</f>
        <v>8.7577199999999991</v>
      </c>
      <c r="AC28" s="584">
        <f>VLOOKUP($Z28,현금흐름!$C$39:$X$45,OUTPUT!AC$2,0)</f>
        <v>13.13658</v>
      </c>
      <c r="AD28" s="584">
        <f>VLOOKUP($Z28,현금흐름!$C$39:$X$45,OUTPUT!AD$2,0)</f>
        <v>17.515439999999998</v>
      </c>
      <c r="AE28" s="584">
        <f>VLOOKUP($Z28,현금흐름!$C$39:$X$45,OUTPUT!AE$2,0)</f>
        <v>21.894299999999998</v>
      </c>
      <c r="AF28" s="584">
        <f>VLOOKUP($Z28,현금흐름!$C$39:$X$45,OUTPUT!AF$2,0)</f>
        <v>40.285511999999997</v>
      </c>
      <c r="AG28" s="584">
        <f>VLOOKUP($Z28,현금흐름!$C$39:$X$45,OUTPUT!AG$2,0)</f>
        <v>48.653513459999999</v>
      </c>
      <c r="AH28" s="584">
        <f>VLOOKUP($Z28,현금흐름!$C$39:$X$45,OUTPUT!AH$2,0)</f>
        <v>56.925179999999997</v>
      </c>
      <c r="AI28" s="584">
        <f>VLOOKUP($Z28,현금흐름!$C$39:$X$45,OUTPUT!AI$2,0)</f>
        <v>61.304039999999993</v>
      </c>
      <c r="AJ28" s="584">
        <f>VLOOKUP($Z28,현금흐름!$C$39:$X$45,OUTPUT!AJ$2,0)</f>
        <v>65.682899999999989</v>
      </c>
      <c r="AK28" s="584">
        <f>VLOOKUP($Z28,현금흐름!$C$39:$X$45,OUTPUT!AK$2,0)</f>
        <v>70.061759999999992</v>
      </c>
      <c r="AL28" s="584">
        <f>VLOOKUP($Z28,현금흐름!$C$39:$X$45,OUTPUT!AL$2,0)</f>
        <v>74.440619999999996</v>
      </c>
      <c r="AM28" s="584">
        <f>VLOOKUP($Z28,현금흐름!$C$39:$X$45,OUTPUT!AM$2,0)</f>
        <v>70.061759999999992</v>
      </c>
      <c r="AN28" s="584">
        <f>VLOOKUP($Z28,현금흐름!$C$39:$X$45,OUTPUT!AN$2,0)</f>
        <v>65.682899999999989</v>
      </c>
      <c r="AO28" s="584">
        <f>VLOOKUP($Z28,현금흐름!$C$39:$X$45,OUTPUT!AO$2,0)</f>
        <v>618.78108545999999</v>
      </c>
      <c r="AP28" s="584" t="e">
        <f>VLOOKUP($Z28,현금흐름!$C$39:$X$45,OUTPUT!AP$2,0)</f>
        <v>#REF!</v>
      </c>
      <c r="AQ28" s="584" t="e">
        <f>VLOOKUP($Z28,현금흐름!$C$39:$X$45,OUTPUT!AQ$2,0)</f>
        <v>#REF!</v>
      </c>
      <c r="AR28" s="584" t="e">
        <f>VLOOKUP($Z28,현금흐름!$C$39:$X$45,OUTPUT!AR$2,0)</f>
        <v>#REF!</v>
      </c>
      <c r="AS28" s="584" t="e">
        <f>VLOOKUP($Z28,현금흐름!$C$39:$X$45,OUTPUT!AS$2,0)</f>
        <v>#REF!</v>
      </c>
      <c r="AT28" s="584" t="e">
        <f>VLOOKUP($Z28,현금흐름!$C$39:$X$45,OUTPUT!AT$2,0)</f>
        <v>#REF!</v>
      </c>
    </row>
    <row r="29" spans="2:47" ht="20.25" customHeight="1" thickBot="1">
      <c r="B29" s="220"/>
      <c r="C29" s="1148"/>
      <c r="D29" s="437" t="s">
        <v>196</v>
      </c>
      <c r="E29" s="585">
        <f>할인율!D4</f>
        <v>5.4387780177881373E-2</v>
      </c>
      <c r="G29" s="586" t="s">
        <v>3163</v>
      </c>
      <c r="H29" s="587"/>
      <c r="I29" s="588"/>
      <c r="J29" s="589">
        <v>0</v>
      </c>
      <c r="Z29" s="547" t="s">
        <v>175</v>
      </c>
      <c r="AA29" s="590">
        <f ca="1">VLOOKUP($Z29,현금흐름!$C$39:$X$45,OUTPUT!AA$2,0)</f>
        <v>0.85403279629987205</v>
      </c>
      <c r="AB29" s="590">
        <f ca="1">VLOOKUP($Z29,현금흐름!$C$39:$X$45,OUTPUT!AB$2,0)</f>
        <v>0.72905591956764315</v>
      </c>
      <c r="AC29" s="590">
        <f ca="1">VLOOKUP($Z29,현금흐름!$C$39:$X$45,OUTPUT!AC$2,0)</f>
        <v>0.62236782493536824</v>
      </c>
      <c r="AD29" s="590">
        <f ca="1">VLOOKUP($Z29,현금흐름!$C$39:$X$45,OUTPUT!AD$2,0)</f>
        <v>0.53129218091321306</v>
      </c>
      <c r="AE29" s="590">
        <f ca="1">VLOOKUP($Z29,현금흐름!$C$39:$X$45,OUTPUT!AE$2,0)</f>
        <v>0.45354430320820593</v>
      </c>
      <c r="AF29" s="590">
        <f ca="1">VLOOKUP($Z29,현금흐름!$C$39:$X$45,OUTPUT!AF$2,0)</f>
        <v>0.38717384212025263</v>
      </c>
      <c r="AG29" s="590">
        <f ca="1">VLOOKUP($Z29,현금흐름!$C$39:$X$45,OUTPUT!AG$2,0)</f>
        <v>0.33051585691143154</v>
      </c>
      <c r="AH29" s="590">
        <f ca="1">VLOOKUP($Z29,현금흐름!$C$39:$X$45,OUTPUT!AH$2,0)</f>
        <v>0.282149049821317</v>
      </c>
      <c r="AI29" s="590">
        <f ca="1">VLOOKUP($Z29,현금흐름!$C$39:$X$45,OUTPUT!AI$2,0)</f>
        <v>0.24086011200486709</v>
      </c>
      <c r="AJ29" s="590">
        <f ca="1">VLOOKUP($Z29,현금흐름!$C$39:$X$45,OUTPUT!AJ$2,0)</f>
        <v>0.2056132869904638</v>
      </c>
      <c r="AK29" s="590">
        <f ca="1">VLOOKUP($Z29,현금흐름!$C$39:$X$45,OUTPUT!AK$2,0)</f>
        <v>0.17552438814015223</v>
      </c>
      <c r="AL29" s="590">
        <f ca="1">VLOOKUP($Z29,현금흐름!$C$39:$X$45,OUTPUT!AL$2,0)</f>
        <v>0.14983861832530163</v>
      </c>
      <c r="AM29" s="590">
        <f ca="1">VLOOKUP($Z29,현금흐름!$C$39:$X$45,OUTPUT!AM$2,0)</f>
        <v>0.1279116354116461</v>
      </c>
      <c r="AN29" s="590">
        <f ca="1">VLOOKUP($Z29,현금흐름!$C$39:$X$45,OUTPUT!AN$2,0)</f>
        <v>0.10919338857063601</v>
      </c>
      <c r="AO29" s="590">
        <f>VLOOKUP($Z29,현금흐름!$C$39:$X$45,OUTPUT!AO$2,0)</f>
        <v>0</v>
      </c>
      <c r="AP29" s="590" t="e">
        <f>VLOOKUP($Z29,현금흐름!$C$39:$X$45,OUTPUT!AP$2,0)</f>
        <v>#REF!</v>
      </c>
      <c r="AQ29" s="590" t="e">
        <f>VLOOKUP($Z29,현금흐름!$C$39:$X$45,OUTPUT!AQ$2,0)</f>
        <v>#REF!</v>
      </c>
      <c r="AR29" s="590" t="e">
        <f>VLOOKUP($Z29,현금흐름!$C$39:$X$45,OUTPUT!AR$2,0)</f>
        <v>#REF!</v>
      </c>
      <c r="AS29" s="590" t="e">
        <f>VLOOKUP($Z29,현금흐름!$C$39:$X$45,OUTPUT!AS$2,0)</f>
        <v>#REF!</v>
      </c>
      <c r="AT29" s="590" t="e">
        <f>VLOOKUP($Z29,현금흐름!$C$39:$X$45,OUTPUT!AT$2,0)</f>
        <v>#REF!</v>
      </c>
    </row>
    <row r="30" spans="2:47" ht="28.5" customHeight="1">
      <c r="B30" s="220"/>
      <c r="C30" s="1148"/>
      <c r="D30" s="437" t="s">
        <v>194</v>
      </c>
      <c r="E30" s="585">
        <f ca="1">할인율!D5</f>
        <v>6.8322895525414262E-2</v>
      </c>
      <c r="Z30" s="419" t="s">
        <v>3141</v>
      </c>
      <c r="AA30" s="591">
        <f ca="1">VLOOKUP($Z30,현금흐름!$C$39:$X$45,OUTPUT!AA$2,0)</f>
        <v>3.7396900504056574</v>
      </c>
      <c r="AB30" s="591">
        <f ca="1">VLOOKUP($Z30,현금흐름!$C$39:$X$45,OUTPUT!AB$2,0)</f>
        <v>6.3848676079159388</v>
      </c>
      <c r="AC30" s="591">
        <f ca="1">VLOOKUP($Z30,현금흐름!$C$39:$X$45,OUTPUT!AC$2,0)</f>
        <v>8.1757847216894604</v>
      </c>
      <c r="AD30" s="591">
        <f ca="1">VLOOKUP($Z30,현금흐름!$C$39:$X$45,OUTPUT!AD$2,0)</f>
        <v>9.3058163172545267</v>
      </c>
      <c r="AE30" s="591">
        <f ca="1">VLOOKUP($Z30,현금흐름!$C$39:$X$45,OUTPUT!AE$2,0)</f>
        <v>9.9300350377314217</v>
      </c>
      <c r="AF30" s="591">
        <f ca="1">VLOOKUP($Z30,현금흐름!$C$39:$X$45,OUTPUT!AF$2,0)</f>
        <v>15.597496462821542</v>
      </c>
      <c r="AG30" s="591">
        <f ca="1">VLOOKUP($Z30,현금흐름!$C$39:$X$45,OUTPUT!AG$2,0)</f>
        <v>16.080757692983767</v>
      </c>
      <c r="AH30" s="591">
        <f ca="1">VLOOKUP($Z30,현금흐름!$C$39:$X$45,OUTPUT!AH$2,0)</f>
        <v>16.061385447907437</v>
      </c>
      <c r="AI30" s="591">
        <f ca="1">VLOOKUP($Z30,현금흐름!$C$39:$X$45,OUTPUT!AI$2,0)</f>
        <v>14.765697940750851</v>
      </c>
      <c r="AJ30" s="591">
        <f ca="1">VLOOKUP($Z30,현금흐름!$C$39:$X$45,OUTPUT!AJ$2,0)</f>
        <v>13.505276968065932</v>
      </c>
      <c r="AK30" s="591">
        <f ca="1">VLOOKUP($Z30,현금흐름!$C$39:$X$45,OUTPUT!AK$2,0)</f>
        <v>12.29754755602219</v>
      </c>
      <c r="AL30" s="591">
        <f ca="1">VLOOKUP($Z30,현금흐름!$C$39:$X$45,OUTPUT!AL$2,0)</f>
        <v>11.154079648078815</v>
      </c>
      <c r="AM30" s="591">
        <f ca="1">VLOOKUP($Z30,현금흐름!$C$39:$X$45,OUTPUT!AM$2,0)</f>
        <v>8.9617143014182492</v>
      </c>
      <c r="AN30" s="591">
        <f ca="1">VLOOKUP($Z30,현금흐름!$C$39:$X$45,OUTPUT!AN$2,0)</f>
        <v>7.1721384221462268</v>
      </c>
      <c r="AO30" s="591">
        <f ca="1">VLOOKUP($Z30,현금흐름!$C$39:$X$45,OUTPUT!AO$2,0)</f>
        <v>153.13228817519203</v>
      </c>
      <c r="AP30" s="591" t="e">
        <f>VLOOKUP($Z30,현금흐름!$C$39:$X$45,OUTPUT!AP$2,0)</f>
        <v>#REF!</v>
      </c>
      <c r="AQ30" s="591" t="e">
        <f>VLOOKUP($Z30,현금흐름!$C$39:$X$45,OUTPUT!AQ$2,0)</f>
        <v>#REF!</v>
      </c>
      <c r="AR30" s="591" t="e">
        <f>VLOOKUP($Z30,현금흐름!$C$39:$X$45,OUTPUT!AR$2,0)</f>
        <v>#REF!</v>
      </c>
      <c r="AS30" s="591" t="e">
        <f>VLOOKUP($Z30,현금흐름!$C$39:$X$45,OUTPUT!AS$2,0)</f>
        <v>#REF!</v>
      </c>
      <c r="AT30" s="591" t="e">
        <f>VLOOKUP($Z30,현금흐름!$C$39:$X$45,OUTPUT!AT$2,0)</f>
        <v>#REF!</v>
      </c>
    </row>
    <row r="31" spans="2:47" ht="20.25" customHeight="1">
      <c r="B31" s="220"/>
      <c r="C31" s="1148" t="s">
        <v>197</v>
      </c>
      <c r="D31" s="1149"/>
      <c r="E31" s="585">
        <f>할인율!D6</f>
        <v>8.3099999999999993E-2</v>
      </c>
    </row>
    <row r="32" spans="2:47" ht="20.25" customHeight="1">
      <c r="B32" s="220"/>
      <c r="C32" s="1150" t="s">
        <v>198</v>
      </c>
      <c r="D32" s="1151"/>
      <c r="E32" s="585">
        <f>할인율!D7</f>
        <v>0.02</v>
      </c>
    </row>
    <row r="33" spans="2:34" ht="20.25" customHeight="1" thickBot="1">
      <c r="B33" s="220"/>
      <c r="C33" s="1152" t="s">
        <v>199</v>
      </c>
      <c r="D33" s="1153"/>
      <c r="E33" s="592">
        <f ca="1">E30+E31+E32</f>
        <v>0.17142289552541426</v>
      </c>
      <c r="AE33" s="222" t="e">
        <f ca="1">OFFSET(IF($K$16="수익접근법",$Y$34,$AD$34),1,1,7,4)</f>
        <v>#VALUE!</v>
      </c>
    </row>
    <row r="34" spans="2:34" ht="14.25" customHeight="1" thickBot="1">
      <c r="Z34" s="222" t="e">
        <f ca="1">OFFSET($Y$34,1,1,7,4)</f>
        <v>#VALUE!</v>
      </c>
      <c r="AE34" s="222" t="e">
        <f ca="1">OFFSET($AD$34,1,1,7,4)</f>
        <v>#VALUE!</v>
      </c>
    </row>
    <row r="35" spans="2:34" ht="27.75" customHeight="1" thickBot="1">
      <c r="C35" s="593" t="s">
        <v>1502</v>
      </c>
      <c r="D35" s="594" t="s">
        <v>1507</v>
      </c>
      <c r="E35" s="595">
        <f>현금흐름!$G$11</f>
        <v>0.23159681861224862</v>
      </c>
      <c r="Z35" s="25" t="s">
        <v>1500</v>
      </c>
      <c r="AE35" s="25" t="s">
        <v>1501</v>
      </c>
    </row>
    <row r="36" spans="2:34" ht="21" customHeight="1">
      <c r="Z36" s="573" t="s">
        <v>1439</v>
      </c>
      <c r="AA36" s="574"/>
      <c r="AB36" s="575" t="s">
        <v>186</v>
      </c>
      <c r="AC36" s="576" t="s">
        <v>187</v>
      </c>
      <c r="AE36" s="573" t="s">
        <v>185</v>
      </c>
      <c r="AF36" s="574"/>
      <c r="AG36" s="575" t="s">
        <v>186</v>
      </c>
      <c r="AH36" s="576" t="s">
        <v>187</v>
      </c>
    </row>
    <row r="37" spans="2:34" ht="22.5" customHeight="1">
      <c r="C37" s="526" t="s">
        <v>185</v>
      </c>
      <c r="D37" s="526" t="s">
        <v>1166</v>
      </c>
      <c r="E37" s="526" t="s">
        <v>1167</v>
      </c>
      <c r="F37" s="526" t="s">
        <v>159</v>
      </c>
      <c r="G37" s="526" t="s">
        <v>160</v>
      </c>
      <c r="H37" s="526" t="s">
        <v>161</v>
      </c>
      <c r="I37" s="526" t="s">
        <v>162</v>
      </c>
      <c r="J37" s="526" t="s">
        <v>222</v>
      </c>
      <c r="K37" s="526" t="s">
        <v>223</v>
      </c>
      <c r="L37" s="526" t="s">
        <v>224</v>
      </c>
      <c r="M37" s="526" t="s">
        <v>225</v>
      </c>
      <c r="N37" s="526" t="s">
        <v>1156</v>
      </c>
      <c r="O37" s="526" t="s">
        <v>1157</v>
      </c>
      <c r="P37" s="526" t="s">
        <v>1158</v>
      </c>
      <c r="Q37" s="526" t="s">
        <v>1159</v>
      </c>
      <c r="R37" s="526" t="s">
        <v>1160</v>
      </c>
      <c r="S37" s="526" t="s">
        <v>1538</v>
      </c>
      <c r="T37" s="526" t="s">
        <v>1539</v>
      </c>
      <c r="U37" s="526" t="s">
        <v>1540</v>
      </c>
      <c r="V37" s="526" t="s">
        <v>1541</v>
      </c>
      <c r="W37" s="526" t="s">
        <v>163</v>
      </c>
      <c r="X37" s="220"/>
      <c r="Z37" s="579" t="s">
        <v>189</v>
      </c>
      <c r="AA37" s="596"/>
      <c r="AB37" s="597">
        <f>'(DCF,로열티1) 기술기여도 및 조정계수1'!$D$32</f>
        <v>0.64</v>
      </c>
      <c r="AC37" s="598">
        <f>'(DCF,로열티1) 기술기여도 및 조정계수1'!$E$32</f>
        <v>0.8</v>
      </c>
      <c r="AE37" s="579" t="s">
        <v>188</v>
      </c>
      <c r="AF37" s="580"/>
      <c r="AG37" s="581" t="b">
        <f>IF($K$16="로열티공제법",'(DCF,로열티1) 기술기여도 및 조정계수1'!#REF!)</f>
        <v>0</v>
      </c>
      <c r="AH37" s="582" t="b">
        <f>IF($K$16="로열티공제법",'(DCF,로열티1) 기술기여도 및 조정계수1'!#REF!)</f>
        <v>0</v>
      </c>
    </row>
    <row r="38" spans="2:34" ht="21.75" customHeight="1" thickBot="1">
      <c r="C38" s="529" t="s">
        <v>164</v>
      </c>
      <c r="D38" s="571">
        <v>0</v>
      </c>
      <c r="E38" s="571">
        <v>0</v>
      </c>
      <c r="F38" s="571">
        <v>0</v>
      </c>
      <c r="G38" s="571">
        <v>0</v>
      </c>
      <c r="H38" s="571">
        <v>0</v>
      </c>
      <c r="I38" s="571">
        <v>9200</v>
      </c>
      <c r="J38" s="571">
        <v>11111</v>
      </c>
      <c r="K38" s="571">
        <v>222222</v>
      </c>
      <c r="L38" s="571">
        <v>333333</v>
      </c>
      <c r="M38" s="571">
        <v>10000</v>
      </c>
      <c r="N38" s="571">
        <v>11000</v>
      </c>
      <c r="O38" s="571">
        <v>12000</v>
      </c>
      <c r="P38" s="571">
        <v>13000</v>
      </c>
      <c r="Q38" s="571">
        <v>0</v>
      </c>
      <c r="R38" s="571">
        <v>0</v>
      </c>
      <c r="S38" s="571">
        <v>0</v>
      </c>
      <c r="T38" s="571">
        <v>0</v>
      </c>
      <c r="U38" s="571">
        <v>0</v>
      </c>
      <c r="V38" s="571">
        <v>0</v>
      </c>
      <c r="W38" s="571">
        <v>621866</v>
      </c>
      <c r="X38" s="220"/>
      <c r="Z38" s="599" t="s">
        <v>3229</v>
      </c>
      <c r="AA38" s="600"/>
      <c r="AB38" s="601"/>
      <c r="AC38" s="602">
        <f>AB37*0.5+AC37*0.5</f>
        <v>0.72</v>
      </c>
      <c r="AE38" s="586" t="s">
        <v>1442</v>
      </c>
      <c r="AF38" s="587"/>
      <c r="AG38" s="588"/>
      <c r="AH38" s="589">
        <f>IFERROR((AG37+AH37)/2,"")</f>
        <v>0</v>
      </c>
    </row>
    <row r="39" spans="2:34" ht="21.75" customHeight="1" thickTop="1">
      <c r="C39" s="531" t="s">
        <v>3164</v>
      </c>
      <c r="D39" s="572">
        <v>0</v>
      </c>
      <c r="E39" s="572">
        <v>0</v>
      </c>
      <c r="F39" s="572">
        <v>0</v>
      </c>
      <c r="G39" s="572">
        <v>0</v>
      </c>
      <c r="H39" s="572">
        <v>0</v>
      </c>
      <c r="I39" s="572">
        <v>178.95150000000004</v>
      </c>
      <c r="J39" s="572">
        <v>216.12283875000003</v>
      </c>
      <c r="K39" s="572">
        <v>4322.495677500001</v>
      </c>
      <c r="L39" s="572">
        <v>6483.7435162500014</v>
      </c>
      <c r="M39" s="572">
        <v>194.51250000000005</v>
      </c>
      <c r="N39" s="572">
        <v>213.96375000000003</v>
      </c>
      <c r="O39" s="572">
        <v>233.41500000000005</v>
      </c>
      <c r="P39" s="572">
        <v>252.86625000000004</v>
      </c>
      <c r="Q39" s="572">
        <v>0</v>
      </c>
      <c r="R39" s="572">
        <v>0</v>
      </c>
      <c r="S39" s="572">
        <v>0</v>
      </c>
      <c r="T39" s="572">
        <v>0</v>
      </c>
      <c r="U39" s="572">
        <v>0</v>
      </c>
      <c r="V39" s="572">
        <v>0</v>
      </c>
      <c r="W39" s="572">
        <v>12096.071032500004</v>
      </c>
      <c r="Z39" s="603" t="s">
        <v>1435</v>
      </c>
      <c r="AA39" s="604"/>
      <c r="AB39" s="605"/>
      <c r="AC39" s="606">
        <f>'(DCF,로열티1) 기술기여도 및 조정계수1'!$D$37</f>
        <v>0.50490000000000002</v>
      </c>
    </row>
    <row r="40" spans="2:34" ht="21.75" customHeight="1">
      <c r="C40" s="531" t="s">
        <v>2956</v>
      </c>
      <c r="D40" s="572">
        <v>0</v>
      </c>
      <c r="E40" s="572">
        <v>0</v>
      </c>
      <c r="F40" s="572">
        <v>0</v>
      </c>
      <c r="G40" s="572">
        <v>0</v>
      </c>
      <c r="H40" s="572">
        <v>0</v>
      </c>
      <c r="I40" s="572">
        <v>17.716198500000004</v>
      </c>
      <c r="J40" s="572">
        <v>23.169673298750006</v>
      </c>
      <c r="K40" s="572">
        <v>881.40159659750009</v>
      </c>
      <c r="L40" s="572">
        <v>1333.1023948962502</v>
      </c>
      <c r="M40" s="572">
        <v>19.256737500000007</v>
      </c>
      <c r="N40" s="572">
        <v>22.718423750000007</v>
      </c>
      <c r="O40" s="572">
        <v>26.783735000000011</v>
      </c>
      <c r="P40" s="572">
        <v>30.849046250000008</v>
      </c>
      <c r="Q40" s="572">
        <v>0</v>
      </c>
      <c r="R40" s="572">
        <v>0</v>
      </c>
      <c r="S40" s="572">
        <v>0</v>
      </c>
      <c r="T40" s="572">
        <v>0</v>
      </c>
      <c r="U40" s="572">
        <v>0</v>
      </c>
      <c r="V40" s="572">
        <v>0</v>
      </c>
      <c r="W40" s="572">
        <v>2354.9978057925</v>
      </c>
      <c r="X40" s="220"/>
      <c r="Z40" s="603" t="s">
        <v>3144</v>
      </c>
      <c r="AA40" s="607"/>
      <c r="AB40" s="608"/>
      <c r="AC40" s="606">
        <f>INPUT!L75</f>
        <v>0.44999999999999996</v>
      </c>
    </row>
    <row r="41" spans="2:34" ht="21.75" customHeight="1" thickBot="1">
      <c r="C41" s="583" t="s">
        <v>3165</v>
      </c>
      <c r="D41" s="584">
        <v>0</v>
      </c>
      <c r="E41" s="584">
        <v>0</v>
      </c>
      <c r="F41" s="584">
        <v>0</v>
      </c>
      <c r="G41" s="584">
        <v>0</v>
      </c>
      <c r="H41" s="584">
        <v>0</v>
      </c>
      <c r="I41" s="584">
        <v>161.23530150000005</v>
      </c>
      <c r="J41" s="584">
        <v>192.95316545125002</v>
      </c>
      <c r="K41" s="584">
        <v>3441.094080902501</v>
      </c>
      <c r="L41" s="584">
        <v>5150.6411213537513</v>
      </c>
      <c r="M41" s="584">
        <v>175.25576250000003</v>
      </c>
      <c r="N41" s="584">
        <v>191.24532625000003</v>
      </c>
      <c r="O41" s="584">
        <v>206.63126500000004</v>
      </c>
      <c r="P41" s="584">
        <v>222.01720375000002</v>
      </c>
      <c r="Q41" s="584">
        <v>0</v>
      </c>
      <c r="R41" s="584">
        <v>0</v>
      </c>
      <c r="S41" s="584">
        <v>0</v>
      </c>
      <c r="T41" s="584">
        <v>0</v>
      </c>
      <c r="U41" s="584">
        <v>0</v>
      </c>
      <c r="V41" s="584">
        <v>0</v>
      </c>
      <c r="W41" s="584">
        <v>9741.0732267075036</v>
      </c>
      <c r="X41" s="220"/>
      <c r="Z41" s="586" t="s">
        <v>192</v>
      </c>
      <c r="AA41" s="609"/>
      <c r="AB41" s="610"/>
      <c r="AC41" s="611">
        <f>AC38*AC39*AC40</f>
        <v>0.1635876</v>
      </c>
    </row>
    <row r="42" spans="2:34" ht="21.75" customHeight="1">
      <c r="C42" s="547" t="s">
        <v>175</v>
      </c>
      <c r="D42" s="590">
        <v>0.92209112651137071</v>
      </c>
      <c r="E42" s="590">
        <v>0.85006260245534737</v>
      </c>
      <c r="F42" s="590">
        <v>0.78366053778985945</v>
      </c>
      <c r="G42" s="590">
        <v>0.72244542544894619</v>
      </c>
      <c r="H42" s="590">
        <v>0.66601209016354079</v>
      </c>
      <c r="I42" s="590">
        <v>0.61398700665640082</v>
      </c>
      <c r="J42" s="590">
        <v>0.56602582732442419</v>
      </c>
      <c r="K42" s="590">
        <v>0.52181110304438849</v>
      </c>
      <c r="L42" s="590">
        <v>0.48105018201640676</v>
      </c>
      <c r="M42" s="590">
        <v>0.44347327273780329</v>
      </c>
      <c r="N42" s="590">
        <v>0.40883165828647466</v>
      </c>
      <c r="O42" s="590">
        <v>0.37689605009429666</v>
      </c>
      <c r="P42" s="590">
        <v>0.34745507031440681</v>
      </c>
      <c r="Q42" s="590">
        <v>0.3203138527373392</v>
      </c>
      <c r="R42" s="590">
        <v>0.29529275299564856</v>
      </c>
      <c r="S42" s="590">
        <v>0.27222615952002632</v>
      </c>
      <c r="T42" s="590">
        <v>0.25096139737677486</v>
      </c>
      <c r="U42" s="590">
        <v>0.23135771773127584</v>
      </c>
      <c r="V42" s="590">
        <v>0.21328536624883448</v>
      </c>
      <c r="W42" s="590">
        <v>0</v>
      </c>
      <c r="X42" s="220"/>
    </row>
    <row r="43" spans="2:34" ht="39.75" customHeight="1">
      <c r="C43" s="419" t="s">
        <v>3166</v>
      </c>
      <c r="D43" s="591">
        <v>0</v>
      </c>
      <c r="E43" s="591">
        <v>0</v>
      </c>
      <c r="F43" s="591">
        <v>0</v>
      </c>
      <c r="G43" s="591">
        <v>0</v>
      </c>
      <c r="H43" s="591">
        <v>0</v>
      </c>
      <c r="I43" s="591">
        <v>98.996380135327328</v>
      </c>
      <c r="J43" s="591">
        <v>109.2164751094103</v>
      </c>
      <c r="K43" s="591">
        <v>1795.6010980352503</v>
      </c>
      <c r="L43" s="591">
        <v>2477.7168489284113</v>
      </c>
      <c r="M43" s="591">
        <v>77.721246562034196</v>
      </c>
      <c r="N43" s="591">
        <v>78.187143870325372</v>
      </c>
      <c r="O43" s="591">
        <v>77.878507604487908</v>
      </c>
      <c r="P43" s="591">
        <v>77.141003139964241</v>
      </c>
      <c r="Q43" s="591">
        <v>0</v>
      </c>
      <c r="R43" s="591">
        <v>0</v>
      </c>
      <c r="S43" s="591">
        <v>0</v>
      </c>
      <c r="T43" s="591">
        <v>0</v>
      </c>
      <c r="U43" s="591">
        <v>0</v>
      </c>
      <c r="V43" s="591">
        <v>0</v>
      </c>
      <c r="W43" s="591">
        <v>4792.4587033852113</v>
      </c>
      <c r="X43" s="220"/>
    </row>
    <row r="44" spans="2:34" ht="21.75" customHeight="1">
      <c r="W44" s="541">
        <v>907.99999999999909</v>
      </c>
      <c r="X44" s="220"/>
    </row>
    <row r="45" spans="2:34" ht="21.75" customHeight="1">
      <c r="W45" s="541">
        <v>-9.0949470177292824E-13</v>
      </c>
      <c r="X45" s="220"/>
    </row>
    <row r="46" spans="2:34" ht="21.75" customHeight="1">
      <c r="W46" s="544">
        <v>563.99999999999818</v>
      </c>
      <c r="X46" s="220"/>
    </row>
    <row r="47" spans="2:34" ht="33" customHeight="1">
      <c r="W47" s="548">
        <v>10151.735000000001</v>
      </c>
      <c r="X47" s="220"/>
    </row>
    <row r="48" spans="2:34" ht="19.5" customHeight="1">
      <c r="W48" s="553">
        <v>0</v>
      </c>
    </row>
    <row r="49" spans="3:23" ht="33" customHeight="1">
      <c r="W49" s="555">
        <v>79.296685381866496</v>
      </c>
    </row>
    <row r="50" spans="3:23" ht="17.25">
      <c r="W50" s="612">
        <v>0</v>
      </c>
    </row>
    <row r="51" spans="3:23" ht="17.25">
      <c r="W51" s="613" t="s">
        <v>3157</v>
      </c>
    </row>
    <row r="54" spans="3:23" ht="20.25">
      <c r="C54" s="23" t="s">
        <v>1736</v>
      </c>
    </row>
    <row r="55" spans="3:23" ht="34.5">
      <c r="C55" s="614" t="s">
        <v>1726</v>
      </c>
      <c r="D55" s="614" t="s">
        <v>1725</v>
      </c>
      <c r="E55" s="614" t="s">
        <v>1733</v>
      </c>
      <c r="F55" s="614" t="s">
        <v>1727</v>
      </c>
      <c r="G55" s="614" t="s">
        <v>1728</v>
      </c>
      <c r="H55" s="614" t="s">
        <v>1729</v>
      </c>
      <c r="I55" s="614" t="s">
        <v>1730</v>
      </c>
      <c r="J55" s="614" t="s">
        <v>1731</v>
      </c>
      <c r="K55" s="614" t="s">
        <v>1732</v>
      </c>
      <c r="L55" s="614" t="s">
        <v>1734</v>
      </c>
      <c r="M55" s="614" t="s">
        <v>1735</v>
      </c>
      <c r="N55" s="615"/>
      <c r="O55" s="615"/>
    </row>
    <row r="56" spans="3:23" ht="36" customHeight="1">
      <c r="C56" s="616" t="str">
        <f>INPUT!$G$11</f>
        <v>평가기준일</v>
      </c>
      <c r="D56" s="617" t="str">
        <f>INDEX(INPUT!$P$77:$P$82,INPUT!$R$74,0)</f>
        <v>(3개년)전체</v>
      </c>
      <c r="E56" s="618" t="str">
        <f>INPUT!J11</f>
        <v>반올림</v>
      </c>
      <c r="F56" s="616" t="str">
        <f>IF(INPUT!$L$11=0,"N",INPUT!$L$11)</f>
        <v>N</v>
      </c>
      <c r="G56" s="619">
        <f>IF(INPUT!$E$10="수익접근법",INPUT!$J$74,"N")</f>
        <v>1</v>
      </c>
      <c r="H56" s="616" t="str">
        <f>기술수명!I5</f>
        <v>Q2</v>
      </c>
      <c r="I56" s="616" t="str">
        <f>IF(현금흐름!$AA$15=1,"자동","수동")</f>
        <v>자동</v>
      </c>
      <c r="J56" s="616" t="str">
        <f>IF(현금흐름!$AA$16=1,"자동","수동")</f>
        <v>자동</v>
      </c>
      <c r="K56" s="616" t="str">
        <f>IF(현금흐름!$A$52=1,"자동", "수동")</f>
        <v>자동</v>
      </c>
      <c r="L56" s="616" t="str">
        <f>INDEX(할인율!$L$7:$L$8,할인율!$M$7,1)</f>
        <v>성숙 시장</v>
      </c>
      <c r="M56" s="616" t="str">
        <f>INDEX('(DCF,로열티1) 기술기여도 및 조정계수1'!B42:B43,'(DCF,로열티1) 기술기여도 및 조정계수1'!C42,0)</f>
        <v>평균</v>
      </c>
    </row>
  </sheetData>
  <mergeCells count="39">
    <mergeCell ref="K2:M2"/>
    <mergeCell ref="B2:H2"/>
    <mergeCell ref="I2:J2"/>
    <mergeCell ref="H6:M6"/>
    <mergeCell ref="H5:M5"/>
    <mergeCell ref="D5:E5"/>
    <mergeCell ref="D6:E6"/>
    <mergeCell ref="C27:E27"/>
    <mergeCell ref="C28:C30"/>
    <mergeCell ref="C31:D31"/>
    <mergeCell ref="C32:D32"/>
    <mergeCell ref="C33:D33"/>
    <mergeCell ref="E9:M9"/>
    <mergeCell ref="E12:M12"/>
    <mergeCell ref="E11:M11"/>
    <mergeCell ref="H19:I19"/>
    <mergeCell ref="E16:F16"/>
    <mergeCell ref="E15:F15"/>
    <mergeCell ref="I16:J16"/>
    <mergeCell ref="I15:J15"/>
    <mergeCell ref="G16:H16"/>
    <mergeCell ref="G15:H15"/>
    <mergeCell ref="E10:M10"/>
    <mergeCell ref="C15:D15"/>
    <mergeCell ref="C16:D16"/>
    <mergeCell ref="L24:M24"/>
    <mergeCell ref="L23:M23"/>
    <mergeCell ref="H24:I24"/>
    <mergeCell ref="H23:I23"/>
    <mergeCell ref="F24:G24"/>
    <mergeCell ref="F23:G23"/>
    <mergeCell ref="C23:C24"/>
    <mergeCell ref="J23:K23"/>
    <mergeCell ref="J24:K24"/>
    <mergeCell ref="C19:F19"/>
    <mergeCell ref="C20:F20"/>
    <mergeCell ref="H20:I20"/>
    <mergeCell ref="L19:M19"/>
    <mergeCell ref="L20:M20"/>
  </mergeCells>
  <phoneticPr fontId="11" type="noConversion"/>
  <pageMargins left="0.7" right="0.7" top="0.75" bottom="0.75" header="0.3" footer="0.3"/>
  <pageSetup paperSize="9" scale="29" fitToHeight="0"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300-000000000000}">
          <x14:formula1>
            <xm:f>업종분류!$B$9:$B$121</xm:f>
          </x14:formula1>
          <xm:sqref>D12</xm:sqref>
        </x14:dataValidation>
        <x14:dataValidation type="list" allowBlank="1" showInputMessage="1" showErrorMessage="1" xr:uid="{00000000-0002-0000-0300-000001000000}">
          <x14:formula1>
            <xm:f>IPC!$B$3:$B$630</xm:f>
          </x14:formula1>
          <xm:sqref>D10:D11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K87"/>
  <sheetViews>
    <sheetView showGridLines="0" view="pageBreakPreview" zoomScale="130" zoomScaleNormal="100" zoomScaleSheetLayoutView="130" workbookViewId="0">
      <pane ySplit="4" topLeftCell="A5" activePane="bottomLeft" state="frozen"/>
      <selection activeCell="G24" sqref="G24"/>
      <selection pane="bottomLeft" activeCell="D6" sqref="D6"/>
    </sheetView>
  </sheetViews>
  <sheetFormatPr defaultRowHeight="13.5"/>
  <cols>
    <col min="1" max="1" width="1.88671875" customWidth="1"/>
    <col min="2" max="2" width="9.77734375" customWidth="1"/>
    <col min="3" max="6" width="10.88671875" customWidth="1"/>
    <col min="7" max="7" width="9.109375" bestFit="1" customWidth="1"/>
    <col min="9" max="9" width="1.6640625" customWidth="1"/>
    <col min="11" max="11" width="8.88671875" hidden="1" customWidth="1"/>
  </cols>
  <sheetData>
    <row r="1" spans="1:9" s="112" customFormat="1" ht="42" customHeight="1" thickBot="1">
      <c r="B1" s="1172" t="s">
        <v>1680</v>
      </c>
      <c r="C1" s="1173"/>
      <c r="D1" s="1173"/>
      <c r="E1" s="1173"/>
      <c r="F1" s="1173"/>
      <c r="G1" s="1173"/>
      <c r="H1" s="1174"/>
    </row>
    <row r="2" spans="1:9" s="112" customFormat="1" ht="23.25" customHeight="1">
      <c r="A2"/>
      <c r="B2"/>
      <c r="C2"/>
      <c r="D2"/>
      <c r="E2"/>
      <c r="F2" s="442"/>
      <c r="G2" s="443"/>
      <c r="H2" s="444" t="s">
        <v>1681</v>
      </c>
      <c r="I2"/>
    </row>
    <row r="3" spans="1:9" s="112" customFormat="1" ht="23.25" customHeight="1">
      <c r="A3"/>
      <c r="B3"/>
      <c r="C3"/>
      <c r="D3"/>
      <c r="E3"/>
      <c r="F3"/>
      <c r="H3" s="113"/>
      <c r="I3"/>
    </row>
    <row r="4" spans="1:9" s="112" customFormat="1" ht="30" customHeight="1">
      <c r="A4"/>
      <c r="B4" s="1175" t="s">
        <v>1682</v>
      </c>
      <c r="C4" s="1175"/>
      <c r="D4" s="1175"/>
      <c r="E4" s="1175"/>
      <c r="F4" s="1176" t="str">
        <f>IF(AND(SUM(K19:K22)=3,F29="적     합",AND(F50="적     합",F71="적     합")),"적     합","보완 필요")</f>
        <v>적     합</v>
      </c>
      <c r="G4" s="1176"/>
      <c r="H4" s="1176"/>
      <c r="I4"/>
    </row>
    <row r="5" spans="1:9" s="442" customFormat="1">
      <c r="B5" s="442" t="s">
        <v>1683</v>
      </c>
    </row>
    <row r="6" spans="1:9">
      <c r="B6" s="17"/>
    </row>
    <row r="7" spans="1:9">
      <c r="B7" s="17"/>
    </row>
    <row r="8" spans="1:9">
      <c r="B8" s="17"/>
    </row>
    <row r="9" spans="1:9" s="442" customFormat="1" ht="20.25">
      <c r="B9" s="445" t="s">
        <v>1684</v>
      </c>
    </row>
    <row r="10" spans="1:9" ht="6" customHeight="1"/>
    <row r="11" spans="1:9" ht="37.5" customHeight="1">
      <c r="B11" s="1177" t="s">
        <v>1685</v>
      </c>
      <c r="C11" s="1178"/>
      <c r="D11" s="1177">
        <f>INPUT!H6</f>
        <v>0</v>
      </c>
      <c r="E11" s="1179"/>
      <c r="F11" s="1179"/>
      <c r="G11" s="1179"/>
      <c r="H11" s="1178"/>
    </row>
    <row r="12" spans="1:9" ht="24.75" customHeight="1">
      <c r="B12" s="1168" t="s">
        <v>1686</v>
      </c>
      <c r="C12" s="1168"/>
      <c r="D12" s="1169" t="s">
        <v>2983</v>
      </c>
      <c r="E12" s="1170"/>
      <c r="F12" s="433" t="s">
        <v>1687</v>
      </c>
      <c r="G12" s="1169"/>
      <c r="H12" s="1170"/>
    </row>
    <row r="13" spans="1:9" ht="24.75" customHeight="1">
      <c r="B13" s="1168" t="s">
        <v>1688</v>
      </c>
      <c r="C13" s="1168"/>
      <c r="D13" s="1168" t="s">
        <v>1689</v>
      </c>
      <c r="E13" s="1168"/>
      <c r="F13" s="1168"/>
      <c r="G13" s="1169"/>
      <c r="H13" s="1170"/>
    </row>
    <row r="14" spans="1:9" ht="24.75" customHeight="1">
      <c r="B14" s="1168"/>
      <c r="C14" s="1168"/>
      <c r="D14" s="1168" t="s">
        <v>1690</v>
      </c>
      <c r="E14" s="1168"/>
      <c r="F14" s="1168"/>
      <c r="G14" s="1171">
        <f>INPUT!G10</f>
        <v>45292</v>
      </c>
      <c r="H14" s="1171"/>
    </row>
    <row r="15" spans="1:9" ht="24.75" customHeight="1">
      <c r="B15" s="1168"/>
      <c r="C15" s="1168"/>
      <c r="D15" s="1168" t="s">
        <v>1691</v>
      </c>
      <c r="E15" s="1168"/>
      <c r="F15" s="1168"/>
      <c r="G15" s="1169"/>
      <c r="H15" s="1170"/>
    </row>
    <row r="16" spans="1:9" ht="25.5" customHeight="1">
      <c r="B16" s="1188" t="s">
        <v>1692</v>
      </c>
      <c r="C16" s="1189"/>
      <c r="D16" s="1189"/>
      <c r="E16" s="1189"/>
      <c r="F16" s="1189"/>
      <c r="G16" s="1189"/>
      <c r="H16" s="1190"/>
    </row>
    <row r="17" spans="2:11">
      <c r="B17" s="1191" t="s">
        <v>1693</v>
      </c>
      <c r="C17" s="1177" t="s">
        <v>1694</v>
      </c>
      <c r="D17" s="1179"/>
      <c r="E17" s="1179"/>
      <c r="F17" s="1178"/>
      <c r="G17" s="1177" t="s">
        <v>1695</v>
      </c>
      <c r="H17" s="1178"/>
    </row>
    <row r="18" spans="2:11">
      <c r="B18" s="1192"/>
      <c r="C18" s="1193"/>
      <c r="D18" s="1194"/>
      <c r="E18" s="1194"/>
      <c r="F18" s="1195"/>
      <c r="G18" s="1193"/>
      <c r="H18" s="1195"/>
    </row>
    <row r="19" spans="2:11" ht="48" customHeight="1">
      <c r="B19" s="114" t="s">
        <v>1696</v>
      </c>
      <c r="C19" s="1180" t="s">
        <v>3175</v>
      </c>
      <c r="D19" s="1181"/>
      <c r="E19" s="1181"/>
      <c r="F19" s="1182"/>
      <c r="G19" s="1183"/>
      <c r="H19" s="1184"/>
      <c r="K19">
        <v>1</v>
      </c>
    </row>
    <row r="20" spans="2:11" ht="48" customHeight="1">
      <c r="B20" s="114" t="s">
        <v>1697</v>
      </c>
      <c r="C20" s="1180" t="s">
        <v>3176</v>
      </c>
      <c r="D20" s="1181"/>
      <c r="E20" s="1181"/>
      <c r="F20" s="1182"/>
      <c r="G20" s="1183"/>
      <c r="H20" s="1184"/>
      <c r="K20">
        <v>1</v>
      </c>
    </row>
    <row r="21" spans="2:11" ht="48" customHeight="1">
      <c r="B21" s="114" t="s">
        <v>1698</v>
      </c>
      <c r="C21" s="1180" t="s">
        <v>3177</v>
      </c>
      <c r="D21" s="1181"/>
      <c r="E21" s="1181"/>
      <c r="F21" s="1182"/>
      <c r="G21" s="1183"/>
      <c r="H21" s="1184"/>
      <c r="K21">
        <v>1</v>
      </c>
    </row>
    <row r="22" spans="2:11" ht="135" customHeight="1">
      <c r="B22" s="114" t="s">
        <v>1699</v>
      </c>
      <c r="C22" s="1185" t="s">
        <v>1700</v>
      </c>
      <c r="D22" s="1186"/>
      <c r="E22" s="1186"/>
      <c r="F22" s="1186"/>
      <c r="G22" s="1186"/>
      <c r="H22" s="1187"/>
    </row>
    <row r="23" spans="2:11" ht="19.5" customHeight="1">
      <c r="B23" s="115"/>
      <c r="C23" s="116"/>
      <c r="D23" s="116"/>
      <c r="E23" s="116"/>
      <c r="F23" s="116"/>
      <c r="G23" s="117"/>
      <c r="H23" s="117"/>
    </row>
    <row r="24" spans="2:11" ht="17.25" customHeight="1">
      <c r="B24" s="115"/>
      <c r="C24" s="116"/>
      <c r="D24" s="116"/>
      <c r="E24" s="116"/>
      <c r="F24" s="116"/>
      <c r="G24" s="117"/>
      <c r="H24" s="117"/>
    </row>
    <row r="25" spans="2:11" ht="17.25" customHeight="1">
      <c r="B25" s="119"/>
      <c r="C25" s="116"/>
      <c r="D25" s="116"/>
      <c r="E25" s="116"/>
      <c r="F25" s="116"/>
      <c r="G25" s="117"/>
      <c r="H25" s="117"/>
    </row>
    <row r="27" spans="2:11" s="442" customFormat="1" ht="20.25">
      <c r="B27" s="445" t="s">
        <v>1701</v>
      </c>
    </row>
    <row r="28" spans="2:11" s="442" customFormat="1" ht="7.5" customHeight="1"/>
    <row r="29" spans="2:11" s="442" customFormat="1" ht="21.75" customHeight="1">
      <c r="B29" s="1175" t="s">
        <v>1702</v>
      </c>
      <c r="C29" s="1175"/>
      <c r="D29" s="1175"/>
      <c r="E29" s="1175"/>
      <c r="F29" s="1176" t="str">
        <f>IF(SUM(K33:K42)=10,"적     합","보완 필요")</f>
        <v>적     합</v>
      </c>
      <c r="G29" s="1176"/>
      <c r="H29" s="1176"/>
    </row>
    <row r="30" spans="2:11" s="442" customFormat="1" ht="7.5" customHeight="1"/>
    <row r="31" spans="2:11" s="442" customFormat="1" ht="23.25" customHeight="1">
      <c r="B31" s="1196" t="s">
        <v>1703</v>
      </c>
      <c r="C31" s="1196"/>
      <c r="D31" s="1196"/>
      <c r="E31" s="1196"/>
      <c r="F31" s="1196"/>
      <c r="G31" s="1196"/>
      <c r="H31" s="1196"/>
    </row>
    <row r="32" spans="2:11" s="442" customFormat="1" ht="23.25" customHeight="1">
      <c r="B32" s="118" t="s">
        <v>1704</v>
      </c>
      <c r="C32" s="1197" t="s">
        <v>1694</v>
      </c>
      <c r="D32" s="1198"/>
      <c r="E32" s="1198"/>
      <c r="F32" s="1199"/>
      <c r="G32" s="1200" t="s">
        <v>1705</v>
      </c>
      <c r="H32" s="1201"/>
    </row>
    <row r="33" spans="2:11" s="442" customFormat="1" ht="43.5" customHeight="1">
      <c r="B33" s="1168" t="s">
        <v>1706</v>
      </c>
      <c r="C33" s="1202" t="s">
        <v>3178</v>
      </c>
      <c r="D33" s="1202"/>
      <c r="E33" s="1202"/>
      <c r="F33" s="1202"/>
      <c r="G33" s="1169"/>
      <c r="H33" s="1170"/>
      <c r="K33" s="446">
        <v>1</v>
      </c>
    </row>
    <row r="34" spans="2:11" s="442" customFormat="1" ht="43.5" customHeight="1">
      <c r="B34" s="1168"/>
      <c r="C34" s="1202" t="s">
        <v>3179</v>
      </c>
      <c r="D34" s="1202"/>
      <c r="E34" s="1202"/>
      <c r="F34" s="1202"/>
      <c r="G34" s="1169"/>
      <c r="H34" s="1170"/>
      <c r="K34" s="446">
        <v>1</v>
      </c>
    </row>
    <row r="35" spans="2:11" s="442" customFormat="1" ht="43.5" customHeight="1">
      <c r="B35" s="1168"/>
      <c r="C35" s="1202" t="s">
        <v>3180</v>
      </c>
      <c r="D35" s="1202"/>
      <c r="E35" s="1202"/>
      <c r="F35" s="1202"/>
      <c r="G35" s="1169"/>
      <c r="H35" s="1170"/>
      <c r="K35" s="446">
        <v>1</v>
      </c>
    </row>
    <row r="36" spans="2:11" s="442" customFormat="1" ht="49.5" customHeight="1">
      <c r="B36" s="1168" t="s">
        <v>1707</v>
      </c>
      <c r="C36" s="1202" t="s">
        <v>3181</v>
      </c>
      <c r="D36" s="1202"/>
      <c r="E36" s="1202"/>
      <c r="F36" s="1202"/>
      <c r="G36" s="1169"/>
      <c r="H36" s="1170"/>
      <c r="K36" s="446">
        <v>1</v>
      </c>
    </row>
    <row r="37" spans="2:11" s="442" customFormat="1" ht="49.5" customHeight="1">
      <c r="B37" s="1168"/>
      <c r="C37" s="1202" t="s">
        <v>3182</v>
      </c>
      <c r="D37" s="1202"/>
      <c r="E37" s="1202"/>
      <c r="F37" s="1202"/>
      <c r="G37" s="1169"/>
      <c r="H37" s="1170"/>
      <c r="K37" s="446">
        <v>1</v>
      </c>
    </row>
    <row r="38" spans="2:11" s="442" customFormat="1" ht="49.5" customHeight="1">
      <c r="B38" s="1168" t="s">
        <v>1708</v>
      </c>
      <c r="C38" s="1202" t="s">
        <v>3183</v>
      </c>
      <c r="D38" s="1202"/>
      <c r="E38" s="1202"/>
      <c r="F38" s="1202"/>
      <c r="G38" s="1169"/>
      <c r="H38" s="1170"/>
      <c r="K38" s="446">
        <v>1</v>
      </c>
    </row>
    <row r="39" spans="2:11" s="442" customFormat="1" ht="49.5" customHeight="1">
      <c r="B39" s="1168"/>
      <c r="C39" s="1202" t="s">
        <v>3184</v>
      </c>
      <c r="D39" s="1202"/>
      <c r="E39" s="1202"/>
      <c r="F39" s="1202"/>
      <c r="G39" s="1169"/>
      <c r="H39" s="1170"/>
      <c r="K39" s="446">
        <v>1</v>
      </c>
    </row>
    <row r="40" spans="2:11" s="442" customFormat="1" ht="49.5" customHeight="1">
      <c r="B40" s="1168"/>
      <c r="C40" s="1202" t="s">
        <v>3185</v>
      </c>
      <c r="D40" s="1202"/>
      <c r="E40" s="1202"/>
      <c r="F40" s="1202"/>
      <c r="G40" s="1169"/>
      <c r="H40" s="1170"/>
      <c r="K40" s="446">
        <v>1</v>
      </c>
    </row>
    <row r="41" spans="2:11" s="442" customFormat="1" ht="49.5" customHeight="1">
      <c r="B41" s="1168" t="s">
        <v>1709</v>
      </c>
      <c r="C41" s="1202" t="s">
        <v>3186</v>
      </c>
      <c r="D41" s="1202"/>
      <c r="E41" s="1202"/>
      <c r="F41" s="1202"/>
      <c r="G41" s="1169"/>
      <c r="H41" s="1170"/>
      <c r="K41" s="446">
        <v>1</v>
      </c>
    </row>
    <row r="42" spans="2:11" s="442" customFormat="1" ht="49.5" customHeight="1">
      <c r="B42" s="1168"/>
      <c r="C42" s="1202" t="s">
        <v>3187</v>
      </c>
      <c r="D42" s="1202"/>
      <c r="E42" s="1202"/>
      <c r="F42" s="1202"/>
      <c r="G42" s="1169"/>
      <c r="H42" s="1170"/>
      <c r="K42" s="446">
        <v>1</v>
      </c>
    </row>
    <row r="43" spans="2:11" s="442" customFormat="1" ht="95.25" customHeight="1">
      <c r="B43" s="431" t="s">
        <v>1710</v>
      </c>
      <c r="C43" s="1203" t="s">
        <v>1700</v>
      </c>
      <c r="D43" s="1204"/>
      <c r="E43" s="1204"/>
      <c r="F43" s="1204"/>
      <c r="G43" s="1204"/>
      <c r="H43" s="1205"/>
    </row>
    <row r="44" spans="2:11" ht="11.25" customHeight="1">
      <c r="B44" s="115"/>
      <c r="C44" s="120"/>
      <c r="D44" s="120"/>
      <c r="E44" s="120"/>
      <c r="F44" s="120"/>
      <c r="G44" s="120"/>
      <c r="H44" s="120"/>
    </row>
    <row r="45" spans="2:11" ht="11.25" customHeight="1">
      <c r="B45" s="115"/>
      <c r="C45" s="120"/>
      <c r="D45" s="120"/>
      <c r="E45" s="120"/>
      <c r="F45" s="120"/>
      <c r="G45" s="120"/>
      <c r="H45" s="120"/>
    </row>
    <row r="47" spans="2:11" s="442" customFormat="1"/>
    <row r="48" spans="2:11" s="442" customFormat="1" ht="20.25">
      <c r="B48" s="447" t="s">
        <v>1723</v>
      </c>
      <c r="D48" s="448"/>
    </row>
    <row r="49" spans="2:11" s="442" customFormat="1" ht="7.5" customHeight="1"/>
    <row r="50" spans="2:11" s="442" customFormat="1" ht="21.75" customHeight="1">
      <c r="B50" s="1175" t="s">
        <v>1711</v>
      </c>
      <c r="C50" s="1175"/>
      <c r="D50" s="1175"/>
      <c r="E50" s="1175"/>
      <c r="F50" s="1176" t="str">
        <f>IF(SUM(K53:K63)=11,"적     합","보완 필요")</f>
        <v>적     합</v>
      </c>
      <c r="G50" s="1176"/>
      <c r="H50" s="1176"/>
    </row>
    <row r="51" spans="2:11" s="442" customFormat="1" ht="9.75" customHeight="1">
      <c r="B51" s="449"/>
      <c r="C51" s="449"/>
    </row>
    <row r="52" spans="2:11" s="442" customFormat="1" ht="18" customHeight="1">
      <c r="B52" s="434" t="s">
        <v>1704</v>
      </c>
      <c r="C52" s="1206" t="s">
        <v>1694</v>
      </c>
      <c r="D52" s="1207"/>
      <c r="E52" s="1207"/>
      <c r="F52" s="1208"/>
      <c r="G52" s="1183" t="s">
        <v>1705</v>
      </c>
      <c r="H52" s="1184"/>
    </row>
    <row r="53" spans="2:11" s="442" customFormat="1" ht="48" customHeight="1">
      <c r="B53" s="1177" t="s">
        <v>181</v>
      </c>
      <c r="C53" s="1202" t="s">
        <v>3188</v>
      </c>
      <c r="D53" s="1202"/>
      <c r="E53" s="1202"/>
      <c r="F53" s="1202"/>
      <c r="G53" s="1209"/>
      <c r="H53" s="1184"/>
      <c r="K53" s="446">
        <v>1</v>
      </c>
    </row>
    <row r="54" spans="2:11" s="442" customFormat="1" ht="48" customHeight="1">
      <c r="B54" s="1193"/>
      <c r="C54" s="1202" t="s">
        <v>3189</v>
      </c>
      <c r="D54" s="1202"/>
      <c r="E54" s="1202"/>
      <c r="F54" s="1202"/>
      <c r="G54" s="1209"/>
      <c r="H54" s="1184"/>
      <c r="K54" s="446">
        <v>1</v>
      </c>
    </row>
    <row r="55" spans="2:11" s="442" customFormat="1" ht="56.25" customHeight="1">
      <c r="B55" s="1177" t="s">
        <v>1712</v>
      </c>
      <c r="C55" s="1202" t="s">
        <v>3190</v>
      </c>
      <c r="D55" s="1202"/>
      <c r="E55" s="1202"/>
      <c r="F55" s="1202"/>
      <c r="G55" s="1210"/>
      <c r="H55" s="1178"/>
      <c r="K55" s="446">
        <v>1</v>
      </c>
    </row>
    <row r="56" spans="2:11" s="442" customFormat="1" ht="35.25" customHeight="1">
      <c r="B56" s="1197"/>
      <c r="C56" s="1202" t="s">
        <v>3191</v>
      </c>
      <c r="D56" s="1202"/>
      <c r="E56" s="1202"/>
      <c r="F56" s="1202"/>
      <c r="G56" s="1169"/>
      <c r="H56" s="1170"/>
      <c r="K56" s="446">
        <v>1</v>
      </c>
    </row>
    <row r="57" spans="2:11" s="442" customFormat="1" ht="35.25" customHeight="1">
      <c r="B57" s="1197"/>
      <c r="C57" s="1202" t="s">
        <v>3192</v>
      </c>
      <c r="D57" s="1202"/>
      <c r="E57" s="1202"/>
      <c r="F57" s="1202"/>
      <c r="G57" s="1211"/>
      <c r="H57" s="1212"/>
      <c r="K57" s="446">
        <v>1</v>
      </c>
    </row>
    <row r="58" spans="2:11" s="442" customFormat="1" ht="35.25" customHeight="1">
      <c r="B58" s="1193"/>
      <c r="C58" s="1202" t="s">
        <v>3193</v>
      </c>
      <c r="D58" s="1202"/>
      <c r="E58" s="1202"/>
      <c r="F58" s="1202"/>
      <c r="G58" s="1209"/>
      <c r="H58" s="1184"/>
      <c r="K58" s="446">
        <v>1</v>
      </c>
    </row>
    <row r="59" spans="2:11" s="442" customFormat="1" ht="44.25" customHeight="1">
      <c r="B59" s="1177" t="s">
        <v>1713</v>
      </c>
      <c r="C59" s="1202" t="s">
        <v>3194</v>
      </c>
      <c r="D59" s="1202"/>
      <c r="E59" s="1202"/>
      <c r="F59" s="1202"/>
      <c r="G59" s="1222"/>
      <c r="H59" s="1208"/>
      <c r="K59" s="446">
        <v>1</v>
      </c>
    </row>
    <row r="60" spans="2:11" s="442" customFormat="1" ht="44.25" customHeight="1">
      <c r="B60" s="1193"/>
      <c r="C60" s="1202" t="s">
        <v>3195</v>
      </c>
      <c r="D60" s="1202"/>
      <c r="E60" s="1202"/>
      <c r="F60" s="1202"/>
      <c r="G60" s="1211"/>
      <c r="H60" s="1223"/>
      <c r="K60" s="446">
        <v>1</v>
      </c>
    </row>
    <row r="61" spans="2:11" s="442" customFormat="1" ht="46.5" customHeight="1">
      <c r="B61" s="1224" t="s">
        <v>1714</v>
      </c>
      <c r="C61" s="1202" t="s">
        <v>3196</v>
      </c>
      <c r="D61" s="1202"/>
      <c r="E61" s="1202"/>
      <c r="F61" s="1202"/>
      <c r="G61" s="1209"/>
      <c r="H61" s="1213"/>
      <c r="K61" s="446">
        <v>1</v>
      </c>
    </row>
    <row r="62" spans="2:11" s="442" customFormat="1" ht="42.75" customHeight="1">
      <c r="B62" s="1225"/>
      <c r="C62" s="1202" t="s">
        <v>3197</v>
      </c>
      <c r="D62" s="1202"/>
      <c r="E62" s="1202"/>
      <c r="F62" s="1202"/>
      <c r="G62" s="1209"/>
      <c r="H62" s="1213"/>
      <c r="K62" s="446">
        <v>1</v>
      </c>
    </row>
    <row r="63" spans="2:11" s="442" customFormat="1" ht="45.75" customHeight="1">
      <c r="B63" s="436" t="s">
        <v>1715</v>
      </c>
      <c r="C63" s="1202" t="s">
        <v>3198</v>
      </c>
      <c r="D63" s="1202"/>
      <c r="E63" s="1202"/>
      <c r="F63" s="1202"/>
      <c r="G63" s="1209"/>
      <c r="H63" s="1213"/>
      <c r="K63" s="446">
        <v>1</v>
      </c>
    </row>
    <row r="64" spans="2:11" s="442" customFormat="1" ht="95.25" customHeight="1">
      <c r="B64" s="432" t="s">
        <v>1710</v>
      </c>
      <c r="C64" s="1214" t="s">
        <v>1716</v>
      </c>
      <c r="D64" s="1215"/>
      <c r="E64" s="1215"/>
      <c r="F64" s="1215"/>
      <c r="G64" s="1215"/>
      <c r="H64" s="1216"/>
    </row>
    <row r="65" spans="2:11" s="442" customFormat="1" ht="18.75" customHeight="1">
      <c r="B65" s="1217"/>
      <c r="C65" s="1200" t="s">
        <v>1717</v>
      </c>
      <c r="D65" s="1219"/>
      <c r="E65" s="1219"/>
      <c r="F65" s="1219"/>
      <c r="G65" s="1219"/>
      <c r="H65" s="1220"/>
    </row>
    <row r="66" spans="2:11" s="442" customFormat="1" ht="33" customHeight="1">
      <c r="B66" s="1218"/>
      <c r="C66" s="1221" t="s">
        <v>3199</v>
      </c>
      <c r="D66" s="1215"/>
      <c r="E66" s="1215"/>
      <c r="F66" s="1215"/>
      <c r="G66" s="1215"/>
      <c r="H66" s="1216"/>
    </row>
    <row r="67" spans="2:11" s="442" customFormat="1" ht="6" customHeight="1">
      <c r="B67" s="435"/>
      <c r="C67" s="435"/>
      <c r="D67" s="435"/>
      <c r="E67" s="435"/>
      <c r="F67" s="435"/>
      <c r="G67" s="435"/>
      <c r="H67" s="435"/>
    </row>
    <row r="68" spans="2:11" s="442" customFormat="1" ht="6" customHeight="1">
      <c r="B68" s="435"/>
      <c r="C68" s="435"/>
      <c r="D68" s="435"/>
      <c r="E68" s="435"/>
      <c r="F68" s="435"/>
      <c r="G68" s="435"/>
      <c r="H68" s="435"/>
    </row>
    <row r="69" spans="2:11" s="442" customFormat="1" ht="27" customHeight="1">
      <c r="B69" s="447" t="s">
        <v>1724</v>
      </c>
      <c r="D69" s="448"/>
    </row>
    <row r="70" spans="2:11" s="442" customFormat="1" ht="8.25" customHeight="1"/>
    <row r="71" spans="2:11" s="442" customFormat="1" ht="27" customHeight="1">
      <c r="B71" s="1175" t="s">
        <v>1711</v>
      </c>
      <c r="C71" s="1175"/>
      <c r="D71" s="1175"/>
      <c r="E71" s="1175"/>
      <c r="F71" s="1176" t="str">
        <f>IF(SUM(K74:K83)=8,"적     합","보완 필요")</f>
        <v>적     합</v>
      </c>
      <c r="G71" s="1176"/>
      <c r="H71" s="1176"/>
    </row>
    <row r="72" spans="2:11" s="442" customFormat="1" ht="10.5" customHeight="1">
      <c r="B72" s="435"/>
      <c r="C72" s="435"/>
      <c r="D72" s="435"/>
      <c r="E72" s="435"/>
      <c r="F72" s="435"/>
      <c r="G72" s="435"/>
      <c r="H72" s="435"/>
    </row>
    <row r="73" spans="2:11" s="442" customFormat="1" ht="24" customHeight="1">
      <c r="B73" s="434" t="s">
        <v>1704</v>
      </c>
      <c r="C73" s="1177" t="s">
        <v>1694</v>
      </c>
      <c r="D73" s="1179"/>
      <c r="E73" s="1179"/>
      <c r="F73" s="1178"/>
      <c r="G73" s="1183" t="s">
        <v>1705</v>
      </c>
      <c r="H73" s="1184"/>
    </row>
    <row r="74" spans="2:11" s="442" customFormat="1" ht="48.75" customHeight="1">
      <c r="B74" s="1191" t="s">
        <v>181</v>
      </c>
      <c r="C74" s="1180" t="s">
        <v>3200</v>
      </c>
      <c r="D74" s="1181"/>
      <c r="E74" s="1181"/>
      <c r="F74" s="1182"/>
      <c r="G74" s="1209"/>
      <c r="H74" s="1184"/>
      <c r="K74" s="446">
        <v>1</v>
      </c>
    </row>
    <row r="75" spans="2:11" s="442" customFormat="1" ht="48.75" customHeight="1">
      <c r="B75" s="1192"/>
      <c r="C75" s="1180" t="s">
        <v>3189</v>
      </c>
      <c r="D75" s="1181"/>
      <c r="E75" s="1181"/>
      <c r="F75" s="1182"/>
      <c r="G75" s="1183"/>
      <c r="H75" s="1184"/>
      <c r="K75" s="446">
        <v>1</v>
      </c>
    </row>
    <row r="76" spans="2:11" s="442" customFormat="1" ht="59.25" customHeight="1">
      <c r="B76" s="114" t="s">
        <v>164</v>
      </c>
      <c r="C76" s="1180" t="s">
        <v>3190</v>
      </c>
      <c r="D76" s="1181"/>
      <c r="E76" s="1181"/>
      <c r="F76" s="1182"/>
      <c r="G76" s="1183"/>
      <c r="H76" s="1184"/>
      <c r="K76" s="446">
        <v>1</v>
      </c>
    </row>
    <row r="77" spans="2:11" s="442" customFormat="1" ht="48.75" customHeight="1">
      <c r="B77" s="121" t="s">
        <v>1718</v>
      </c>
      <c r="C77" s="1226" t="s">
        <v>1719</v>
      </c>
      <c r="D77" s="1227"/>
      <c r="E77" s="1227"/>
      <c r="F77" s="1228"/>
      <c r="G77" s="1229" t="s">
        <v>1720</v>
      </c>
      <c r="H77" s="1230"/>
      <c r="K77" s="446"/>
    </row>
    <row r="78" spans="2:11" s="442" customFormat="1" ht="48.75" customHeight="1">
      <c r="B78" s="1191" t="s">
        <v>1721</v>
      </c>
      <c r="C78" s="1180" t="s">
        <v>3201</v>
      </c>
      <c r="D78" s="1181"/>
      <c r="E78" s="1181"/>
      <c r="F78" s="1182"/>
      <c r="G78" s="1183"/>
      <c r="H78" s="1184"/>
      <c r="K78" s="446">
        <v>1</v>
      </c>
    </row>
    <row r="79" spans="2:11" s="442" customFormat="1" ht="59.25" customHeight="1">
      <c r="B79" s="1192"/>
      <c r="C79" s="1180" t="s">
        <v>3202</v>
      </c>
      <c r="D79" s="1181"/>
      <c r="E79" s="1181"/>
      <c r="F79" s="1182"/>
      <c r="G79" s="1183"/>
      <c r="H79" s="1184"/>
      <c r="K79" s="446">
        <v>1</v>
      </c>
    </row>
    <row r="80" spans="2:11" s="442" customFormat="1" ht="48.75" customHeight="1">
      <c r="B80" s="1191" t="s">
        <v>1713</v>
      </c>
      <c r="C80" s="1180" t="s">
        <v>3194</v>
      </c>
      <c r="D80" s="1181"/>
      <c r="E80" s="1181"/>
      <c r="F80" s="1182"/>
      <c r="G80" s="1183"/>
      <c r="H80" s="1184"/>
      <c r="K80" s="446">
        <v>1</v>
      </c>
    </row>
    <row r="81" spans="2:11" s="442" customFormat="1" ht="48.75" customHeight="1">
      <c r="B81" s="1192"/>
      <c r="C81" s="1180" t="s">
        <v>3195</v>
      </c>
      <c r="D81" s="1181"/>
      <c r="E81" s="1181"/>
      <c r="F81" s="1182"/>
      <c r="G81" s="1183"/>
      <c r="H81" s="1184"/>
      <c r="K81" s="446">
        <v>1</v>
      </c>
    </row>
    <row r="82" spans="2:11" s="442" customFormat="1" ht="48.75" customHeight="1">
      <c r="B82" s="121" t="s">
        <v>1714</v>
      </c>
      <c r="C82" s="1226" t="s">
        <v>1722</v>
      </c>
      <c r="D82" s="1227"/>
      <c r="E82" s="1227"/>
      <c r="F82" s="1228"/>
      <c r="G82" s="1229" t="s">
        <v>1720</v>
      </c>
      <c r="H82" s="1230"/>
      <c r="K82" s="446"/>
    </row>
    <row r="83" spans="2:11" s="442" customFormat="1" ht="48.75" customHeight="1">
      <c r="B83" s="114" t="s">
        <v>1715</v>
      </c>
      <c r="C83" s="1231" t="s">
        <v>3198</v>
      </c>
      <c r="D83" s="1232"/>
      <c r="E83" s="1232"/>
      <c r="F83" s="1233"/>
      <c r="G83" s="1177"/>
      <c r="H83" s="1178"/>
      <c r="K83" s="446">
        <v>1</v>
      </c>
    </row>
    <row r="84" spans="2:11" s="442" customFormat="1" ht="58.5" customHeight="1">
      <c r="B84" s="432" t="s">
        <v>1710</v>
      </c>
      <c r="C84" s="1234" t="s">
        <v>1700</v>
      </c>
      <c r="D84" s="1235"/>
      <c r="E84" s="1235"/>
      <c r="F84" s="1235"/>
      <c r="G84" s="1235"/>
      <c r="H84" s="1236"/>
    </row>
    <row r="85" spans="2:11" s="442" customFormat="1" ht="18" customHeight="1">
      <c r="B85" s="1217"/>
      <c r="C85" s="1200" t="s">
        <v>1717</v>
      </c>
      <c r="D85" s="1219"/>
      <c r="E85" s="1219"/>
      <c r="F85" s="1219"/>
      <c r="G85" s="1219"/>
      <c r="H85" s="1220"/>
    </row>
    <row r="86" spans="2:11" s="442" customFormat="1" ht="25.5" customHeight="1">
      <c r="B86" s="1218"/>
      <c r="C86" s="1221" t="s">
        <v>3203</v>
      </c>
      <c r="D86" s="1215"/>
      <c r="E86" s="1215"/>
      <c r="F86" s="1215"/>
      <c r="G86" s="1215"/>
      <c r="H86" s="1216"/>
    </row>
    <row r="87" spans="2:11" s="442" customFormat="1"/>
  </sheetData>
  <mergeCells count="121">
    <mergeCell ref="C83:F83"/>
    <mergeCell ref="G83:H83"/>
    <mergeCell ref="C84:H84"/>
    <mergeCell ref="B85:B86"/>
    <mergeCell ref="C85:H85"/>
    <mergeCell ref="C86:H86"/>
    <mergeCell ref="B80:B81"/>
    <mergeCell ref="C80:F80"/>
    <mergeCell ref="G80:H80"/>
    <mergeCell ref="C81:F81"/>
    <mergeCell ref="G81:H81"/>
    <mergeCell ref="C82:F82"/>
    <mergeCell ref="G82:H82"/>
    <mergeCell ref="C76:F76"/>
    <mergeCell ref="G76:H76"/>
    <mergeCell ref="C77:F77"/>
    <mergeCell ref="G77:H77"/>
    <mergeCell ref="B78:B79"/>
    <mergeCell ref="C78:F78"/>
    <mergeCell ref="G78:H78"/>
    <mergeCell ref="C79:F79"/>
    <mergeCell ref="G79:H79"/>
    <mergeCell ref="B71:E71"/>
    <mergeCell ref="F71:H71"/>
    <mergeCell ref="C73:F73"/>
    <mergeCell ref="G73:H73"/>
    <mergeCell ref="B74:B75"/>
    <mergeCell ref="C74:F74"/>
    <mergeCell ref="G74:H74"/>
    <mergeCell ref="C75:F75"/>
    <mergeCell ref="G75:H75"/>
    <mergeCell ref="C63:F63"/>
    <mergeCell ref="G63:H63"/>
    <mergeCell ref="C64:H64"/>
    <mergeCell ref="B65:B66"/>
    <mergeCell ref="C65:H65"/>
    <mergeCell ref="C66:H66"/>
    <mergeCell ref="B59:B60"/>
    <mergeCell ref="C59:F59"/>
    <mergeCell ref="G59:H59"/>
    <mergeCell ref="C60:F60"/>
    <mergeCell ref="G60:H60"/>
    <mergeCell ref="B61:B62"/>
    <mergeCell ref="C61:F61"/>
    <mergeCell ref="G61:H61"/>
    <mergeCell ref="C62:F62"/>
    <mergeCell ref="G62:H62"/>
    <mergeCell ref="B55:B58"/>
    <mergeCell ref="C55:F55"/>
    <mergeCell ref="G55:H55"/>
    <mergeCell ref="C56:F56"/>
    <mergeCell ref="G56:H56"/>
    <mergeCell ref="C57:F57"/>
    <mergeCell ref="G57:H57"/>
    <mergeCell ref="C58:F58"/>
    <mergeCell ref="G58:H58"/>
    <mergeCell ref="C43:H43"/>
    <mergeCell ref="B50:E50"/>
    <mergeCell ref="F50:H50"/>
    <mergeCell ref="C52:F52"/>
    <mergeCell ref="G52:H52"/>
    <mergeCell ref="B53:B54"/>
    <mergeCell ref="C53:F53"/>
    <mergeCell ref="G53:H53"/>
    <mergeCell ref="C54:F54"/>
    <mergeCell ref="G54:H54"/>
    <mergeCell ref="C40:F40"/>
    <mergeCell ref="G40:H40"/>
    <mergeCell ref="B41:B42"/>
    <mergeCell ref="C41:F41"/>
    <mergeCell ref="G41:H41"/>
    <mergeCell ref="C42:F42"/>
    <mergeCell ref="G42:H42"/>
    <mergeCell ref="B36:B37"/>
    <mergeCell ref="C36:F36"/>
    <mergeCell ref="G36:H36"/>
    <mergeCell ref="C37:F37"/>
    <mergeCell ref="G37:H37"/>
    <mergeCell ref="B38:B40"/>
    <mergeCell ref="C38:F38"/>
    <mergeCell ref="G38:H38"/>
    <mergeCell ref="C39:F39"/>
    <mergeCell ref="G39:H39"/>
    <mergeCell ref="B31:H31"/>
    <mergeCell ref="C32:F32"/>
    <mergeCell ref="G32:H32"/>
    <mergeCell ref="B33:B35"/>
    <mergeCell ref="C33:F33"/>
    <mergeCell ref="G33:H33"/>
    <mergeCell ref="C34:F34"/>
    <mergeCell ref="G34:H34"/>
    <mergeCell ref="C35:F35"/>
    <mergeCell ref="G35:H35"/>
    <mergeCell ref="C20:F20"/>
    <mergeCell ref="G20:H20"/>
    <mergeCell ref="C21:F21"/>
    <mergeCell ref="G21:H21"/>
    <mergeCell ref="C22:H22"/>
    <mergeCell ref="B29:E29"/>
    <mergeCell ref="F29:H29"/>
    <mergeCell ref="B16:H16"/>
    <mergeCell ref="B17:B18"/>
    <mergeCell ref="C17:F18"/>
    <mergeCell ref="G17:H18"/>
    <mergeCell ref="C19:F19"/>
    <mergeCell ref="G19:H19"/>
    <mergeCell ref="B13:C15"/>
    <mergeCell ref="D13:F13"/>
    <mergeCell ref="G13:H13"/>
    <mergeCell ref="D14:F14"/>
    <mergeCell ref="G14:H14"/>
    <mergeCell ref="D15:F15"/>
    <mergeCell ref="G15:H15"/>
    <mergeCell ref="B1:H1"/>
    <mergeCell ref="B4:E4"/>
    <mergeCell ref="F4:H4"/>
    <mergeCell ref="B11:C11"/>
    <mergeCell ref="D11:H11"/>
    <mergeCell ref="B12:C12"/>
    <mergeCell ref="D12:E12"/>
    <mergeCell ref="G12:H12"/>
  </mergeCells>
  <phoneticPr fontId="1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Option Button 1">
              <controlPr defaultSize="0" autoFill="0" autoLine="0" autoPict="0">
                <anchor moveWithCells="1">
                  <from>
                    <xdr:col>6</xdr:col>
                    <xdr:colOff>161925</xdr:colOff>
                    <xdr:row>18</xdr:row>
                    <xdr:rowOff>180975</xdr:rowOff>
                  </from>
                  <to>
                    <xdr:col>6</xdr:col>
                    <xdr:colOff>600075</xdr:colOff>
                    <xdr:row>18</xdr:row>
                    <xdr:rowOff>514350</xdr:rowOff>
                  </to>
                </anchor>
              </controlPr>
            </control>
          </mc:Choice>
        </mc:AlternateContent>
        <mc:AlternateContent xmlns:mc="http://schemas.openxmlformats.org/markup-compatibility/2006">
          <mc:Choice Requires="x14">
            <control shapeId="35842" r:id="rId5" name="Option Button 2">
              <controlPr defaultSize="0" autoFill="0" autoLine="0" autoPict="0">
                <anchor moveWithCells="1">
                  <from>
                    <xdr:col>7</xdr:col>
                    <xdr:colOff>114300</xdr:colOff>
                    <xdr:row>18</xdr:row>
                    <xdr:rowOff>190500</xdr:rowOff>
                  </from>
                  <to>
                    <xdr:col>7</xdr:col>
                    <xdr:colOff>552450</xdr:colOff>
                    <xdr:row>18</xdr:row>
                    <xdr:rowOff>504825</xdr:rowOff>
                  </to>
                </anchor>
              </controlPr>
            </control>
          </mc:Choice>
        </mc:AlternateContent>
        <mc:AlternateContent xmlns:mc="http://schemas.openxmlformats.org/markup-compatibility/2006">
          <mc:Choice Requires="x14">
            <control shapeId="35843" r:id="rId6" name="Option Button 3">
              <controlPr defaultSize="0" autoFill="0" autoLine="0" autoPict="0">
                <anchor moveWithCells="1">
                  <from>
                    <xdr:col>6</xdr:col>
                    <xdr:colOff>161925</xdr:colOff>
                    <xdr:row>19</xdr:row>
                    <xdr:rowOff>190500</xdr:rowOff>
                  </from>
                  <to>
                    <xdr:col>6</xdr:col>
                    <xdr:colOff>657225</xdr:colOff>
                    <xdr:row>19</xdr:row>
                    <xdr:rowOff>457200</xdr:rowOff>
                  </to>
                </anchor>
              </controlPr>
            </control>
          </mc:Choice>
        </mc:AlternateContent>
        <mc:AlternateContent xmlns:mc="http://schemas.openxmlformats.org/markup-compatibility/2006">
          <mc:Choice Requires="x14">
            <control shapeId="35844" r:id="rId7" name="Group Box 4">
              <controlPr defaultSize="0" autoFill="0" autoPict="0">
                <anchor moveWithCells="1">
                  <from>
                    <xdr:col>6</xdr:col>
                    <xdr:colOff>66675</xdr:colOff>
                    <xdr:row>18</xdr:row>
                    <xdr:rowOff>95250</xdr:rowOff>
                  </from>
                  <to>
                    <xdr:col>7</xdr:col>
                    <xdr:colOff>704850</xdr:colOff>
                    <xdr:row>18</xdr:row>
                    <xdr:rowOff>533400</xdr:rowOff>
                  </to>
                </anchor>
              </controlPr>
            </control>
          </mc:Choice>
        </mc:AlternateContent>
        <mc:AlternateContent xmlns:mc="http://schemas.openxmlformats.org/markup-compatibility/2006">
          <mc:Choice Requires="x14">
            <control shapeId="35845" r:id="rId8" name="Option Button 5">
              <controlPr defaultSize="0" autoFill="0" autoLine="0" autoPict="0">
                <anchor moveWithCells="1">
                  <from>
                    <xdr:col>7</xdr:col>
                    <xdr:colOff>114300</xdr:colOff>
                    <xdr:row>19</xdr:row>
                    <xdr:rowOff>190500</xdr:rowOff>
                  </from>
                  <to>
                    <xdr:col>7</xdr:col>
                    <xdr:colOff>571500</xdr:colOff>
                    <xdr:row>19</xdr:row>
                    <xdr:rowOff>457200</xdr:rowOff>
                  </to>
                </anchor>
              </controlPr>
            </control>
          </mc:Choice>
        </mc:AlternateContent>
        <mc:AlternateContent xmlns:mc="http://schemas.openxmlformats.org/markup-compatibility/2006">
          <mc:Choice Requires="x14">
            <control shapeId="35846" r:id="rId9" name="Group Box 6">
              <controlPr defaultSize="0" autoFill="0" autoPict="0">
                <anchor moveWithCells="1">
                  <from>
                    <xdr:col>6</xdr:col>
                    <xdr:colOff>66675</xdr:colOff>
                    <xdr:row>19</xdr:row>
                    <xdr:rowOff>76200</xdr:rowOff>
                  </from>
                  <to>
                    <xdr:col>7</xdr:col>
                    <xdr:colOff>695325</xdr:colOff>
                    <xdr:row>19</xdr:row>
                    <xdr:rowOff>523875</xdr:rowOff>
                  </to>
                </anchor>
              </controlPr>
            </control>
          </mc:Choice>
        </mc:AlternateContent>
        <mc:AlternateContent xmlns:mc="http://schemas.openxmlformats.org/markup-compatibility/2006">
          <mc:Choice Requires="x14">
            <control shapeId="35847" r:id="rId10" name="Option Button 7">
              <controlPr defaultSize="0" autoFill="0" autoLine="0" autoPict="0">
                <anchor moveWithCells="1">
                  <from>
                    <xdr:col>6</xdr:col>
                    <xdr:colOff>171450</xdr:colOff>
                    <xdr:row>20</xdr:row>
                    <xdr:rowOff>200025</xdr:rowOff>
                  </from>
                  <to>
                    <xdr:col>6</xdr:col>
                    <xdr:colOff>628650</xdr:colOff>
                    <xdr:row>20</xdr:row>
                    <xdr:rowOff>447675</xdr:rowOff>
                  </to>
                </anchor>
              </controlPr>
            </control>
          </mc:Choice>
        </mc:AlternateContent>
        <mc:AlternateContent xmlns:mc="http://schemas.openxmlformats.org/markup-compatibility/2006">
          <mc:Choice Requires="x14">
            <control shapeId="35848" r:id="rId11" name="Option Button 8">
              <controlPr defaultSize="0" autoFill="0" autoLine="0" autoPict="0">
                <anchor moveWithCells="1">
                  <from>
                    <xdr:col>7</xdr:col>
                    <xdr:colOff>104775</xdr:colOff>
                    <xdr:row>20</xdr:row>
                    <xdr:rowOff>200025</xdr:rowOff>
                  </from>
                  <to>
                    <xdr:col>7</xdr:col>
                    <xdr:colOff>561975</xdr:colOff>
                    <xdr:row>20</xdr:row>
                    <xdr:rowOff>447675</xdr:rowOff>
                  </to>
                </anchor>
              </controlPr>
            </control>
          </mc:Choice>
        </mc:AlternateContent>
        <mc:AlternateContent xmlns:mc="http://schemas.openxmlformats.org/markup-compatibility/2006">
          <mc:Choice Requires="x14">
            <control shapeId="35849" r:id="rId12" name="Group Box 9">
              <controlPr defaultSize="0" autoFill="0" autoPict="0">
                <anchor moveWithCells="1">
                  <from>
                    <xdr:col>6</xdr:col>
                    <xdr:colOff>66675</xdr:colOff>
                    <xdr:row>20</xdr:row>
                    <xdr:rowOff>95250</xdr:rowOff>
                  </from>
                  <to>
                    <xdr:col>7</xdr:col>
                    <xdr:colOff>695325</xdr:colOff>
                    <xdr:row>20</xdr:row>
                    <xdr:rowOff>523875</xdr:rowOff>
                  </to>
                </anchor>
              </controlPr>
            </control>
          </mc:Choice>
        </mc:AlternateContent>
        <mc:AlternateContent xmlns:mc="http://schemas.openxmlformats.org/markup-compatibility/2006">
          <mc:Choice Requires="x14">
            <control shapeId="35850" r:id="rId13" name="Option Button 10">
              <controlPr defaultSize="0" autoFill="0" autoLine="0" autoPict="0">
                <anchor moveWithCells="1">
                  <from>
                    <xdr:col>6</xdr:col>
                    <xdr:colOff>257175</xdr:colOff>
                    <xdr:row>32</xdr:row>
                    <xdr:rowOff>238125</xdr:rowOff>
                  </from>
                  <to>
                    <xdr:col>6</xdr:col>
                    <xdr:colOff>657225</xdr:colOff>
                    <xdr:row>32</xdr:row>
                    <xdr:rowOff>457200</xdr:rowOff>
                  </to>
                </anchor>
              </controlPr>
            </control>
          </mc:Choice>
        </mc:AlternateContent>
        <mc:AlternateContent xmlns:mc="http://schemas.openxmlformats.org/markup-compatibility/2006">
          <mc:Choice Requires="x14">
            <control shapeId="35851" r:id="rId14" name="Option Button 11">
              <controlPr defaultSize="0" autoFill="0" autoLine="0" autoPict="0">
                <anchor moveWithCells="1">
                  <from>
                    <xdr:col>7</xdr:col>
                    <xdr:colOff>66675</xdr:colOff>
                    <xdr:row>32</xdr:row>
                    <xdr:rowOff>238125</xdr:rowOff>
                  </from>
                  <to>
                    <xdr:col>7</xdr:col>
                    <xdr:colOff>466725</xdr:colOff>
                    <xdr:row>32</xdr:row>
                    <xdr:rowOff>457200</xdr:rowOff>
                  </to>
                </anchor>
              </controlPr>
            </control>
          </mc:Choice>
        </mc:AlternateContent>
        <mc:AlternateContent xmlns:mc="http://schemas.openxmlformats.org/markup-compatibility/2006">
          <mc:Choice Requires="x14">
            <control shapeId="35852" r:id="rId15" name="Group Box 12">
              <controlPr defaultSize="0" autoFill="0" autoPict="0">
                <anchor moveWithCells="1">
                  <from>
                    <xdr:col>6</xdr:col>
                    <xdr:colOff>66675</xdr:colOff>
                    <xdr:row>32</xdr:row>
                    <xdr:rowOff>123825</xdr:rowOff>
                  </from>
                  <to>
                    <xdr:col>7</xdr:col>
                    <xdr:colOff>695325</xdr:colOff>
                    <xdr:row>32</xdr:row>
                    <xdr:rowOff>504825</xdr:rowOff>
                  </to>
                </anchor>
              </controlPr>
            </control>
          </mc:Choice>
        </mc:AlternateContent>
        <mc:AlternateContent xmlns:mc="http://schemas.openxmlformats.org/markup-compatibility/2006">
          <mc:Choice Requires="x14">
            <control shapeId="35853" r:id="rId16" name="Option Button 13">
              <controlPr defaultSize="0" autoFill="0" autoLine="0" autoPict="0">
                <anchor moveWithCells="1">
                  <from>
                    <xdr:col>6</xdr:col>
                    <xdr:colOff>257175</xdr:colOff>
                    <xdr:row>33</xdr:row>
                    <xdr:rowOff>180975</xdr:rowOff>
                  </from>
                  <to>
                    <xdr:col>6</xdr:col>
                    <xdr:colOff>647700</xdr:colOff>
                    <xdr:row>33</xdr:row>
                    <xdr:rowOff>390525</xdr:rowOff>
                  </to>
                </anchor>
              </controlPr>
            </control>
          </mc:Choice>
        </mc:AlternateContent>
        <mc:AlternateContent xmlns:mc="http://schemas.openxmlformats.org/markup-compatibility/2006">
          <mc:Choice Requires="x14">
            <control shapeId="35854" r:id="rId17" name="Option Button 14">
              <controlPr defaultSize="0" autoFill="0" autoLine="0" autoPict="0">
                <anchor moveWithCells="1">
                  <from>
                    <xdr:col>7</xdr:col>
                    <xdr:colOff>66675</xdr:colOff>
                    <xdr:row>33</xdr:row>
                    <xdr:rowOff>180975</xdr:rowOff>
                  </from>
                  <to>
                    <xdr:col>7</xdr:col>
                    <xdr:colOff>457200</xdr:colOff>
                    <xdr:row>33</xdr:row>
                    <xdr:rowOff>390525</xdr:rowOff>
                  </to>
                </anchor>
              </controlPr>
            </control>
          </mc:Choice>
        </mc:AlternateContent>
        <mc:AlternateContent xmlns:mc="http://schemas.openxmlformats.org/markup-compatibility/2006">
          <mc:Choice Requires="x14">
            <control shapeId="35855" r:id="rId18" name="Group Box 15">
              <controlPr defaultSize="0" autoFill="0" autoPict="0">
                <anchor moveWithCells="1">
                  <from>
                    <xdr:col>6</xdr:col>
                    <xdr:colOff>66675</xdr:colOff>
                    <xdr:row>33</xdr:row>
                    <xdr:rowOff>66675</xdr:rowOff>
                  </from>
                  <to>
                    <xdr:col>7</xdr:col>
                    <xdr:colOff>685800</xdr:colOff>
                    <xdr:row>33</xdr:row>
                    <xdr:rowOff>457200</xdr:rowOff>
                  </to>
                </anchor>
              </controlPr>
            </control>
          </mc:Choice>
        </mc:AlternateContent>
        <mc:AlternateContent xmlns:mc="http://schemas.openxmlformats.org/markup-compatibility/2006">
          <mc:Choice Requires="x14">
            <control shapeId="35856" r:id="rId19" name="Option Button 16">
              <controlPr defaultSize="0" autoFill="0" autoLine="0" autoPict="0">
                <anchor moveWithCells="1">
                  <from>
                    <xdr:col>6</xdr:col>
                    <xdr:colOff>257175</xdr:colOff>
                    <xdr:row>34</xdr:row>
                    <xdr:rowOff>200025</xdr:rowOff>
                  </from>
                  <to>
                    <xdr:col>6</xdr:col>
                    <xdr:colOff>657225</xdr:colOff>
                    <xdr:row>34</xdr:row>
                    <xdr:rowOff>428625</xdr:rowOff>
                  </to>
                </anchor>
              </controlPr>
            </control>
          </mc:Choice>
        </mc:AlternateContent>
        <mc:AlternateContent xmlns:mc="http://schemas.openxmlformats.org/markup-compatibility/2006">
          <mc:Choice Requires="x14">
            <control shapeId="35857" r:id="rId20" name="Option Button 17">
              <controlPr defaultSize="0" autoFill="0" autoLine="0" autoPict="0">
                <anchor moveWithCells="1">
                  <from>
                    <xdr:col>7</xdr:col>
                    <xdr:colOff>66675</xdr:colOff>
                    <xdr:row>34</xdr:row>
                    <xdr:rowOff>200025</xdr:rowOff>
                  </from>
                  <to>
                    <xdr:col>7</xdr:col>
                    <xdr:colOff>466725</xdr:colOff>
                    <xdr:row>34</xdr:row>
                    <xdr:rowOff>428625</xdr:rowOff>
                  </to>
                </anchor>
              </controlPr>
            </control>
          </mc:Choice>
        </mc:AlternateContent>
        <mc:AlternateContent xmlns:mc="http://schemas.openxmlformats.org/markup-compatibility/2006">
          <mc:Choice Requires="x14">
            <control shapeId="35858" r:id="rId21" name="Group Box 18">
              <controlPr defaultSize="0" autoFill="0" autoPict="0">
                <anchor moveWithCells="1">
                  <from>
                    <xdr:col>6</xdr:col>
                    <xdr:colOff>76200</xdr:colOff>
                    <xdr:row>34</xdr:row>
                    <xdr:rowOff>95250</xdr:rowOff>
                  </from>
                  <to>
                    <xdr:col>7</xdr:col>
                    <xdr:colOff>676275</xdr:colOff>
                    <xdr:row>34</xdr:row>
                    <xdr:rowOff>485775</xdr:rowOff>
                  </to>
                </anchor>
              </controlPr>
            </control>
          </mc:Choice>
        </mc:AlternateContent>
        <mc:AlternateContent xmlns:mc="http://schemas.openxmlformats.org/markup-compatibility/2006">
          <mc:Choice Requires="x14">
            <control shapeId="35859" r:id="rId22" name="Option Button 19">
              <controlPr defaultSize="0" autoFill="0" autoLine="0" autoPict="0">
                <anchor moveWithCells="1">
                  <from>
                    <xdr:col>6</xdr:col>
                    <xdr:colOff>257175</xdr:colOff>
                    <xdr:row>35</xdr:row>
                    <xdr:rowOff>238125</xdr:rowOff>
                  </from>
                  <to>
                    <xdr:col>6</xdr:col>
                    <xdr:colOff>704850</xdr:colOff>
                    <xdr:row>35</xdr:row>
                    <xdr:rowOff>476250</xdr:rowOff>
                  </to>
                </anchor>
              </controlPr>
            </control>
          </mc:Choice>
        </mc:AlternateContent>
        <mc:AlternateContent xmlns:mc="http://schemas.openxmlformats.org/markup-compatibility/2006">
          <mc:Choice Requires="x14">
            <control shapeId="35860" r:id="rId23" name="Option Button 20">
              <controlPr defaultSize="0" autoFill="0" autoLine="0" autoPict="0">
                <anchor moveWithCells="1">
                  <from>
                    <xdr:col>7</xdr:col>
                    <xdr:colOff>66675</xdr:colOff>
                    <xdr:row>35</xdr:row>
                    <xdr:rowOff>238125</xdr:rowOff>
                  </from>
                  <to>
                    <xdr:col>7</xdr:col>
                    <xdr:colOff>514350</xdr:colOff>
                    <xdr:row>35</xdr:row>
                    <xdr:rowOff>476250</xdr:rowOff>
                  </to>
                </anchor>
              </controlPr>
            </control>
          </mc:Choice>
        </mc:AlternateContent>
        <mc:AlternateContent xmlns:mc="http://schemas.openxmlformats.org/markup-compatibility/2006">
          <mc:Choice Requires="x14">
            <control shapeId="35861" r:id="rId24" name="Group Box 21">
              <controlPr defaultSize="0" autoFill="0" autoPict="0">
                <anchor moveWithCells="1">
                  <from>
                    <xdr:col>6</xdr:col>
                    <xdr:colOff>76200</xdr:colOff>
                    <xdr:row>35</xdr:row>
                    <xdr:rowOff>104775</xdr:rowOff>
                  </from>
                  <to>
                    <xdr:col>7</xdr:col>
                    <xdr:colOff>676275</xdr:colOff>
                    <xdr:row>35</xdr:row>
                    <xdr:rowOff>542925</xdr:rowOff>
                  </to>
                </anchor>
              </controlPr>
            </control>
          </mc:Choice>
        </mc:AlternateContent>
        <mc:AlternateContent xmlns:mc="http://schemas.openxmlformats.org/markup-compatibility/2006">
          <mc:Choice Requires="x14">
            <control shapeId="35862" r:id="rId25" name="Option Button 22">
              <controlPr defaultSize="0" autoFill="0" autoLine="0" autoPict="0">
                <anchor moveWithCells="1">
                  <from>
                    <xdr:col>6</xdr:col>
                    <xdr:colOff>257175</xdr:colOff>
                    <xdr:row>36</xdr:row>
                    <xdr:rowOff>257175</xdr:rowOff>
                  </from>
                  <to>
                    <xdr:col>6</xdr:col>
                    <xdr:colOff>657225</xdr:colOff>
                    <xdr:row>36</xdr:row>
                    <xdr:rowOff>466725</xdr:rowOff>
                  </to>
                </anchor>
              </controlPr>
            </control>
          </mc:Choice>
        </mc:AlternateContent>
        <mc:AlternateContent xmlns:mc="http://schemas.openxmlformats.org/markup-compatibility/2006">
          <mc:Choice Requires="x14">
            <control shapeId="35863" r:id="rId26" name="Option Button 23">
              <controlPr defaultSize="0" autoFill="0" autoLine="0" autoPict="0">
                <anchor moveWithCells="1">
                  <from>
                    <xdr:col>7</xdr:col>
                    <xdr:colOff>57150</xdr:colOff>
                    <xdr:row>36</xdr:row>
                    <xdr:rowOff>257175</xdr:rowOff>
                  </from>
                  <to>
                    <xdr:col>7</xdr:col>
                    <xdr:colOff>457200</xdr:colOff>
                    <xdr:row>36</xdr:row>
                    <xdr:rowOff>466725</xdr:rowOff>
                  </to>
                </anchor>
              </controlPr>
            </control>
          </mc:Choice>
        </mc:AlternateContent>
        <mc:AlternateContent xmlns:mc="http://schemas.openxmlformats.org/markup-compatibility/2006">
          <mc:Choice Requires="x14">
            <control shapeId="35864" r:id="rId27" name="Group Box 24">
              <controlPr defaultSize="0" autoFill="0" autoPict="0">
                <anchor moveWithCells="1">
                  <from>
                    <xdr:col>6</xdr:col>
                    <xdr:colOff>85725</xdr:colOff>
                    <xdr:row>36</xdr:row>
                    <xdr:rowOff>85725</xdr:rowOff>
                  </from>
                  <to>
                    <xdr:col>7</xdr:col>
                    <xdr:colOff>676275</xdr:colOff>
                    <xdr:row>36</xdr:row>
                    <xdr:rowOff>561975</xdr:rowOff>
                  </to>
                </anchor>
              </controlPr>
            </control>
          </mc:Choice>
        </mc:AlternateContent>
        <mc:AlternateContent xmlns:mc="http://schemas.openxmlformats.org/markup-compatibility/2006">
          <mc:Choice Requires="x14">
            <control shapeId="35865" r:id="rId28" name="Option Button 25">
              <controlPr defaultSize="0" autoFill="0" autoLine="0" autoPict="0">
                <anchor moveWithCells="1">
                  <from>
                    <xdr:col>6</xdr:col>
                    <xdr:colOff>257175</xdr:colOff>
                    <xdr:row>37</xdr:row>
                    <xdr:rowOff>266700</xdr:rowOff>
                  </from>
                  <to>
                    <xdr:col>6</xdr:col>
                    <xdr:colOff>733425</xdr:colOff>
                    <xdr:row>37</xdr:row>
                    <xdr:rowOff>466725</xdr:rowOff>
                  </to>
                </anchor>
              </controlPr>
            </control>
          </mc:Choice>
        </mc:AlternateContent>
        <mc:AlternateContent xmlns:mc="http://schemas.openxmlformats.org/markup-compatibility/2006">
          <mc:Choice Requires="x14">
            <control shapeId="35866" r:id="rId29" name="Option Button 26">
              <controlPr defaultSize="0" autoFill="0" autoLine="0" autoPict="0">
                <anchor moveWithCells="1">
                  <from>
                    <xdr:col>7</xdr:col>
                    <xdr:colOff>76200</xdr:colOff>
                    <xdr:row>37</xdr:row>
                    <xdr:rowOff>266700</xdr:rowOff>
                  </from>
                  <to>
                    <xdr:col>7</xdr:col>
                    <xdr:colOff>552450</xdr:colOff>
                    <xdr:row>37</xdr:row>
                    <xdr:rowOff>466725</xdr:rowOff>
                  </to>
                </anchor>
              </controlPr>
            </control>
          </mc:Choice>
        </mc:AlternateContent>
        <mc:AlternateContent xmlns:mc="http://schemas.openxmlformats.org/markup-compatibility/2006">
          <mc:Choice Requires="x14">
            <control shapeId="35867" r:id="rId30" name="Group Box 27">
              <controlPr defaultSize="0" autoFill="0" autoPict="0">
                <anchor moveWithCells="1">
                  <from>
                    <xdr:col>6</xdr:col>
                    <xdr:colOff>85725</xdr:colOff>
                    <xdr:row>37</xdr:row>
                    <xdr:rowOff>142875</xdr:rowOff>
                  </from>
                  <to>
                    <xdr:col>7</xdr:col>
                    <xdr:colOff>666750</xdr:colOff>
                    <xdr:row>37</xdr:row>
                    <xdr:rowOff>561975</xdr:rowOff>
                  </to>
                </anchor>
              </controlPr>
            </control>
          </mc:Choice>
        </mc:AlternateContent>
        <mc:AlternateContent xmlns:mc="http://schemas.openxmlformats.org/markup-compatibility/2006">
          <mc:Choice Requires="x14">
            <control shapeId="35868" r:id="rId31" name="Option Button 28">
              <controlPr defaultSize="0" autoFill="0" autoLine="0" autoPict="0">
                <anchor moveWithCells="1">
                  <from>
                    <xdr:col>6</xdr:col>
                    <xdr:colOff>238125</xdr:colOff>
                    <xdr:row>38</xdr:row>
                    <xdr:rowOff>276225</xdr:rowOff>
                  </from>
                  <to>
                    <xdr:col>6</xdr:col>
                    <xdr:colOff>638175</xdr:colOff>
                    <xdr:row>38</xdr:row>
                    <xdr:rowOff>485775</xdr:rowOff>
                  </to>
                </anchor>
              </controlPr>
            </control>
          </mc:Choice>
        </mc:AlternateContent>
        <mc:AlternateContent xmlns:mc="http://schemas.openxmlformats.org/markup-compatibility/2006">
          <mc:Choice Requires="x14">
            <control shapeId="35869" r:id="rId32" name="Option Button 29">
              <controlPr defaultSize="0" autoFill="0" autoLine="0" autoPict="0">
                <anchor moveWithCells="1">
                  <from>
                    <xdr:col>7</xdr:col>
                    <xdr:colOff>76200</xdr:colOff>
                    <xdr:row>38</xdr:row>
                    <xdr:rowOff>276225</xdr:rowOff>
                  </from>
                  <to>
                    <xdr:col>7</xdr:col>
                    <xdr:colOff>476250</xdr:colOff>
                    <xdr:row>38</xdr:row>
                    <xdr:rowOff>485775</xdr:rowOff>
                  </to>
                </anchor>
              </controlPr>
            </control>
          </mc:Choice>
        </mc:AlternateContent>
        <mc:AlternateContent xmlns:mc="http://schemas.openxmlformats.org/markup-compatibility/2006">
          <mc:Choice Requires="x14">
            <control shapeId="35870" r:id="rId33" name="Group Box 30">
              <controlPr defaultSize="0" autoFill="0" autoPict="0">
                <anchor moveWithCells="1">
                  <from>
                    <xdr:col>6</xdr:col>
                    <xdr:colOff>95250</xdr:colOff>
                    <xdr:row>38</xdr:row>
                    <xdr:rowOff>133350</xdr:rowOff>
                  </from>
                  <to>
                    <xdr:col>7</xdr:col>
                    <xdr:colOff>657225</xdr:colOff>
                    <xdr:row>38</xdr:row>
                    <xdr:rowOff>561975</xdr:rowOff>
                  </to>
                </anchor>
              </controlPr>
            </control>
          </mc:Choice>
        </mc:AlternateContent>
        <mc:AlternateContent xmlns:mc="http://schemas.openxmlformats.org/markup-compatibility/2006">
          <mc:Choice Requires="x14">
            <control shapeId="35871" r:id="rId34" name="Option Button 31">
              <controlPr defaultSize="0" autoFill="0" autoLine="0" autoPict="0">
                <anchor moveWithCells="1">
                  <from>
                    <xdr:col>6</xdr:col>
                    <xdr:colOff>238125</xdr:colOff>
                    <xdr:row>39</xdr:row>
                    <xdr:rowOff>238125</xdr:rowOff>
                  </from>
                  <to>
                    <xdr:col>6</xdr:col>
                    <xdr:colOff>600075</xdr:colOff>
                    <xdr:row>39</xdr:row>
                    <xdr:rowOff>447675</xdr:rowOff>
                  </to>
                </anchor>
              </controlPr>
            </control>
          </mc:Choice>
        </mc:AlternateContent>
        <mc:AlternateContent xmlns:mc="http://schemas.openxmlformats.org/markup-compatibility/2006">
          <mc:Choice Requires="x14">
            <control shapeId="35872" r:id="rId35" name="Option Button 32">
              <controlPr defaultSize="0" autoFill="0" autoLine="0" autoPict="0">
                <anchor moveWithCells="1">
                  <from>
                    <xdr:col>7</xdr:col>
                    <xdr:colOff>76200</xdr:colOff>
                    <xdr:row>39</xdr:row>
                    <xdr:rowOff>238125</xdr:rowOff>
                  </from>
                  <to>
                    <xdr:col>7</xdr:col>
                    <xdr:colOff>438150</xdr:colOff>
                    <xdr:row>39</xdr:row>
                    <xdr:rowOff>447675</xdr:rowOff>
                  </to>
                </anchor>
              </controlPr>
            </control>
          </mc:Choice>
        </mc:AlternateContent>
        <mc:AlternateContent xmlns:mc="http://schemas.openxmlformats.org/markup-compatibility/2006">
          <mc:Choice Requires="x14">
            <control shapeId="35873" r:id="rId36" name="Group Box 33">
              <controlPr defaultSize="0" autoFill="0" autoPict="0">
                <anchor moveWithCells="1">
                  <from>
                    <xdr:col>6</xdr:col>
                    <xdr:colOff>95250</xdr:colOff>
                    <xdr:row>39</xdr:row>
                    <xdr:rowOff>95250</xdr:rowOff>
                  </from>
                  <to>
                    <xdr:col>7</xdr:col>
                    <xdr:colOff>647700</xdr:colOff>
                    <xdr:row>39</xdr:row>
                    <xdr:rowOff>523875</xdr:rowOff>
                  </to>
                </anchor>
              </controlPr>
            </control>
          </mc:Choice>
        </mc:AlternateContent>
        <mc:AlternateContent xmlns:mc="http://schemas.openxmlformats.org/markup-compatibility/2006">
          <mc:Choice Requires="x14">
            <control shapeId="35874" r:id="rId37" name="Option Button 34">
              <controlPr defaultSize="0" autoFill="0" autoLine="0" autoPict="0">
                <anchor moveWithCells="1">
                  <from>
                    <xdr:col>6</xdr:col>
                    <xdr:colOff>247650</xdr:colOff>
                    <xdr:row>40</xdr:row>
                    <xdr:rowOff>266700</xdr:rowOff>
                  </from>
                  <to>
                    <xdr:col>6</xdr:col>
                    <xdr:colOff>695325</xdr:colOff>
                    <xdr:row>40</xdr:row>
                    <xdr:rowOff>476250</xdr:rowOff>
                  </to>
                </anchor>
              </controlPr>
            </control>
          </mc:Choice>
        </mc:AlternateContent>
        <mc:AlternateContent xmlns:mc="http://schemas.openxmlformats.org/markup-compatibility/2006">
          <mc:Choice Requires="x14">
            <control shapeId="35875" r:id="rId38" name="Option Button 35">
              <controlPr defaultSize="0" autoFill="0" autoLine="0" autoPict="0">
                <anchor moveWithCells="1">
                  <from>
                    <xdr:col>7</xdr:col>
                    <xdr:colOff>85725</xdr:colOff>
                    <xdr:row>40</xdr:row>
                    <xdr:rowOff>266700</xdr:rowOff>
                  </from>
                  <to>
                    <xdr:col>7</xdr:col>
                    <xdr:colOff>523875</xdr:colOff>
                    <xdr:row>40</xdr:row>
                    <xdr:rowOff>476250</xdr:rowOff>
                  </to>
                </anchor>
              </controlPr>
            </control>
          </mc:Choice>
        </mc:AlternateContent>
        <mc:AlternateContent xmlns:mc="http://schemas.openxmlformats.org/markup-compatibility/2006">
          <mc:Choice Requires="x14">
            <control shapeId="35876" r:id="rId39" name="Group Box 36">
              <controlPr defaultSize="0" autoFill="0" autoPict="0">
                <anchor moveWithCells="1">
                  <from>
                    <xdr:col>6</xdr:col>
                    <xdr:colOff>95250</xdr:colOff>
                    <xdr:row>40</xdr:row>
                    <xdr:rowOff>114300</xdr:rowOff>
                  </from>
                  <to>
                    <xdr:col>7</xdr:col>
                    <xdr:colOff>638175</xdr:colOff>
                    <xdr:row>40</xdr:row>
                    <xdr:rowOff>561975</xdr:rowOff>
                  </to>
                </anchor>
              </controlPr>
            </control>
          </mc:Choice>
        </mc:AlternateContent>
        <mc:AlternateContent xmlns:mc="http://schemas.openxmlformats.org/markup-compatibility/2006">
          <mc:Choice Requires="x14">
            <control shapeId="35877" r:id="rId40" name="Option Button 37">
              <controlPr defaultSize="0" autoFill="0" autoLine="0" autoPict="0">
                <anchor moveWithCells="1">
                  <from>
                    <xdr:col>6</xdr:col>
                    <xdr:colOff>228600</xdr:colOff>
                    <xdr:row>41</xdr:row>
                    <xdr:rowOff>276225</xdr:rowOff>
                  </from>
                  <to>
                    <xdr:col>6</xdr:col>
                    <xdr:colOff>657225</xdr:colOff>
                    <xdr:row>41</xdr:row>
                    <xdr:rowOff>485775</xdr:rowOff>
                  </to>
                </anchor>
              </controlPr>
            </control>
          </mc:Choice>
        </mc:AlternateContent>
        <mc:AlternateContent xmlns:mc="http://schemas.openxmlformats.org/markup-compatibility/2006">
          <mc:Choice Requires="x14">
            <control shapeId="35878" r:id="rId41" name="Option Button 38">
              <controlPr defaultSize="0" autoFill="0" autoLine="0" autoPict="0">
                <anchor moveWithCells="1">
                  <from>
                    <xdr:col>7</xdr:col>
                    <xdr:colOff>85725</xdr:colOff>
                    <xdr:row>41</xdr:row>
                    <xdr:rowOff>276225</xdr:rowOff>
                  </from>
                  <to>
                    <xdr:col>7</xdr:col>
                    <xdr:colOff>514350</xdr:colOff>
                    <xdr:row>41</xdr:row>
                    <xdr:rowOff>485775</xdr:rowOff>
                  </to>
                </anchor>
              </controlPr>
            </control>
          </mc:Choice>
        </mc:AlternateContent>
        <mc:AlternateContent xmlns:mc="http://schemas.openxmlformats.org/markup-compatibility/2006">
          <mc:Choice Requires="x14">
            <control shapeId="35879" r:id="rId42" name="Group Box 39">
              <controlPr defaultSize="0" autoFill="0" autoPict="0">
                <anchor moveWithCells="1">
                  <from>
                    <xdr:col>6</xdr:col>
                    <xdr:colOff>95250</xdr:colOff>
                    <xdr:row>41</xdr:row>
                    <xdr:rowOff>104775</xdr:rowOff>
                  </from>
                  <to>
                    <xdr:col>7</xdr:col>
                    <xdr:colOff>638175</xdr:colOff>
                    <xdr:row>41</xdr:row>
                    <xdr:rowOff>542925</xdr:rowOff>
                  </to>
                </anchor>
              </controlPr>
            </control>
          </mc:Choice>
        </mc:AlternateContent>
        <mc:AlternateContent xmlns:mc="http://schemas.openxmlformats.org/markup-compatibility/2006">
          <mc:Choice Requires="x14">
            <control shapeId="35880" r:id="rId43" name="Option Button 40">
              <controlPr defaultSize="0" autoFill="0" autoLine="0" autoPict="0">
                <anchor moveWithCells="1">
                  <from>
                    <xdr:col>6</xdr:col>
                    <xdr:colOff>257175</xdr:colOff>
                    <xdr:row>52</xdr:row>
                    <xdr:rowOff>257175</xdr:rowOff>
                  </from>
                  <to>
                    <xdr:col>6</xdr:col>
                    <xdr:colOff>666750</xdr:colOff>
                    <xdr:row>52</xdr:row>
                    <xdr:rowOff>466725</xdr:rowOff>
                  </to>
                </anchor>
              </controlPr>
            </control>
          </mc:Choice>
        </mc:AlternateContent>
        <mc:AlternateContent xmlns:mc="http://schemas.openxmlformats.org/markup-compatibility/2006">
          <mc:Choice Requires="x14">
            <control shapeId="35881" r:id="rId44" name="Option Button 41">
              <controlPr defaultSize="0" autoFill="0" autoLine="0" autoPict="0">
                <anchor moveWithCells="1">
                  <from>
                    <xdr:col>7</xdr:col>
                    <xdr:colOff>47625</xdr:colOff>
                    <xdr:row>52</xdr:row>
                    <xdr:rowOff>257175</xdr:rowOff>
                  </from>
                  <to>
                    <xdr:col>7</xdr:col>
                    <xdr:colOff>457200</xdr:colOff>
                    <xdr:row>52</xdr:row>
                    <xdr:rowOff>466725</xdr:rowOff>
                  </to>
                </anchor>
              </controlPr>
            </control>
          </mc:Choice>
        </mc:AlternateContent>
        <mc:AlternateContent xmlns:mc="http://schemas.openxmlformats.org/markup-compatibility/2006">
          <mc:Choice Requires="x14">
            <control shapeId="35882" r:id="rId45" name="Group Box 42">
              <controlPr defaultSize="0" autoFill="0" autoPict="0">
                <anchor moveWithCells="1">
                  <from>
                    <xdr:col>6</xdr:col>
                    <xdr:colOff>104775</xdr:colOff>
                    <xdr:row>52</xdr:row>
                    <xdr:rowOff>133350</xdr:rowOff>
                  </from>
                  <to>
                    <xdr:col>7</xdr:col>
                    <xdr:colOff>647700</xdr:colOff>
                    <xdr:row>52</xdr:row>
                    <xdr:rowOff>514350</xdr:rowOff>
                  </to>
                </anchor>
              </controlPr>
            </control>
          </mc:Choice>
        </mc:AlternateContent>
        <mc:AlternateContent xmlns:mc="http://schemas.openxmlformats.org/markup-compatibility/2006">
          <mc:Choice Requires="x14">
            <control shapeId="35883" r:id="rId46" name="Option Button 43">
              <controlPr defaultSize="0" autoFill="0" autoLine="0" autoPict="0">
                <anchor moveWithCells="1">
                  <from>
                    <xdr:col>6</xdr:col>
                    <xdr:colOff>247650</xdr:colOff>
                    <xdr:row>53</xdr:row>
                    <xdr:rowOff>285750</xdr:rowOff>
                  </from>
                  <to>
                    <xdr:col>6</xdr:col>
                    <xdr:colOff>676275</xdr:colOff>
                    <xdr:row>53</xdr:row>
                    <xdr:rowOff>495300</xdr:rowOff>
                  </to>
                </anchor>
              </controlPr>
            </control>
          </mc:Choice>
        </mc:AlternateContent>
        <mc:AlternateContent xmlns:mc="http://schemas.openxmlformats.org/markup-compatibility/2006">
          <mc:Choice Requires="x14">
            <control shapeId="35884" r:id="rId47" name="Option Button 44">
              <controlPr defaultSize="0" autoFill="0" autoLine="0" autoPict="0">
                <anchor moveWithCells="1">
                  <from>
                    <xdr:col>7</xdr:col>
                    <xdr:colOff>57150</xdr:colOff>
                    <xdr:row>53</xdr:row>
                    <xdr:rowOff>285750</xdr:rowOff>
                  </from>
                  <to>
                    <xdr:col>7</xdr:col>
                    <xdr:colOff>428625</xdr:colOff>
                    <xdr:row>53</xdr:row>
                    <xdr:rowOff>495300</xdr:rowOff>
                  </to>
                </anchor>
              </controlPr>
            </control>
          </mc:Choice>
        </mc:AlternateContent>
        <mc:AlternateContent xmlns:mc="http://schemas.openxmlformats.org/markup-compatibility/2006">
          <mc:Choice Requires="x14">
            <control shapeId="35885" r:id="rId48" name="Group Box 45">
              <controlPr defaultSize="0" autoFill="0" autoPict="0">
                <anchor moveWithCells="1">
                  <from>
                    <xdr:col>6</xdr:col>
                    <xdr:colOff>123825</xdr:colOff>
                    <xdr:row>53</xdr:row>
                    <xdr:rowOff>133350</xdr:rowOff>
                  </from>
                  <to>
                    <xdr:col>7</xdr:col>
                    <xdr:colOff>657225</xdr:colOff>
                    <xdr:row>53</xdr:row>
                    <xdr:rowOff>542925</xdr:rowOff>
                  </to>
                </anchor>
              </controlPr>
            </control>
          </mc:Choice>
        </mc:AlternateContent>
        <mc:AlternateContent xmlns:mc="http://schemas.openxmlformats.org/markup-compatibility/2006">
          <mc:Choice Requires="x14">
            <control shapeId="35886" r:id="rId49" name="Option Button 46">
              <controlPr defaultSize="0" autoFill="0" autoLine="0" autoPict="0">
                <anchor moveWithCells="1">
                  <from>
                    <xdr:col>6</xdr:col>
                    <xdr:colOff>247650</xdr:colOff>
                    <xdr:row>54</xdr:row>
                    <xdr:rowOff>304800</xdr:rowOff>
                  </from>
                  <to>
                    <xdr:col>6</xdr:col>
                    <xdr:colOff>695325</xdr:colOff>
                    <xdr:row>54</xdr:row>
                    <xdr:rowOff>514350</xdr:rowOff>
                  </to>
                </anchor>
              </controlPr>
            </control>
          </mc:Choice>
        </mc:AlternateContent>
        <mc:AlternateContent xmlns:mc="http://schemas.openxmlformats.org/markup-compatibility/2006">
          <mc:Choice Requires="x14">
            <control shapeId="35887" r:id="rId50" name="Option Button 47">
              <controlPr defaultSize="0" autoFill="0" autoLine="0" autoPict="0">
                <anchor moveWithCells="1">
                  <from>
                    <xdr:col>7</xdr:col>
                    <xdr:colOff>57150</xdr:colOff>
                    <xdr:row>54</xdr:row>
                    <xdr:rowOff>304800</xdr:rowOff>
                  </from>
                  <to>
                    <xdr:col>7</xdr:col>
                    <xdr:colOff>504825</xdr:colOff>
                    <xdr:row>54</xdr:row>
                    <xdr:rowOff>514350</xdr:rowOff>
                  </to>
                </anchor>
              </controlPr>
            </control>
          </mc:Choice>
        </mc:AlternateContent>
        <mc:AlternateContent xmlns:mc="http://schemas.openxmlformats.org/markup-compatibility/2006">
          <mc:Choice Requires="x14">
            <control shapeId="35888" r:id="rId51" name="Group Box 48">
              <controlPr defaultSize="0" autoFill="0" autoPict="0">
                <anchor moveWithCells="1">
                  <from>
                    <xdr:col>6</xdr:col>
                    <xdr:colOff>114300</xdr:colOff>
                    <xdr:row>54</xdr:row>
                    <xdr:rowOff>133350</xdr:rowOff>
                  </from>
                  <to>
                    <xdr:col>7</xdr:col>
                    <xdr:colOff>647700</xdr:colOff>
                    <xdr:row>54</xdr:row>
                    <xdr:rowOff>619125</xdr:rowOff>
                  </to>
                </anchor>
              </controlPr>
            </control>
          </mc:Choice>
        </mc:AlternateContent>
        <mc:AlternateContent xmlns:mc="http://schemas.openxmlformats.org/markup-compatibility/2006">
          <mc:Choice Requires="x14">
            <control shapeId="35889" r:id="rId52" name="Option Button 49">
              <controlPr defaultSize="0" autoFill="0" autoLine="0" autoPict="0">
                <anchor moveWithCells="1">
                  <from>
                    <xdr:col>6</xdr:col>
                    <xdr:colOff>238125</xdr:colOff>
                    <xdr:row>55</xdr:row>
                    <xdr:rowOff>161925</xdr:rowOff>
                  </from>
                  <to>
                    <xdr:col>6</xdr:col>
                    <xdr:colOff>733425</xdr:colOff>
                    <xdr:row>55</xdr:row>
                    <xdr:rowOff>371475</xdr:rowOff>
                  </to>
                </anchor>
              </controlPr>
            </control>
          </mc:Choice>
        </mc:AlternateContent>
        <mc:AlternateContent xmlns:mc="http://schemas.openxmlformats.org/markup-compatibility/2006">
          <mc:Choice Requires="x14">
            <control shapeId="35890" r:id="rId53" name="Option Button 50">
              <controlPr defaultSize="0" autoFill="0" autoLine="0" autoPict="0">
                <anchor moveWithCells="1">
                  <from>
                    <xdr:col>7</xdr:col>
                    <xdr:colOff>38100</xdr:colOff>
                    <xdr:row>55</xdr:row>
                    <xdr:rowOff>161925</xdr:rowOff>
                  </from>
                  <to>
                    <xdr:col>7</xdr:col>
                    <xdr:colOff>533400</xdr:colOff>
                    <xdr:row>55</xdr:row>
                    <xdr:rowOff>371475</xdr:rowOff>
                  </to>
                </anchor>
              </controlPr>
            </control>
          </mc:Choice>
        </mc:AlternateContent>
        <mc:AlternateContent xmlns:mc="http://schemas.openxmlformats.org/markup-compatibility/2006">
          <mc:Choice Requires="x14">
            <control shapeId="35891" r:id="rId54" name="Group Box 51">
              <controlPr defaultSize="0" autoFill="0" autoPict="0">
                <anchor moveWithCells="1">
                  <from>
                    <xdr:col>6</xdr:col>
                    <xdr:colOff>114300</xdr:colOff>
                    <xdr:row>55</xdr:row>
                    <xdr:rowOff>66675</xdr:rowOff>
                  </from>
                  <to>
                    <xdr:col>7</xdr:col>
                    <xdr:colOff>638175</xdr:colOff>
                    <xdr:row>55</xdr:row>
                    <xdr:rowOff>390525</xdr:rowOff>
                  </to>
                </anchor>
              </controlPr>
            </control>
          </mc:Choice>
        </mc:AlternateContent>
        <mc:AlternateContent xmlns:mc="http://schemas.openxmlformats.org/markup-compatibility/2006">
          <mc:Choice Requires="x14">
            <control shapeId="35892" r:id="rId55" name="Option Button 52">
              <controlPr defaultSize="0" autoFill="0" autoLine="0" autoPict="0">
                <anchor moveWithCells="1">
                  <from>
                    <xdr:col>6</xdr:col>
                    <xdr:colOff>247650</xdr:colOff>
                    <xdr:row>56</xdr:row>
                    <xdr:rowOff>161925</xdr:rowOff>
                  </from>
                  <to>
                    <xdr:col>6</xdr:col>
                    <xdr:colOff>657225</xdr:colOff>
                    <xdr:row>56</xdr:row>
                    <xdr:rowOff>371475</xdr:rowOff>
                  </to>
                </anchor>
              </controlPr>
            </control>
          </mc:Choice>
        </mc:AlternateContent>
        <mc:AlternateContent xmlns:mc="http://schemas.openxmlformats.org/markup-compatibility/2006">
          <mc:Choice Requires="x14">
            <control shapeId="35893" r:id="rId56" name="Option Button 53">
              <controlPr defaultSize="0" autoFill="0" autoLine="0" autoPict="0">
                <anchor moveWithCells="1">
                  <from>
                    <xdr:col>7</xdr:col>
                    <xdr:colOff>38100</xdr:colOff>
                    <xdr:row>56</xdr:row>
                    <xdr:rowOff>161925</xdr:rowOff>
                  </from>
                  <to>
                    <xdr:col>7</xdr:col>
                    <xdr:colOff>457200</xdr:colOff>
                    <xdr:row>56</xdr:row>
                    <xdr:rowOff>371475</xdr:rowOff>
                  </to>
                </anchor>
              </controlPr>
            </control>
          </mc:Choice>
        </mc:AlternateContent>
        <mc:AlternateContent xmlns:mc="http://schemas.openxmlformats.org/markup-compatibility/2006">
          <mc:Choice Requires="x14">
            <control shapeId="35894" r:id="rId57" name="Group Box 54">
              <controlPr defaultSize="0" autoFill="0" autoPict="0">
                <anchor moveWithCells="1">
                  <from>
                    <xdr:col>6</xdr:col>
                    <xdr:colOff>114300</xdr:colOff>
                    <xdr:row>56</xdr:row>
                    <xdr:rowOff>47625</xdr:rowOff>
                  </from>
                  <to>
                    <xdr:col>7</xdr:col>
                    <xdr:colOff>638175</xdr:colOff>
                    <xdr:row>56</xdr:row>
                    <xdr:rowOff>409575</xdr:rowOff>
                  </to>
                </anchor>
              </controlPr>
            </control>
          </mc:Choice>
        </mc:AlternateContent>
        <mc:AlternateContent xmlns:mc="http://schemas.openxmlformats.org/markup-compatibility/2006">
          <mc:Choice Requires="x14">
            <control shapeId="35895" r:id="rId58" name="Option Button 55">
              <controlPr defaultSize="0" autoFill="0" autoLine="0" autoPict="0">
                <anchor moveWithCells="1">
                  <from>
                    <xdr:col>6</xdr:col>
                    <xdr:colOff>257175</xdr:colOff>
                    <xdr:row>57</xdr:row>
                    <xdr:rowOff>161925</xdr:rowOff>
                  </from>
                  <to>
                    <xdr:col>6</xdr:col>
                    <xdr:colOff>657225</xdr:colOff>
                    <xdr:row>57</xdr:row>
                    <xdr:rowOff>371475</xdr:rowOff>
                  </to>
                </anchor>
              </controlPr>
            </control>
          </mc:Choice>
        </mc:AlternateContent>
        <mc:AlternateContent xmlns:mc="http://schemas.openxmlformats.org/markup-compatibility/2006">
          <mc:Choice Requires="x14">
            <control shapeId="35896" r:id="rId59" name="Option Button 56">
              <controlPr defaultSize="0" autoFill="0" autoLine="0" autoPict="0">
                <anchor moveWithCells="1">
                  <from>
                    <xdr:col>7</xdr:col>
                    <xdr:colOff>38100</xdr:colOff>
                    <xdr:row>57</xdr:row>
                    <xdr:rowOff>161925</xdr:rowOff>
                  </from>
                  <to>
                    <xdr:col>7</xdr:col>
                    <xdr:colOff>438150</xdr:colOff>
                    <xdr:row>57</xdr:row>
                    <xdr:rowOff>371475</xdr:rowOff>
                  </to>
                </anchor>
              </controlPr>
            </control>
          </mc:Choice>
        </mc:AlternateContent>
        <mc:AlternateContent xmlns:mc="http://schemas.openxmlformats.org/markup-compatibility/2006">
          <mc:Choice Requires="x14">
            <control shapeId="35897" r:id="rId60" name="Group Box 57">
              <controlPr defaultSize="0" autoFill="0" autoPict="0">
                <anchor moveWithCells="1">
                  <from>
                    <xdr:col>6</xdr:col>
                    <xdr:colOff>123825</xdr:colOff>
                    <xdr:row>57</xdr:row>
                    <xdr:rowOff>66675</xdr:rowOff>
                  </from>
                  <to>
                    <xdr:col>7</xdr:col>
                    <xdr:colOff>638175</xdr:colOff>
                    <xdr:row>57</xdr:row>
                    <xdr:rowOff>419100</xdr:rowOff>
                  </to>
                </anchor>
              </controlPr>
            </control>
          </mc:Choice>
        </mc:AlternateContent>
        <mc:AlternateContent xmlns:mc="http://schemas.openxmlformats.org/markup-compatibility/2006">
          <mc:Choice Requires="x14">
            <control shapeId="35898" r:id="rId61" name="Option Button 58">
              <controlPr defaultSize="0" autoFill="0" autoLine="0" autoPict="0">
                <anchor moveWithCells="1">
                  <from>
                    <xdr:col>6</xdr:col>
                    <xdr:colOff>257175</xdr:colOff>
                    <xdr:row>58</xdr:row>
                    <xdr:rowOff>238125</xdr:rowOff>
                  </from>
                  <to>
                    <xdr:col>6</xdr:col>
                    <xdr:colOff>676275</xdr:colOff>
                    <xdr:row>58</xdr:row>
                    <xdr:rowOff>447675</xdr:rowOff>
                  </to>
                </anchor>
              </controlPr>
            </control>
          </mc:Choice>
        </mc:AlternateContent>
        <mc:AlternateContent xmlns:mc="http://schemas.openxmlformats.org/markup-compatibility/2006">
          <mc:Choice Requires="x14">
            <control shapeId="35899" r:id="rId62" name="Option Button 59">
              <controlPr defaultSize="0" autoFill="0" autoLine="0" autoPict="0">
                <anchor moveWithCells="1">
                  <from>
                    <xdr:col>7</xdr:col>
                    <xdr:colOff>38100</xdr:colOff>
                    <xdr:row>58</xdr:row>
                    <xdr:rowOff>238125</xdr:rowOff>
                  </from>
                  <to>
                    <xdr:col>7</xdr:col>
                    <xdr:colOff>457200</xdr:colOff>
                    <xdr:row>58</xdr:row>
                    <xdr:rowOff>447675</xdr:rowOff>
                  </to>
                </anchor>
              </controlPr>
            </control>
          </mc:Choice>
        </mc:AlternateContent>
        <mc:AlternateContent xmlns:mc="http://schemas.openxmlformats.org/markup-compatibility/2006">
          <mc:Choice Requires="x14">
            <control shapeId="35900" r:id="rId63" name="Group Box 60">
              <controlPr defaultSize="0" autoFill="0" autoPict="0">
                <anchor moveWithCells="1">
                  <from>
                    <xdr:col>6</xdr:col>
                    <xdr:colOff>123825</xdr:colOff>
                    <xdr:row>58</xdr:row>
                    <xdr:rowOff>95250</xdr:rowOff>
                  </from>
                  <to>
                    <xdr:col>7</xdr:col>
                    <xdr:colOff>638175</xdr:colOff>
                    <xdr:row>58</xdr:row>
                    <xdr:rowOff>514350</xdr:rowOff>
                  </to>
                </anchor>
              </controlPr>
            </control>
          </mc:Choice>
        </mc:AlternateContent>
        <mc:AlternateContent xmlns:mc="http://schemas.openxmlformats.org/markup-compatibility/2006">
          <mc:Choice Requires="x14">
            <control shapeId="35901" r:id="rId64" name="Option Button 61">
              <controlPr defaultSize="0" autoFill="0" autoLine="0" autoPict="0">
                <anchor moveWithCells="1">
                  <from>
                    <xdr:col>6</xdr:col>
                    <xdr:colOff>247650</xdr:colOff>
                    <xdr:row>59</xdr:row>
                    <xdr:rowOff>228600</xdr:rowOff>
                  </from>
                  <to>
                    <xdr:col>6</xdr:col>
                    <xdr:colOff>628650</xdr:colOff>
                    <xdr:row>59</xdr:row>
                    <xdr:rowOff>438150</xdr:rowOff>
                  </to>
                </anchor>
              </controlPr>
            </control>
          </mc:Choice>
        </mc:AlternateContent>
        <mc:AlternateContent xmlns:mc="http://schemas.openxmlformats.org/markup-compatibility/2006">
          <mc:Choice Requires="x14">
            <control shapeId="35902" r:id="rId65" name="Option Button 62">
              <controlPr defaultSize="0" autoFill="0" autoLine="0" autoPict="0">
                <anchor moveWithCells="1">
                  <from>
                    <xdr:col>7</xdr:col>
                    <xdr:colOff>38100</xdr:colOff>
                    <xdr:row>59</xdr:row>
                    <xdr:rowOff>228600</xdr:rowOff>
                  </from>
                  <to>
                    <xdr:col>7</xdr:col>
                    <xdr:colOff>419100</xdr:colOff>
                    <xdr:row>59</xdr:row>
                    <xdr:rowOff>438150</xdr:rowOff>
                  </to>
                </anchor>
              </controlPr>
            </control>
          </mc:Choice>
        </mc:AlternateContent>
        <mc:AlternateContent xmlns:mc="http://schemas.openxmlformats.org/markup-compatibility/2006">
          <mc:Choice Requires="x14">
            <control shapeId="35903" r:id="rId66" name="Group Box 63">
              <controlPr defaultSize="0" autoFill="0" autoPict="0">
                <anchor moveWithCells="1">
                  <from>
                    <xdr:col>6</xdr:col>
                    <xdr:colOff>123825</xdr:colOff>
                    <xdr:row>59</xdr:row>
                    <xdr:rowOff>85725</xdr:rowOff>
                  </from>
                  <to>
                    <xdr:col>7</xdr:col>
                    <xdr:colOff>647700</xdr:colOff>
                    <xdr:row>59</xdr:row>
                    <xdr:rowOff>495300</xdr:rowOff>
                  </to>
                </anchor>
              </controlPr>
            </control>
          </mc:Choice>
        </mc:AlternateContent>
        <mc:AlternateContent xmlns:mc="http://schemas.openxmlformats.org/markup-compatibility/2006">
          <mc:Choice Requires="x14">
            <control shapeId="35904" r:id="rId67" name="Option Button 64">
              <controlPr defaultSize="0" autoFill="0" autoLine="0" autoPict="0">
                <anchor moveWithCells="1">
                  <from>
                    <xdr:col>6</xdr:col>
                    <xdr:colOff>247650</xdr:colOff>
                    <xdr:row>60</xdr:row>
                    <xdr:rowOff>247650</xdr:rowOff>
                  </from>
                  <to>
                    <xdr:col>6</xdr:col>
                    <xdr:colOff>676275</xdr:colOff>
                    <xdr:row>60</xdr:row>
                    <xdr:rowOff>457200</xdr:rowOff>
                  </to>
                </anchor>
              </controlPr>
            </control>
          </mc:Choice>
        </mc:AlternateContent>
        <mc:AlternateContent xmlns:mc="http://schemas.openxmlformats.org/markup-compatibility/2006">
          <mc:Choice Requires="x14">
            <control shapeId="35905" r:id="rId68" name="Option Button 65">
              <controlPr defaultSize="0" autoFill="0" autoLine="0" autoPict="0">
                <anchor moveWithCells="1">
                  <from>
                    <xdr:col>7</xdr:col>
                    <xdr:colOff>47625</xdr:colOff>
                    <xdr:row>60</xdr:row>
                    <xdr:rowOff>247650</xdr:rowOff>
                  </from>
                  <to>
                    <xdr:col>7</xdr:col>
                    <xdr:colOff>476250</xdr:colOff>
                    <xdr:row>60</xdr:row>
                    <xdr:rowOff>457200</xdr:rowOff>
                  </to>
                </anchor>
              </controlPr>
            </control>
          </mc:Choice>
        </mc:AlternateContent>
        <mc:AlternateContent xmlns:mc="http://schemas.openxmlformats.org/markup-compatibility/2006">
          <mc:Choice Requires="x14">
            <control shapeId="35906" r:id="rId69" name="Group Box 66">
              <controlPr defaultSize="0" autoFill="0" autoPict="0">
                <anchor moveWithCells="1">
                  <from>
                    <xdr:col>6</xdr:col>
                    <xdr:colOff>123825</xdr:colOff>
                    <xdr:row>60</xdr:row>
                    <xdr:rowOff>85725</xdr:rowOff>
                  </from>
                  <to>
                    <xdr:col>7</xdr:col>
                    <xdr:colOff>647700</xdr:colOff>
                    <xdr:row>60</xdr:row>
                    <xdr:rowOff>523875</xdr:rowOff>
                  </to>
                </anchor>
              </controlPr>
            </control>
          </mc:Choice>
        </mc:AlternateContent>
        <mc:AlternateContent xmlns:mc="http://schemas.openxmlformats.org/markup-compatibility/2006">
          <mc:Choice Requires="x14">
            <control shapeId="35907" r:id="rId70" name="Option Button 67">
              <controlPr defaultSize="0" autoFill="0" autoLine="0" autoPict="0">
                <anchor moveWithCells="1">
                  <from>
                    <xdr:col>6</xdr:col>
                    <xdr:colOff>238125</xdr:colOff>
                    <xdr:row>61</xdr:row>
                    <xdr:rowOff>257175</xdr:rowOff>
                  </from>
                  <to>
                    <xdr:col>6</xdr:col>
                    <xdr:colOff>685800</xdr:colOff>
                    <xdr:row>61</xdr:row>
                    <xdr:rowOff>466725</xdr:rowOff>
                  </to>
                </anchor>
              </controlPr>
            </control>
          </mc:Choice>
        </mc:AlternateContent>
        <mc:AlternateContent xmlns:mc="http://schemas.openxmlformats.org/markup-compatibility/2006">
          <mc:Choice Requires="x14">
            <control shapeId="35908" r:id="rId71" name="Option Button 68">
              <controlPr defaultSize="0" autoFill="0" autoLine="0" autoPict="0">
                <anchor moveWithCells="1">
                  <from>
                    <xdr:col>7</xdr:col>
                    <xdr:colOff>28575</xdr:colOff>
                    <xdr:row>61</xdr:row>
                    <xdr:rowOff>257175</xdr:rowOff>
                  </from>
                  <to>
                    <xdr:col>7</xdr:col>
                    <xdr:colOff>476250</xdr:colOff>
                    <xdr:row>61</xdr:row>
                    <xdr:rowOff>466725</xdr:rowOff>
                  </to>
                </anchor>
              </controlPr>
            </control>
          </mc:Choice>
        </mc:AlternateContent>
        <mc:AlternateContent xmlns:mc="http://schemas.openxmlformats.org/markup-compatibility/2006">
          <mc:Choice Requires="x14">
            <control shapeId="35909" r:id="rId72" name="Group Box 69">
              <controlPr defaultSize="0" autoFill="0" autoPict="0">
                <anchor moveWithCells="1">
                  <from>
                    <xdr:col>6</xdr:col>
                    <xdr:colOff>123825</xdr:colOff>
                    <xdr:row>61</xdr:row>
                    <xdr:rowOff>104775</xdr:rowOff>
                  </from>
                  <to>
                    <xdr:col>7</xdr:col>
                    <xdr:colOff>647700</xdr:colOff>
                    <xdr:row>61</xdr:row>
                    <xdr:rowOff>485775</xdr:rowOff>
                  </to>
                </anchor>
              </controlPr>
            </control>
          </mc:Choice>
        </mc:AlternateContent>
        <mc:AlternateContent xmlns:mc="http://schemas.openxmlformats.org/markup-compatibility/2006">
          <mc:Choice Requires="x14">
            <control shapeId="35910" r:id="rId73" name="Option Button 70">
              <controlPr defaultSize="0" autoFill="0" autoLine="0" autoPict="0">
                <anchor moveWithCells="1">
                  <from>
                    <xdr:col>6</xdr:col>
                    <xdr:colOff>238125</xdr:colOff>
                    <xdr:row>62</xdr:row>
                    <xdr:rowOff>266700</xdr:rowOff>
                  </from>
                  <to>
                    <xdr:col>6</xdr:col>
                    <xdr:colOff>666750</xdr:colOff>
                    <xdr:row>62</xdr:row>
                    <xdr:rowOff>476250</xdr:rowOff>
                  </to>
                </anchor>
              </controlPr>
            </control>
          </mc:Choice>
        </mc:AlternateContent>
        <mc:AlternateContent xmlns:mc="http://schemas.openxmlformats.org/markup-compatibility/2006">
          <mc:Choice Requires="x14">
            <control shapeId="35911" r:id="rId74" name="Option Button 71">
              <controlPr defaultSize="0" autoFill="0" autoLine="0" autoPict="0">
                <anchor moveWithCells="1">
                  <from>
                    <xdr:col>7</xdr:col>
                    <xdr:colOff>19050</xdr:colOff>
                    <xdr:row>62</xdr:row>
                    <xdr:rowOff>266700</xdr:rowOff>
                  </from>
                  <to>
                    <xdr:col>7</xdr:col>
                    <xdr:colOff>447675</xdr:colOff>
                    <xdr:row>62</xdr:row>
                    <xdr:rowOff>476250</xdr:rowOff>
                  </to>
                </anchor>
              </controlPr>
            </control>
          </mc:Choice>
        </mc:AlternateContent>
        <mc:AlternateContent xmlns:mc="http://schemas.openxmlformats.org/markup-compatibility/2006">
          <mc:Choice Requires="x14">
            <control shapeId="35912" r:id="rId75" name="Group Box 72">
              <controlPr defaultSize="0" autoFill="0" autoPict="0">
                <anchor moveWithCells="1">
                  <from>
                    <xdr:col>6</xdr:col>
                    <xdr:colOff>123825</xdr:colOff>
                    <xdr:row>62</xdr:row>
                    <xdr:rowOff>123825</xdr:rowOff>
                  </from>
                  <to>
                    <xdr:col>7</xdr:col>
                    <xdr:colOff>647700</xdr:colOff>
                    <xdr:row>62</xdr:row>
                    <xdr:rowOff>514350</xdr:rowOff>
                  </to>
                </anchor>
              </controlPr>
            </control>
          </mc:Choice>
        </mc:AlternateContent>
        <mc:AlternateContent xmlns:mc="http://schemas.openxmlformats.org/markup-compatibility/2006">
          <mc:Choice Requires="x14">
            <control shapeId="35913" r:id="rId76" name="Option Button 73">
              <controlPr defaultSize="0" autoFill="0" autoLine="0" autoPict="0">
                <anchor moveWithCells="1">
                  <from>
                    <xdr:col>6</xdr:col>
                    <xdr:colOff>257175</xdr:colOff>
                    <xdr:row>73</xdr:row>
                    <xdr:rowOff>257175</xdr:rowOff>
                  </from>
                  <to>
                    <xdr:col>6</xdr:col>
                    <xdr:colOff>666750</xdr:colOff>
                    <xdr:row>73</xdr:row>
                    <xdr:rowOff>466725</xdr:rowOff>
                  </to>
                </anchor>
              </controlPr>
            </control>
          </mc:Choice>
        </mc:AlternateContent>
        <mc:AlternateContent xmlns:mc="http://schemas.openxmlformats.org/markup-compatibility/2006">
          <mc:Choice Requires="x14">
            <control shapeId="35914" r:id="rId77" name="Option Button 74">
              <controlPr defaultSize="0" autoFill="0" autoLine="0" autoPict="0">
                <anchor moveWithCells="1">
                  <from>
                    <xdr:col>7</xdr:col>
                    <xdr:colOff>104775</xdr:colOff>
                    <xdr:row>73</xdr:row>
                    <xdr:rowOff>257175</xdr:rowOff>
                  </from>
                  <to>
                    <xdr:col>7</xdr:col>
                    <xdr:colOff>514350</xdr:colOff>
                    <xdr:row>73</xdr:row>
                    <xdr:rowOff>466725</xdr:rowOff>
                  </to>
                </anchor>
              </controlPr>
            </control>
          </mc:Choice>
        </mc:AlternateContent>
        <mc:AlternateContent xmlns:mc="http://schemas.openxmlformats.org/markup-compatibility/2006">
          <mc:Choice Requires="x14">
            <control shapeId="35915" r:id="rId78" name="Group Box 75">
              <controlPr defaultSize="0" autoFill="0" autoPict="0">
                <anchor moveWithCells="1">
                  <from>
                    <xdr:col>6</xdr:col>
                    <xdr:colOff>85725</xdr:colOff>
                    <xdr:row>73</xdr:row>
                    <xdr:rowOff>104775</xdr:rowOff>
                  </from>
                  <to>
                    <xdr:col>7</xdr:col>
                    <xdr:colOff>685800</xdr:colOff>
                    <xdr:row>73</xdr:row>
                    <xdr:rowOff>561975</xdr:rowOff>
                  </to>
                </anchor>
              </controlPr>
            </control>
          </mc:Choice>
        </mc:AlternateContent>
        <mc:AlternateContent xmlns:mc="http://schemas.openxmlformats.org/markup-compatibility/2006">
          <mc:Choice Requires="x14">
            <control shapeId="35916" r:id="rId79" name="Option Button 76">
              <controlPr defaultSize="0" autoFill="0" autoLine="0" autoPict="0">
                <anchor moveWithCells="1">
                  <from>
                    <xdr:col>6</xdr:col>
                    <xdr:colOff>257175</xdr:colOff>
                    <xdr:row>74</xdr:row>
                    <xdr:rowOff>238125</xdr:rowOff>
                  </from>
                  <to>
                    <xdr:col>6</xdr:col>
                    <xdr:colOff>666750</xdr:colOff>
                    <xdr:row>74</xdr:row>
                    <xdr:rowOff>447675</xdr:rowOff>
                  </to>
                </anchor>
              </controlPr>
            </control>
          </mc:Choice>
        </mc:AlternateContent>
        <mc:AlternateContent xmlns:mc="http://schemas.openxmlformats.org/markup-compatibility/2006">
          <mc:Choice Requires="x14">
            <control shapeId="35917" r:id="rId80" name="Option Button 77">
              <controlPr defaultSize="0" autoFill="0" autoLine="0" autoPict="0">
                <anchor moveWithCells="1">
                  <from>
                    <xdr:col>7</xdr:col>
                    <xdr:colOff>104775</xdr:colOff>
                    <xdr:row>74</xdr:row>
                    <xdr:rowOff>238125</xdr:rowOff>
                  </from>
                  <to>
                    <xdr:col>7</xdr:col>
                    <xdr:colOff>514350</xdr:colOff>
                    <xdr:row>74</xdr:row>
                    <xdr:rowOff>447675</xdr:rowOff>
                  </to>
                </anchor>
              </controlPr>
            </control>
          </mc:Choice>
        </mc:AlternateContent>
        <mc:AlternateContent xmlns:mc="http://schemas.openxmlformats.org/markup-compatibility/2006">
          <mc:Choice Requires="x14">
            <control shapeId="35918" r:id="rId81" name="Group Box 78">
              <controlPr defaultSize="0" autoFill="0" autoPict="0">
                <anchor moveWithCells="1">
                  <from>
                    <xdr:col>6</xdr:col>
                    <xdr:colOff>85725</xdr:colOff>
                    <xdr:row>74</xdr:row>
                    <xdr:rowOff>85725</xdr:rowOff>
                  </from>
                  <to>
                    <xdr:col>7</xdr:col>
                    <xdr:colOff>685800</xdr:colOff>
                    <xdr:row>74</xdr:row>
                    <xdr:rowOff>542925</xdr:rowOff>
                  </to>
                </anchor>
              </controlPr>
            </control>
          </mc:Choice>
        </mc:AlternateContent>
        <mc:AlternateContent xmlns:mc="http://schemas.openxmlformats.org/markup-compatibility/2006">
          <mc:Choice Requires="x14">
            <control shapeId="35919" r:id="rId82" name="Option Button 79">
              <controlPr defaultSize="0" autoFill="0" autoLine="0" autoPict="0">
                <anchor moveWithCells="1">
                  <from>
                    <xdr:col>6</xdr:col>
                    <xdr:colOff>257175</xdr:colOff>
                    <xdr:row>75</xdr:row>
                    <xdr:rowOff>285750</xdr:rowOff>
                  </from>
                  <to>
                    <xdr:col>6</xdr:col>
                    <xdr:colOff>666750</xdr:colOff>
                    <xdr:row>75</xdr:row>
                    <xdr:rowOff>495300</xdr:rowOff>
                  </to>
                </anchor>
              </controlPr>
            </control>
          </mc:Choice>
        </mc:AlternateContent>
        <mc:AlternateContent xmlns:mc="http://schemas.openxmlformats.org/markup-compatibility/2006">
          <mc:Choice Requires="x14">
            <control shapeId="35920" r:id="rId83" name="Option Button 80">
              <controlPr defaultSize="0" autoFill="0" autoLine="0" autoPict="0">
                <anchor moveWithCells="1">
                  <from>
                    <xdr:col>7</xdr:col>
                    <xdr:colOff>104775</xdr:colOff>
                    <xdr:row>75</xdr:row>
                    <xdr:rowOff>285750</xdr:rowOff>
                  </from>
                  <to>
                    <xdr:col>7</xdr:col>
                    <xdr:colOff>514350</xdr:colOff>
                    <xdr:row>75</xdr:row>
                    <xdr:rowOff>495300</xdr:rowOff>
                  </to>
                </anchor>
              </controlPr>
            </control>
          </mc:Choice>
        </mc:AlternateContent>
        <mc:AlternateContent xmlns:mc="http://schemas.openxmlformats.org/markup-compatibility/2006">
          <mc:Choice Requires="x14">
            <control shapeId="35921" r:id="rId84" name="Group Box 81">
              <controlPr defaultSize="0" autoFill="0" autoPict="0">
                <anchor moveWithCells="1">
                  <from>
                    <xdr:col>6</xdr:col>
                    <xdr:colOff>85725</xdr:colOff>
                    <xdr:row>75</xdr:row>
                    <xdr:rowOff>123825</xdr:rowOff>
                  </from>
                  <to>
                    <xdr:col>7</xdr:col>
                    <xdr:colOff>685800</xdr:colOff>
                    <xdr:row>75</xdr:row>
                    <xdr:rowOff>581025</xdr:rowOff>
                  </to>
                </anchor>
              </controlPr>
            </control>
          </mc:Choice>
        </mc:AlternateContent>
        <mc:AlternateContent xmlns:mc="http://schemas.openxmlformats.org/markup-compatibility/2006">
          <mc:Choice Requires="x14">
            <control shapeId="35922" r:id="rId85" name="Option Button 82">
              <controlPr defaultSize="0" autoFill="0" autoLine="0" autoPict="0">
                <anchor moveWithCells="1">
                  <from>
                    <xdr:col>6</xdr:col>
                    <xdr:colOff>257175</xdr:colOff>
                    <xdr:row>77</xdr:row>
                    <xdr:rowOff>247650</xdr:rowOff>
                  </from>
                  <to>
                    <xdr:col>6</xdr:col>
                    <xdr:colOff>666750</xdr:colOff>
                    <xdr:row>77</xdr:row>
                    <xdr:rowOff>457200</xdr:rowOff>
                  </to>
                </anchor>
              </controlPr>
            </control>
          </mc:Choice>
        </mc:AlternateContent>
        <mc:AlternateContent xmlns:mc="http://schemas.openxmlformats.org/markup-compatibility/2006">
          <mc:Choice Requires="x14">
            <control shapeId="35923" r:id="rId86" name="Option Button 83">
              <controlPr defaultSize="0" autoFill="0" autoLine="0" autoPict="0">
                <anchor moveWithCells="1">
                  <from>
                    <xdr:col>7</xdr:col>
                    <xdr:colOff>104775</xdr:colOff>
                    <xdr:row>77</xdr:row>
                    <xdr:rowOff>247650</xdr:rowOff>
                  </from>
                  <to>
                    <xdr:col>7</xdr:col>
                    <xdr:colOff>514350</xdr:colOff>
                    <xdr:row>77</xdr:row>
                    <xdr:rowOff>457200</xdr:rowOff>
                  </to>
                </anchor>
              </controlPr>
            </control>
          </mc:Choice>
        </mc:AlternateContent>
        <mc:AlternateContent xmlns:mc="http://schemas.openxmlformats.org/markup-compatibility/2006">
          <mc:Choice Requires="x14">
            <control shapeId="35924" r:id="rId87" name="Group Box 84">
              <controlPr defaultSize="0" autoFill="0" autoPict="0">
                <anchor moveWithCells="1">
                  <from>
                    <xdr:col>6</xdr:col>
                    <xdr:colOff>85725</xdr:colOff>
                    <xdr:row>77</xdr:row>
                    <xdr:rowOff>95250</xdr:rowOff>
                  </from>
                  <to>
                    <xdr:col>7</xdr:col>
                    <xdr:colOff>685800</xdr:colOff>
                    <xdr:row>77</xdr:row>
                    <xdr:rowOff>552450</xdr:rowOff>
                  </to>
                </anchor>
              </controlPr>
            </control>
          </mc:Choice>
        </mc:AlternateContent>
        <mc:AlternateContent xmlns:mc="http://schemas.openxmlformats.org/markup-compatibility/2006">
          <mc:Choice Requires="x14">
            <control shapeId="35925" r:id="rId88" name="Option Button 85">
              <controlPr defaultSize="0" autoFill="0" autoLine="0" autoPict="0">
                <anchor moveWithCells="1">
                  <from>
                    <xdr:col>6</xdr:col>
                    <xdr:colOff>257175</xdr:colOff>
                    <xdr:row>78</xdr:row>
                    <xdr:rowOff>333375</xdr:rowOff>
                  </from>
                  <to>
                    <xdr:col>6</xdr:col>
                    <xdr:colOff>666750</xdr:colOff>
                    <xdr:row>78</xdr:row>
                    <xdr:rowOff>542925</xdr:rowOff>
                  </to>
                </anchor>
              </controlPr>
            </control>
          </mc:Choice>
        </mc:AlternateContent>
        <mc:AlternateContent xmlns:mc="http://schemas.openxmlformats.org/markup-compatibility/2006">
          <mc:Choice Requires="x14">
            <control shapeId="35926" r:id="rId89" name="Option Button 86">
              <controlPr defaultSize="0" autoFill="0" autoLine="0" autoPict="0">
                <anchor moveWithCells="1">
                  <from>
                    <xdr:col>7</xdr:col>
                    <xdr:colOff>104775</xdr:colOff>
                    <xdr:row>78</xdr:row>
                    <xdr:rowOff>333375</xdr:rowOff>
                  </from>
                  <to>
                    <xdr:col>7</xdr:col>
                    <xdr:colOff>514350</xdr:colOff>
                    <xdr:row>78</xdr:row>
                    <xdr:rowOff>542925</xdr:rowOff>
                  </to>
                </anchor>
              </controlPr>
            </control>
          </mc:Choice>
        </mc:AlternateContent>
        <mc:AlternateContent xmlns:mc="http://schemas.openxmlformats.org/markup-compatibility/2006">
          <mc:Choice Requires="x14">
            <control shapeId="35927" r:id="rId90" name="Group Box 87">
              <controlPr defaultSize="0" autoFill="0" autoPict="0">
                <anchor moveWithCells="1">
                  <from>
                    <xdr:col>6</xdr:col>
                    <xdr:colOff>85725</xdr:colOff>
                    <xdr:row>78</xdr:row>
                    <xdr:rowOff>171450</xdr:rowOff>
                  </from>
                  <to>
                    <xdr:col>7</xdr:col>
                    <xdr:colOff>685800</xdr:colOff>
                    <xdr:row>78</xdr:row>
                    <xdr:rowOff>628650</xdr:rowOff>
                  </to>
                </anchor>
              </controlPr>
            </control>
          </mc:Choice>
        </mc:AlternateContent>
        <mc:AlternateContent xmlns:mc="http://schemas.openxmlformats.org/markup-compatibility/2006">
          <mc:Choice Requires="x14">
            <control shapeId="35928" r:id="rId91" name="Option Button 88">
              <controlPr defaultSize="0" autoFill="0" autoLine="0" autoPict="0">
                <anchor moveWithCells="1">
                  <from>
                    <xdr:col>6</xdr:col>
                    <xdr:colOff>257175</xdr:colOff>
                    <xdr:row>79</xdr:row>
                    <xdr:rowOff>238125</xdr:rowOff>
                  </from>
                  <to>
                    <xdr:col>6</xdr:col>
                    <xdr:colOff>666750</xdr:colOff>
                    <xdr:row>79</xdr:row>
                    <xdr:rowOff>447675</xdr:rowOff>
                  </to>
                </anchor>
              </controlPr>
            </control>
          </mc:Choice>
        </mc:AlternateContent>
        <mc:AlternateContent xmlns:mc="http://schemas.openxmlformats.org/markup-compatibility/2006">
          <mc:Choice Requires="x14">
            <control shapeId="35929" r:id="rId92" name="Option Button 89">
              <controlPr defaultSize="0" autoFill="0" autoLine="0" autoPict="0">
                <anchor moveWithCells="1">
                  <from>
                    <xdr:col>7</xdr:col>
                    <xdr:colOff>104775</xdr:colOff>
                    <xdr:row>79</xdr:row>
                    <xdr:rowOff>238125</xdr:rowOff>
                  </from>
                  <to>
                    <xdr:col>7</xdr:col>
                    <xdr:colOff>514350</xdr:colOff>
                    <xdr:row>79</xdr:row>
                    <xdr:rowOff>447675</xdr:rowOff>
                  </to>
                </anchor>
              </controlPr>
            </control>
          </mc:Choice>
        </mc:AlternateContent>
        <mc:AlternateContent xmlns:mc="http://schemas.openxmlformats.org/markup-compatibility/2006">
          <mc:Choice Requires="x14">
            <control shapeId="35930" r:id="rId93" name="Group Box 90">
              <controlPr defaultSize="0" autoFill="0" autoPict="0">
                <anchor moveWithCells="1">
                  <from>
                    <xdr:col>6</xdr:col>
                    <xdr:colOff>85725</xdr:colOff>
                    <xdr:row>79</xdr:row>
                    <xdr:rowOff>85725</xdr:rowOff>
                  </from>
                  <to>
                    <xdr:col>7</xdr:col>
                    <xdr:colOff>685800</xdr:colOff>
                    <xdr:row>79</xdr:row>
                    <xdr:rowOff>542925</xdr:rowOff>
                  </to>
                </anchor>
              </controlPr>
            </control>
          </mc:Choice>
        </mc:AlternateContent>
        <mc:AlternateContent xmlns:mc="http://schemas.openxmlformats.org/markup-compatibility/2006">
          <mc:Choice Requires="x14">
            <control shapeId="35931" r:id="rId94" name="Option Button 91">
              <controlPr defaultSize="0" autoFill="0" autoLine="0" autoPict="0">
                <anchor moveWithCells="1">
                  <from>
                    <xdr:col>6</xdr:col>
                    <xdr:colOff>257175</xdr:colOff>
                    <xdr:row>80</xdr:row>
                    <xdr:rowOff>247650</xdr:rowOff>
                  </from>
                  <to>
                    <xdr:col>6</xdr:col>
                    <xdr:colOff>666750</xdr:colOff>
                    <xdr:row>80</xdr:row>
                    <xdr:rowOff>457200</xdr:rowOff>
                  </to>
                </anchor>
              </controlPr>
            </control>
          </mc:Choice>
        </mc:AlternateContent>
        <mc:AlternateContent xmlns:mc="http://schemas.openxmlformats.org/markup-compatibility/2006">
          <mc:Choice Requires="x14">
            <control shapeId="35932" r:id="rId95" name="Option Button 92">
              <controlPr defaultSize="0" autoFill="0" autoLine="0" autoPict="0">
                <anchor moveWithCells="1">
                  <from>
                    <xdr:col>7</xdr:col>
                    <xdr:colOff>104775</xdr:colOff>
                    <xdr:row>80</xdr:row>
                    <xdr:rowOff>247650</xdr:rowOff>
                  </from>
                  <to>
                    <xdr:col>7</xdr:col>
                    <xdr:colOff>514350</xdr:colOff>
                    <xdr:row>80</xdr:row>
                    <xdr:rowOff>457200</xdr:rowOff>
                  </to>
                </anchor>
              </controlPr>
            </control>
          </mc:Choice>
        </mc:AlternateContent>
        <mc:AlternateContent xmlns:mc="http://schemas.openxmlformats.org/markup-compatibility/2006">
          <mc:Choice Requires="x14">
            <control shapeId="35933" r:id="rId96" name="Group Box 93">
              <controlPr defaultSize="0" autoFill="0" autoPict="0">
                <anchor moveWithCells="1">
                  <from>
                    <xdr:col>6</xdr:col>
                    <xdr:colOff>85725</xdr:colOff>
                    <xdr:row>80</xdr:row>
                    <xdr:rowOff>85725</xdr:rowOff>
                  </from>
                  <to>
                    <xdr:col>7</xdr:col>
                    <xdr:colOff>685800</xdr:colOff>
                    <xdr:row>80</xdr:row>
                    <xdr:rowOff>542925</xdr:rowOff>
                  </to>
                </anchor>
              </controlPr>
            </control>
          </mc:Choice>
        </mc:AlternateContent>
        <mc:AlternateContent xmlns:mc="http://schemas.openxmlformats.org/markup-compatibility/2006">
          <mc:Choice Requires="x14">
            <control shapeId="35934" r:id="rId97" name="Option Button 94">
              <controlPr defaultSize="0" autoFill="0" autoLine="0" autoPict="0">
                <anchor moveWithCells="1">
                  <from>
                    <xdr:col>6</xdr:col>
                    <xdr:colOff>257175</xdr:colOff>
                    <xdr:row>82</xdr:row>
                    <xdr:rowOff>247650</xdr:rowOff>
                  </from>
                  <to>
                    <xdr:col>6</xdr:col>
                    <xdr:colOff>666750</xdr:colOff>
                    <xdr:row>82</xdr:row>
                    <xdr:rowOff>457200</xdr:rowOff>
                  </to>
                </anchor>
              </controlPr>
            </control>
          </mc:Choice>
        </mc:AlternateContent>
        <mc:AlternateContent xmlns:mc="http://schemas.openxmlformats.org/markup-compatibility/2006">
          <mc:Choice Requires="x14">
            <control shapeId="35935" r:id="rId98" name="Option Button 95">
              <controlPr defaultSize="0" autoFill="0" autoLine="0" autoPict="0">
                <anchor moveWithCells="1">
                  <from>
                    <xdr:col>7</xdr:col>
                    <xdr:colOff>104775</xdr:colOff>
                    <xdr:row>82</xdr:row>
                    <xdr:rowOff>247650</xdr:rowOff>
                  </from>
                  <to>
                    <xdr:col>7</xdr:col>
                    <xdr:colOff>514350</xdr:colOff>
                    <xdr:row>82</xdr:row>
                    <xdr:rowOff>457200</xdr:rowOff>
                  </to>
                </anchor>
              </controlPr>
            </control>
          </mc:Choice>
        </mc:AlternateContent>
        <mc:AlternateContent xmlns:mc="http://schemas.openxmlformats.org/markup-compatibility/2006">
          <mc:Choice Requires="x14">
            <control shapeId="35936" r:id="rId99" name="Group Box 96">
              <controlPr defaultSize="0" autoFill="0" autoPict="0">
                <anchor moveWithCells="1">
                  <from>
                    <xdr:col>6</xdr:col>
                    <xdr:colOff>85725</xdr:colOff>
                    <xdr:row>82</xdr:row>
                    <xdr:rowOff>95250</xdr:rowOff>
                  </from>
                  <to>
                    <xdr:col>7</xdr:col>
                    <xdr:colOff>685800</xdr:colOff>
                    <xdr:row>82</xdr:row>
                    <xdr:rowOff>552450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pageSetUpPr fitToPage="1"/>
  </sheetPr>
  <dimension ref="A1:AQ84"/>
  <sheetViews>
    <sheetView showGridLines="0" view="pageBreakPreview" topLeftCell="A7" zoomScale="80" zoomScaleNormal="80" zoomScaleSheetLayoutView="80" workbookViewId="0">
      <selection activeCell="M56" sqref="M56"/>
    </sheetView>
  </sheetViews>
  <sheetFormatPr defaultRowHeight="16.5"/>
  <cols>
    <col min="1" max="1" width="4.88671875" style="8" customWidth="1"/>
    <col min="2" max="2" width="7.33203125" style="8" customWidth="1"/>
    <col min="3" max="3" width="17.6640625" style="8" customWidth="1"/>
    <col min="4" max="5" width="10.88671875" style="8" customWidth="1"/>
    <col min="6" max="6" width="18.44140625" style="8" customWidth="1"/>
    <col min="7" max="8" width="10.88671875" style="8" customWidth="1"/>
    <col min="9" max="9" width="13.88671875" style="8" customWidth="1"/>
    <col min="10" max="10" width="10.88671875" style="8" customWidth="1"/>
    <col min="11" max="11" width="10.88671875" style="626" customWidth="1"/>
    <col min="12" max="12" width="10.88671875" style="8" customWidth="1"/>
    <col min="13" max="13" width="12" style="8" customWidth="1"/>
    <col min="14" max="14" width="12.109375" style="8" customWidth="1"/>
    <col min="15" max="23" width="10.88671875" style="8" customWidth="1"/>
    <col min="24" max="24" width="10.21875" style="8" customWidth="1"/>
    <col min="25" max="25" width="2.109375" style="8" customWidth="1"/>
    <col min="26" max="26" width="2.44140625" style="8" customWidth="1"/>
    <col min="27" max="28" width="10" style="8" customWidth="1"/>
    <col min="29" max="32" width="13.44140625" style="8" customWidth="1"/>
    <col min="33" max="33" width="8.88671875" style="8"/>
    <col min="34" max="34" width="19" style="8" customWidth="1"/>
    <col min="35" max="36" width="16.109375" style="8" customWidth="1"/>
    <col min="37" max="37" width="15.5546875" style="8" customWidth="1"/>
    <col min="38" max="16384" width="8.88671875" style="8"/>
  </cols>
  <sheetData>
    <row r="1" spans="2:32" ht="17.25">
      <c r="C1" s="625"/>
      <c r="D1" s="843">
        <v>1</v>
      </c>
      <c r="E1" s="843">
        <v>2</v>
      </c>
      <c r="F1" s="843">
        <v>3</v>
      </c>
      <c r="G1" s="843">
        <v>4</v>
      </c>
      <c r="H1" s="843">
        <v>5</v>
      </c>
      <c r="I1" s="843">
        <v>6</v>
      </c>
      <c r="J1" s="843">
        <v>7</v>
      </c>
      <c r="K1" s="843">
        <v>8</v>
      </c>
      <c r="L1" s="843">
        <v>9</v>
      </c>
      <c r="M1" s="843">
        <v>10</v>
      </c>
      <c r="N1" s="843">
        <v>11</v>
      </c>
      <c r="O1" s="843">
        <v>12</v>
      </c>
      <c r="P1" s="843">
        <v>13</v>
      </c>
      <c r="Q1" s="843">
        <v>14</v>
      </c>
      <c r="R1" s="843">
        <v>15</v>
      </c>
      <c r="S1" s="843">
        <v>16</v>
      </c>
      <c r="T1" s="843">
        <v>17</v>
      </c>
      <c r="U1" s="843">
        <v>18</v>
      </c>
      <c r="V1" s="843">
        <v>19</v>
      </c>
      <c r="W1" s="843">
        <v>20</v>
      </c>
      <c r="X1" s="844"/>
      <c r="Y1" s="844"/>
      <c r="Z1" s="844"/>
    </row>
    <row r="2" spans="2:32" s="844" customFormat="1" ht="18" customHeight="1">
      <c r="C2" s="845"/>
      <c r="D2" s="846">
        <f>1-(INPUT!G10-DATE(YEAR(INPUT!G10),1,0))/365</f>
        <v>0.99726027397260275</v>
      </c>
      <c r="E2" s="846">
        <f>D2+1</f>
        <v>1.9972602739726026</v>
      </c>
      <c r="F2" s="846">
        <f t="shared" ref="F2:W2" si="0">E2+1</f>
        <v>2.9972602739726026</v>
      </c>
      <c r="G2" s="846">
        <f t="shared" si="0"/>
        <v>3.9972602739726026</v>
      </c>
      <c r="H2" s="846">
        <f t="shared" si="0"/>
        <v>4.9972602739726026</v>
      </c>
      <c r="I2" s="846">
        <f t="shared" si="0"/>
        <v>5.9972602739726026</v>
      </c>
      <c r="J2" s="846">
        <f t="shared" si="0"/>
        <v>6.9972602739726026</v>
      </c>
      <c r="K2" s="846">
        <f t="shared" si="0"/>
        <v>7.9972602739726026</v>
      </c>
      <c r="L2" s="846">
        <f t="shared" si="0"/>
        <v>8.9972602739726035</v>
      </c>
      <c r="M2" s="846">
        <f t="shared" si="0"/>
        <v>9.9972602739726035</v>
      </c>
      <c r="N2" s="846">
        <f t="shared" si="0"/>
        <v>10.997260273972604</v>
      </c>
      <c r="O2" s="846">
        <f t="shared" si="0"/>
        <v>11.997260273972604</v>
      </c>
      <c r="P2" s="846">
        <f t="shared" si="0"/>
        <v>12.997260273972604</v>
      </c>
      <c r="Q2" s="846">
        <f t="shared" si="0"/>
        <v>13.997260273972604</v>
      </c>
      <c r="R2" s="846">
        <f t="shared" si="0"/>
        <v>14.997260273972604</v>
      </c>
      <c r="S2" s="846">
        <f t="shared" si="0"/>
        <v>15.997260273972604</v>
      </c>
      <c r="T2" s="846">
        <f t="shared" si="0"/>
        <v>16.997260273972604</v>
      </c>
      <c r="U2" s="846">
        <f t="shared" si="0"/>
        <v>17.997260273972604</v>
      </c>
      <c r="V2" s="846">
        <f t="shared" si="0"/>
        <v>18.997260273972604</v>
      </c>
      <c r="W2" s="846">
        <f t="shared" si="0"/>
        <v>19.997260273972604</v>
      </c>
    </row>
    <row r="3" spans="2:32">
      <c r="D3" s="847" t="s">
        <v>1166</v>
      </c>
      <c r="E3" s="847" t="s">
        <v>1167</v>
      </c>
      <c r="F3" s="847" t="s">
        <v>159</v>
      </c>
      <c r="G3" s="847" t="s">
        <v>160</v>
      </c>
      <c r="H3" s="847" t="s">
        <v>161</v>
      </c>
      <c r="I3" s="847" t="s">
        <v>162</v>
      </c>
      <c r="J3" s="847" t="s">
        <v>222</v>
      </c>
      <c r="K3" s="848" t="s">
        <v>223</v>
      </c>
      <c r="L3" s="847" t="s">
        <v>224</v>
      </c>
      <c r="M3" s="847" t="s">
        <v>225</v>
      </c>
      <c r="N3" s="847" t="s">
        <v>1156</v>
      </c>
      <c r="O3" s="847" t="s">
        <v>1157</v>
      </c>
      <c r="P3" s="847" t="s">
        <v>1158</v>
      </c>
      <c r="Q3" s="847" t="s">
        <v>1159</v>
      </c>
      <c r="R3" s="847" t="s">
        <v>1160</v>
      </c>
      <c r="S3" s="847" t="s">
        <v>1538</v>
      </c>
      <c r="T3" s="847" t="s">
        <v>1539</v>
      </c>
      <c r="U3" s="847" t="s">
        <v>1540</v>
      </c>
      <c r="V3" s="847" t="s">
        <v>1541</v>
      </c>
      <c r="W3" s="847" t="s">
        <v>1542</v>
      </c>
      <c r="X3" s="844"/>
      <c r="Y3" s="844"/>
      <c r="Z3" s="844"/>
    </row>
    <row r="4" spans="2:32" s="845" customFormat="1" ht="27" thickBot="1">
      <c r="B4" s="849" t="s">
        <v>217</v>
      </c>
      <c r="D4" s="850">
        <f>MAX(D5:W5)</f>
        <v>2037</v>
      </c>
    </row>
    <row r="5" spans="2:32" s="845" customFormat="1" ht="27" customHeight="1">
      <c r="B5" s="851"/>
      <c r="C5" s="852" t="s">
        <v>218</v>
      </c>
      <c r="D5" s="853">
        <f>YEAR(INPUT!$G$10)</f>
        <v>2024</v>
      </c>
      <c r="E5" s="853">
        <f>IF(COUNTA($D$5:D5)&gt;=기술수명!$I$50,"",(YEAR(INPUT!$G$10)+E1-1))</f>
        <v>2025</v>
      </c>
      <c r="F5" s="853">
        <f>IF(COUNTA($D$5:E5)&gt;=기술수명!$I$50,"",(YEAR(INPUT!$G$10)+F1-1))</f>
        <v>2026</v>
      </c>
      <c r="G5" s="853">
        <f>IF(COUNTA($D$5:F5)&gt;=기술수명!$I$50,"",(YEAR(INPUT!$G$10)+G1-1))</f>
        <v>2027</v>
      </c>
      <c r="H5" s="853">
        <f>IF(COUNTA($D$5:G5)&gt;=기술수명!$I$50,"",(YEAR(INPUT!$G$10)+H1-1))</f>
        <v>2028</v>
      </c>
      <c r="I5" s="853">
        <f>IF(COUNTA($D$5:H5)&gt;=기술수명!$I$50,"",(YEAR(INPUT!$G$10)+I1-1))</f>
        <v>2029</v>
      </c>
      <c r="J5" s="853">
        <f>IF(COUNTA($D$5:I5)&gt;=기술수명!$I$50,"",(YEAR(INPUT!$G$10)+J1-1))</f>
        <v>2030</v>
      </c>
      <c r="K5" s="853">
        <f>IF(COUNTA($D$5:J5)&gt;=기술수명!$I$50,"",(YEAR(INPUT!$G$10)+K1-1))</f>
        <v>2031</v>
      </c>
      <c r="L5" s="853">
        <f>IF(COUNTA($D$5:K5)&gt;=기술수명!$I$50,"",(YEAR(INPUT!$G$10)+L1-1))</f>
        <v>2032</v>
      </c>
      <c r="M5" s="853">
        <f>IF(COUNTA($D$5:L5)&gt;=기술수명!$I$50,"",(YEAR(INPUT!$G$10)+M1-1))</f>
        <v>2033</v>
      </c>
      <c r="N5" s="853">
        <f>IF(COUNTA($D$5:M5)&gt;=기술수명!$I$50,"",(YEAR(INPUT!$G$10)+N1-1))</f>
        <v>2034</v>
      </c>
      <c r="O5" s="853">
        <f>IF(COUNTA($D$5:N5)&gt;=기술수명!$I$50,"",(YEAR(INPUT!$G$10)+O1-1))</f>
        <v>2035</v>
      </c>
      <c r="P5" s="853">
        <f>IF(COUNTA($D$5:O5)&gt;=기술수명!$I$50,"",(YEAR(INPUT!$G$10)+P1-1))</f>
        <v>2036</v>
      </c>
      <c r="Q5" s="853">
        <f>IF(COUNTA($D$5:P5)&gt;=기술수명!$I$50,"",(YEAR(INPUT!$G$10)+Q1-1))</f>
        <v>2037</v>
      </c>
      <c r="R5" s="853" t="str">
        <f>IF(COUNTA($D$5:Q5)&gt;=기술수명!$I$50,"",(YEAR(INPUT!$G$10)+R1-1))</f>
        <v/>
      </c>
      <c r="S5" s="853" t="str">
        <f>IF(COUNTA($D$5:R5)&gt;=기술수명!$I$50,"",(YEAR(INPUT!$G$10)+S1-1))</f>
        <v/>
      </c>
      <c r="T5" s="853" t="str">
        <f>IF(COUNTA($D$5:S5)&gt;=기술수명!$I$50,"",(YEAR(INPUT!$G$10)+T1-1))</f>
        <v/>
      </c>
      <c r="U5" s="853" t="str">
        <f>IF(COUNTA($D$5:T5)&gt;=기술수명!$I$50,"",(YEAR(INPUT!$G$10)+U1-1))</f>
        <v/>
      </c>
      <c r="V5" s="853" t="str">
        <f>IF(COUNTA($D$5:U5)&gt;=기술수명!$I$50,"",(YEAR(INPUT!$G$10)+V1-1))</f>
        <v/>
      </c>
      <c r="W5" s="853" t="str">
        <f>IF(COUNTA($D$5:V5)&gt;=기술수명!$I$50,"",(YEAR(INPUT!$G$10)+W1-1))</f>
        <v/>
      </c>
      <c r="X5" s="851"/>
      <c r="Y5" s="851"/>
      <c r="Z5" s="851"/>
      <c r="AA5" s="851"/>
      <c r="AB5" s="851"/>
      <c r="AC5" s="851"/>
      <c r="AD5" s="851"/>
      <c r="AE5" s="851"/>
      <c r="AF5" s="851"/>
    </row>
    <row r="6" spans="2:32" s="845" customFormat="1" ht="22.5" customHeight="1">
      <c r="B6" s="851"/>
      <c r="C6" s="854" t="str">
        <f>INPUT!C78</f>
        <v>추정매출액</v>
      </c>
      <c r="D6" s="855">
        <f>IF(D5="","",HLOOKUP(D$5,INPUT!$C$77:$M$85,2,0))</f>
        <v>1000</v>
      </c>
      <c r="E6" s="855">
        <f>IF(E5="","",HLOOKUP(E$5,INPUT!$C$77:$M$85,2,0))</f>
        <v>2000</v>
      </c>
      <c r="F6" s="855">
        <f>IF(F5="","",HLOOKUP(F$5,INPUT!$C$77:$M$85,2,0))</f>
        <v>3000</v>
      </c>
      <c r="G6" s="855">
        <f>IF(G5="","",HLOOKUP(G$5,INPUT!$C$77:$M$85,2,0))</f>
        <v>4000</v>
      </c>
      <c r="H6" s="855">
        <f>IF(H5="","",HLOOKUP(H$5,INPUT!$C$77:$M$85,2,0))</f>
        <v>5000</v>
      </c>
      <c r="I6" s="855">
        <f>IF(I5="","",HLOOKUP(I$5,INPUT!$C$77:$M$85,2,0))</f>
        <v>9200</v>
      </c>
      <c r="J6" s="855">
        <f>IF(J5="","",HLOOKUP(J$5,INPUT!$C$77:$M$85,2,0))</f>
        <v>11111</v>
      </c>
      <c r="K6" s="855">
        <f>IF(K5="","",HLOOKUP(K$5,INPUT!$C$77:$M$85,2,0))</f>
        <v>13000</v>
      </c>
      <c r="L6" s="855">
        <f>IF(L5="","",HLOOKUP(L$5,INPUT!$C$77:$M$85,2,0))</f>
        <v>14000</v>
      </c>
      <c r="M6" s="855">
        <f>IF(M5="","",HLOOKUP(M$5,INPUT!$C$77:$M$85,2,0))</f>
        <v>15000</v>
      </c>
      <c r="N6" s="855">
        <f>IF(N5="","",HLOOKUP(N$5,INPUT!$C$82:$M$85,2,0))</f>
        <v>16000</v>
      </c>
      <c r="O6" s="855">
        <f>IF(O5="","",HLOOKUP(O$5,INPUT!$C$82:$M$85,2,0))</f>
        <v>17000</v>
      </c>
      <c r="P6" s="855">
        <f>IF(P5="","",HLOOKUP(P$5,INPUT!$C$82:$M$85,2,0))</f>
        <v>16000</v>
      </c>
      <c r="Q6" s="855">
        <f>IF(Q5="","",HLOOKUP(Q$5,INPUT!$C$82:$M$85,2,0))</f>
        <v>15000</v>
      </c>
      <c r="R6" s="855" t="str">
        <f>IF(R5="","",HLOOKUP(R$5,INPUT!$C$82:$M$85,2,0))</f>
        <v/>
      </c>
      <c r="S6" s="855" t="str">
        <f>IF(S5="","",HLOOKUP(S$5,INPUT!$C$82:$M$85,2,0))</f>
        <v/>
      </c>
      <c r="T6" s="855" t="str">
        <f>IF(T5="","",HLOOKUP(T$5,INPUT!$C$82:$M$85,2,0))</f>
        <v/>
      </c>
      <c r="U6" s="855" t="str">
        <f>IF(U5="","",HLOOKUP(U$5,INPUT!$C$82:$M$85,2,0))</f>
        <v/>
      </c>
      <c r="V6" s="855" t="str">
        <f>IF(V5="","",HLOOKUP(V$5,INPUT!$C$82:$M$85,2,0))</f>
        <v/>
      </c>
      <c r="W6" s="855" t="str">
        <f>IF(W5="","",HLOOKUP(W$5,INPUT!$C$82:$M$85,2,0))</f>
        <v/>
      </c>
      <c r="X6" s="851"/>
      <c r="Y6" s="851"/>
      <c r="Z6" s="851"/>
      <c r="AA6" s="851"/>
      <c r="AB6" s="851"/>
      <c r="AC6" s="851"/>
      <c r="AD6" s="851"/>
      <c r="AE6" s="851"/>
      <c r="AF6" s="851"/>
    </row>
    <row r="7" spans="2:32" s="851" customFormat="1" ht="22.5" customHeight="1">
      <c r="C7" s="854" t="str">
        <f>INPUT!C79</f>
        <v/>
      </c>
      <c r="D7" s="856">
        <f>IF(D5="","",HLOOKUP(D$5,INPUT!$C$77:$M$85,3,0))</f>
        <v>0.01</v>
      </c>
      <c r="E7" s="856">
        <f>IF(E5="","",HLOOKUP(E$5,INPUT!$C$77:$M$85,3,0))</f>
        <v>0.02</v>
      </c>
      <c r="F7" s="856">
        <f>IF(F5="","",HLOOKUP(F$5,INPUT!$C$77:$M$85,3,0))</f>
        <v>0.03</v>
      </c>
      <c r="G7" s="856">
        <f>IF(G5="","",HLOOKUP(G$5,INPUT!$C$77:$M$85,3,0))</f>
        <v>0.04</v>
      </c>
      <c r="H7" s="856">
        <f>IF(H5="","",HLOOKUP(H$5,INPUT!$C$77:$M$85,3,0))</f>
        <v>0.05</v>
      </c>
      <c r="I7" s="856">
        <f>IF(I5="","",HLOOKUP(I$5,INPUT!$C$77:$M$85,3,0))</f>
        <v>0.06</v>
      </c>
      <c r="J7" s="856">
        <f>IF(J5="","",HLOOKUP(J$5,INPUT!$C$77:$M$85,3,0))</f>
        <v>7.0000000000000007E-2</v>
      </c>
      <c r="K7" s="856">
        <f>IF(K5="","",HLOOKUP(K$5,INPUT!$C$77:$M$85,3,0))</f>
        <v>0.08</v>
      </c>
      <c r="L7" s="856">
        <f>IF(L5="","",HLOOKUP(L$5,INPUT!$C$77:$M$85,3,0))</f>
        <v>0.09</v>
      </c>
      <c r="M7" s="856">
        <f>IF(M5="","",HLOOKUP(M$5,INPUT!$C$77:$M$85,3,0))</f>
        <v>0.1</v>
      </c>
      <c r="N7" s="856">
        <f>IF(N5="","",HLOOKUP(N$5,INPUT!$C$82:$M$85,3,0))</f>
        <v>0.11</v>
      </c>
      <c r="O7" s="856">
        <f>IF(O5="","",HLOOKUP(O$5,INPUT!$C$82:$M$85,3,0))</f>
        <v>0.12</v>
      </c>
      <c r="P7" s="856">
        <f>IF(P5="","",HLOOKUP(P$5,INPUT!$C$82:$M$85,3,0))</f>
        <v>0.13</v>
      </c>
      <c r="Q7" s="856">
        <f>IF(Q5="","",HLOOKUP(Q$5,INPUT!$C$82:$M$85,3,0))</f>
        <v>0.14000000000000001</v>
      </c>
      <c r="R7" s="856" t="str">
        <f>IF(R5="","",HLOOKUP(R$5,INPUT!$C$82:$M$85,3,0))</f>
        <v/>
      </c>
      <c r="S7" s="856" t="str">
        <f>IF(S5="","",HLOOKUP(S$5,INPUT!$C$82:$M$85,3,0))</f>
        <v/>
      </c>
      <c r="T7" s="856" t="str">
        <f>IF(T5="","",HLOOKUP(T$5,INPUT!$C$82:$M$85,3,0))</f>
        <v/>
      </c>
      <c r="U7" s="856" t="str">
        <f>IF(U5="","",HLOOKUP(U$5,INPUT!$C$82:$M$85,3,0))</f>
        <v/>
      </c>
      <c r="V7" s="856" t="str">
        <f>IF(V5="","",HLOOKUP(V$5,INPUT!$C$82:$M$85,3,0))</f>
        <v/>
      </c>
      <c r="W7" s="856" t="str">
        <f>IF(W5="","",HLOOKUP(W$5,INPUT!$C$82:$M$85,3,0))</f>
        <v/>
      </c>
    </row>
    <row r="8" spans="2:32" s="851" customFormat="1" ht="22.5" customHeight="1">
      <c r="C8" s="857" t="str">
        <f>INPUT!$I$74</f>
        <v/>
      </c>
      <c r="D8" s="858">
        <f>IF(D5="","",INPUT!$J$74)</f>
        <v>1</v>
      </c>
      <c r="E8" s="858">
        <f>IF(E5="","",INPUT!$J$74)</f>
        <v>1</v>
      </c>
      <c r="F8" s="858">
        <f>IF(F5="","",INPUT!$J$74)</f>
        <v>1</v>
      </c>
      <c r="G8" s="858">
        <f>IF(G5="","",INPUT!$J$74)</f>
        <v>1</v>
      </c>
      <c r="H8" s="858">
        <f>IF(H5="","",INPUT!$J$74)</f>
        <v>1</v>
      </c>
      <c r="I8" s="858">
        <f>IF(I5="","",INPUT!$J$74)</f>
        <v>1</v>
      </c>
      <c r="J8" s="858">
        <f>IF(J5="","",INPUT!$J$74)</f>
        <v>1</v>
      </c>
      <c r="K8" s="858">
        <f>IF(K5="","",INPUT!$J$74)</f>
        <v>1</v>
      </c>
      <c r="L8" s="858">
        <f>IF(L5="","",INPUT!$J$74)</f>
        <v>1</v>
      </c>
      <c r="M8" s="858">
        <f>IF(M5="","",INPUT!$J$74)</f>
        <v>1</v>
      </c>
      <c r="N8" s="858">
        <f>IF(N5="","",INPUT!$J$74)</f>
        <v>1</v>
      </c>
      <c r="O8" s="858">
        <f>IF(O5="","",INPUT!$J$74)</f>
        <v>1</v>
      </c>
      <c r="P8" s="858">
        <f>IF(P5="","",INPUT!$J$74)</f>
        <v>1</v>
      </c>
      <c r="Q8" s="858">
        <f>IF(Q5="","",INPUT!$J$74)</f>
        <v>1</v>
      </c>
      <c r="R8" s="858" t="str">
        <f>IF(R5="","",INPUT!$J$74)</f>
        <v/>
      </c>
      <c r="S8" s="858" t="str">
        <f>IF(S5="","",INPUT!$J$74)</f>
        <v/>
      </c>
      <c r="T8" s="858" t="str">
        <f>IF(T5="","",INPUT!$J$74)</f>
        <v/>
      </c>
      <c r="U8" s="858" t="str">
        <f>IF(U5="","",INPUT!$J$74)</f>
        <v/>
      </c>
      <c r="V8" s="858" t="str">
        <f>IF(V5="","",INPUT!$J$74)</f>
        <v/>
      </c>
      <c r="W8" s="859" t="str">
        <f>IF(W5="","",INPUT!$J$74)</f>
        <v/>
      </c>
    </row>
    <row r="9" spans="2:32" s="851" customFormat="1" ht="22.5" customHeight="1" thickBot="1">
      <c r="C9" s="860" t="s">
        <v>1534</v>
      </c>
      <c r="D9" s="861">
        <f>IF(D5="","",HLOOKUP(D$5,INPUT!$C$77:$M$85,4,0))</f>
        <v>10</v>
      </c>
      <c r="E9" s="861">
        <f>IF(E5="","",HLOOKUP(E$5,INPUT!$C$77:$M$85,4,0))</f>
        <v>40</v>
      </c>
      <c r="F9" s="861">
        <f>IF(F5="","",HLOOKUP(F$5,INPUT!$C$77:$M$85,4,0))</f>
        <v>90</v>
      </c>
      <c r="G9" s="861">
        <f>IF(G5="","",HLOOKUP(G$5,INPUT!$C$77:$M$85,4,0))</f>
        <v>160</v>
      </c>
      <c r="H9" s="861">
        <f>IF(H5="","",HLOOKUP(H$5,INPUT!$C$77:$M$85,4,0))</f>
        <v>250</v>
      </c>
      <c r="I9" s="861">
        <f>IF(I5="","",HLOOKUP(I$5,INPUT!$C$77:$M$85,4,0))</f>
        <v>552</v>
      </c>
      <c r="J9" s="861">
        <f>IF(J5="","",HLOOKUP(J$5,INPUT!$C$77:$M$85,4,0))</f>
        <v>777.7700000000001</v>
      </c>
      <c r="K9" s="861">
        <f>IF(K5="","",HLOOKUP(K$5,INPUT!$C$77:$M$85,4,0))</f>
        <v>1040</v>
      </c>
      <c r="L9" s="861">
        <f>IF(L5="","",HLOOKUP(L$5,INPUT!$C$77:$M$85,4,0))</f>
        <v>1260</v>
      </c>
      <c r="M9" s="861">
        <f>IF(M5="","",HLOOKUP(M$5,INPUT!$C$77:$M$85,4,0))</f>
        <v>1500</v>
      </c>
      <c r="N9" s="861">
        <f>IF(N5="","",HLOOKUP(N$5,INPUT!$C$82:$M$85,4,0))</f>
        <v>1760</v>
      </c>
      <c r="O9" s="861">
        <f>IF(O5="","",HLOOKUP(O$5,INPUT!$C$82:$M$85,4,0))</f>
        <v>2040</v>
      </c>
      <c r="P9" s="861">
        <f>IF(P5="","",HLOOKUP(P$5,INPUT!$C$82:$M$85,4,0))</f>
        <v>2080</v>
      </c>
      <c r="Q9" s="861">
        <f>IF(Q5="","",HLOOKUP(Q$5,INPUT!$C$82:$M$85,4,0))</f>
        <v>2100</v>
      </c>
      <c r="R9" s="861" t="str">
        <f>IF(R5="","",HLOOKUP(R$5,INPUT!$C$82:$M$85,4,0))</f>
        <v/>
      </c>
      <c r="S9" s="861" t="str">
        <f>IF(S5="","",HLOOKUP(S$5,INPUT!$C$82:$M$85,4,0))</f>
        <v/>
      </c>
      <c r="T9" s="861" t="str">
        <f>IF(T5="","",HLOOKUP(T$5,INPUT!$C$82:$M$85,4,0))</f>
        <v/>
      </c>
      <c r="U9" s="861" t="str">
        <f>IF(U5="","",HLOOKUP(U$5,INPUT!$C$82:$M$85,4,0))</f>
        <v/>
      </c>
      <c r="V9" s="861" t="str">
        <f>IF(V5="","",HLOOKUP(V$5,INPUT!$C$82:$M$85,4,0))</f>
        <v/>
      </c>
      <c r="W9" s="861" t="str">
        <f>IF(W5="","",HLOOKUP(W$5,INPUT!$C$82:$M$85,4,0))</f>
        <v/>
      </c>
    </row>
    <row r="10" spans="2:32" s="851" customFormat="1" ht="29.25" customHeight="1" thickBot="1">
      <c r="B10" s="845"/>
      <c r="C10" s="845"/>
      <c r="D10" s="862"/>
      <c r="E10" s="862"/>
      <c r="F10" s="862"/>
      <c r="G10" s="862"/>
      <c r="H10" s="862"/>
      <c r="J10" s="845"/>
      <c r="K10" s="845"/>
      <c r="L10" s="845"/>
      <c r="M10" s="845"/>
      <c r="N10" s="845"/>
      <c r="O10" s="845"/>
      <c r="P10" s="845"/>
      <c r="Q10" s="845"/>
      <c r="R10" s="845"/>
      <c r="S10" s="845"/>
      <c r="T10" s="845"/>
      <c r="U10" s="845"/>
      <c r="V10" s="845"/>
      <c r="W10" s="845"/>
      <c r="X10" s="845"/>
      <c r="Y10" s="845"/>
      <c r="Z10" s="845"/>
      <c r="AA10" s="845"/>
      <c r="AB10" s="845"/>
      <c r="AC10" s="845"/>
      <c r="AD10" s="845"/>
      <c r="AE10" s="845"/>
      <c r="AF10" s="845"/>
    </row>
    <row r="11" spans="2:32" s="851" customFormat="1" ht="31.5" customHeight="1" thickBot="1">
      <c r="B11" s="845"/>
      <c r="C11" s="863" t="s">
        <v>1155</v>
      </c>
      <c r="D11" s="845"/>
      <c r="E11" s="1277" t="s">
        <v>1153</v>
      </c>
      <c r="F11" s="1278"/>
      <c r="G11" s="864">
        <f>RATE((D4-D5)-COUNTIF(D9:W9,0),0,-INPUT!G75,HLOOKUP(D4,$D$5:$W$9,2,0))</f>
        <v>0.23159681861224862</v>
      </c>
      <c r="H11" s="845"/>
      <c r="I11" s="865" t="s">
        <v>1529</v>
      </c>
      <c r="J11" s="866"/>
      <c r="K11" s="867"/>
      <c r="L11" s="867"/>
      <c r="N11" s="868"/>
      <c r="O11" s="868"/>
      <c r="P11" s="868"/>
      <c r="Q11" s="868"/>
      <c r="R11" s="868"/>
      <c r="S11" s="868"/>
      <c r="T11" s="868"/>
      <c r="U11" s="868"/>
      <c r="V11" s="868"/>
      <c r="W11" s="868"/>
      <c r="X11" s="845"/>
      <c r="Y11" s="845"/>
      <c r="Z11" s="845"/>
      <c r="AA11" s="845"/>
      <c r="AB11" s="845"/>
      <c r="AC11" s="845"/>
      <c r="AD11" s="845"/>
      <c r="AE11" s="845"/>
      <c r="AF11" s="845"/>
    </row>
    <row r="12" spans="2:32" s="845" customFormat="1" ht="18" thickBot="1">
      <c r="B12" s="851"/>
      <c r="C12" s="8"/>
      <c r="D12" s="8"/>
      <c r="E12" s="8"/>
      <c r="F12" s="8"/>
      <c r="G12" s="862"/>
      <c r="H12" s="8"/>
      <c r="I12" s="869" t="s">
        <v>2694</v>
      </c>
      <c r="J12" s="870"/>
      <c r="K12" s="870"/>
      <c r="L12" s="870"/>
      <c r="M12" s="8"/>
      <c r="N12" s="871"/>
      <c r="O12" s="8"/>
      <c r="P12" s="8"/>
      <c r="Q12" s="8"/>
      <c r="R12" s="8"/>
      <c r="S12" s="8"/>
      <c r="T12" s="8"/>
      <c r="U12" s="8"/>
      <c r="V12" s="8"/>
      <c r="W12" s="8"/>
      <c r="X12" s="8"/>
      <c r="Y12" s="851"/>
      <c r="Z12" s="851"/>
      <c r="AA12" s="851"/>
      <c r="AB12" s="851"/>
      <c r="AC12" s="851"/>
      <c r="AD12" s="851"/>
      <c r="AE12" s="851"/>
      <c r="AF12" s="851"/>
    </row>
    <row r="13" spans="2:32" s="845" customFormat="1" ht="26.25">
      <c r="B13" s="872" t="s">
        <v>156</v>
      </c>
      <c r="C13" s="8"/>
      <c r="D13" s="8"/>
      <c r="E13" s="8"/>
      <c r="F13" s="8"/>
      <c r="G13" s="8"/>
      <c r="H13" s="8"/>
      <c r="I13" s="873" t="s">
        <v>2695</v>
      </c>
      <c r="J13" s="8"/>
      <c r="K13" s="626"/>
      <c r="L13" s="8"/>
      <c r="M13" s="8"/>
      <c r="N13" s="8"/>
      <c r="O13" s="8"/>
      <c r="P13" s="8"/>
      <c r="Q13" s="8"/>
      <c r="R13" s="874"/>
      <c r="S13" s="8"/>
      <c r="T13" s="8"/>
      <c r="U13" s="8"/>
      <c r="V13" s="8"/>
      <c r="W13" s="8"/>
      <c r="X13" s="844"/>
      <c r="Y13" s="844"/>
      <c r="Z13" s="844"/>
      <c r="AA13" s="875" t="s">
        <v>166</v>
      </c>
      <c r="AB13" s="876" t="s">
        <v>168</v>
      </c>
      <c r="AC13" s="844"/>
      <c r="AD13" s="844"/>
      <c r="AE13" s="844"/>
      <c r="AF13" s="844"/>
    </row>
    <row r="14" spans="2:32" s="845" customFormat="1" ht="22.5" customHeight="1" thickBot="1">
      <c r="B14" s="872"/>
      <c r="C14" s="877" t="s">
        <v>1426</v>
      </c>
      <c r="D14" s="8"/>
      <c r="E14" s="8"/>
      <c r="F14" s="8"/>
      <c r="G14" s="8"/>
      <c r="H14" s="8"/>
      <c r="I14" s="8"/>
      <c r="J14" s="8"/>
      <c r="K14" s="626"/>
      <c r="L14" s="8"/>
      <c r="O14" s="8"/>
      <c r="P14" s="8"/>
      <c r="Q14" s="8"/>
      <c r="R14" s="878"/>
      <c r="S14" s="8"/>
      <c r="T14" s="8"/>
      <c r="U14" s="8"/>
      <c r="V14" s="1276" t="s">
        <v>1666</v>
      </c>
      <c r="W14" s="1276"/>
      <c r="X14" s="844"/>
      <c r="Y14" s="844"/>
      <c r="Z14" s="844"/>
      <c r="AA14" s="879">
        <f ca="1">VLOOKUP(현금흐름!AA13,재무!$B:$N,7+INPUT!$R$74,0)</f>
        <v>0.84499999999999997</v>
      </c>
      <c r="AB14" s="879">
        <f ca="1">VLOOKUP(현금흐름!AB13,재무!$B:$N,7+INPUT!$R$74,0)</f>
        <v>8.8999999999999996E-2</v>
      </c>
      <c r="AC14" s="844"/>
      <c r="AD14" s="844"/>
      <c r="AE14" s="844"/>
      <c r="AF14" s="844"/>
    </row>
    <row r="15" spans="2:32" s="851" customFormat="1" ht="38.25" customHeight="1">
      <c r="B15" s="8"/>
      <c r="C15" s="880" t="s">
        <v>1431</v>
      </c>
      <c r="D15" s="875" t="s">
        <v>166</v>
      </c>
      <c r="E15" s="876" t="s">
        <v>168</v>
      </c>
      <c r="F15" s="881" t="s">
        <v>1170</v>
      </c>
      <c r="G15" s="881" t="s">
        <v>1791</v>
      </c>
      <c r="H15" s="881" t="s">
        <v>1169</v>
      </c>
      <c r="I15" s="881" t="s">
        <v>3114</v>
      </c>
      <c r="J15" s="881" t="s">
        <v>3115</v>
      </c>
      <c r="K15" s="881" t="s">
        <v>3116</v>
      </c>
      <c r="L15" s="881" t="s">
        <v>1790</v>
      </c>
      <c r="M15" s="881" t="s">
        <v>1792</v>
      </c>
      <c r="N15" s="881" t="s">
        <v>1793</v>
      </c>
      <c r="O15" s="881" t="s">
        <v>1794</v>
      </c>
      <c r="P15" s="882" t="s">
        <v>1362</v>
      </c>
      <c r="Q15" s="882" t="s">
        <v>177</v>
      </c>
      <c r="R15" s="882" t="s">
        <v>1168</v>
      </c>
      <c r="S15" s="883" t="s">
        <v>1789</v>
      </c>
      <c r="T15" s="878"/>
      <c r="U15" s="878"/>
      <c r="V15" s="884" t="s">
        <v>1664</v>
      </c>
      <c r="W15" s="884" t="s">
        <v>1665</v>
      </c>
      <c r="X15" s="8"/>
      <c r="Y15" s="8"/>
      <c r="AA15" s="620">
        <v>1</v>
      </c>
      <c r="AB15" s="620" t="s">
        <v>1667</v>
      </c>
      <c r="AC15" s="844"/>
      <c r="AD15" s="8"/>
      <c r="AE15" s="8"/>
      <c r="AF15" s="8"/>
    </row>
    <row r="16" spans="2:32" s="851" customFormat="1" ht="27" thickBot="1">
      <c r="B16" s="8"/>
      <c r="C16" s="885">
        <f ca="1">X31*R16</f>
        <v>-294.12073698029275</v>
      </c>
      <c r="D16" s="879">
        <f ca="1">VLOOKUP(현금흐름!D15,재무!$B:$N,7+INPUT!$R$74,0)</f>
        <v>0.84499999999999997</v>
      </c>
      <c r="E16" s="879">
        <f ca="1">VLOOKUP(현금흐름!E15,재무!$B:$N,7+INPUT!$R$74,0)</f>
        <v>8.8999999999999996E-2</v>
      </c>
      <c r="F16" s="886">
        <v>9.9000000000000005E-2</v>
      </c>
      <c r="G16" s="886">
        <v>0.20899999999999999</v>
      </c>
      <c r="H16" s="886">
        <v>0.23100000000000001</v>
      </c>
      <c r="I16" s="886">
        <f>0.06*1.1</f>
        <v>6.6000000000000003E-2</v>
      </c>
      <c r="J16" s="886">
        <f>0.15*1.1</f>
        <v>0.16500000000000001</v>
      </c>
      <c r="K16" s="886">
        <f>0.24*1.1</f>
        <v>0.26400000000000001</v>
      </c>
      <c r="L16" s="886">
        <f>0.35*1.1</f>
        <v>0.38500000000000001</v>
      </c>
      <c r="M16" s="886">
        <f>0.38*1.1</f>
        <v>0.41800000000000004</v>
      </c>
      <c r="N16" s="886">
        <f>0.4*1.1</f>
        <v>0.44000000000000006</v>
      </c>
      <c r="O16" s="886">
        <f>0.42*1.1</f>
        <v>0.46200000000000002</v>
      </c>
      <c r="P16" s="887">
        <f ca="1">할인율!$D$8</f>
        <v>0.17142289552541426</v>
      </c>
      <c r="Q16" s="888">
        <f ca="1">$X$31</f>
        <v>-1797.9402899748682</v>
      </c>
      <c r="R16" s="886">
        <f>'(DCF,로열티1) 기술기여도 및 조정계수1'!D40</f>
        <v>0.1635876</v>
      </c>
      <c r="S16" s="889" t="str">
        <f>INPUT!$J$75</f>
        <v>법인기업</v>
      </c>
      <c r="T16" s="660"/>
      <c r="U16" s="660"/>
      <c r="V16" s="890"/>
      <c r="W16" s="891"/>
      <c r="X16" s="8"/>
      <c r="Y16" s="8"/>
      <c r="AA16" s="620">
        <v>1</v>
      </c>
      <c r="AB16" s="620" t="s">
        <v>1668</v>
      </c>
      <c r="AC16" s="844"/>
      <c r="AD16" s="8"/>
      <c r="AE16" s="8"/>
      <c r="AF16" s="8"/>
    </row>
    <row r="17" spans="2:43" s="851" customFormat="1" ht="20.25" customHeight="1">
      <c r="B17" s="8"/>
      <c r="C17" s="8"/>
      <c r="D17" s="892"/>
      <c r="E17" s="893"/>
      <c r="F17" s="893"/>
      <c r="G17" s="893"/>
      <c r="H17" s="893"/>
      <c r="I17" s="893"/>
      <c r="J17" s="660"/>
      <c r="K17" s="632"/>
      <c r="L17" s="660"/>
      <c r="M17" s="660"/>
      <c r="N17" s="660"/>
      <c r="O17" s="660"/>
      <c r="P17" s="660"/>
      <c r="Q17" s="660"/>
      <c r="R17" s="660"/>
      <c r="S17" s="660"/>
      <c r="T17" s="660"/>
      <c r="U17" s="660"/>
      <c r="V17" s="660"/>
      <c r="W17" s="660"/>
      <c r="X17" s="8"/>
      <c r="Y17" s="8"/>
      <c r="Z17" s="8"/>
      <c r="AA17" s="8"/>
      <c r="AB17" s="8"/>
      <c r="AC17" s="844"/>
      <c r="AD17" s="8"/>
      <c r="AE17" s="8"/>
      <c r="AF17" s="8"/>
    </row>
    <row r="18" spans="2:43" ht="22.5" customHeight="1" thickBot="1">
      <c r="C18" s="894"/>
      <c r="D18" s="895"/>
      <c r="E18" s="896"/>
      <c r="F18" s="896"/>
      <c r="G18" s="896"/>
      <c r="H18" s="896"/>
      <c r="I18" s="893"/>
      <c r="J18" s="660"/>
      <c r="K18" s="632"/>
      <c r="L18" s="660"/>
      <c r="M18" s="660"/>
      <c r="N18" s="660"/>
      <c r="O18" s="660"/>
      <c r="P18" s="660"/>
      <c r="Q18" s="660"/>
      <c r="R18" s="660"/>
      <c r="S18" s="660"/>
      <c r="T18" s="660"/>
      <c r="U18" s="660"/>
      <c r="V18" s="660"/>
      <c r="W18" s="660"/>
      <c r="X18" s="8" t="s">
        <v>157</v>
      </c>
      <c r="AA18" s="8" t="s">
        <v>1805</v>
      </c>
      <c r="AC18" s="844"/>
      <c r="AG18" s="660"/>
      <c r="AH18" s="851"/>
      <c r="AI18" s="851"/>
      <c r="AJ18" s="851"/>
      <c r="AK18" s="851"/>
    </row>
    <row r="19" spans="2:43" ht="28.5" customHeight="1">
      <c r="C19" s="897"/>
      <c r="D19" s="898" t="str">
        <f t="shared" ref="D19:W19" si="1">IF(D20&lt;&gt;"",D3,"")</f>
        <v>Y</v>
      </c>
      <c r="E19" s="898" t="str">
        <f t="shared" si="1"/>
        <v>Y+1</v>
      </c>
      <c r="F19" s="898" t="str">
        <f t="shared" si="1"/>
        <v>Y+2</v>
      </c>
      <c r="G19" s="898" t="str">
        <f t="shared" si="1"/>
        <v>Y+3</v>
      </c>
      <c r="H19" s="898" t="str">
        <f t="shared" si="1"/>
        <v>Y+4</v>
      </c>
      <c r="I19" s="898" t="str">
        <f t="shared" si="1"/>
        <v>Y+5</v>
      </c>
      <c r="J19" s="898" t="str">
        <f t="shared" si="1"/>
        <v>Y+6</v>
      </c>
      <c r="K19" s="898" t="str">
        <f t="shared" si="1"/>
        <v>Y+7</v>
      </c>
      <c r="L19" s="898" t="str">
        <f t="shared" si="1"/>
        <v>Y+8</v>
      </c>
      <c r="M19" s="898" t="str">
        <f t="shared" si="1"/>
        <v>Y+9</v>
      </c>
      <c r="N19" s="898" t="str">
        <f t="shared" si="1"/>
        <v>Y+10</v>
      </c>
      <c r="O19" s="898" t="str">
        <f t="shared" si="1"/>
        <v>Y+11</v>
      </c>
      <c r="P19" s="898" t="str">
        <f t="shared" si="1"/>
        <v>Y+12</v>
      </c>
      <c r="Q19" s="898" t="str">
        <f t="shared" ref="Q19" si="2">IF(Q20&lt;&gt;"",Q3,"")</f>
        <v>Y+13</v>
      </c>
      <c r="R19" s="898" t="str">
        <f t="shared" si="1"/>
        <v/>
      </c>
      <c r="S19" s="898" t="str">
        <f t="shared" ref="S19:U19" si="3">IF(S20&lt;&gt;"",S3,"")</f>
        <v/>
      </c>
      <c r="T19" s="898" t="str">
        <f t="shared" ref="T19" si="4">IF(T20&lt;&gt;"",T3,"")</f>
        <v/>
      </c>
      <c r="U19" s="898" t="str">
        <f t="shared" si="3"/>
        <v/>
      </c>
      <c r="V19" s="898" t="str">
        <f t="shared" si="1"/>
        <v/>
      </c>
      <c r="W19" s="898" t="str">
        <f t="shared" si="1"/>
        <v/>
      </c>
      <c r="X19" s="899" t="s">
        <v>163</v>
      </c>
      <c r="AA19" s="8" t="s">
        <v>1802</v>
      </c>
      <c r="AC19" s="8" t="s">
        <v>1803</v>
      </c>
      <c r="AD19" s="8" t="s">
        <v>1804</v>
      </c>
      <c r="AG19" s="660"/>
      <c r="AH19" s="851"/>
      <c r="AI19" s="851"/>
      <c r="AJ19" s="851"/>
      <c r="AK19" s="851"/>
    </row>
    <row r="20" spans="2:43" ht="24" customHeight="1">
      <c r="C20" s="900" t="s">
        <v>164</v>
      </c>
      <c r="D20" s="26">
        <f>VLOOKUP("추정매출액",$C$5:$W$9,D1+1,0)</f>
        <v>1000</v>
      </c>
      <c r="E20" s="26">
        <f t="shared" ref="E20:W20" si="5">VLOOKUP("추정매출액",$C$5:$W$9,E1+1,0)</f>
        <v>2000</v>
      </c>
      <c r="F20" s="26">
        <f t="shared" si="5"/>
        <v>3000</v>
      </c>
      <c r="G20" s="26">
        <f t="shared" si="5"/>
        <v>4000</v>
      </c>
      <c r="H20" s="26">
        <f t="shared" si="5"/>
        <v>5000</v>
      </c>
      <c r="I20" s="26">
        <f t="shared" si="5"/>
        <v>9200</v>
      </c>
      <c r="J20" s="26">
        <f t="shared" si="5"/>
        <v>11111</v>
      </c>
      <c r="K20" s="26">
        <f t="shared" si="5"/>
        <v>13000</v>
      </c>
      <c r="L20" s="26">
        <f t="shared" si="5"/>
        <v>14000</v>
      </c>
      <c r="M20" s="26">
        <f t="shared" si="5"/>
        <v>15000</v>
      </c>
      <c r="N20" s="26">
        <f t="shared" si="5"/>
        <v>16000</v>
      </c>
      <c r="O20" s="26">
        <f t="shared" si="5"/>
        <v>17000</v>
      </c>
      <c r="P20" s="26">
        <f t="shared" si="5"/>
        <v>16000</v>
      </c>
      <c r="Q20" s="26">
        <f t="shared" si="5"/>
        <v>15000</v>
      </c>
      <c r="R20" s="26" t="str">
        <f t="shared" si="5"/>
        <v/>
      </c>
      <c r="S20" s="26" t="str">
        <f t="shared" si="5"/>
        <v/>
      </c>
      <c r="T20" s="26" t="str">
        <f t="shared" si="5"/>
        <v/>
      </c>
      <c r="U20" s="26" t="str">
        <f t="shared" si="5"/>
        <v/>
      </c>
      <c r="V20" s="26" t="str">
        <f t="shared" si="5"/>
        <v/>
      </c>
      <c r="W20" s="26" t="str">
        <f t="shared" si="5"/>
        <v/>
      </c>
      <c r="X20" s="27">
        <f t="shared" ref="X20:X29" si="6">SUM(D20:W20)</f>
        <v>141311</v>
      </c>
      <c r="AA20" s="8">
        <v>0</v>
      </c>
      <c r="AB20" s="8">
        <v>200</v>
      </c>
      <c r="AC20" s="873">
        <f>F16</f>
        <v>9.9000000000000005E-2</v>
      </c>
      <c r="AD20" s="8">
        <v>0</v>
      </c>
      <c r="AH20" s="851"/>
      <c r="AI20" s="851"/>
      <c r="AJ20" s="851"/>
      <c r="AK20" s="851"/>
    </row>
    <row r="21" spans="2:43" ht="24" customHeight="1">
      <c r="C21" s="901" t="s">
        <v>165</v>
      </c>
      <c r="D21" s="28">
        <f t="shared" ref="D21:W21" ca="1" si="7">IFERROR(D20*$D$16,"")</f>
        <v>845</v>
      </c>
      <c r="E21" s="28">
        <f t="shared" ca="1" si="7"/>
        <v>1690</v>
      </c>
      <c r="F21" s="28">
        <f t="shared" ca="1" si="7"/>
        <v>2535</v>
      </c>
      <c r="G21" s="28">
        <f t="shared" ca="1" si="7"/>
        <v>3380</v>
      </c>
      <c r="H21" s="28">
        <f t="shared" ca="1" si="7"/>
        <v>4225</v>
      </c>
      <c r="I21" s="28">
        <f t="shared" ca="1" si="7"/>
        <v>7774</v>
      </c>
      <c r="J21" s="28">
        <f t="shared" ca="1" si="7"/>
        <v>9388.7950000000001</v>
      </c>
      <c r="K21" s="28">
        <f t="shared" ca="1" si="7"/>
        <v>10985</v>
      </c>
      <c r="L21" s="28">
        <f t="shared" ca="1" si="7"/>
        <v>11830</v>
      </c>
      <c r="M21" s="28">
        <f t="shared" ca="1" si="7"/>
        <v>12675</v>
      </c>
      <c r="N21" s="28">
        <f t="shared" ca="1" si="7"/>
        <v>13520</v>
      </c>
      <c r="O21" s="28">
        <f t="shared" ca="1" si="7"/>
        <v>14365</v>
      </c>
      <c r="P21" s="28">
        <f t="shared" ca="1" si="7"/>
        <v>13520</v>
      </c>
      <c r="Q21" s="28">
        <f ca="1">IFERROR(Q20*$D$16,"")</f>
        <v>12675</v>
      </c>
      <c r="R21" s="28" t="str">
        <f t="shared" ca="1" si="7"/>
        <v/>
      </c>
      <c r="S21" s="28" t="str">
        <f t="shared" ref="S21:U21" ca="1" si="8">IFERROR(S20*$D$16,"")</f>
        <v/>
      </c>
      <c r="T21" s="28" t="str">
        <f t="shared" ref="T21" ca="1" si="9">IFERROR(T20*$D$16,"")</f>
        <v/>
      </c>
      <c r="U21" s="28" t="str">
        <f t="shared" ca="1" si="8"/>
        <v/>
      </c>
      <c r="V21" s="28" t="str">
        <f t="shared" ca="1" si="7"/>
        <v/>
      </c>
      <c r="W21" s="28" t="str">
        <f t="shared" ca="1" si="7"/>
        <v/>
      </c>
      <c r="X21" s="29">
        <f t="shared" ca="1" si="6"/>
        <v>119407.795</v>
      </c>
      <c r="AA21" s="8">
        <v>200</v>
      </c>
      <c r="AB21" s="8">
        <v>20000</v>
      </c>
      <c r="AC21" s="873">
        <f>G16</f>
        <v>0.20899999999999999</v>
      </c>
      <c r="AD21" s="8">
        <f>AB20*AC20</f>
        <v>19.8</v>
      </c>
      <c r="AH21" s="851"/>
      <c r="AI21" s="851"/>
      <c r="AJ21" s="851"/>
      <c r="AK21" s="851"/>
    </row>
    <row r="22" spans="2:43" ht="24" customHeight="1">
      <c r="C22" s="901" t="s">
        <v>167</v>
      </c>
      <c r="D22" s="28">
        <f t="shared" ref="D22:W22" ca="1" si="10">IFERROR(D20*$E$16,"")</f>
        <v>89</v>
      </c>
      <c r="E22" s="28">
        <f t="shared" ca="1" si="10"/>
        <v>178</v>
      </c>
      <c r="F22" s="28">
        <f t="shared" ca="1" si="10"/>
        <v>267</v>
      </c>
      <c r="G22" s="28">
        <f t="shared" ca="1" si="10"/>
        <v>356</v>
      </c>
      <c r="H22" s="28">
        <f t="shared" ca="1" si="10"/>
        <v>445</v>
      </c>
      <c r="I22" s="28">
        <f t="shared" ca="1" si="10"/>
        <v>818.8</v>
      </c>
      <c r="J22" s="28">
        <f t="shared" ca="1" si="10"/>
        <v>988.87899999999991</v>
      </c>
      <c r="K22" s="28">
        <f t="shared" ca="1" si="10"/>
        <v>1157</v>
      </c>
      <c r="L22" s="28">
        <f t="shared" ca="1" si="10"/>
        <v>1246</v>
      </c>
      <c r="M22" s="28">
        <f t="shared" ca="1" si="10"/>
        <v>1335</v>
      </c>
      <c r="N22" s="28">
        <f t="shared" ca="1" si="10"/>
        <v>1424</v>
      </c>
      <c r="O22" s="28">
        <f t="shared" ca="1" si="10"/>
        <v>1513</v>
      </c>
      <c r="P22" s="28">
        <f t="shared" ca="1" si="10"/>
        <v>1424</v>
      </c>
      <c r="Q22" s="28">
        <f t="shared" ref="Q22" ca="1" si="11">IFERROR(Q20*$E$16,"")</f>
        <v>1335</v>
      </c>
      <c r="R22" s="28" t="str">
        <f t="shared" ca="1" si="10"/>
        <v/>
      </c>
      <c r="S22" s="28" t="str">
        <f t="shared" ref="S22:U22" ca="1" si="12">IFERROR(S20*$E$16,"")</f>
        <v/>
      </c>
      <c r="T22" s="28" t="str">
        <f t="shared" ref="T22" ca="1" si="13">IFERROR(T20*$E$16,"")</f>
        <v/>
      </c>
      <c r="U22" s="28" t="str">
        <f t="shared" ca="1" si="12"/>
        <v/>
      </c>
      <c r="V22" s="28" t="str">
        <f t="shared" ca="1" si="10"/>
        <v/>
      </c>
      <c r="W22" s="28" t="str">
        <f t="shared" ca="1" si="10"/>
        <v/>
      </c>
      <c r="X22" s="29">
        <f t="shared" ca="1" si="6"/>
        <v>12576.679</v>
      </c>
      <c r="AA22" s="8">
        <v>20000</v>
      </c>
      <c r="AC22" s="873">
        <f>H16</f>
        <v>0.23100000000000001</v>
      </c>
      <c r="AD22" s="8">
        <f>(AB21-AA21)*AC21+AD21</f>
        <v>4158</v>
      </c>
      <c r="AH22" s="851"/>
      <c r="AI22" s="851"/>
      <c r="AJ22" s="851"/>
      <c r="AK22" s="851"/>
    </row>
    <row r="23" spans="2:43" ht="24" customHeight="1">
      <c r="C23" s="901" t="str">
        <f>IF($S$16="개인기업", "(-) 소득세비용","(-) 법인세비용")</f>
        <v>(-) 법인세비용</v>
      </c>
      <c r="D23" s="30">
        <f ca="1">IFERROR(IF($S$16="법인기업",INDEX($AA$20:$AD$22,MATCH(D20-D21-D22,$AA$20:$AA$22,1),4)+INDEX($AA$20:$AD$22,MATCH(D20-D21-D22,$AA$20:$AA$22,1),3)*(D20-D21-D22-INDEX($AA$20:$AD$22,MATCH(D20-D21-D22,$AA$20:$AA$22,1),1)),INDEX($AA$26:$AD$32,MATCH(D20-D21-D22,$AA$26:$AA$32,1),4)+INDEX($AA$26:$AD$32,MATCH(D20-D21-D22,$AA$26:$AA$32,1),3)*(D20-D21-D22-INDEX($AA$26:$AD$32,MATCH(D20-D21-D22,$AA$26:$AA$32,1),1))),"")</f>
        <v>6.5340000000000007</v>
      </c>
      <c r="E23" s="30">
        <f t="shared" ref="E23:W23" ca="1" si="14">IFERROR(IF($S$16="법인기업",INDEX($AA$20:$AD$22,MATCH(E20-E21-E22,$AA$20:$AA$22,1),4)+INDEX($AA$20:$AD$22,MATCH(E20-E21-E22,$AA$20:$AA$22,1),3)*(E20-E21-E22-INDEX($AA$20:$AD$22,MATCH(E20-E21-E22,$AA$20:$AA$22,1),1)),INDEX($AA$26:$AD$32,MATCH(E20-E21-E22,$AA$26:$AA$32,1),4)+INDEX($AA$26:$AD$32,MATCH(E20-E21-E22,$AA$26:$AA$32,1),3)*(E20-E21-E22-INDEX($AA$26:$AD$32,MATCH(E20-E21-E22,$AA$26:$AA$32,1),1))),"")</f>
        <v>13.068000000000001</v>
      </c>
      <c r="F23" s="30">
        <f t="shared" ca="1" si="14"/>
        <v>19.602</v>
      </c>
      <c r="G23" s="30">
        <f t="shared" ca="1" si="14"/>
        <v>33.176000000000002</v>
      </c>
      <c r="H23" s="30">
        <f t="shared" ca="1" si="14"/>
        <v>46.97</v>
      </c>
      <c r="I23" s="30">
        <f t="shared" ca="1" si="14"/>
        <v>104.90480000000001</v>
      </c>
      <c r="J23" s="30">
        <f t="shared" ca="1" si="14"/>
        <v>131.26513400000002</v>
      </c>
      <c r="K23" s="30">
        <f t="shared" ca="1" si="14"/>
        <v>157.322</v>
      </c>
      <c r="L23" s="30">
        <f t="shared" ca="1" si="14"/>
        <v>171.11600000000001</v>
      </c>
      <c r="M23" s="30">
        <f t="shared" ca="1" si="14"/>
        <v>184.91</v>
      </c>
      <c r="N23" s="30">
        <f t="shared" ca="1" si="14"/>
        <v>198.70400000000001</v>
      </c>
      <c r="O23" s="30">
        <f t="shared" ca="1" si="14"/>
        <v>212.49799999999999</v>
      </c>
      <c r="P23" s="30">
        <f t="shared" ca="1" si="14"/>
        <v>198.70400000000001</v>
      </c>
      <c r="Q23" s="30">
        <f t="shared" ca="1" si="14"/>
        <v>184.91</v>
      </c>
      <c r="R23" s="30" t="str">
        <f t="shared" ca="1" si="14"/>
        <v/>
      </c>
      <c r="S23" s="30" t="str">
        <f t="shared" ca="1" si="14"/>
        <v/>
      </c>
      <c r="T23" s="30" t="str">
        <f t="shared" ca="1" si="14"/>
        <v/>
      </c>
      <c r="U23" s="30" t="str">
        <f t="shared" ca="1" si="14"/>
        <v/>
      </c>
      <c r="V23" s="30" t="str">
        <f t="shared" ca="1" si="14"/>
        <v/>
      </c>
      <c r="W23" s="30" t="str">
        <f t="shared" ca="1" si="14"/>
        <v/>
      </c>
      <c r="X23" s="29">
        <f t="shared" ca="1" si="6"/>
        <v>1663.6839340000001</v>
      </c>
      <c r="AH23" s="851"/>
      <c r="AI23" s="851"/>
      <c r="AJ23" s="851"/>
      <c r="AK23" s="851"/>
    </row>
    <row r="24" spans="2:43" ht="24" customHeight="1">
      <c r="C24" s="902" t="s">
        <v>1513</v>
      </c>
      <c r="D24" s="31">
        <f ca="1">IFERROR(D20-D21-D22-D23,"")</f>
        <v>59.466000000000001</v>
      </c>
      <c r="E24" s="31">
        <f t="shared" ref="E24:W24" ca="1" si="15">IFERROR(E20-E21-E22-E23,"")</f>
        <v>118.932</v>
      </c>
      <c r="F24" s="31">
        <f t="shared" ca="1" si="15"/>
        <v>178.398</v>
      </c>
      <c r="G24" s="31">
        <f t="shared" ca="1" si="15"/>
        <v>230.82400000000001</v>
      </c>
      <c r="H24" s="31">
        <f t="shared" ca="1" si="15"/>
        <v>283.02999999999997</v>
      </c>
      <c r="I24" s="31">
        <f t="shared" ca="1" si="15"/>
        <v>502.29520000000002</v>
      </c>
      <c r="J24" s="31">
        <f t="shared" ca="1" si="15"/>
        <v>602.06086600000003</v>
      </c>
      <c r="K24" s="31">
        <f t="shared" ca="1" si="15"/>
        <v>700.678</v>
      </c>
      <c r="L24" s="31">
        <f t="shared" ca="1" si="15"/>
        <v>752.88400000000001</v>
      </c>
      <c r="M24" s="31">
        <f t="shared" ca="1" si="15"/>
        <v>805.09</v>
      </c>
      <c r="N24" s="31">
        <f t="shared" ca="1" si="15"/>
        <v>857.29600000000005</v>
      </c>
      <c r="O24" s="31">
        <f t="shared" ca="1" si="15"/>
        <v>909.50199999999995</v>
      </c>
      <c r="P24" s="31">
        <f t="shared" ca="1" si="15"/>
        <v>857.29600000000005</v>
      </c>
      <c r="Q24" s="31">
        <f t="shared" ref="Q24" ca="1" si="16">IFERROR(Q20-Q21-Q22-Q23,"")</f>
        <v>805.09</v>
      </c>
      <c r="R24" s="31" t="str">
        <f t="shared" ca="1" si="15"/>
        <v/>
      </c>
      <c r="S24" s="31" t="str">
        <f t="shared" ref="S24:U24" ca="1" si="17">IFERROR(S20-S21-S22-S23,"")</f>
        <v/>
      </c>
      <c r="T24" s="31" t="str">
        <f t="shared" ref="T24" ca="1" si="18">IFERROR(T20-T21-T22-T23,"")</f>
        <v/>
      </c>
      <c r="U24" s="31" t="str">
        <f t="shared" ca="1" si="17"/>
        <v/>
      </c>
      <c r="V24" s="31" t="str">
        <f t="shared" ca="1" si="15"/>
        <v/>
      </c>
      <c r="W24" s="31" t="str">
        <f t="shared" ca="1" si="15"/>
        <v/>
      </c>
      <c r="X24" s="29">
        <f t="shared" ca="1" si="6"/>
        <v>7662.8420660000011</v>
      </c>
      <c r="AA24" s="8" t="s">
        <v>1806</v>
      </c>
      <c r="AH24" s="851"/>
      <c r="AI24" s="851"/>
      <c r="AJ24" s="851"/>
      <c r="AK24" s="851"/>
    </row>
    <row r="25" spans="2:43" ht="24" customHeight="1">
      <c r="C25" s="903" t="s">
        <v>170</v>
      </c>
      <c r="D25" s="268">
        <f t="shared" ref="D25:W25" ca="1" si="19">IFERROR(VLOOKUP(D$19,$C$52:$H$73,4,0),"")</f>
        <v>4</v>
      </c>
      <c r="E25" s="268">
        <f t="shared" ca="1" si="19"/>
        <v>8</v>
      </c>
      <c r="F25" s="268">
        <f t="shared" ca="1" si="19"/>
        <v>12</v>
      </c>
      <c r="G25" s="268">
        <f t="shared" ca="1" si="19"/>
        <v>16</v>
      </c>
      <c r="H25" s="268">
        <f t="shared" ca="1" si="19"/>
        <v>20</v>
      </c>
      <c r="I25" s="268">
        <f t="shared" ca="1" si="19"/>
        <v>36.800000000000004</v>
      </c>
      <c r="J25" s="268">
        <f t="shared" ca="1" si="19"/>
        <v>44.444000000000003</v>
      </c>
      <c r="K25" s="268">
        <f t="shared" ca="1" si="19"/>
        <v>52</v>
      </c>
      <c r="L25" s="268">
        <f t="shared" ca="1" si="19"/>
        <v>56</v>
      </c>
      <c r="M25" s="268">
        <f t="shared" ca="1" si="19"/>
        <v>60</v>
      </c>
      <c r="N25" s="268">
        <f t="shared" ca="1" si="19"/>
        <v>64</v>
      </c>
      <c r="O25" s="268">
        <f t="shared" ca="1" si="19"/>
        <v>68</v>
      </c>
      <c r="P25" s="268">
        <f t="shared" ca="1" si="19"/>
        <v>64</v>
      </c>
      <c r="Q25" s="268">
        <f t="shared" ca="1" si="19"/>
        <v>60</v>
      </c>
      <c r="R25" s="32" t="str">
        <f t="shared" si="19"/>
        <v/>
      </c>
      <c r="S25" s="32" t="str">
        <f t="shared" si="19"/>
        <v/>
      </c>
      <c r="T25" s="32" t="str">
        <f t="shared" si="19"/>
        <v/>
      </c>
      <c r="U25" s="32" t="str">
        <f t="shared" si="19"/>
        <v/>
      </c>
      <c r="V25" s="32" t="str">
        <f t="shared" si="19"/>
        <v/>
      </c>
      <c r="W25" s="32" t="str">
        <f t="shared" si="19"/>
        <v/>
      </c>
      <c r="X25" s="29">
        <f t="shared" ca="1" si="6"/>
        <v>565.24400000000003</v>
      </c>
      <c r="AA25" s="8" t="s">
        <v>1802</v>
      </c>
      <c r="AC25" s="8" t="s">
        <v>1803</v>
      </c>
      <c r="AD25" s="8" t="s">
        <v>1804</v>
      </c>
      <c r="AH25" s="851"/>
      <c r="AI25" s="851"/>
      <c r="AJ25" s="851"/>
      <c r="AK25" s="851"/>
    </row>
    <row r="26" spans="2:43" ht="24" customHeight="1">
      <c r="B26" s="904"/>
      <c r="C26" s="903" t="s">
        <v>171</v>
      </c>
      <c r="D26" s="268">
        <f t="shared" ref="D26:W26" ca="1" si="20">IFERROR(VLOOKUP(D$19,$C$52:$H$73,5,0),"")</f>
        <v>545.57549234135661</v>
      </c>
      <c r="E26" s="268">
        <f t="shared" ca="1" si="20"/>
        <v>549.57549234135661</v>
      </c>
      <c r="F26" s="268">
        <f t="shared" ca="1" si="20"/>
        <v>553.57549234135661</v>
      </c>
      <c r="G26" s="268">
        <f t="shared" ca="1" si="20"/>
        <v>557.57549234135661</v>
      </c>
      <c r="H26" s="268">
        <f t="shared" ca="1" si="20"/>
        <v>561.57549234135661</v>
      </c>
      <c r="I26" s="268">
        <f t="shared" ca="1" si="20"/>
        <v>2311.4170678336982</v>
      </c>
      <c r="J26" s="268">
        <f t="shared" ca="1" si="20"/>
        <v>1079.3947658643324</v>
      </c>
      <c r="K26" s="268">
        <f t="shared" ca="1" si="20"/>
        <v>1075.0361050328229</v>
      </c>
      <c r="L26" s="268">
        <f t="shared" ca="1" si="20"/>
        <v>597.57549234135661</v>
      </c>
      <c r="M26" s="268">
        <f t="shared" ca="1" si="20"/>
        <v>601.57549234135661</v>
      </c>
      <c r="N26" s="268">
        <f t="shared" ca="1" si="20"/>
        <v>605.57549234135661</v>
      </c>
      <c r="O26" s="268">
        <f t="shared" ca="1" si="20"/>
        <v>609.57549234135661</v>
      </c>
      <c r="P26" s="268">
        <f t="shared" ca="1" si="20"/>
        <v>-477.57549234135661</v>
      </c>
      <c r="Q26" s="32">
        <f t="shared" ca="1" si="20"/>
        <v>-481.57549234135661</v>
      </c>
      <c r="R26" s="32" t="str">
        <f t="shared" si="20"/>
        <v/>
      </c>
      <c r="S26" s="32" t="str">
        <f t="shared" si="20"/>
        <v/>
      </c>
      <c r="T26" s="32" t="str">
        <f t="shared" si="20"/>
        <v/>
      </c>
      <c r="U26" s="32" t="str">
        <f t="shared" si="20"/>
        <v/>
      </c>
      <c r="V26" s="32" t="str">
        <f t="shared" si="20"/>
        <v/>
      </c>
      <c r="W26" s="32" t="str">
        <f t="shared" si="20"/>
        <v/>
      </c>
      <c r="X26" s="29">
        <f t="shared" ca="1" si="6"/>
        <v>8688.8763851203494</v>
      </c>
      <c r="AA26" s="8">
        <v>0</v>
      </c>
      <c r="AB26" s="8">
        <v>14</v>
      </c>
      <c r="AC26" s="873">
        <f>I16</f>
        <v>6.6000000000000003E-2</v>
      </c>
      <c r="AD26" s="8">
        <v>0</v>
      </c>
      <c r="AH26" s="851"/>
      <c r="AI26" s="851"/>
      <c r="AJ26" s="851"/>
      <c r="AK26" s="851"/>
    </row>
    <row r="27" spans="2:43" ht="24" customHeight="1">
      <c r="B27" s="904"/>
      <c r="C27" s="905" t="s">
        <v>172</v>
      </c>
      <c r="D27" s="32">
        <f t="shared" ref="D27:W27" ca="1" si="21">IFERROR(VLOOKUP(D$19,$C$52:$H$73,6,0),"")</f>
        <v>221.02034326030667</v>
      </c>
      <c r="E27" s="32">
        <f t="shared" ca="1" si="21"/>
        <v>221.02034326030667</v>
      </c>
      <c r="F27" s="32">
        <f t="shared" ca="1" si="21"/>
        <v>221.02034326030667</v>
      </c>
      <c r="G27" s="32">
        <f t="shared" ca="1" si="21"/>
        <v>221.02034326030667</v>
      </c>
      <c r="H27" s="32">
        <f t="shared" ca="1" si="21"/>
        <v>221.02034326030667</v>
      </c>
      <c r="I27" s="32">
        <f t="shared" ca="1" si="21"/>
        <v>928.28544169328813</v>
      </c>
      <c r="J27" s="32">
        <f t="shared" ca="1" si="21"/>
        <v>422.36987597044606</v>
      </c>
      <c r="K27" s="32">
        <f t="shared" ca="1" si="21"/>
        <v>417.50742841871931</v>
      </c>
      <c r="L27" s="32">
        <f t="shared" ca="1" si="21"/>
        <v>221.02034326030667</v>
      </c>
      <c r="M27" s="32">
        <f t="shared" ca="1" si="21"/>
        <v>221.02034326030667</v>
      </c>
      <c r="N27" s="32">
        <f t="shared" ca="1" si="21"/>
        <v>221.02034326030667</v>
      </c>
      <c r="O27" s="32">
        <f t="shared" ca="1" si="21"/>
        <v>221.02034326030667</v>
      </c>
      <c r="P27" s="32">
        <f t="shared" ca="1" si="21"/>
        <v>-221.02034326030667</v>
      </c>
      <c r="Q27" s="32">
        <f t="shared" ca="1" si="21"/>
        <v>-221.02034326030667</v>
      </c>
      <c r="R27" s="32" t="str">
        <f t="shared" si="21"/>
        <v/>
      </c>
      <c r="S27" s="32" t="str">
        <f t="shared" si="21"/>
        <v/>
      </c>
      <c r="T27" s="32" t="str">
        <f t="shared" si="21"/>
        <v/>
      </c>
      <c r="U27" s="32" t="str">
        <f t="shared" si="21"/>
        <v/>
      </c>
      <c r="V27" s="32" t="str">
        <f t="shared" si="21"/>
        <v/>
      </c>
      <c r="W27" s="32" t="str">
        <f t="shared" si="21"/>
        <v/>
      </c>
      <c r="X27" s="29">
        <f t="shared" ca="1" si="6"/>
        <v>3315.3051489046002</v>
      </c>
      <c r="AA27" s="8">
        <v>14</v>
      </c>
      <c r="AB27" s="8">
        <v>50</v>
      </c>
      <c r="AC27" s="873">
        <f>J16</f>
        <v>0.16500000000000001</v>
      </c>
      <c r="AD27" s="8">
        <f>AB26*AC26</f>
        <v>0.92400000000000004</v>
      </c>
      <c r="AH27" s="851"/>
      <c r="AI27" s="851"/>
      <c r="AJ27" s="851"/>
      <c r="AK27" s="851"/>
    </row>
    <row r="28" spans="2:43" ht="24" customHeight="1">
      <c r="B28" s="904"/>
      <c r="C28" s="905" t="s">
        <v>173</v>
      </c>
      <c r="D28" s="906">
        <f>IF(E5="",$X$26+$X$27-$X$25,0)</f>
        <v>0</v>
      </c>
      <c r="E28" s="906">
        <f>IF(D28=0,IF(F5="",$X$26+$X$27-$X$25,0),"")</f>
        <v>0</v>
      </c>
      <c r="F28" s="906">
        <f t="shared" ref="F28:L28" si="22">IF(E28=0,IF(G5="",$X$26+$X$27-$X$25,0),"")</f>
        <v>0</v>
      </c>
      <c r="G28" s="906">
        <f t="shared" si="22"/>
        <v>0</v>
      </c>
      <c r="H28" s="906">
        <f t="shared" si="22"/>
        <v>0</v>
      </c>
      <c r="I28" s="906">
        <f t="shared" si="22"/>
        <v>0</v>
      </c>
      <c r="J28" s="906">
        <f t="shared" si="22"/>
        <v>0</v>
      </c>
      <c r="K28" s="906">
        <f t="shared" si="22"/>
        <v>0</v>
      </c>
      <c r="L28" s="906">
        <f t="shared" si="22"/>
        <v>0</v>
      </c>
      <c r="M28" s="906">
        <f t="shared" ref="M28" si="23">IF(L28=0,IF(N5="",$X$26+$X$27-$X$25,0),"")</f>
        <v>0</v>
      </c>
      <c r="N28" s="906">
        <f t="shared" ref="N28" si="24">IF(M28=0,IF(O5="",$X$26+$X$27-$X$25,0),"")</f>
        <v>0</v>
      </c>
      <c r="O28" s="906">
        <f t="shared" ref="O28" si="25">IF(N28=0,IF(P5="",$X$26+$X$27-$X$25,0),"")</f>
        <v>0</v>
      </c>
      <c r="P28" s="906">
        <f t="shared" ref="P28" si="26">IF(O28=0,IF(Q5="",$X$26+$X$27-$X$25,0),"")</f>
        <v>0</v>
      </c>
      <c r="Q28" s="906">
        <f t="shared" ref="Q28" ca="1" si="27">IF(P28=0,IF(R5="",$X$26+$X$27-$X$25,0),"")</f>
        <v>11438.937534024948</v>
      </c>
      <c r="R28" s="906" t="str">
        <f t="shared" ref="R28" ca="1" si="28">IF(Q28=0,IF(S5="",$X$26+$X$27-$X$25,0),"")</f>
        <v/>
      </c>
      <c r="S28" s="906" t="str">
        <f t="shared" ref="S28" ca="1" si="29">IF(R28=0,IF(T5="",$X$26+$X$27-$X$25,0),"")</f>
        <v/>
      </c>
      <c r="T28" s="906" t="str">
        <f ca="1">IF(S28=0,IF(U5="",$X$26+$X$27-$X$25,0),"")</f>
        <v/>
      </c>
      <c r="U28" s="906" t="str">
        <f t="shared" ref="U28" ca="1" si="30">IF(T28=0,IF(V5="",$X$26+$X$27-$X$25,0),"")</f>
        <v/>
      </c>
      <c r="V28" s="906" t="str">
        <f t="shared" ref="V28" ca="1" si="31">IF(U28=0,IF(W5="",$X$26+$X$27-$X$25,0),"")</f>
        <v/>
      </c>
      <c r="W28" s="906" t="str">
        <f t="shared" ref="W28" ca="1" si="32">IF(V28=0,IF(X5="",$X$26+$X$27-$X$25,0),"")</f>
        <v/>
      </c>
      <c r="X28" s="29">
        <f t="shared" ca="1" si="6"/>
        <v>11438.937534024948</v>
      </c>
      <c r="AA28" s="8">
        <v>50</v>
      </c>
      <c r="AB28" s="8">
        <v>88</v>
      </c>
      <c r="AC28" s="873">
        <f>K16</f>
        <v>0.26400000000000001</v>
      </c>
      <c r="AD28" s="8">
        <f>(AB27-AA27)*AC27+AD27</f>
        <v>6.8640000000000008</v>
      </c>
      <c r="AH28" s="851"/>
      <c r="AI28" s="851"/>
      <c r="AJ28" s="851"/>
      <c r="AK28" s="851"/>
    </row>
    <row r="29" spans="2:43" ht="36.75" customHeight="1">
      <c r="C29" s="907" t="s">
        <v>174</v>
      </c>
      <c r="D29" s="33">
        <f ca="1">IFERROR(D24+D25-D26-D27+D28,"")</f>
        <v>-703.12983560166322</v>
      </c>
      <c r="E29" s="33">
        <f t="shared" ref="E29:W29" ca="1" si="33">IFERROR(E24+E25-E26-E27+E28,"")</f>
        <v>-643.66383560166332</v>
      </c>
      <c r="F29" s="33">
        <f t="shared" ca="1" si="33"/>
        <v>-584.1978356016632</v>
      </c>
      <c r="G29" s="33">
        <f t="shared" ca="1" si="33"/>
        <v>-531.77183560166327</v>
      </c>
      <c r="H29" s="33">
        <f t="shared" ca="1" si="33"/>
        <v>-479.56583560166331</v>
      </c>
      <c r="I29" s="33">
        <f t="shared" ca="1" si="33"/>
        <v>-2700.6073095269862</v>
      </c>
      <c r="J29" s="33">
        <f t="shared" ca="1" si="33"/>
        <v>-855.25977583477845</v>
      </c>
      <c r="K29" s="33">
        <f t="shared" ca="1" si="33"/>
        <v>-739.86553345154221</v>
      </c>
      <c r="L29" s="33">
        <f t="shared" ca="1" si="33"/>
        <v>-9.7118356016632674</v>
      </c>
      <c r="M29" s="33">
        <f t="shared" ca="1" si="33"/>
        <v>42.49416439833675</v>
      </c>
      <c r="N29" s="33">
        <f t="shared" ca="1" si="33"/>
        <v>94.700164398336767</v>
      </c>
      <c r="O29" s="33">
        <f t="shared" ca="1" si="33"/>
        <v>146.90616439833667</v>
      </c>
      <c r="P29" s="33">
        <f t="shared" ca="1" si="33"/>
        <v>1619.8918356016634</v>
      </c>
      <c r="Q29" s="33">
        <f t="shared" ref="Q29" ca="1" si="34">IFERROR(Q24+Q25-Q26-Q27+Q28,"")</f>
        <v>13006.623369626612</v>
      </c>
      <c r="R29" s="33" t="str">
        <f t="shared" ca="1" si="33"/>
        <v/>
      </c>
      <c r="S29" s="33" t="str">
        <f t="shared" ref="S29:U29" ca="1" si="35">IFERROR(S24+S25-S26-S27+S28,"")</f>
        <v/>
      </c>
      <c r="T29" s="33" t="str">
        <f t="shared" ref="T29" ca="1" si="36">IFERROR(T24+T25-T26-T27+T28,"")</f>
        <v/>
      </c>
      <c r="U29" s="33" t="str">
        <f t="shared" ca="1" si="35"/>
        <v/>
      </c>
      <c r="V29" s="33" t="str">
        <f t="shared" ca="1" si="33"/>
        <v/>
      </c>
      <c r="W29" s="33" t="str">
        <f t="shared" ca="1" si="33"/>
        <v/>
      </c>
      <c r="X29" s="29">
        <f t="shared" ca="1" si="6"/>
        <v>7662.8420659999992</v>
      </c>
      <c r="AA29" s="8">
        <v>88</v>
      </c>
      <c r="AB29" s="8">
        <v>150</v>
      </c>
      <c r="AC29" s="873">
        <f>L16</f>
        <v>0.38500000000000001</v>
      </c>
      <c r="AD29" s="8">
        <f t="shared" ref="AD29:AD32" si="37">(AB28-AA28)*AC28+AD28</f>
        <v>16.896000000000001</v>
      </c>
      <c r="AH29" s="851"/>
      <c r="AI29" s="851"/>
      <c r="AJ29" s="851"/>
      <c r="AK29" s="851"/>
    </row>
    <row r="30" spans="2:43" ht="26.25" customHeight="1">
      <c r="C30" s="908" t="s">
        <v>175</v>
      </c>
      <c r="D30" s="34">
        <f ca="1">IF(D19&lt;&gt;"",1/((1+$P$16)^IF(INPUT!G11="회계연도",현금흐름!D1,현금흐름!D2)),"")</f>
        <v>0.85403279629987205</v>
      </c>
      <c r="E30" s="34">
        <f ca="1">IF(E19&lt;&gt;"",1/((1+$P$16)^IF(INPUT!H11="회계연도",현금흐름!E1,현금흐름!E2)),"")</f>
        <v>0.72905591956764315</v>
      </c>
      <c r="F30" s="34">
        <f ca="1">IF(F19&lt;&gt;"",1/((1+$P$16)^IF(INPUT!I11="회계연도",현금흐름!F1,현금흐름!F2)),"")</f>
        <v>0.62236782493536824</v>
      </c>
      <c r="G30" s="34">
        <f ca="1">IF(G19&lt;&gt;"",1/((1+$P$16)^IF(INPUT!J11="회계연도",현금흐름!G1,현금흐름!G2)),"")</f>
        <v>0.53129218091321306</v>
      </c>
      <c r="H30" s="34">
        <f ca="1">IF(H19&lt;&gt;"",1/((1+$P$16)^IF(INPUT!K11="회계연도",현금흐름!H1,현금흐름!H2)),"")</f>
        <v>0.45354430320820593</v>
      </c>
      <c r="I30" s="34">
        <f ca="1">IF(I19&lt;&gt;"",1/((1+$P$16)^IF(INPUT!L11="회계연도",현금흐름!I1,현금흐름!I2)),"")</f>
        <v>0.38717384212025263</v>
      </c>
      <c r="J30" s="34">
        <f ca="1">IF(J19&lt;&gt;"",1/((1+$P$16)^IF(INPUT!M11="회계연도",현금흐름!J1,현금흐름!J2)),"")</f>
        <v>0.33051585691143154</v>
      </c>
      <c r="K30" s="34">
        <f ca="1">IF(K19&lt;&gt;"",1/((1+$P$16)^IF(INPUT!O11="회계연도",현금흐름!K1,현금흐름!K2)),"")</f>
        <v>0.282149049821317</v>
      </c>
      <c r="L30" s="34">
        <f ca="1">IF(L19&lt;&gt;"",1/((1+$P$16)^IF(INPUT!P11="회계연도",현금흐름!L1,현금흐름!L2)),"")</f>
        <v>0.24086011200486709</v>
      </c>
      <c r="M30" s="34">
        <f ca="1">IF(M19&lt;&gt;"",1/((1+$P$16)^IF(INPUT!Q11="회계연도",현금흐름!M1,현금흐름!M2)),"")</f>
        <v>0.2056132869904638</v>
      </c>
      <c r="N30" s="34">
        <f ca="1">IF(N19&lt;&gt;"",1/((1+$P$16)^IF(INPUT!R10="회계연도",현금흐름!N1,현금흐름!N2)),"")</f>
        <v>0.17552438814015223</v>
      </c>
      <c r="O30" s="34">
        <f ca="1">IF(O19&lt;&gt;"",1/((1+$P$16)^IF(INPUT!S11="회계연도",현금흐름!O1,현금흐름!O2)),"")</f>
        <v>0.14983861832530163</v>
      </c>
      <c r="P30" s="34">
        <f ca="1">IF(P19&lt;&gt;"",1/((1+$P$16)^IF(INPUT!T11="회계연도",현금흐름!P1,현금흐름!P2)),"")</f>
        <v>0.1279116354116461</v>
      </c>
      <c r="Q30" s="34">
        <f ca="1">IF(Q19&lt;&gt;"",1/((1+$P$16)^IF(INPUT!U12="회계연도",현금흐름!Q1,현금흐름!Q2)),"")</f>
        <v>0.10919338857063601</v>
      </c>
      <c r="R30" s="34" t="str">
        <f>IF(R19&lt;&gt;"",1/((1+$P$16)^IF(INPUT!V11="회계연도",현금흐름!R1,현금흐름!R2)),"")</f>
        <v/>
      </c>
      <c r="S30" s="34" t="str">
        <f>IF(S19&lt;&gt;"",1/((1+$P$16)^IF(INPUT!W11="회계연도",현금흐름!S1,현금흐름!S2)),"")</f>
        <v/>
      </c>
      <c r="T30" s="34" t="str">
        <f>IF(T19&lt;&gt;"",1/((1+$P$16)^IF(INPUT!X11="회계연도",현금흐름!T1,현금흐름!T2)),"")</f>
        <v/>
      </c>
      <c r="U30" s="34" t="str">
        <f>IF(U19&lt;&gt;"",1/((1+$P$16)^IF(INPUT!Y11="회계연도",현금흐름!U1,현금흐름!U2)),"")</f>
        <v/>
      </c>
      <c r="V30" s="34" t="str">
        <f>IF(V19&lt;&gt;"",1/((1+$P$16)^IF(INPUT!Z11="회계연도",현금흐름!V1,현금흐름!V2)),"")</f>
        <v/>
      </c>
      <c r="W30" s="34" t="str">
        <f>IF(W19&lt;&gt;"",1/((1+$P$16)^IF(INPUT!AA11="회계연도",현금흐름!W1,현금흐름!W2)),"")</f>
        <v/>
      </c>
      <c r="X30" s="35"/>
      <c r="AA30" s="8">
        <v>150</v>
      </c>
      <c r="AB30" s="8">
        <v>300</v>
      </c>
      <c r="AC30" s="873">
        <f>M16</f>
        <v>0.41800000000000004</v>
      </c>
      <c r="AD30" s="8">
        <f t="shared" si="37"/>
        <v>40.766000000000005</v>
      </c>
      <c r="AH30" s="851"/>
      <c r="AI30" s="851"/>
      <c r="AJ30" s="851"/>
      <c r="AK30" s="851"/>
      <c r="AL30" s="654"/>
      <c r="AM30" s="654"/>
      <c r="AN30" s="654"/>
      <c r="AO30" s="654"/>
      <c r="AP30" s="654"/>
      <c r="AQ30" s="654"/>
    </row>
    <row r="31" spans="2:43" ht="36.75" customHeight="1">
      <c r="C31" s="907" t="s">
        <v>176</v>
      </c>
      <c r="D31" s="33">
        <f ca="1">IFERROR(D29*D30,"")</f>
        <v>-600.49593966075781</v>
      </c>
      <c r="E31" s="33">
        <f t="shared" ref="E31:W31" ca="1" si="38">IFERROR(E29*E30,"")</f>
        <v>-469.26692955700696</v>
      </c>
      <c r="F31" s="33">
        <f t="shared" ca="1" si="38"/>
        <v>-363.58593627535697</v>
      </c>
      <c r="G31" s="33">
        <f t="shared" ca="1" si="38"/>
        <v>-282.52621828503027</v>
      </c>
      <c r="H31" s="33">
        <f t="shared" ca="1" si="38"/>
        <v>-217.50435275041741</v>
      </c>
      <c r="I31" s="33">
        <f t="shared" ca="1" si="38"/>
        <v>-1045.6045080876015</v>
      </c>
      <c r="J31" s="33">
        <f t="shared" ca="1" si="38"/>
        <v>-282.67691769191066</v>
      </c>
      <c r="K31" s="33">
        <f t="shared" ca="1" si="38"/>
        <v>-208.75235725889445</v>
      </c>
      <c r="L31" s="33">
        <f t="shared" ca="1" si="38"/>
        <v>-2.3391938107894705</v>
      </c>
      <c r="M31" s="33">
        <f t="shared" ca="1" si="38"/>
        <v>8.7373648198551628</v>
      </c>
      <c r="N31" s="33">
        <f t="shared" ca="1" si="38"/>
        <v>16.622188412789889</v>
      </c>
      <c r="O31" s="33">
        <f t="shared" ca="1" si="38"/>
        <v>22.012216696916383</v>
      </c>
      <c r="P31" s="33">
        <f t="shared" ca="1" si="38"/>
        <v>207.20301388178214</v>
      </c>
      <c r="Q31" s="33">
        <f t="shared" ref="Q31" ca="1" si="39">IFERROR(Q29*Q30,"")</f>
        <v>1420.2372795915537</v>
      </c>
      <c r="R31" s="33" t="str">
        <f t="shared" ca="1" si="38"/>
        <v/>
      </c>
      <c r="S31" s="33" t="str">
        <f t="shared" ref="S31:U31" ca="1" si="40">IFERROR(S29*S30,"")</f>
        <v/>
      </c>
      <c r="T31" s="33" t="str">
        <f t="shared" ref="T31" ca="1" si="41">IFERROR(T29*T30,"")</f>
        <v/>
      </c>
      <c r="U31" s="33" t="str">
        <f t="shared" ca="1" si="40"/>
        <v/>
      </c>
      <c r="V31" s="33" t="str">
        <f t="shared" ca="1" si="38"/>
        <v/>
      </c>
      <c r="W31" s="33" t="str">
        <f t="shared" ca="1" si="38"/>
        <v/>
      </c>
      <c r="X31" s="416">
        <f ca="1">SUM(D31:W31)</f>
        <v>-1797.9402899748682</v>
      </c>
      <c r="AA31" s="8">
        <v>300</v>
      </c>
      <c r="AB31" s="8">
        <v>500</v>
      </c>
      <c r="AC31" s="873">
        <f>N16</f>
        <v>0.44000000000000006</v>
      </c>
      <c r="AD31" s="8">
        <f t="shared" si="37"/>
        <v>103.46600000000001</v>
      </c>
      <c r="AH31" s="851"/>
      <c r="AI31" s="851"/>
      <c r="AJ31" s="851"/>
      <c r="AK31" s="851"/>
      <c r="AL31" s="654"/>
      <c r="AM31" s="654"/>
      <c r="AN31" s="654"/>
      <c r="AO31" s="654"/>
      <c r="AP31" s="654"/>
      <c r="AQ31" s="654"/>
    </row>
    <row r="32" spans="2:43" ht="23.25" customHeight="1">
      <c r="C32" s="909" t="s">
        <v>3142</v>
      </c>
      <c r="D32" s="414"/>
      <c r="E32" s="414"/>
      <c r="F32" s="414"/>
      <c r="G32" s="414"/>
      <c r="H32" s="414"/>
      <c r="I32" s="414"/>
      <c r="J32" s="414"/>
      <c r="K32" s="414"/>
      <c r="L32" s="414"/>
      <c r="M32" s="414"/>
      <c r="N32" s="414"/>
      <c r="O32" s="414"/>
      <c r="P32" s="414"/>
      <c r="Q32" s="414"/>
      <c r="R32" s="414"/>
      <c r="S32" s="414"/>
      <c r="T32" s="414"/>
      <c r="U32" s="414"/>
      <c r="V32" s="414"/>
      <c r="W32" s="414"/>
      <c r="X32" s="415">
        <f>R16</f>
        <v>0.1635876</v>
      </c>
      <c r="AA32" s="8">
        <v>500</v>
      </c>
      <c r="AC32" s="873">
        <f>O16</f>
        <v>0.46200000000000002</v>
      </c>
      <c r="AD32" s="8">
        <f t="shared" si="37"/>
        <v>191.46600000000001</v>
      </c>
      <c r="AH32" s="851"/>
      <c r="AI32" s="851"/>
      <c r="AJ32" s="851"/>
      <c r="AK32" s="851"/>
      <c r="AL32" s="654"/>
      <c r="AM32" s="654"/>
      <c r="AN32" s="654"/>
      <c r="AO32" s="654"/>
      <c r="AP32" s="654"/>
      <c r="AQ32" s="654"/>
    </row>
    <row r="33" spans="2:43" ht="23.25" customHeight="1" thickBot="1">
      <c r="C33" s="910" t="s">
        <v>3143</v>
      </c>
      <c r="D33" s="417"/>
      <c r="E33" s="417"/>
      <c r="F33" s="417"/>
      <c r="G33" s="417"/>
      <c r="H33" s="417"/>
      <c r="I33" s="417"/>
      <c r="J33" s="417"/>
      <c r="K33" s="417"/>
      <c r="L33" s="417"/>
      <c r="M33" s="417"/>
      <c r="N33" s="417"/>
      <c r="O33" s="417"/>
      <c r="P33" s="417"/>
      <c r="Q33" s="417"/>
      <c r="R33" s="417"/>
      <c r="S33" s="417"/>
      <c r="T33" s="417"/>
      <c r="U33" s="417"/>
      <c r="V33" s="417"/>
      <c r="W33" s="417"/>
      <c r="X33" s="418">
        <f ca="1">X31*X32</f>
        <v>-294.12073698029275</v>
      </c>
      <c r="AC33" s="873"/>
      <c r="AH33" s="851"/>
      <c r="AI33" s="851"/>
      <c r="AJ33" s="851"/>
      <c r="AK33" s="851"/>
      <c r="AL33" s="654"/>
      <c r="AM33" s="654"/>
      <c r="AN33" s="654"/>
      <c r="AO33" s="654"/>
      <c r="AP33" s="654"/>
      <c r="AQ33" s="654"/>
    </row>
    <row r="34" spans="2:43" ht="23.25" customHeight="1">
      <c r="C34" s="911"/>
      <c r="D34" s="911"/>
      <c r="E34" s="911"/>
      <c r="F34" s="911"/>
      <c r="G34" s="911"/>
      <c r="H34" s="911"/>
      <c r="I34" s="911"/>
      <c r="J34" s="911"/>
      <c r="K34" s="911"/>
      <c r="L34" s="911"/>
      <c r="M34" s="911"/>
      <c r="N34" s="911"/>
      <c r="O34" s="911"/>
      <c r="P34" s="911"/>
      <c r="Q34" s="911"/>
      <c r="R34" s="911"/>
      <c r="S34" s="911"/>
      <c r="T34" s="911"/>
      <c r="U34" s="911"/>
      <c r="V34" s="911"/>
      <c r="W34" s="911"/>
      <c r="X34" s="911"/>
      <c r="AC34" s="873"/>
      <c r="AH34" s="851"/>
      <c r="AI34" s="851"/>
      <c r="AJ34" s="851"/>
      <c r="AK34" s="851"/>
      <c r="AL34" s="654"/>
      <c r="AM34" s="654"/>
      <c r="AN34" s="654"/>
      <c r="AO34" s="654"/>
      <c r="AP34" s="654"/>
      <c r="AQ34" s="654"/>
    </row>
    <row r="35" spans="2:43" ht="23.25" customHeight="1" thickBot="1">
      <c r="C35" s="912" t="str">
        <f>IF(INPUT!E10="로열티공제법1","로열티공제법1",IF(INPUT!E10="로열티공제법2","로열티공제법2","로열티공제법 현금흐름"))</f>
        <v>로열티공제법 현금흐름</v>
      </c>
      <c r="D35" s="911"/>
      <c r="E35" s="911"/>
      <c r="F35" s="911"/>
      <c r="G35" s="911"/>
      <c r="H35" s="911"/>
      <c r="J35" s="911"/>
      <c r="K35" s="911"/>
      <c r="L35" s="911"/>
      <c r="M35" s="911"/>
      <c r="N35" s="911"/>
      <c r="O35" s="911"/>
      <c r="P35" s="911"/>
      <c r="Q35" s="911"/>
      <c r="R35" s="911"/>
      <c r="S35" s="911"/>
      <c r="T35" s="911"/>
      <c r="U35" s="911"/>
      <c r="V35" s="911"/>
      <c r="W35" s="911"/>
      <c r="X35" s="911"/>
      <c r="Y35" s="911"/>
      <c r="Z35" s="911"/>
      <c r="AA35" s="911"/>
      <c r="AB35" s="911"/>
      <c r="AC35" s="911"/>
      <c r="AD35" s="911"/>
      <c r="AE35" s="911"/>
      <c r="AF35" s="911"/>
      <c r="AH35" s="851"/>
      <c r="AI35" s="851"/>
      <c r="AJ35" s="851"/>
      <c r="AK35" s="851"/>
      <c r="AL35" s="654"/>
      <c r="AM35" s="654"/>
      <c r="AN35" s="654"/>
      <c r="AO35" s="654"/>
      <c r="AP35" s="654"/>
      <c r="AQ35" s="654"/>
    </row>
    <row r="36" spans="2:43" ht="37.5" customHeight="1">
      <c r="C36" s="880" t="s">
        <v>1432</v>
      </c>
      <c r="D36" s="882" t="s">
        <v>1752</v>
      </c>
      <c r="E36" s="882" t="s">
        <v>3059</v>
      </c>
      <c r="F36" s="913" t="s">
        <v>3096</v>
      </c>
      <c r="G36" s="882" t="s">
        <v>1753</v>
      </c>
      <c r="H36" s="914" t="s">
        <v>1430</v>
      </c>
      <c r="I36" s="914" t="s">
        <v>3039</v>
      </c>
      <c r="J36" s="914"/>
      <c r="L36" s="911"/>
      <c r="M36" s="911"/>
      <c r="N36" s="911"/>
      <c r="O36" s="911"/>
      <c r="P36" s="911"/>
      <c r="Q36" s="911"/>
      <c r="R36" s="911"/>
      <c r="S36" s="911"/>
      <c r="T36" s="911"/>
      <c r="U36" s="911"/>
      <c r="V36" s="911"/>
      <c r="W36" s="911"/>
      <c r="X36" s="911"/>
      <c r="Y36" s="911"/>
      <c r="Z36" s="911"/>
      <c r="AA36" s="911"/>
      <c r="AB36" s="911"/>
      <c r="AC36" s="911"/>
      <c r="AD36" s="911"/>
      <c r="AE36" s="911"/>
      <c r="AF36" s="911"/>
      <c r="AG36" s="911"/>
      <c r="AI36" s="851"/>
      <c r="AJ36" s="851"/>
      <c r="AK36" s="851"/>
      <c r="AL36" s="851"/>
    </row>
    <row r="37" spans="2:43" ht="32.25" customHeight="1" thickBot="1">
      <c r="C37" s="915">
        <f ca="1">H37</f>
        <v>76.566144087596015</v>
      </c>
      <c r="D37" s="916">
        <f>IF(INPUT!E10="로열티공제법1",INPUT!E11,'(로열티2) 조정계수2 및 지식재산 유효성'!B6)</f>
        <v>1.0800000000000001E-2</v>
      </c>
      <c r="E37" s="917" t="str">
        <f>IF(INPUT!E10="로열티공제법1",'(DCF,로열티1) 기술기여도 및 조정계수1'!R20,"")</f>
        <v/>
      </c>
      <c r="F37" s="918">
        <f>INPUT!L75</f>
        <v>0.44999999999999996</v>
      </c>
      <c r="G37" s="918">
        <f>IF(C35="로열티공제법1",D37*E37*F37,D37*F37)</f>
        <v>4.8599999999999997E-3</v>
      </c>
      <c r="H37" s="919">
        <f ca="1">IF(C35="로열티공제법1",X45,X45*I37)</f>
        <v>76.566144087596015</v>
      </c>
      <c r="I37" s="920">
        <f>'(로열티2) 조정계수2 및 지식재산 유효성'!J33</f>
        <v>0.5</v>
      </c>
      <c r="J37" s="919"/>
      <c r="L37" s="911"/>
      <c r="M37" s="911"/>
      <c r="N37" s="921"/>
      <c r="O37" s="922"/>
      <c r="P37" s="922"/>
      <c r="Q37" s="922"/>
      <c r="R37" s="922"/>
      <c r="S37" s="922"/>
      <c r="T37" s="922"/>
      <c r="U37" s="922"/>
      <c r="V37" s="922"/>
      <c r="W37" s="922"/>
      <c r="X37" s="922"/>
      <c r="Y37" s="922"/>
      <c r="Z37" s="911"/>
      <c r="AA37" s="923"/>
      <c r="AB37" s="911"/>
      <c r="AC37" s="911"/>
      <c r="AD37" s="911"/>
      <c r="AE37" s="911"/>
      <c r="AF37" s="911"/>
      <c r="AG37" s="911"/>
      <c r="AI37" s="851"/>
      <c r="AJ37" s="851"/>
      <c r="AK37" s="851"/>
      <c r="AL37" s="851"/>
    </row>
    <row r="38" spans="2:43" ht="8.25" customHeight="1" thickBot="1">
      <c r="C38" s="911"/>
      <c r="D38" s="911"/>
      <c r="E38" s="924"/>
      <c r="F38" s="911"/>
      <c r="G38" s="911"/>
      <c r="H38" s="911"/>
      <c r="I38" s="911"/>
      <c r="J38" s="911"/>
      <c r="K38" s="911"/>
      <c r="L38" s="911"/>
      <c r="M38" s="911"/>
      <c r="N38" s="911"/>
      <c r="O38" s="911"/>
      <c r="P38" s="911"/>
      <c r="Q38" s="911"/>
      <c r="R38" s="911"/>
      <c r="S38" s="911"/>
      <c r="T38" s="911"/>
      <c r="U38" s="911"/>
      <c r="V38" s="911"/>
      <c r="W38" s="911"/>
      <c r="X38" s="911"/>
      <c r="Y38" s="911"/>
      <c r="Z38" s="911"/>
      <c r="AA38" s="911"/>
      <c r="AB38" s="911"/>
      <c r="AC38" s="911"/>
      <c r="AD38" s="911"/>
      <c r="AE38" s="911"/>
      <c r="AF38" s="911"/>
      <c r="AH38" s="851"/>
      <c r="AI38" s="851"/>
      <c r="AJ38" s="851"/>
      <c r="AK38" s="851"/>
    </row>
    <row r="39" spans="2:43" ht="24" customHeight="1">
      <c r="C39" s="897"/>
      <c r="D39" s="898" t="str">
        <f>D19</f>
        <v>Y</v>
      </c>
      <c r="E39" s="898" t="str">
        <f t="shared" ref="E39:X39" si="42">E19</f>
        <v>Y+1</v>
      </c>
      <c r="F39" s="898" t="str">
        <f t="shared" si="42"/>
        <v>Y+2</v>
      </c>
      <c r="G39" s="898" t="str">
        <f t="shared" si="42"/>
        <v>Y+3</v>
      </c>
      <c r="H39" s="898" t="str">
        <f t="shared" si="42"/>
        <v>Y+4</v>
      </c>
      <c r="I39" s="898" t="str">
        <f t="shared" si="42"/>
        <v>Y+5</v>
      </c>
      <c r="J39" s="898" t="str">
        <f t="shared" si="42"/>
        <v>Y+6</v>
      </c>
      <c r="K39" s="898" t="str">
        <f t="shared" si="42"/>
        <v>Y+7</v>
      </c>
      <c r="L39" s="898" t="str">
        <f t="shared" si="42"/>
        <v>Y+8</v>
      </c>
      <c r="M39" s="898" t="str">
        <f t="shared" si="42"/>
        <v>Y+9</v>
      </c>
      <c r="N39" s="898" t="str">
        <f t="shared" si="42"/>
        <v>Y+10</v>
      </c>
      <c r="O39" s="898" t="str">
        <f t="shared" si="42"/>
        <v>Y+11</v>
      </c>
      <c r="P39" s="898" t="str">
        <f t="shared" si="42"/>
        <v>Y+12</v>
      </c>
      <c r="Q39" s="898" t="str">
        <f t="shared" ref="Q39" si="43">Q19</f>
        <v>Y+13</v>
      </c>
      <c r="R39" s="898" t="str">
        <f t="shared" si="42"/>
        <v/>
      </c>
      <c r="S39" s="898" t="str">
        <f t="shared" ref="S39:U39" si="44">S19</f>
        <v/>
      </c>
      <c r="T39" s="898" t="str">
        <f t="shared" ref="T39" si="45">T19</f>
        <v/>
      </c>
      <c r="U39" s="898" t="str">
        <f t="shared" si="44"/>
        <v/>
      </c>
      <c r="V39" s="898" t="str">
        <f t="shared" si="42"/>
        <v/>
      </c>
      <c r="W39" s="898" t="str">
        <f t="shared" si="42"/>
        <v/>
      </c>
      <c r="X39" s="898" t="str">
        <f t="shared" si="42"/>
        <v>합계</v>
      </c>
      <c r="Y39" s="911"/>
      <c r="Z39" s="911"/>
      <c r="AA39" s="911"/>
      <c r="AB39" s="911"/>
      <c r="AC39" s="911"/>
      <c r="AD39" s="911"/>
      <c r="AE39" s="911"/>
      <c r="AF39" s="911"/>
      <c r="AG39" s="904"/>
      <c r="AH39" s="851"/>
      <c r="AI39" s="851"/>
      <c r="AJ39" s="851"/>
      <c r="AK39" s="851"/>
    </row>
    <row r="40" spans="2:43" ht="22.5" customHeight="1">
      <c r="C40" s="925" t="s">
        <v>164</v>
      </c>
      <c r="D40" s="4">
        <f>D20</f>
        <v>1000</v>
      </c>
      <c r="E40" s="4">
        <f t="shared" ref="E40:W40" si="46">E20</f>
        <v>2000</v>
      </c>
      <c r="F40" s="4">
        <f t="shared" si="46"/>
        <v>3000</v>
      </c>
      <c r="G40" s="4">
        <f t="shared" si="46"/>
        <v>4000</v>
      </c>
      <c r="H40" s="4">
        <f t="shared" si="46"/>
        <v>5000</v>
      </c>
      <c r="I40" s="4">
        <f t="shared" si="46"/>
        <v>9200</v>
      </c>
      <c r="J40" s="4">
        <f t="shared" si="46"/>
        <v>11111</v>
      </c>
      <c r="K40" s="4">
        <f t="shared" si="46"/>
        <v>13000</v>
      </c>
      <c r="L40" s="4">
        <f t="shared" si="46"/>
        <v>14000</v>
      </c>
      <c r="M40" s="4">
        <f t="shared" si="46"/>
        <v>15000</v>
      </c>
      <c r="N40" s="4">
        <f t="shared" si="46"/>
        <v>16000</v>
      </c>
      <c r="O40" s="4">
        <f t="shared" si="46"/>
        <v>17000</v>
      </c>
      <c r="P40" s="4">
        <f t="shared" si="46"/>
        <v>16000</v>
      </c>
      <c r="Q40" s="4">
        <f t="shared" ref="Q40" si="47">Q20</f>
        <v>15000</v>
      </c>
      <c r="R40" s="4" t="str">
        <f t="shared" si="46"/>
        <v/>
      </c>
      <c r="S40" s="4" t="str">
        <f t="shared" ref="S40:U40" si="48">S20</f>
        <v/>
      </c>
      <c r="T40" s="4" t="str">
        <f t="shared" ref="T40" si="49">T20</f>
        <v/>
      </c>
      <c r="U40" s="4" t="str">
        <f t="shared" si="48"/>
        <v/>
      </c>
      <c r="V40" s="4" t="str">
        <f t="shared" si="46"/>
        <v/>
      </c>
      <c r="W40" s="4" t="str">
        <f t="shared" si="46"/>
        <v/>
      </c>
      <c r="X40" s="13">
        <f>SUM(D40:W40)</f>
        <v>141311</v>
      </c>
      <c r="Y40" s="911"/>
      <c r="Z40" s="911"/>
      <c r="AA40" s="911"/>
      <c r="AB40" s="911"/>
      <c r="AC40" s="911"/>
      <c r="AD40" s="911"/>
      <c r="AE40" s="911"/>
      <c r="AF40" s="911"/>
      <c r="AG40" s="904"/>
      <c r="AH40" s="851"/>
      <c r="AI40" s="851"/>
      <c r="AJ40" s="851"/>
      <c r="AK40" s="851"/>
    </row>
    <row r="41" spans="2:43" ht="22.5" customHeight="1">
      <c r="C41" s="926" t="s">
        <v>1429</v>
      </c>
      <c r="D41" s="12">
        <f t="shared" ref="D41:W41" si="50">IFERROR(D40*$G$37,"")</f>
        <v>4.8599999999999994</v>
      </c>
      <c r="E41" s="12">
        <f t="shared" si="50"/>
        <v>9.7199999999999989</v>
      </c>
      <c r="F41" s="12">
        <f t="shared" si="50"/>
        <v>14.58</v>
      </c>
      <c r="G41" s="12">
        <f t="shared" si="50"/>
        <v>19.439999999999998</v>
      </c>
      <c r="H41" s="12">
        <f t="shared" si="50"/>
        <v>24.299999999999997</v>
      </c>
      <c r="I41" s="12">
        <f t="shared" si="50"/>
        <v>44.711999999999996</v>
      </c>
      <c r="J41" s="12">
        <f t="shared" si="50"/>
        <v>53.999459999999999</v>
      </c>
      <c r="K41" s="12">
        <f t="shared" si="50"/>
        <v>63.18</v>
      </c>
      <c r="L41" s="12">
        <f t="shared" si="50"/>
        <v>68.039999999999992</v>
      </c>
      <c r="M41" s="12">
        <f t="shared" si="50"/>
        <v>72.899999999999991</v>
      </c>
      <c r="N41" s="12">
        <f t="shared" si="50"/>
        <v>77.759999999999991</v>
      </c>
      <c r="O41" s="12">
        <f t="shared" si="50"/>
        <v>82.61999999999999</v>
      </c>
      <c r="P41" s="12">
        <f t="shared" si="50"/>
        <v>77.759999999999991</v>
      </c>
      <c r="Q41" s="12">
        <f t="shared" si="50"/>
        <v>72.899999999999991</v>
      </c>
      <c r="R41" s="12" t="str">
        <f t="shared" si="50"/>
        <v/>
      </c>
      <c r="S41" s="12" t="str">
        <f t="shared" si="50"/>
        <v/>
      </c>
      <c r="T41" s="12" t="str">
        <f t="shared" si="50"/>
        <v/>
      </c>
      <c r="U41" s="12" t="str">
        <f t="shared" si="50"/>
        <v/>
      </c>
      <c r="V41" s="12" t="str">
        <f t="shared" si="50"/>
        <v/>
      </c>
      <c r="W41" s="12" t="str">
        <f t="shared" si="50"/>
        <v/>
      </c>
      <c r="X41" s="14">
        <f>SUM(D41:W41)</f>
        <v>686.77145999999993</v>
      </c>
      <c r="Y41" s="911"/>
      <c r="Z41" s="911"/>
      <c r="AA41" s="911"/>
      <c r="AB41" s="911"/>
      <c r="AC41" s="911"/>
      <c r="AD41" s="911"/>
      <c r="AE41" s="911"/>
      <c r="AF41" s="911"/>
      <c r="AG41" s="904"/>
      <c r="AH41" s="904"/>
      <c r="AI41" s="904"/>
      <c r="AJ41" s="904"/>
      <c r="AK41" s="904"/>
    </row>
    <row r="42" spans="2:43" ht="22.5" customHeight="1">
      <c r="C42" s="926" t="str">
        <f>IF($S$16="개인기업", "(-) 소득세비용","(-) 법인세비용")</f>
        <v>(-) 법인세비용</v>
      </c>
      <c r="D42" s="15">
        <f>IFERROR(IF(D40="","",IF(D41&lt;=200,D41*$F$16,IF(AND(D41&gt;200,D41&lt;=20000),(D41-200)*$G$16+200*$F$16,(D41-20000)*$H$16+20000*$G$16))),"")</f>
        <v>0.48113999999999996</v>
      </c>
      <c r="E42" s="15">
        <f t="shared" ref="E42:W42" si="51">IFERROR(IF(E40="","",IF(E41&lt;=200,E41*$F$16,IF(AND(E41&gt;200,E41&lt;=20000),(E41-200)*$G$16+200*$F$16,(E41-20000)*$H$16+20000*$G$16))),"")</f>
        <v>0.96227999999999991</v>
      </c>
      <c r="F42" s="15">
        <f>IFERROR(IF(F40="","",IF(F41&lt;=200,F41*$F$16,IF(AND(F41&gt;200,F41&lt;=20000),(F41-200)*$G$16+200*$F$16,(F41-20000)*$H$16+20000*$G$16))),"")</f>
        <v>1.4434200000000001</v>
      </c>
      <c r="G42" s="15">
        <f t="shared" si="51"/>
        <v>1.9245599999999998</v>
      </c>
      <c r="H42" s="15">
        <f t="shared" si="51"/>
        <v>2.4056999999999999</v>
      </c>
      <c r="I42" s="15">
        <f>IFERROR(IF(I40="","",IF(I41&lt;=200,I41*$F$16,IF(AND(I41&gt;200,I41&lt;=20000),(I41-200)*$G$16+200*$F$16,(I41-20000)*$H$16+20000*$G$16))),"")</f>
        <v>4.426488</v>
      </c>
      <c r="J42" s="15">
        <f t="shared" si="51"/>
        <v>5.3459465399999999</v>
      </c>
      <c r="K42" s="15">
        <f t="shared" si="51"/>
        <v>6.2548200000000005</v>
      </c>
      <c r="L42" s="15">
        <f t="shared" si="51"/>
        <v>6.7359599999999995</v>
      </c>
      <c r="M42" s="15">
        <f t="shared" si="51"/>
        <v>7.2170999999999994</v>
      </c>
      <c r="N42" s="15">
        <f t="shared" si="51"/>
        <v>7.6982399999999993</v>
      </c>
      <c r="O42" s="15">
        <f t="shared" si="51"/>
        <v>8.1793800000000001</v>
      </c>
      <c r="P42" s="15">
        <f t="shared" si="51"/>
        <v>7.6982399999999993</v>
      </c>
      <c r="Q42" s="15">
        <f t="shared" ref="Q42" si="52">IFERROR(IF(Q40="","",IF(Q41&lt;=200,Q41*$F$16,IF(AND(Q41&gt;200,Q41&lt;=20000),(Q41-200)*$G$16+200*$F$16,(Q41-20000)*$H$16+20000*$G$16))),"")</f>
        <v>7.2170999999999994</v>
      </c>
      <c r="R42" s="15" t="str">
        <f t="shared" si="51"/>
        <v/>
      </c>
      <c r="S42" s="15" t="str">
        <f t="shared" ref="S42:U42" si="53">IFERROR(IF(S40="","",IF(S41&lt;=200,S41*$F$16,IF(AND(S41&gt;200,S41&lt;=20000),(S41-200)*$G$16+200*$F$16,(S41-20000)*$H$16+20000*$G$16))),"")</f>
        <v/>
      </c>
      <c r="T42" s="15" t="str">
        <f t="shared" ref="T42" si="54">IFERROR(IF(T40="","",IF(T41&lt;=200,T41*$F$16,IF(AND(T41&gt;200,T41&lt;=20000),(T41-200)*$G$16+200*$F$16,(T41-20000)*$H$16+20000*$G$16))),"")</f>
        <v/>
      </c>
      <c r="U42" s="15" t="str">
        <f t="shared" si="53"/>
        <v/>
      </c>
      <c r="V42" s="15" t="str">
        <f t="shared" si="51"/>
        <v/>
      </c>
      <c r="W42" s="15" t="str">
        <f t="shared" si="51"/>
        <v/>
      </c>
      <c r="X42" s="14">
        <f>SUM(D42:W42)</f>
        <v>67.990374540000005</v>
      </c>
      <c r="Y42" s="911"/>
      <c r="Z42" s="911"/>
      <c r="AA42" s="911"/>
      <c r="AB42" s="911"/>
      <c r="AC42" s="911"/>
      <c r="AD42" s="911"/>
      <c r="AE42" s="911"/>
      <c r="AF42" s="911"/>
      <c r="AG42" s="904"/>
      <c r="AH42" s="904"/>
      <c r="AI42" s="904"/>
      <c r="AJ42" s="904"/>
      <c r="AK42" s="904"/>
    </row>
    <row r="43" spans="2:43" s="904" customFormat="1" ht="22.5" customHeight="1">
      <c r="B43" s="8"/>
      <c r="C43" s="927" t="s">
        <v>1511</v>
      </c>
      <c r="D43" s="11">
        <f>IFERROR(D41-D42,"")</f>
        <v>4.3788599999999995</v>
      </c>
      <c r="E43" s="11">
        <f t="shared" ref="E43:W43" si="55">IFERROR(E41-E42,"")</f>
        <v>8.7577199999999991</v>
      </c>
      <c r="F43" s="11">
        <f t="shared" si="55"/>
        <v>13.13658</v>
      </c>
      <c r="G43" s="11">
        <f t="shared" si="55"/>
        <v>17.515439999999998</v>
      </c>
      <c r="H43" s="11">
        <f t="shared" si="55"/>
        <v>21.894299999999998</v>
      </c>
      <c r="I43" s="11">
        <f t="shared" si="55"/>
        <v>40.285511999999997</v>
      </c>
      <c r="J43" s="11">
        <f t="shared" si="55"/>
        <v>48.653513459999999</v>
      </c>
      <c r="K43" s="11">
        <f t="shared" si="55"/>
        <v>56.925179999999997</v>
      </c>
      <c r="L43" s="11">
        <f t="shared" si="55"/>
        <v>61.304039999999993</v>
      </c>
      <c r="M43" s="11">
        <f t="shared" si="55"/>
        <v>65.682899999999989</v>
      </c>
      <c r="N43" s="11">
        <f t="shared" si="55"/>
        <v>70.061759999999992</v>
      </c>
      <c r="O43" s="11">
        <f t="shared" si="55"/>
        <v>74.440619999999996</v>
      </c>
      <c r="P43" s="11">
        <f t="shared" si="55"/>
        <v>70.061759999999992</v>
      </c>
      <c r="Q43" s="11">
        <f t="shared" ref="Q43" si="56">IFERROR(Q41-Q42,"")</f>
        <v>65.682899999999989</v>
      </c>
      <c r="R43" s="11" t="str">
        <f t="shared" si="55"/>
        <v/>
      </c>
      <c r="S43" s="11" t="str">
        <f t="shared" ref="S43:U43" si="57">IFERROR(S41-S42,"")</f>
        <v/>
      </c>
      <c r="T43" s="11" t="str">
        <f t="shared" ref="T43" si="58">IFERROR(T41-T42,"")</f>
        <v/>
      </c>
      <c r="U43" s="11" t="str">
        <f t="shared" si="57"/>
        <v/>
      </c>
      <c r="V43" s="11" t="str">
        <f t="shared" si="55"/>
        <v/>
      </c>
      <c r="W43" s="11" t="str">
        <f t="shared" si="55"/>
        <v/>
      </c>
      <c r="X43" s="14">
        <f>SUM(D43:W43)</f>
        <v>618.78108545999999</v>
      </c>
      <c r="Y43" s="911"/>
      <c r="Z43" s="911"/>
      <c r="AA43" s="911"/>
      <c r="AB43" s="911"/>
      <c r="AC43" s="911"/>
      <c r="AD43" s="911"/>
      <c r="AE43" s="911"/>
      <c r="AF43" s="911"/>
      <c r="AH43" s="8"/>
      <c r="AI43" s="8"/>
      <c r="AJ43" s="8"/>
      <c r="AK43" s="8"/>
    </row>
    <row r="44" spans="2:43" s="904" customFormat="1" ht="22.5" customHeight="1">
      <c r="B44" s="8"/>
      <c r="C44" s="928" t="s">
        <v>175</v>
      </c>
      <c r="D44" s="18">
        <f ca="1">IF(D39&lt;&gt;"",1/((1+$P$16)^IF(INPUT!G11="회계연도",현금흐름!D1,현금흐름!D2)),"")</f>
        <v>0.85403279629987205</v>
      </c>
      <c r="E44" s="18">
        <f ca="1">IF(E39&lt;&gt;"",1/((1+$P$16)^IF(INPUT!H11="회계연도",현금흐름!E1,현금흐름!E2)),"")</f>
        <v>0.72905591956764315</v>
      </c>
      <c r="F44" s="18">
        <f ca="1">IF(F39&lt;&gt;"",1/((1+$P$16)^IF(INPUT!I11="회계연도",현금흐름!F1,현금흐름!F2)),"")</f>
        <v>0.62236782493536824</v>
      </c>
      <c r="G44" s="18">
        <f ca="1">IF(G39&lt;&gt;"",1/((1+$P$16)^IF(INPUT!J11="회계연도",현금흐름!G1,현금흐름!G2)),"")</f>
        <v>0.53129218091321306</v>
      </c>
      <c r="H44" s="18">
        <f ca="1">IF(H39&lt;&gt;"",1/((1+$P$16)^IF(INPUT!K11="회계연도",현금흐름!H1,현금흐름!H2)),"")</f>
        <v>0.45354430320820593</v>
      </c>
      <c r="I44" s="18">
        <f ca="1">IF(I39&lt;&gt;"",1/((1+$P$16)^IF(INPUT!L11="회계연도",현금흐름!I1,현금흐름!I2)),"")</f>
        <v>0.38717384212025263</v>
      </c>
      <c r="J44" s="18">
        <f ca="1">IF(J39&lt;&gt;"",1/((1+$P$16)^IF(INPUT!M11="회계연도",현금흐름!J1,현금흐름!J2)),"")</f>
        <v>0.33051585691143154</v>
      </c>
      <c r="K44" s="18">
        <f ca="1">IF(K39&lt;&gt;"",1/((1+$P$16)^IF(INPUT!O11="회계연도",현금흐름!K1,현금흐름!K2)),"")</f>
        <v>0.282149049821317</v>
      </c>
      <c r="L44" s="18">
        <f ca="1">IF(L39&lt;&gt;"",1/((1+$P$16)^IF(INPUT!P11="회계연도",현금흐름!L1,현금흐름!L2)),"")</f>
        <v>0.24086011200486709</v>
      </c>
      <c r="M44" s="18">
        <f ca="1">IF(M39&lt;&gt;"",1/((1+$P$16)^IF(INPUT!Q11="회계연도",현금흐름!M1,현금흐름!M2)),"")</f>
        <v>0.2056132869904638</v>
      </c>
      <c r="N44" s="18">
        <f ca="1">IF(N39&lt;&gt;"",1/((1+$P$16)^IF(INPUT!R10="회계연도",현금흐름!N1,현금흐름!N2)),"")</f>
        <v>0.17552438814015223</v>
      </c>
      <c r="O44" s="18">
        <f ca="1">IF(O39&lt;&gt;"",1/((1+$P$16)^IF(INPUT!S11="회계연도",현금흐름!O1,현금흐름!O2)),"")</f>
        <v>0.14983861832530163</v>
      </c>
      <c r="P44" s="18">
        <f ca="1">IF(P39&lt;&gt;"",1/((1+$P$16)^IF(INPUT!T11="회계연도",현금흐름!P1,현금흐름!P2)),"")</f>
        <v>0.1279116354116461</v>
      </c>
      <c r="Q44" s="18">
        <f ca="1">IF(Q39&lt;&gt;"",1/((1+$P$16)^IF(INPUT!U12="회계연도",현금흐름!Q1,현금흐름!Q2)),"")</f>
        <v>0.10919338857063601</v>
      </c>
      <c r="R44" s="18" t="str">
        <f>IF(R39&lt;&gt;"",1/((1+$P$16)^IF(INPUT!V11="회계연도",현금흐름!R1,현금흐름!R2)),"")</f>
        <v/>
      </c>
      <c r="S44" s="18" t="str">
        <f>IF(S39&lt;&gt;"",1/((1+$P$16)^IF(INPUT!W11="회계연도",현금흐름!S1,현금흐름!S2)),"")</f>
        <v/>
      </c>
      <c r="T44" s="18" t="str">
        <f>IF(T39&lt;&gt;"",1/((1+$P$16)^IF(INPUT!X11="회계연도",현금흐름!T1,현금흐름!T2)),"")</f>
        <v/>
      </c>
      <c r="U44" s="18" t="str">
        <f>IF(U39&lt;&gt;"",1/((1+$P$16)^IF(INPUT!Y11="회계연도",현금흐름!U1,현금흐름!U2)),"")</f>
        <v/>
      </c>
      <c r="V44" s="18" t="str">
        <f>IF(V39&lt;&gt;"",1/((1+$P$16)^IF(INPUT!Z11="회계연도",현금흐름!V1,현금흐름!V2)),"")</f>
        <v/>
      </c>
      <c r="W44" s="18" t="str">
        <f>IF(W39&lt;&gt;"",1/((1+$P$16)^IF(INPUT!AA11="회계연도",현금흐름!W1,현금흐름!W2)),"")</f>
        <v/>
      </c>
      <c r="X44" s="19"/>
      <c r="Y44" s="911"/>
      <c r="Z44" s="911"/>
      <c r="AA44" s="911"/>
      <c r="AB44" s="911"/>
      <c r="AC44" s="911"/>
      <c r="AD44" s="911"/>
      <c r="AE44" s="911"/>
      <c r="AF44" s="911"/>
      <c r="AH44" s="8"/>
      <c r="AI44" s="8"/>
      <c r="AJ44" s="8"/>
      <c r="AK44" s="8"/>
    </row>
    <row r="45" spans="2:43" s="904" customFormat="1" ht="38.25" customHeight="1" thickBot="1">
      <c r="B45" s="8"/>
      <c r="C45" s="929" t="s">
        <v>3141</v>
      </c>
      <c r="D45" s="20">
        <f ca="1">IFERROR(D43*D44,"")</f>
        <v>3.7396900504056574</v>
      </c>
      <c r="E45" s="20">
        <f t="shared" ref="E45:W45" ca="1" si="59">IFERROR(E43*E44,"")</f>
        <v>6.3848676079159388</v>
      </c>
      <c r="F45" s="20">
        <f t="shared" ca="1" si="59"/>
        <v>8.1757847216894604</v>
      </c>
      <c r="G45" s="20">
        <f t="shared" ca="1" si="59"/>
        <v>9.3058163172545267</v>
      </c>
      <c r="H45" s="20">
        <f t="shared" ca="1" si="59"/>
        <v>9.9300350377314217</v>
      </c>
      <c r="I45" s="20">
        <f t="shared" ca="1" si="59"/>
        <v>15.597496462821542</v>
      </c>
      <c r="J45" s="20">
        <f t="shared" ca="1" si="59"/>
        <v>16.080757692983767</v>
      </c>
      <c r="K45" s="20">
        <f t="shared" ca="1" si="59"/>
        <v>16.061385447907437</v>
      </c>
      <c r="L45" s="20">
        <f t="shared" ca="1" si="59"/>
        <v>14.765697940750851</v>
      </c>
      <c r="M45" s="20">
        <f t="shared" ca="1" si="59"/>
        <v>13.505276968065932</v>
      </c>
      <c r="N45" s="20">
        <f t="shared" ca="1" si="59"/>
        <v>12.29754755602219</v>
      </c>
      <c r="O45" s="20">
        <f t="shared" ca="1" si="59"/>
        <v>11.154079648078815</v>
      </c>
      <c r="P45" s="20">
        <f t="shared" ca="1" si="59"/>
        <v>8.9617143014182492</v>
      </c>
      <c r="Q45" s="20">
        <f t="shared" ref="Q45" ca="1" si="60">IFERROR(Q43*Q44,"")</f>
        <v>7.1721384221462268</v>
      </c>
      <c r="R45" s="20" t="str">
        <f t="shared" si="59"/>
        <v/>
      </c>
      <c r="S45" s="20" t="str">
        <f t="shared" ref="S45:U45" si="61">IFERROR(S43*S44,"")</f>
        <v/>
      </c>
      <c r="T45" s="20" t="str">
        <f t="shared" ref="T45" si="62">IFERROR(T43*T44,"")</f>
        <v/>
      </c>
      <c r="U45" s="20" t="str">
        <f t="shared" si="61"/>
        <v/>
      </c>
      <c r="V45" s="20" t="str">
        <f t="shared" si="59"/>
        <v/>
      </c>
      <c r="W45" s="20" t="str">
        <f t="shared" si="59"/>
        <v/>
      </c>
      <c r="X45" s="21">
        <f ca="1">SUM(D45:W45)</f>
        <v>153.13228817519203</v>
      </c>
      <c r="Y45" s="911"/>
      <c r="Z45" s="911"/>
      <c r="AA45" s="911"/>
      <c r="AB45" s="911"/>
      <c r="AC45" s="911"/>
      <c r="AD45" s="911"/>
      <c r="AE45" s="911"/>
      <c r="AF45" s="911"/>
      <c r="AG45" s="8"/>
      <c r="AH45" s="8"/>
      <c r="AI45" s="8"/>
      <c r="AJ45" s="8"/>
      <c r="AK45" s="8"/>
    </row>
    <row r="46" spans="2:43" ht="17.25" customHeight="1" thickBot="1">
      <c r="B46" s="930"/>
      <c r="C46" s="911"/>
      <c r="D46" s="911"/>
      <c r="E46" s="911"/>
      <c r="F46" s="911"/>
      <c r="G46" s="911"/>
      <c r="H46" s="911"/>
      <c r="I46" s="911"/>
      <c r="J46" s="911"/>
      <c r="K46" s="911"/>
      <c r="L46" s="911"/>
    </row>
    <row r="47" spans="2:43" ht="25.5" customHeight="1">
      <c r="B47" s="930"/>
      <c r="C47" s="1274" t="s">
        <v>1658</v>
      </c>
      <c r="D47" s="931" t="s">
        <v>1659</v>
      </c>
      <c r="E47" s="1279" t="s">
        <v>1428</v>
      </c>
      <c r="F47" s="1280"/>
      <c r="G47" s="1281" t="s">
        <v>1164</v>
      </c>
      <c r="H47" s="1282"/>
      <c r="I47" s="1283"/>
      <c r="K47" s="8"/>
    </row>
    <row r="48" spans="2:43" ht="35.25" customHeight="1">
      <c r="B48" s="930"/>
      <c r="C48" s="1275"/>
      <c r="D48" s="932" t="s">
        <v>1641</v>
      </c>
      <c r="E48" s="933" t="s">
        <v>1642</v>
      </c>
      <c r="F48" s="934" t="s">
        <v>1643</v>
      </c>
      <c r="G48" s="935" t="s">
        <v>2696</v>
      </c>
      <c r="H48" s="936" t="s">
        <v>1645</v>
      </c>
      <c r="I48" s="937" t="s">
        <v>1646</v>
      </c>
      <c r="K48" s="8"/>
    </row>
    <row r="49" spans="1:31" ht="27" customHeight="1" thickBot="1">
      <c r="B49" s="930"/>
      <c r="C49" s="938" t="s">
        <v>1657</v>
      </c>
      <c r="D49" s="939">
        <f ca="1">VLOOKUP(현금흐름!D48,재무!$B:$N,7+INPUT!$R$74,0)</f>
        <v>4.0000000000000001E-3</v>
      </c>
      <c r="E49" s="940">
        <f ca="1">VLOOKUP(현금흐름!E48,재무!$B:$N,7+INPUT!$R$74,0)</f>
        <v>0.91400000000000003</v>
      </c>
      <c r="F49" s="941">
        <f ca="1">VLOOKUP(현금흐름!F48,재무!$B:$N,7+INPUT!$R$74,0)</f>
        <v>0.495</v>
      </c>
      <c r="G49" s="942">
        <f ca="1">VLOOKUP(현금흐름!$G$48,재무!B:N,7+INPUT!$R$74,0)</f>
        <v>6.31</v>
      </c>
      <c r="H49" s="943">
        <f ca="1">VLOOKUP(현금흐름!$H$48,재무!B:N,7+INPUT!$R$74,0)</f>
        <v>16.54</v>
      </c>
      <c r="I49" s="944">
        <f ca="1">VLOOKUP(현금흐름!$I$48,재무!B:N,7+INPUT!$R$74,0)</f>
        <v>8.1300000000000008</v>
      </c>
      <c r="K49" s="8"/>
      <c r="P49" s="660">
        <v>2</v>
      </c>
      <c r="Q49" s="660">
        <v>2</v>
      </c>
      <c r="R49" s="660">
        <v>2</v>
      </c>
      <c r="S49" s="660">
        <v>2</v>
      </c>
      <c r="T49" s="660">
        <v>2</v>
      </c>
      <c r="U49" s="1016"/>
      <c r="AE49" s="945"/>
    </row>
    <row r="50" spans="1:31" ht="25.5" customHeight="1" thickTop="1" thickBot="1">
      <c r="B50" s="930"/>
      <c r="C50" s="946" t="s">
        <v>1625</v>
      </c>
      <c r="D50" s="947"/>
      <c r="E50" s="948"/>
      <c r="F50" s="949"/>
      <c r="G50" s="949"/>
      <c r="H50" s="949"/>
      <c r="I50" s="949"/>
      <c r="K50" s="1272" t="s">
        <v>3244</v>
      </c>
      <c r="L50" s="1272"/>
      <c r="P50" s="660" t="s">
        <v>2973</v>
      </c>
      <c r="Q50" s="1284" t="s">
        <v>2975</v>
      </c>
      <c r="R50" s="1285"/>
      <c r="S50" s="1285"/>
      <c r="T50" s="1285"/>
      <c r="U50" s="1017"/>
    </row>
    <row r="51" spans="1:31" ht="17.25" customHeight="1" thickBot="1">
      <c r="A51" s="8">
        <v>1</v>
      </c>
      <c r="K51" s="1273"/>
      <c r="L51" s="1273"/>
      <c r="P51" s="660" t="s">
        <v>2972</v>
      </c>
      <c r="Q51" s="951">
        <v>10</v>
      </c>
      <c r="R51" s="951">
        <v>5</v>
      </c>
      <c r="S51" s="952">
        <v>10</v>
      </c>
      <c r="T51" s="950">
        <v>2.5</v>
      </c>
    </row>
    <row r="52" spans="1:31" ht="39" customHeight="1">
      <c r="A52" s="953">
        <v>1</v>
      </c>
      <c r="C52" s="954" t="s">
        <v>1165</v>
      </c>
      <c r="D52" s="955" t="s">
        <v>1161</v>
      </c>
      <c r="E52" s="956" t="s">
        <v>1162</v>
      </c>
      <c r="F52" s="957" t="s">
        <v>2465</v>
      </c>
      <c r="G52" s="955" t="s">
        <v>3245</v>
      </c>
      <c r="H52" s="958" t="s">
        <v>3246</v>
      </c>
      <c r="I52" s="959" t="s">
        <v>2971</v>
      </c>
      <c r="J52" s="960" t="s">
        <v>2974</v>
      </c>
      <c r="K52" s="960" t="s">
        <v>2967</v>
      </c>
      <c r="L52" s="960" t="s">
        <v>2968</v>
      </c>
      <c r="M52" s="960" t="s">
        <v>2969</v>
      </c>
      <c r="N52" s="960" t="s">
        <v>1399</v>
      </c>
      <c r="O52" s="960" t="s">
        <v>2970</v>
      </c>
      <c r="P52" s="959" t="s">
        <v>1163</v>
      </c>
      <c r="Q52" s="961" t="s">
        <v>2967</v>
      </c>
      <c r="R52" s="961" t="s">
        <v>2968</v>
      </c>
      <c r="S52" s="961" t="s">
        <v>2969</v>
      </c>
      <c r="T52" s="961" t="s">
        <v>1399</v>
      </c>
      <c r="U52" s="962" t="s">
        <v>2970</v>
      </c>
    </row>
    <row r="53" spans="1:31" ht="21" customHeight="1">
      <c r="C53" s="963" t="s">
        <v>220</v>
      </c>
      <c r="D53" s="964">
        <f>IFERROR(HLOOKUP(C53,$D$19:$W$20,2,0),"")</f>
        <v>1000</v>
      </c>
      <c r="E53" s="965">
        <f>D53</f>
        <v>1000</v>
      </c>
      <c r="F53" s="1018">
        <f ca="1">IFERROR($D53*$D$49,"")</f>
        <v>4</v>
      </c>
      <c r="G53" s="1012">
        <f ca="1">IFERROR(($E53/$E$49)*$F$49+$F53,"")</f>
        <v>545.57549234135661</v>
      </c>
      <c r="H53" s="1013">
        <f ca="1">IFERROR(E53/$G$49-E53/$H$49+E53/$I$49,"")</f>
        <v>221.02034326030667</v>
      </c>
      <c r="I53" s="963" t="s">
        <v>220</v>
      </c>
      <c r="J53" s="966"/>
      <c r="K53" s="966"/>
      <c r="L53" s="966"/>
      <c r="M53" s="966"/>
      <c r="N53" s="966"/>
      <c r="O53" s="966" t="str">
        <f>IF(SUM(J53:N53)=0,"",SUM(J53:N53))</f>
        <v/>
      </c>
      <c r="P53" s="963" t="s">
        <v>220</v>
      </c>
      <c r="Q53" s="967"/>
      <c r="R53" s="967"/>
      <c r="S53" s="967"/>
      <c r="T53" s="967"/>
      <c r="U53" s="966" t="str">
        <f>IF(SUM(Q53:T53)=0,"",SUM(Q53:T53))</f>
        <v/>
      </c>
      <c r="AA53" s="968">
        <f ca="1">IFERROR($D53*$D$49,"")</f>
        <v>4</v>
      </c>
      <c r="AB53" s="964">
        <f ca="1">IFERROR(($E53/$E$49)*$F$49+$F53,"")</f>
        <v>545.57549234135661</v>
      </c>
    </row>
    <row r="54" spans="1:31" ht="21" customHeight="1">
      <c r="C54" s="969" t="s">
        <v>221</v>
      </c>
      <c r="D54" s="966">
        <f t="shared" ref="D54:D73" si="63">IFERROR(HLOOKUP(C54,$D$19:$W$20,2,0),"")</f>
        <v>2000</v>
      </c>
      <c r="E54" s="970">
        <f t="shared" ref="E54:E73" si="64">IF(D54="","",D54-D53)</f>
        <v>1000</v>
      </c>
      <c r="F54" s="1019">
        <f t="shared" ref="F54:F73" ca="1" si="65">IFERROR($D54*$D$49,"")</f>
        <v>8</v>
      </c>
      <c r="G54" s="1014">
        <f t="shared" ref="G54:G73" ca="1" si="66">IFERROR(($E54/$E$49)*$F$49+$F54,"")</f>
        <v>549.57549234135661</v>
      </c>
      <c r="H54" s="1015">
        <f t="shared" ref="H54:H73" ca="1" si="67">IFERROR(E54/$G$49-E54/$H$49+E54/$I$49,"")</f>
        <v>221.02034326030667</v>
      </c>
      <c r="I54" s="969" t="s">
        <v>221</v>
      </c>
      <c r="J54" s="966"/>
      <c r="K54" s="966"/>
      <c r="L54" s="966"/>
      <c r="M54" s="966"/>
      <c r="N54" s="966"/>
      <c r="O54" s="966" t="str">
        <f t="shared" ref="O54:O73" si="68">IF(SUM(J54:N54)=0,"",SUM(J54:N54))</f>
        <v/>
      </c>
      <c r="P54" s="969" t="s">
        <v>221</v>
      </c>
      <c r="Q54" s="967"/>
      <c r="R54" s="967"/>
      <c r="S54" s="967"/>
      <c r="T54" s="967"/>
      <c r="U54" s="966" t="str">
        <f t="shared" ref="U54:U73" si="69">IF(SUM(Q54:T54)=0,"",SUM(Q54:T54))</f>
        <v/>
      </c>
      <c r="AA54" s="953">
        <f t="shared" ref="AA54:AA73" ca="1" si="70">IFERROR($D54*$D$49,"")</f>
        <v>8</v>
      </c>
      <c r="AB54" s="966">
        <f t="shared" ref="AB54:AB73" ca="1" si="71">IFERROR(($E54/$E$49)*$F$49+$F54,"")</f>
        <v>549.57549234135661</v>
      </c>
    </row>
    <row r="55" spans="1:31" ht="21" customHeight="1">
      <c r="C55" s="969" t="s">
        <v>159</v>
      </c>
      <c r="D55" s="966">
        <f t="shared" si="63"/>
        <v>3000</v>
      </c>
      <c r="E55" s="970">
        <f t="shared" si="64"/>
        <v>1000</v>
      </c>
      <c r="F55" s="1019">
        <f t="shared" ca="1" si="65"/>
        <v>12</v>
      </c>
      <c r="G55" s="1014">
        <f t="shared" ca="1" si="66"/>
        <v>553.57549234135661</v>
      </c>
      <c r="H55" s="1015">
        <f t="shared" ca="1" si="67"/>
        <v>221.02034326030667</v>
      </c>
      <c r="I55" s="969" t="s">
        <v>159</v>
      </c>
      <c r="J55" s="966"/>
      <c r="K55" s="966"/>
      <c r="L55" s="966"/>
      <c r="M55" s="966"/>
      <c r="N55" s="966"/>
      <c r="O55" s="966" t="str">
        <f t="shared" si="68"/>
        <v/>
      </c>
      <c r="P55" s="969" t="s">
        <v>159</v>
      </c>
      <c r="Q55" s="967"/>
      <c r="R55" s="967"/>
      <c r="S55" s="967"/>
      <c r="T55" s="967"/>
      <c r="U55" s="966" t="str">
        <f t="shared" si="69"/>
        <v/>
      </c>
      <c r="AA55" s="953">
        <f t="shared" ca="1" si="70"/>
        <v>12</v>
      </c>
      <c r="AB55" s="966">
        <f t="shared" ca="1" si="71"/>
        <v>553.57549234135661</v>
      </c>
    </row>
    <row r="56" spans="1:31" ht="21" customHeight="1">
      <c r="C56" s="969" t="s">
        <v>160</v>
      </c>
      <c r="D56" s="966">
        <f t="shared" si="63"/>
        <v>4000</v>
      </c>
      <c r="E56" s="970">
        <f t="shared" si="64"/>
        <v>1000</v>
      </c>
      <c r="F56" s="1019">
        <f t="shared" ca="1" si="65"/>
        <v>16</v>
      </c>
      <c r="G56" s="1014">
        <f t="shared" ca="1" si="66"/>
        <v>557.57549234135661</v>
      </c>
      <c r="H56" s="1015">
        <f t="shared" ca="1" si="67"/>
        <v>221.02034326030667</v>
      </c>
      <c r="I56" s="969" t="s">
        <v>160</v>
      </c>
      <c r="J56" s="966"/>
      <c r="K56" s="966"/>
      <c r="L56" s="966"/>
      <c r="M56" s="966"/>
      <c r="N56" s="966"/>
      <c r="O56" s="966" t="str">
        <f t="shared" si="68"/>
        <v/>
      </c>
      <c r="P56" s="969" t="s">
        <v>160</v>
      </c>
      <c r="Q56" s="967"/>
      <c r="R56" s="967"/>
      <c r="S56" s="967"/>
      <c r="T56" s="967"/>
      <c r="U56" s="966" t="str">
        <f t="shared" si="69"/>
        <v/>
      </c>
      <c r="AA56" s="953">
        <f t="shared" ca="1" si="70"/>
        <v>16</v>
      </c>
      <c r="AB56" s="966">
        <f t="shared" ca="1" si="71"/>
        <v>557.57549234135661</v>
      </c>
    </row>
    <row r="57" spans="1:31" ht="21" customHeight="1">
      <c r="C57" s="969" t="s">
        <v>161</v>
      </c>
      <c r="D57" s="966">
        <f t="shared" si="63"/>
        <v>5000</v>
      </c>
      <c r="E57" s="970">
        <f t="shared" si="64"/>
        <v>1000</v>
      </c>
      <c r="F57" s="1019">
        <f t="shared" ca="1" si="65"/>
        <v>20</v>
      </c>
      <c r="G57" s="1014">
        <f t="shared" ca="1" si="66"/>
        <v>561.57549234135661</v>
      </c>
      <c r="H57" s="1015">
        <f t="shared" ca="1" si="67"/>
        <v>221.02034326030667</v>
      </c>
      <c r="I57" s="969" t="s">
        <v>161</v>
      </c>
      <c r="J57" s="966"/>
      <c r="K57" s="966"/>
      <c r="L57" s="966"/>
      <c r="M57" s="966"/>
      <c r="N57" s="966"/>
      <c r="O57" s="966" t="str">
        <f t="shared" si="68"/>
        <v/>
      </c>
      <c r="P57" s="969" t="s">
        <v>161</v>
      </c>
      <c r="Q57" s="967"/>
      <c r="R57" s="967"/>
      <c r="S57" s="967"/>
      <c r="T57" s="967"/>
      <c r="U57" s="966" t="str">
        <f t="shared" si="69"/>
        <v/>
      </c>
      <c r="AA57" s="953">
        <f t="shared" ca="1" si="70"/>
        <v>20</v>
      </c>
      <c r="AB57" s="966">
        <f t="shared" ca="1" si="71"/>
        <v>561.57549234135661</v>
      </c>
    </row>
    <row r="58" spans="1:31" ht="21" customHeight="1">
      <c r="C58" s="969" t="s">
        <v>162</v>
      </c>
      <c r="D58" s="966">
        <f t="shared" si="63"/>
        <v>9200</v>
      </c>
      <c r="E58" s="970">
        <f t="shared" si="64"/>
        <v>4200</v>
      </c>
      <c r="F58" s="1019">
        <f t="shared" ca="1" si="65"/>
        <v>36.800000000000004</v>
      </c>
      <c r="G58" s="1014">
        <f t="shared" ca="1" si="66"/>
        <v>2311.4170678336982</v>
      </c>
      <c r="H58" s="1015">
        <f t="shared" ca="1" si="67"/>
        <v>928.28544169328813</v>
      </c>
      <c r="I58" s="969" t="s">
        <v>162</v>
      </c>
      <c r="J58" s="966"/>
      <c r="K58" s="966"/>
      <c r="L58" s="966"/>
      <c r="M58" s="966"/>
      <c r="N58" s="966"/>
      <c r="O58" s="966" t="str">
        <f t="shared" si="68"/>
        <v/>
      </c>
      <c r="P58" s="969" t="s">
        <v>162</v>
      </c>
      <c r="Q58" s="967"/>
      <c r="R58" s="967"/>
      <c r="S58" s="967"/>
      <c r="T58" s="967"/>
      <c r="U58" s="966" t="str">
        <f t="shared" si="69"/>
        <v/>
      </c>
      <c r="AA58" s="953">
        <f t="shared" ca="1" si="70"/>
        <v>36.800000000000004</v>
      </c>
      <c r="AB58" s="966">
        <f t="shared" ca="1" si="71"/>
        <v>2311.4170678336982</v>
      </c>
    </row>
    <row r="59" spans="1:31" ht="21" customHeight="1">
      <c r="C59" s="969" t="s">
        <v>222</v>
      </c>
      <c r="D59" s="966">
        <f t="shared" si="63"/>
        <v>11111</v>
      </c>
      <c r="E59" s="970">
        <f t="shared" si="64"/>
        <v>1911</v>
      </c>
      <c r="F59" s="1019">
        <f t="shared" ca="1" si="65"/>
        <v>44.444000000000003</v>
      </c>
      <c r="G59" s="1014">
        <f t="shared" ca="1" si="66"/>
        <v>1079.3947658643324</v>
      </c>
      <c r="H59" s="1015">
        <f t="shared" ca="1" si="67"/>
        <v>422.36987597044606</v>
      </c>
      <c r="I59" s="969" t="s">
        <v>222</v>
      </c>
      <c r="J59" s="966"/>
      <c r="K59" s="966"/>
      <c r="L59" s="966"/>
      <c r="M59" s="966"/>
      <c r="N59" s="966"/>
      <c r="O59" s="966" t="str">
        <f t="shared" si="68"/>
        <v/>
      </c>
      <c r="P59" s="969" t="s">
        <v>222</v>
      </c>
      <c r="Q59" s="967"/>
      <c r="R59" s="967"/>
      <c r="S59" s="967"/>
      <c r="T59" s="967"/>
      <c r="U59" s="966" t="str">
        <f t="shared" si="69"/>
        <v/>
      </c>
      <c r="AA59" s="953">
        <f t="shared" ca="1" si="70"/>
        <v>44.444000000000003</v>
      </c>
      <c r="AB59" s="966">
        <f t="shared" ca="1" si="71"/>
        <v>1079.3947658643324</v>
      </c>
    </row>
    <row r="60" spans="1:31" ht="21" customHeight="1">
      <c r="C60" s="969" t="s">
        <v>223</v>
      </c>
      <c r="D60" s="966">
        <f t="shared" si="63"/>
        <v>13000</v>
      </c>
      <c r="E60" s="970">
        <f t="shared" si="64"/>
        <v>1889</v>
      </c>
      <c r="F60" s="1019">
        <f t="shared" ca="1" si="65"/>
        <v>52</v>
      </c>
      <c r="G60" s="1014">
        <f t="shared" ca="1" si="66"/>
        <v>1075.0361050328229</v>
      </c>
      <c r="H60" s="1015">
        <f t="shared" ca="1" si="67"/>
        <v>417.50742841871931</v>
      </c>
      <c r="I60" s="969" t="s">
        <v>223</v>
      </c>
      <c r="J60" s="966"/>
      <c r="K60" s="966"/>
      <c r="L60" s="966"/>
      <c r="M60" s="966"/>
      <c r="N60" s="966"/>
      <c r="O60" s="966" t="str">
        <f t="shared" si="68"/>
        <v/>
      </c>
      <c r="P60" s="969" t="s">
        <v>223</v>
      </c>
      <c r="Q60" s="967"/>
      <c r="R60" s="967"/>
      <c r="S60" s="967"/>
      <c r="T60" s="967"/>
      <c r="U60" s="966" t="str">
        <f t="shared" si="69"/>
        <v/>
      </c>
      <c r="AA60" s="953">
        <f t="shared" ca="1" si="70"/>
        <v>52</v>
      </c>
      <c r="AB60" s="966">
        <f t="shared" ca="1" si="71"/>
        <v>1075.0361050328229</v>
      </c>
    </row>
    <row r="61" spans="1:31" ht="21" customHeight="1">
      <c r="C61" s="969" t="s">
        <v>224</v>
      </c>
      <c r="D61" s="966">
        <f t="shared" ref="D61:D65" si="72">IFERROR(HLOOKUP(C61,$D$19:$W$20,2,0),"")</f>
        <v>14000</v>
      </c>
      <c r="E61" s="970">
        <f t="shared" si="64"/>
        <v>1000</v>
      </c>
      <c r="F61" s="1019">
        <f t="shared" ca="1" si="65"/>
        <v>56</v>
      </c>
      <c r="G61" s="1014">
        <f t="shared" ca="1" si="66"/>
        <v>597.57549234135661</v>
      </c>
      <c r="H61" s="1015">
        <f t="shared" ca="1" si="67"/>
        <v>221.02034326030667</v>
      </c>
      <c r="I61" s="969" t="s">
        <v>224</v>
      </c>
      <c r="J61" s="966"/>
      <c r="K61" s="966"/>
      <c r="L61" s="966"/>
      <c r="M61" s="966"/>
      <c r="N61" s="966"/>
      <c r="O61" s="966" t="str">
        <f t="shared" si="68"/>
        <v/>
      </c>
      <c r="P61" s="969" t="s">
        <v>224</v>
      </c>
      <c r="Q61" s="967"/>
      <c r="R61" s="967"/>
      <c r="S61" s="967"/>
      <c r="T61" s="967"/>
      <c r="U61" s="966" t="str">
        <f t="shared" si="69"/>
        <v/>
      </c>
      <c r="AA61" s="953">
        <f t="shared" ca="1" si="70"/>
        <v>56</v>
      </c>
      <c r="AB61" s="966">
        <f t="shared" ca="1" si="71"/>
        <v>597.57549234135661</v>
      </c>
    </row>
    <row r="62" spans="1:31" ht="21" customHeight="1">
      <c r="C62" s="969" t="s">
        <v>225</v>
      </c>
      <c r="D62" s="966">
        <f t="shared" si="72"/>
        <v>15000</v>
      </c>
      <c r="E62" s="970">
        <f t="shared" si="64"/>
        <v>1000</v>
      </c>
      <c r="F62" s="1019">
        <f t="shared" ca="1" si="65"/>
        <v>60</v>
      </c>
      <c r="G62" s="1014">
        <f t="shared" ca="1" si="66"/>
        <v>601.57549234135661</v>
      </c>
      <c r="H62" s="971">
        <f t="shared" ca="1" si="67"/>
        <v>221.02034326030667</v>
      </c>
      <c r="I62" s="969" t="s">
        <v>225</v>
      </c>
      <c r="J62" s="966"/>
      <c r="K62" s="966"/>
      <c r="L62" s="966"/>
      <c r="M62" s="966"/>
      <c r="N62" s="966"/>
      <c r="O62" s="966" t="str">
        <f t="shared" si="68"/>
        <v/>
      </c>
      <c r="P62" s="969" t="s">
        <v>225</v>
      </c>
      <c r="Q62" s="967"/>
      <c r="R62" s="967"/>
      <c r="S62" s="967"/>
      <c r="T62" s="967"/>
      <c r="U62" s="966" t="str">
        <f t="shared" si="69"/>
        <v/>
      </c>
      <c r="AA62" s="953">
        <f t="shared" ca="1" si="70"/>
        <v>60</v>
      </c>
      <c r="AB62" s="966">
        <f t="shared" ca="1" si="71"/>
        <v>601.57549234135661</v>
      </c>
    </row>
    <row r="63" spans="1:31" ht="21" customHeight="1">
      <c r="C63" s="969" t="s">
        <v>1156</v>
      </c>
      <c r="D63" s="966">
        <f t="shared" si="72"/>
        <v>16000</v>
      </c>
      <c r="E63" s="970">
        <f t="shared" si="64"/>
        <v>1000</v>
      </c>
      <c r="F63" s="1019">
        <f t="shared" ca="1" si="65"/>
        <v>64</v>
      </c>
      <c r="G63" s="1014">
        <f t="shared" ca="1" si="66"/>
        <v>605.57549234135661</v>
      </c>
      <c r="H63" s="971">
        <f t="shared" ca="1" si="67"/>
        <v>221.02034326030667</v>
      </c>
      <c r="I63" s="969" t="s">
        <v>1156</v>
      </c>
      <c r="J63" s="966"/>
      <c r="K63" s="966"/>
      <c r="L63" s="966"/>
      <c r="M63" s="966"/>
      <c r="N63" s="966"/>
      <c r="O63" s="966" t="str">
        <f t="shared" si="68"/>
        <v/>
      </c>
      <c r="P63" s="969" t="s">
        <v>1156</v>
      </c>
      <c r="Q63" s="967"/>
      <c r="R63" s="967"/>
      <c r="S63" s="967"/>
      <c r="T63" s="967"/>
      <c r="U63" s="966" t="str">
        <f t="shared" si="69"/>
        <v/>
      </c>
      <c r="AA63" s="953">
        <f t="shared" ca="1" si="70"/>
        <v>64</v>
      </c>
      <c r="AB63" s="966">
        <f t="shared" ca="1" si="71"/>
        <v>605.57549234135661</v>
      </c>
    </row>
    <row r="64" spans="1:31" ht="21" customHeight="1">
      <c r="C64" s="969" t="s">
        <v>1157</v>
      </c>
      <c r="D64" s="966">
        <f t="shared" si="72"/>
        <v>17000</v>
      </c>
      <c r="E64" s="970">
        <f t="shared" si="64"/>
        <v>1000</v>
      </c>
      <c r="F64" s="1019">
        <f t="shared" ca="1" si="65"/>
        <v>68</v>
      </c>
      <c r="G64" s="1014">
        <f t="shared" ca="1" si="66"/>
        <v>609.57549234135661</v>
      </c>
      <c r="H64" s="971">
        <f t="shared" ca="1" si="67"/>
        <v>221.02034326030667</v>
      </c>
      <c r="I64" s="969" t="s">
        <v>1157</v>
      </c>
      <c r="J64" s="966"/>
      <c r="K64" s="966"/>
      <c r="L64" s="966"/>
      <c r="M64" s="966"/>
      <c r="N64" s="966"/>
      <c r="O64" s="966" t="str">
        <f t="shared" si="68"/>
        <v/>
      </c>
      <c r="P64" s="969" t="s">
        <v>1157</v>
      </c>
      <c r="Q64" s="967"/>
      <c r="R64" s="967"/>
      <c r="S64" s="967"/>
      <c r="T64" s="967"/>
      <c r="U64" s="966" t="str">
        <f t="shared" si="69"/>
        <v/>
      </c>
      <c r="AA64" s="953">
        <f t="shared" ca="1" si="70"/>
        <v>68</v>
      </c>
      <c r="AB64" s="966">
        <f t="shared" ca="1" si="71"/>
        <v>609.57549234135661</v>
      </c>
    </row>
    <row r="65" spans="2:32" ht="21" customHeight="1">
      <c r="C65" s="969" t="s">
        <v>1158</v>
      </c>
      <c r="D65" s="966">
        <f t="shared" si="72"/>
        <v>16000</v>
      </c>
      <c r="E65" s="970">
        <f t="shared" si="64"/>
        <v>-1000</v>
      </c>
      <c r="F65" s="1019">
        <f t="shared" ca="1" si="65"/>
        <v>64</v>
      </c>
      <c r="G65" s="1014">
        <f t="shared" ca="1" si="66"/>
        <v>-477.57549234135661</v>
      </c>
      <c r="H65" s="971">
        <f t="shared" ca="1" si="67"/>
        <v>-221.02034326030667</v>
      </c>
      <c r="I65" s="969" t="s">
        <v>1158</v>
      </c>
      <c r="J65" s="966"/>
      <c r="K65" s="966"/>
      <c r="L65" s="966"/>
      <c r="M65" s="966"/>
      <c r="N65" s="966"/>
      <c r="O65" s="966" t="str">
        <f t="shared" si="68"/>
        <v/>
      </c>
      <c r="P65" s="969" t="s">
        <v>1158</v>
      </c>
      <c r="Q65" s="967"/>
      <c r="R65" s="967"/>
      <c r="S65" s="967"/>
      <c r="T65" s="967"/>
      <c r="U65" s="966" t="str">
        <f t="shared" si="69"/>
        <v/>
      </c>
      <c r="AA65" s="953">
        <f t="shared" ca="1" si="70"/>
        <v>64</v>
      </c>
      <c r="AB65" s="966">
        <f t="shared" ca="1" si="71"/>
        <v>-477.57549234135661</v>
      </c>
    </row>
    <row r="66" spans="2:32" ht="21" customHeight="1">
      <c r="C66" s="969" t="s">
        <v>1159</v>
      </c>
      <c r="D66" s="966">
        <f t="shared" si="63"/>
        <v>15000</v>
      </c>
      <c r="E66" s="970">
        <f t="shared" si="64"/>
        <v>-1000</v>
      </c>
      <c r="F66" s="1019">
        <f t="shared" ca="1" si="65"/>
        <v>60</v>
      </c>
      <c r="G66" s="1014">
        <f t="shared" ca="1" si="66"/>
        <v>-481.57549234135661</v>
      </c>
      <c r="H66" s="971">
        <f t="shared" ca="1" si="67"/>
        <v>-221.02034326030667</v>
      </c>
      <c r="I66" s="969" t="s">
        <v>1159</v>
      </c>
      <c r="J66" s="966"/>
      <c r="K66" s="966"/>
      <c r="L66" s="966"/>
      <c r="M66" s="966"/>
      <c r="N66" s="966"/>
      <c r="O66" s="966" t="str">
        <f t="shared" si="68"/>
        <v/>
      </c>
      <c r="P66" s="969" t="s">
        <v>1159</v>
      </c>
      <c r="Q66" s="967"/>
      <c r="R66" s="967"/>
      <c r="S66" s="967"/>
      <c r="T66" s="967"/>
      <c r="U66" s="966" t="str">
        <f t="shared" si="69"/>
        <v/>
      </c>
      <c r="AA66" s="953">
        <f t="shared" ca="1" si="70"/>
        <v>60</v>
      </c>
      <c r="AB66" s="966">
        <f t="shared" ca="1" si="71"/>
        <v>-481.57549234135661</v>
      </c>
    </row>
    <row r="67" spans="2:32" ht="21" customHeight="1">
      <c r="C67" s="969" t="s">
        <v>1160</v>
      </c>
      <c r="D67" s="966" t="str">
        <f t="shared" si="63"/>
        <v/>
      </c>
      <c r="E67" s="970" t="str">
        <f t="shared" si="64"/>
        <v/>
      </c>
      <c r="F67" s="1019" t="str">
        <f t="shared" ca="1" si="65"/>
        <v/>
      </c>
      <c r="G67" s="1014" t="str">
        <f t="shared" ca="1" si="66"/>
        <v/>
      </c>
      <c r="H67" s="971" t="str">
        <f t="shared" ca="1" si="67"/>
        <v/>
      </c>
      <c r="I67" s="969" t="s">
        <v>1160</v>
      </c>
      <c r="J67" s="966"/>
      <c r="K67" s="966"/>
      <c r="L67" s="966"/>
      <c r="M67" s="966"/>
      <c r="N67" s="966"/>
      <c r="O67" s="966" t="str">
        <f t="shared" si="68"/>
        <v/>
      </c>
      <c r="P67" s="969" t="s">
        <v>1160</v>
      </c>
      <c r="Q67" s="967"/>
      <c r="R67" s="967"/>
      <c r="S67" s="967"/>
      <c r="T67" s="967"/>
      <c r="U67" s="966" t="str">
        <f t="shared" si="69"/>
        <v/>
      </c>
      <c r="AA67" s="953" t="str">
        <f t="shared" ca="1" si="70"/>
        <v/>
      </c>
      <c r="AB67" s="966" t="str">
        <f t="shared" ca="1" si="71"/>
        <v/>
      </c>
    </row>
    <row r="68" spans="2:32" ht="21" customHeight="1">
      <c r="C68" s="969" t="s">
        <v>1538</v>
      </c>
      <c r="D68" s="966" t="str">
        <f t="shared" si="63"/>
        <v/>
      </c>
      <c r="E68" s="970" t="str">
        <f t="shared" si="64"/>
        <v/>
      </c>
      <c r="F68" s="1019" t="str">
        <f t="shared" ca="1" si="65"/>
        <v/>
      </c>
      <c r="G68" s="1014" t="str">
        <f t="shared" ca="1" si="66"/>
        <v/>
      </c>
      <c r="H68" s="971" t="str">
        <f t="shared" ca="1" si="67"/>
        <v/>
      </c>
      <c r="I68" s="969" t="s">
        <v>1538</v>
      </c>
      <c r="J68" s="966"/>
      <c r="K68" s="966"/>
      <c r="L68" s="966"/>
      <c r="M68" s="966"/>
      <c r="N68" s="966"/>
      <c r="O68" s="966" t="str">
        <f t="shared" si="68"/>
        <v/>
      </c>
      <c r="P68" s="969" t="s">
        <v>1538</v>
      </c>
      <c r="Q68" s="967"/>
      <c r="R68" s="967"/>
      <c r="S68" s="967"/>
      <c r="T68" s="967"/>
      <c r="U68" s="966" t="str">
        <f t="shared" si="69"/>
        <v/>
      </c>
      <c r="AA68" s="953" t="str">
        <f t="shared" ca="1" si="70"/>
        <v/>
      </c>
      <c r="AB68" s="966" t="str">
        <f t="shared" ca="1" si="71"/>
        <v/>
      </c>
    </row>
    <row r="69" spans="2:32" ht="21" customHeight="1">
      <c r="C69" s="969" t="s">
        <v>1539</v>
      </c>
      <c r="D69" s="966" t="str">
        <f t="shared" si="63"/>
        <v/>
      </c>
      <c r="E69" s="970" t="str">
        <f t="shared" si="64"/>
        <v/>
      </c>
      <c r="F69" s="1019" t="str">
        <f t="shared" ca="1" si="65"/>
        <v/>
      </c>
      <c r="G69" s="1014" t="str">
        <f t="shared" ca="1" si="66"/>
        <v/>
      </c>
      <c r="H69" s="971" t="str">
        <f t="shared" ca="1" si="67"/>
        <v/>
      </c>
      <c r="I69" s="969" t="s">
        <v>1539</v>
      </c>
      <c r="J69" s="966"/>
      <c r="K69" s="966"/>
      <c r="L69" s="966"/>
      <c r="M69" s="966"/>
      <c r="N69" s="966"/>
      <c r="O69" s="966" t="str">
        <f t="shared" si="68"/>
        <v/>
      </c>
      <c r="P69" s="969" t="s">
        <v>1539</v>
      </c>
      <c r="Q69" s="967"/>
      <c r="R69" s="967"/>
      <c r="S69" s="967"/>
      <c r="T69" s="967"/>
      <c r="U69" s="966" t="str">
        <f t="shared" si="69"/>
        <v/>
      </c>
      <c r="AA69" s="953" t="str">
        <f t="shared" ca="1" si="70"/>
        <v/>
      </c>
      <c r="AB69" s="966" t="str">
        <f t="shared" ca="1" si="71"/>
        <v/>
      </c>
    </row>
    <row r="70" spans="2:32" ht="21" customHeight="1">
      <c r="C70" s="969" t="s">
        <v>1540</v>
      </c>
      <c r="D70" s="966" t="str">
        <f t="shared" si="63"/>
        <v/>
      </c>
      <c r="E70" s="970" t="str">
        <f t="shared" si="64"/>
        <v/>
      </c>
      <c r="F70" s="1019" t="str">
        <f t="shared" ca="1" si="65"/>
        <v/>
      </c>
      <c r="G70" s="1014" t="str">
        <f t="shared" ca="1" si="66"/>
        <v/>
      </c>
      <c r="H70" s="971" t="str">
        <f t="shared" ca="1" si="67"/>
        <v/>
      </c>
      <c r="I70" s="969" t="s">
        <v>1540</v>
      </c>
      <c r="J70" s="966"/>
      <c r="K70" s="966"/>
      <c r="L70" s="966"/>
      <c r="M70" s="966"/>
      <c r="N70" s="966"/>
      <c r="O70" s="966" t="str">
        <f t="shared" si="68"/>
        <v/>
      </c>
      <c r="P70" s="969" t="s">
        <v>1540</v>
      </c>
      <c r="Q70" s="967"/>
      <c r="R70" s="967"/>
      <c r="S70" s="967"/>
      <c r="T70" s="967"/>
      <c r="U70" s="966" t="str">
        <f t="shared" si="69"/>
        <v/>
      </c>
      <c r="AA70" s="953" t="str">
        <f t="shared" ca="1" si="70"/>
        <v/>
      </c>
      <c r="AB70" s="966" t="str">
        <f t="shared" ca="1" si="71"/>
        <v/>
      </c>
    </row>
    <row r="71" spans="2:32" ht="21" customHeight="1">
      <c r="C71" s="969" t="s">
        <v>1541</v>
      </c>
      <c r="D71" s="966" t="str">
        <f t="shared" ref="D71" si="73">IFERROR(HLOOKUP(C71,$D$19:$W$20,2,0),"")</f>
        <v/>
      </c>
      <c r="E71" s="970" t="str">
        <f t="shared" si="64"/>
        <v/>
      </c>
      <c r="F71" s="1019" t="str">
        <f t="shared" ca="1" si="65"/>
        <v/>
      </c>
      <c r="G71" s="1014" t="str">
        <f t="shared" ca="1" si="66"/>
        <v/>
      </c>
      <c r="H71" s="971" t="str">
        <f t="shared" ca="1" si="67"/>
        <v/>
      </c>
      <c r="I71" s="969" t="s">
        <v>1541</v>
      </c>
      <c r="J71" s="966"/>
      <c r="K71" s="966"/>
      <c r="L71" s="966"/>
      <c r="M71" s="966"/>
      <c r="N71" s="966"/>
      <c r="O71" s="966" t="str">
        <f t="shared" si="68"/>
        <v/>
      </c>
      <c r="P71" s="969" t="s">
        <v>1541</v>
      </c>
      <c r="Q71" s="967"/>
      <c r="R71" s="967"/>
      <c r="S71" s="967"/>
      <c r="T71" s="967"/>
      <c r="U71" s="966" t="str">
        <f t="shared" si="69"/>
        <v/>
      </c>
      <c r="AA71" s="953" t="str">
        <f t="shared" ca="1" si="70"/>
        <v/>
      </c>
      <c r="AB71" s="966" t="str">
        <f t="shared" ca="1" si="71"/>
        <v/>
      </c>
    </row>
    <row r="72" spans="2:32" ht="21" customHeight="1">
      <c r="C72" s="969" t="s">
        <v>1542</v>
      </c>
      <c r="D72" s="966" t="str">
        <f t="shared" si="63"/>
        <v/>
      </c>
      <c r="E72" s="970" t="str">
        <f t="shared" si="64"/>
        <v/>
      </c>
      <c r="F72" s="1019" t="str">
        <f t="shared" ca="1" si="65"/>
        <v/>
      </c>
      <c r="G72" s="1014" t="str">
        <f t="shared" ca="1" si="66"/>
        <v/>
      </c>
      <c r="H72" s="971" t="str">
        <f t="shared" ca="1" si="67"/>
        <v/>
      </c>
      <c r="I72" s="969" t="s">
        <v>1542</v>
      </c>
      <c r="J72" s="966"/>
      <c r="K72" s="966"/>
      <c r="L72" s="966"/>
      <c r="M72" s="966"/>
      <c r="N72" s="966"/>
      <c r="O72" s="966" t="str">
        <f t="shared" si="68"/>
        <v/>
      </c>
      <c r="P72" s="969" t="s">
        <v>1542</v>
      </c>
      <c r="Q72" s="967"/>
      <c r="R72" s="967"/>
      <c r="S72" s="967"/>
      <c r="T72" s="967"/>
      <c r="U72" s="966" t="str">
        <f t="shared" si="69"/>
        <v/>
      </c>
      <c r="AA72" s="953" t="str">
        <f t="shared" ca="1" si="70"/>
        <v/>
      </c>
      <c r="AB72" s="966" t="str">
        <f t="shared" ca="1" si="71"/>
        <v/>
      </c>
    </row>
    <row r="73" spans="2:32" ht="21.75" customHeight="1" thickBot="1">
      <c r="C73" s="972" t="s">
        <v>1543</v>
      </c>
      <c r="D73" s="951" t="str">
        <f t="shared" si="63"/>
        <v/>
      </c>
      <c r="E73" s="973" t="str">
        <f t="shared" si="64"/>
        <v/>
      </c>
      <c r="F73" s="1020" t="str">
        <f t="shared" ca="1" si="65"/>
        <v/>
      </c>
      <c r="G73" s="951" t="str">
        <f t="shared" ca="1" si="66"/>
        <v/>
      </c>
      <c r="H73" s="952" t="str">
        <f t="shared" ca="1" si="67"/>
        <v/>
      </c>
      <c r="I73" s="972" t="s">
        <v>1543</v>
      </c>
      <c r="J73" s="951"/>
      <c r="K73" s="951"/>
      <c r="L73" s="951"/>
      <c r="M73" s="951"/>
      <c r="N73" s="951"/>
      <c r="O73" s="951" t="str">
        <f t="shared" si="68"/>
        <v/>
      </c>
      <c r="P73" s="972" t="s">
        <v>1543</v>
      </c>
      <c r="Q73" s="974"/>
      <c r="R73" s="974"/>
      <c r="S73" s="974"/>
      <c r="T73" s="974"/>
      <c r="U73" s="966" t="str">
        <f t="shared" si="69"/>
        <v/>
      </c>
      <c r="AA73" s="975" t="str">
        <f t="shared" ca="1" si="70"/>
        <v/>
      </c>
      <c r="AB73" s="951" t="str">
        <f t="shared" ca="1" si="71"/>
        <v/>
      </c>
    </row>
    <row r="74" spans="2:32" ht="8.25" customHeight="1">
      <c r="I74" s="976"/>
      <c r="K74" s="8"/>
      <c r="Z74" s="977"/>
      <c r="AA74" s="977"/>
      <c r="AB74" s="977"/>
      <c r="AC74" s="977"/>
      <c r="AD74" s="977"/>
      <c r="AE74" s="977"/>
      <c r="AF74" s="977"/>
    </row>
    <row r="75" spans="2:32" s="626" customFormat="1" ht="8.25" customHeight="1">
      <c r="B75" s="977"/>
      <c r="C75" s="977"/>
      <c r="D75" s="977"/>
      <c r="E75" s="977"/>
      <c r="F75" s="977"/>
      <c r="G75" s="977"/>
      <c r="H75" s="977"/>
      <c r="I75" s="978"/>
      <c r="J75" s="977"/>
      <c r="K75" s="977"/>
      <c r="L75" s="977"/>
      <c r="M75" s="977"/>
      <c r="N75" s="977"/>
      <c r="O75" s="977"/>
      <c r="P75" s="977"/>
      <c r="Q75" s="977"/>
      <c r="R75" s="977"/>
      <c r="S75" s="977"/>
      <c r="T75" s="977"/>
      <c r="U75" s="977"/>
      <c r="V75" s="977"/>
      <c r="W75" s="977"/>
      <c r="X75" s="977"/>
      <c r="Y75" s="977"/>
      <c r="Z75" s="979"/>
      <c r="AA75" s="979"/>
      <c r="AB75" s="979"/>
      <c r="AC75" s="979"/>
      <c r="AD75" s="979"/>
      <c r="AE75" s="979"/>
      <c r="AF75" s="979"/>
    </row>
    <row r="76" spans="2:32" ht="17.25">
      <c r="K76" s="845"/>
      <c r="L76" s="845"/>
      <c r="M76" s="845"/>
      <c r="N76" s="845"/>
      <c r="O76" s="845"/>
      <c r="P76" s="845"/>
      <c r="Q76" s="845"/>
      <c r="R76" s="845"/>
      <c r="S76" s="845"/>
      <c r="T76" s="845"/>
      <c r="U76" s="845"/>
      <c r="V76" s="845"/>
      <c r="W76" s="845"/>
      <c r="X76" s="845"/>
    </row>
    <row r="77" spans="2:32" ht="17.25">
      <c r="I77" s="845"/>
      <c r="J77" s="845"/>
      <c r="K77" s="845"/>
      <c r="L77" s="845"/>
      <c r="M77" s="845"/>
      <c r="N77" s="845"/>
      <c r="O77" s="845"/>
      <c r="P77" s="845"/>
      <c r="Q77" s="845"/>
      <c r="R77" s="845"/>
      <c r="S77" s="845"/>
      <c r="T77" s="845"/>
      <c r="U77" s="845"/>
      <c r="V77" s="845"/>
      <c r="W77" s="845"/>
      <c r="X77" s="845"/>
    </row>
    <row r="78" spans="2:32" ht="17.25">
      <c r="I78" s="845"/>
      <c r="J78" s="845"/>
      <c r="K78" s="845"/>
      <c r="L78" s="845"/>
      <c r="M78" s="845"/>
      <c r="N78" s="845"/>
      <c r="O78" s="845"/>
      <c r="P78" s="845"/>
      <c r="Q78" s="845"/>
      <c r="R78" s="845"/>
      <c r="S78" s="845"/>
      <c r="T78" s="845"/>
      <c r="U78" s="845"/>
      <c r="V78" s="845"/>
      <c r="W78" s="845"/>
      <c r="X78" s="845"/>
    </row>
    <row r="79" spans="2:32" ht="17.25">
      <c r="I79" s="845"/>
      <c r="J79" s="845"/>
      <c r="K79" s="845"/>
      <c r="L79" s="845"/>
      <c r="M79" s="845"/>
      <c r="N79" s="845"/>
      <c r="O79" s="845"/>
      <c r="P79" s="845"/>
      <c r="Q79" s="845"/>
      <c r="R79" s="845"/>
      <c r="S79" s="845"/>
      <c r="T79" s="845"/>
      <c r="U79" s="845"/>
      <c r="V79" s="845"/>
      <c r="W79" s="845"/>
      <c r="X79" s="845"/>
    </row>
    <row r="80" spans="2:32" ht="17.25">
      <c r="I80" s="845"/>
      <c r="J80" s="845"/>
      <c r="K80" s="845"/>
      <c r="L80" s="845"/>
      <c r="M80" s="845"/>
      <c r="N80" s="845"/>
      <c r="O80" s="845"/>
      <c r="P80" s="845"/>
      <c r="Q80" s="845"/>
      <c r="R80" s="845"/>
      <c r="S80" s="845"/>
      <c r="T80" s="845"/>
      <c r="U80" s="845"/>
      <c r="V80" s="845"/>
      <c r="W80" s="845"/>
      <c r="X80" s="845"/>
    </row>
    <row r="81" spans="9:24" ht="17.25">
      <c r="I81" s="845"/>
      <c r="J81" s="845"/>
      <c r="K81" s="845"/>
      <c r="L81" s="845"/>
      <c r="M81" s="845"/>
      <c r="N81" s="845"/>
      <c r="O81" s="845"/>
      <c r="P81" s="845"/>
      <c r="Q81" s="845"/>
      <c r="R81" s="845"/>
      <c r="S81" s="845"/>
      <c r="T81" s="845"/>
      <c r="U81" s="845"/>
      <c r="V81" s="845"/>
      <c r="W81" s="845"/>
      <c r="X81" s="845"/>
    </row>
    <row r="82" spans="9:24" ht="17.25">
      <c r="I82" s="845"/>
      <c r="J82" s="845"/>
      <c r="K82" s="845"/>
      <c r="L82" s="845"/>
      <c r="M82" s="845"/>
      <c r="N82" s="845"/>
      <c r="O82" s="845"/>
      <c r="P82" s="845"/>
      <c r="Q82" s="845"/>
      <c r="R82" s="845"/>
      <c r="S82" s="845"/>
      <c r="T82" s="845"/>
      <c r="U82" s="845"/>
      <c r="V82" s="845"/>
      <c r="W82" s="845"/>
      <c r="X82" s="845"/>
    </row>
    <row r="83" spans="9:24" ht="17.25">
      <c r="I83" s="845"/>
      <c r="J83" s="845"/>
      <c r="K83" s="845"/>
      <c r="L83" s="845"/>
      <c r="M83" s="845"/>
      <c r="N83" s="845"/>
      <c r="O83" s="845"/>
      <c r="P83" s="845"/>
      <c r="Q83" s="845"/>
      <c r="R83" s="845"/>
      <c r="S83" s="845"/>
      <c r="T83" s="845"/>
      <c r="U83" s="845"/>
      <c r="V83" s="845"/>
      <c r="W83" s="845"/>
      <c r="X83" s="845"/>
    </row>
    <row r="84" spans="9:24" ht="17.25">
      <c r="I84" s="845"/>
      <c r="J84" s="845"/>
      <c r="K84" s="845"/>
      <c r="L84" s="845"/>
      <c r="M84" s="845"/>
      <c r="N84" s="845"/>
      <c r="O84" s="845"/>
      <c r="P84" s="845"/>
      <c r="Q84" s="845"/>
      <c r="R84" s="845"/>
      <c r="S84" s="845"/>
      <c r="T84" s="845"/>
      <c r="U84" s="845"/>
      <c r="V84" s="845"/>
      <c r="W84" s="845"/>
      <c r="X84" s="845"/>
    </row>
  </sheetData>
  <mergeCells count="7">
    <mergeCell ref="K50:L51"/>
    <mergeCell ref="C47:C48"/>
    <mergeCell ref="V14:W14"/>
    <mergeCell ref="E11:F11"/>
    <mergeCell ref="E47:F47"/>
    <mergeCell ref="G47:I47"/>
    <mergeCell ref="Q50:T50"/>
  </mergeCells>
  <phoneticPr fontId="11" type="noConversion"/>
  <conditionalFormatting sqref="C7:W8">
    <cfRule type="expression" dxfId="17" priority="28">
      <formula>$C$6="추정매출액"</formula>
    </cfRule>
  </conditionalFormatting>
  <conditionalFormatting sqref="C49:I49">
    <cfRule type="expression" dxfId="16" priority="27">
      <formula>$A$52=2</formula>
    </cfRule>
  </conditionalFormatting>
  <conditionalFormatting sqref="C50:I50">
    <cfRule type="expression" dxfId="15" priority="26">
      <formula>$A$52=1</formula>
    </cfRule>
  </conditionalFormatting>
  <conditionalFormatting sqref="D53:E73">
    <cfRule type="containsBlanks" dxfId="14" priority="20">
      <formula>LEN(TRIM(D53))=0</formula>
    </cfRule>
  </conditionalFormatting>
  <conditionalFormatting sqref="D16:E16">
    <cfRule type="containsBlanks" dxfId="13" priority="19">
      <formula>LEN(TRIM(D16))=0</formula>
    </cfRule>
  </conditionalFormatting>
  <conditionalFormatting sqref="AA53:AB73">
    <cfRule type="containsBlanks" dxfId="12" priority="18">
      <formula>LEN(TRIM(AA53))=0</formula>
    </cfRule>
  </conditionalFormatting>
  <conditionalFormatting sqref="K53:O73">
    <cfRule type="containsBlanks" dxfId="11" priority="16">
      <formula>LEN(TRIM(K53))=0</formula>
    </cfRule>
  </conditionalFormatting>
  <conditionalFormatting sqref="Q53:T73">
    <cfRule type="containsBlanks" dxfId="10" priority="15">
      <formula>LEN(TRIM(Q53))=0</formula>
    </cfRule>
  </conditionalFormatting>
  <conditionalFormatting sqref="J53:J73">
    <cfRule type="containsBlanks" dxfId="9" priority="12">
      <formula>LEN(TRIM(J53))=0</formula>
    </cfRule>
  </conditionalFormatting>
  <conditionalFormatting sqref="Q51:S51">
    <cfRule type="containsBlanks" dxfId="8" priority="11">
      <formula>LEN(TRIM(Q51))=0</formula>
    </cfRule>
  </conditionalFormatting>
  <conditionalFormatting sqref="T51">
    <cfRule type="containsBlanks" dxfId="7" priority="10">
      <formula>LEN(TRIM(T51))=0</formula>
    </cfRule>
  </conditionalFormatting>
  <conditionalFormatting sqref="C9">
    <cfRule type="expression" dxfId="6" priority="6">
      <formula>$C$6="추정매출액"</formula>
    </cfRule>
  </conditionalFormatting>
  <conditionalFormatting sqref="D9:W9">
    <cfRule type="expression" dxfId="5" priority="5">
      <formula>$C$6="추정매출액"</formula>
    </cfRule>
  </conditionalFormatting>
  <conditionalFormatting sqref="F53:H73">
    <cfRule type="containsBlanks" dxfId="4" priority="3">
      <formula>LEN(TRIM(F53))=0</formula>
    </cfRule>
  </conditionalFormatting>
  <conditionalFormatting sqref="U53:U73">
    <cfRule type="containsBlanks" dxfId="3" priority="1">
      <formula>LEN(TRIM(U53))=0</formula>
    </cfRule>
  </conditionalFormatting>
  <pageMargins left="0.7" right="0.7" top="0.75" bottom="0.75" header="0.3" footer="0.3"/>
  <pageSetup paperSize="9" scale="42" fitToHeight="0" orientation="landscape" r:id="rId1"/>
  <rowBreaks count="1" manualBreakCount="1">
    <brk id="51" min="1"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13334" r:id="rId4" name="Drop Down 22">
              <controlPr defaultSize="0" autoLine="0" autoPict="0" macro="[0]!드롭다운22_Change">
                <anchor moveWithCells="1">
                  <from>
                    <xdr:col>21</xdr:col>
                    <xdr:colOff>9525</xdr:colOff>
                    <xdr:row>15</xdr:row>
                    <xdr:rowOff>9525</xdr:rowOff>
                  </from>
                  <to>
                    <xdr:col>21</xdr:col>
                    <xdr:colOff>923925</xdr:colOff>
                    <xdr:row>15</xdr:row>
                    <xdr:rowOff>323850</xdr:rowOff>
                  </to>
                </anchor>
              </controlPr>
            </control>
          </mc:Choice>
        </mc:AlternateContent>
        <mc:AlternateContent xmlns:mc="http://schemas.openxmlformats.org/markup-compatibility/2006">
          <mc:Choice Requires="x14">
            <control shapeId="13335" r:id="rId5" name="Drop Down 23">
              <controlPr defaultSize="0" autoLine="0" autoPict="0" macro="[0]!드롭다운23_Change">
                <anchor moveWithCells="1">
                  <from>
                    <xdr:col>22</xdr:col>
                    <xdr:colOff>9525</xdr:colOff>
                    <xdr:row>15</xdr:row>
                    <xdr:rowOff>9525</xdr:rowOff>
                  </from>
                  <to>
                    <xdr:col>22</xdr:col>
                    <xdr:colOff>923925</xdr:colOff>
                    <xdr:row>15</xdr:row>
                    <xdr:rowOff>323850</xdr:rowOff>
                  </to>
                </anchor>
              </controlPr>
            </control>
          </mc:Choice>
        </mc:AlternateContent>
        <mc:AlternateContent xmlns:mc="http://schemas.openxmlformats.org/markup-compatibility/2006">
          <mc:Choice Requires="x14">
            <control shapeId="13332" r:id="rId6" name="Drop Down 20">
              <controlPr defaultSize="0" autoLine="0" autoPict="0" macro="[0]!드롭다운20_Change">
                <anchor moveWithCells="1">
                  <from>
                    <xdr:col>12</xdr:col>
                    <xdr:colOff>0</xdr:colOff>
                    <xdr:row>49</xdr:row>
                    <xdr:rowOff>0</xdr:rowOff>
                  </from>
                  <to>
                    <xdr:col>13</xdr:col>
                    <xdr:colOff>0</xdr:colOff>
                    <xdr:row>51</xdr:row>
                    <xdr:rowOff>0</xdr:rowOff>
                  </to>
                </anchor>
              </controlPr>
            </control>
          </mc:Choice>
        </mc:AlternateContent>
        <mc:AlternateContent xmlns:mc="http://schemas.openxmlformats.org/markup-compatibility/2006">
          <mc:Choice Requires="x14">
            <control shapeId="13340" r:id="rId7" name="Drop Down 28">
              <controlPr defaultSize="0" autoLine="0" autoPict="0">
                <anchor moveWithCells="1">
                  <from>
                    <xdr:col>16</xdr:col>
                    <xdr:colOff>0</xdr:colOff>
                    <xdr:row>51</xdr:row>
                    <xdr:rowOff>238125</xdr:rowOff>
                  </from>
                  <to>
                    <xdr:col>17</xdr:col>
                    <xdr:colOff>0</xdr:colOff>
                    <xdr:row>52</xdr:row>
                    <xdr:rowOff>0</xdr:rowOff>
                  </to>
                </anchor>
              </controlPr>
            </control>
          </mc:Choice>
        </mc:AlternateContent>
        <mc:AlternateContent xmlns:mc="http://schemas.openxmlformats.org/markup-compatibility/2006">
          <mc:Choice Requires="x14">
            <control shapeId="13341" r:id="rId8" name="Drop Down 29">
              <controlPr defaultSize="0" autoLine="0" autoPict="0">
                <anchor moveWithCells="1">
                  <from>
                    <xdr:col>17</xdr:col>
                    <xdr:colOff>0</xdr:colOff>
                    <xdr:row>51</xdr:row>
                    <xdr:rowOff>238125</xdr:rowOff>
                  </from>
                  <to>
                    <xdr:col>18</xdr:col>
                    <xdr:colOff>0</xdr:colOff>
                    <xdr:row>52</xdr:row>
                    <xdr:rowOff>0</xdr:rowOff>
                  </to>
                </anchor>
              </controlPr>
            </control>
          </mc:Choice>
        </mc:AlternateContent>
        <mc:AlternateContent xmlns:mc="http://schemas.openxmlformats.org/markup-compatibility/2006">
          <mc:Choice Requires="x14">
            <control shapeId="13342" r:id="rId9" name="Drop Down 30">
              <controlPr defaultSize="0" autoLine="0" autoPict="0">
                <anchor moveWithCells="1">
                  <from>
                    <xdr:col>18</xdr:col>
                    <xdr:colOff>0</xdr:colOff>
                    <xdr:row>51</xdr:row>
                    <xdr:rowOff>238125</xdr:rowOff>
                  </from>
                  <to>
                    <xdr:col>19</xdr:col>
                    <xdr:colOff>0</xdr:colOff>
                    <xdr:row>52</xdr:row>
                    <xdr:rowOff>0</xdr:rowOff>
                  </to>
                </anchor>
              </controlPr>
            </control>
          </mc:Choice>
        </mc:AlternateContent>
        <mc:AlternateContent xmlns:mc="http://schemas.openxmlformats.org/markup-compatibility/2006">
          <mc:Choice Requires="x14">
            <control shapeId="13343" r:id="rId10" name="Drop Down 31">
              <controlPr defaultSize="0" autoLine="0" autoPict="0">
                <anchor moveWithCells="1">
                  <from>
                    <xdr:col>19</xdr:col>
                    <xdr:colOff>0</xdr:colOff>
                    <xdr:row>51</xdr:row>
                    <xdr:rowOff>238125</xdr:rowOff>
                  </from>
                  <to>
                    <xdr:col>20</xdr:col>
                    <xdr:colOff>0</xdr:colOff>
                    <xdr:row>52</xdr:row>
                    <xdr:rowOff>0</xdr:rowOff>
                  </to>
                </anchor>
              </controlPr>
            </control>
          </mc:Choice>
        </mc:AlternateContent>
        <mc:AlternateContent xmlns:mc="http://schemas.openxmlformats.org/markup-compatibility/2006">
          <mc:Choice Requires="x14">
            <control shapeId="13348" r:id="rId11" name="Drop Down 36">
              <controlPr defaultSize="0" autoLine="0" autoPict="0">
                <anchor moveWithCells="1">
                  <from>
                    <xdr:col>16</xdr:col>
                    <xdr:colOff>0</xdr:colOff>
                    <xdr:row>51</xdr:row>
                    <xdr:rowOff>238125</xdr:rowOff>
                  </from>
                  <to>
                    <xdr:col>17</xdr:col>
                    <xdr:colOff>0</xdr:colOff>
                    <xdr:row>52</xdr:row>
                    <xdr:rowOff>0</xdr:rowOff>
                  </to>
                </anchor>
              </controlPr>
            </control>
          </mc:Choice>
        </mc:AlternateContent>
        <mc:AlternateContent xmlns:mc="http://schemas.openxmlformats.org/markup-compatibility/2006">
          <mc:Choice Requires="x14">
            <control shapeId="13349" r:id="rId12" name="Button 37">
              <controlPr defaultSize="0" print="0" autoFill="0" autoPict="0" macro="[0]!deprecation_calc">
                <anchor moveWithCells="1" sizeWithCells="1">
                  <from>
                    <xdr:col>20</xdr:col>
                    <xdr:colOff>19050</xdr:colOff>
                    <xdr:row>48</xdr:row>
                    <xdr:rowOff>314325</xdr:rowOff>
                  </from>
                  <to>
                    <xdr:col>21</xdr:col>
                    <xdr:colOff>19050</xdr:colOff>
                    <xdr:row>50</xdr:row>
                    <xdr:rowOff>200025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O59"/>
  <sheetViews>
    <sheetView topLeftCell="A4" zoomScale="90" zoomScaleNormal="90" zoomScaleSheetLayoutView="90" workbookViewId="0">
      <selection activeCell="G50" sqref="G50"/>
    </sheetView>
  </sheetViews>
  <sheetFormatPr defaultRowHeight="17.25"/>
  <cols>
    <col min="1" max="2" width="2.5546875" style="845" customWidth="1"/>
    <col min="3" max="3" width="13.6640625" style="845" customWidth="1"/>
    <col min="4" max="4" width="12.44140625" style="845" customWidth="1"/>
    <col min="5" max="10" width="10.33203125" style="845" customWidth="1"/>
    <col min="11" max="11" width="11.44140625" style="845" customWidth="1"/>
    <col min="12" max="12" width="21.109375" style="980" customWidth="1"/>
    <col min="13" max="13" width="11.33203125" style="980" hidden="1" customWidth="1"/>
    <col min="14" max="15" width="10.33203125" style="980" customWidth="1"/>
    <col min="16" max="17" width="10.33203125" style="845" customWidth="1"/>
    <col min="18" max="19" width="10.6640625" style="845" customWidth="1"/>
    <col min="20" max="16384" width="8.88671875" style="845"/>
  </cols>
  <sheetData>
    <row r="1" spans="1:13" ht="30" customHeight="1"/>
    <row r="2" spans="1:13" ht="39" customHeight="1">
      <c r="A2" s="1257" t="s">
        <v>1506</v>
      </c>
      <c r="B2" s="1257"/>
      <c r="C2" s="1257"/>
      <c r="D2" s="1257"/>
      <c r="E2" s="1257"/>
      <c r="F2" s="1257"/>
      <c r="G2" s="1257"/>
      <c r="H2" s="1257"/>
      <c r="I2" s="1257"/>
      <c r="J2" s="1257"/>
      <c r="K2" s="1257"/>
    </row>
    <row r="3" spans="1:13" ht="11.25" customHeight="1"/>
    <row r="4" spans="1:13" ht="27" thickBot="1">
      <c r="B4" s="981" t="s">
        <v>147</v>
      </c>
      <c r="M4" s="980" t="s">
        <v>1535</v>
      </c>
    </row>
    <row r="5" spans="1:13" ht="18" thickBot="1">
      <c r="H5" s="982" t="s">
        <v>1537</v>
      </c>
      <c r="I5" s="983" t="s">
        <v>1536</v>
      </c>
      <c r="M5" s="980" t="s">
        <v>1458</v>
      </c>
    </row>
    <row r="6" spans="1:13" ht="21" thickBot="1">
      <c r="C6" s="984" t="s">
        <v>1505</v>
      </c>
      <c r="E6" s="985"/>
      <c r="F6" s="625">
        <v>0.3</v>
      </c>
      <c r="G6" s="625">
        <v>1.8</v>
      </c>
      <c r="H6" s="625">
        <v>3.5</v>
      </c>
      <c r="I6" s="625">
        <v>1.8</v>
      </c>
      <c r="J6" s="625">
        <v>0.3</v>
      </c>
      <c r="M6" s="980" t="s">
        <v>150</v>
      </c>
    </row>
    <row r="7" spans="1:13" ht="27.75" customHeight="1">
      <c r="C7" s="1250" t="s">
        <v>148</v>
      </c>
      <c r="D7" s="1252" t="s">
        <v>149</v>
      </c>
      <c r="E7" s="1252" t="s">
        <v>219</v>
      </c>
      <c r="F7" s="1252"/>
      <c r="G7" s="1252"/>
      <c r="H7" s="1252"/>
      <c r="I7" s="1252"/>
      <c r="J7" s="1258"/>
      <c r="M7" s="980" t="s">
        <v>1536</v>
      </c>
    </row>
    <row r="8" spans="1:13" ht="27.75" customHeight="1">
      <c r="C8" s="1251"/>
      <c r="D8" s="1253"/>
      <c r="E8" s="986" t="s">
        <v>1152</v>
      </c>
      <c r="F8" s="986" t="s">
        <v>1148</v>
      </c>
      <c r="G8" s="986" t="s">
        <v>150</v>
      </c>
      <c r="H8" s="986" t="s">
        <v>1150</v>
      </c>
      <c r="I8" s="986" t="s">
        <v>151</v>
      </c>
      <c r="J8" s="987" t="s">
        <v>1149</v>
      </c>
      <c r="M8" s="980" t="s">
        <v>151</v>
      </c>
    </row>
    <row r="9" spans="1:13" ht="24.75" customHeight="1" thickBot="1">
      <c r="C9" s="988" t="str">
        <f>INPUT!E15</f>
        <v>A23D</v>
      </c>
      <c r="D9" s="989" t="s">
        <v>214</v>
      </c>
      <c r="E9" s="990">
        <f>VLOOKUP($C9,TCT!$A:$K,4,0)</f>
        <v>8.8906799999999997</v>
      </c>
      <c r="F9" s="991">
        <f>VLOOKUP($C9,TCT!$A:$K,8,0)</f>
        <v>1</v>
      </c>
      <c r="G9" s="991">
        <f>VLOOKUP($C9,TCT!$A:$K,9,0)</f>
        <v>4</v>
      </c>
      <c r="H9" s="992">
        <f>VLOOKUP($C9,TCT!$A:$K,11,0)</f>
        <v>8</v>
      </c>
      <c r="I9" s="991">
        <f>VLOOKUP($C9,TCT!$A:$K,10,0)</f>
        <v>13</v>
      </c>
      <c r="J9" s="993">
        <f>VLOOKUP($C9,TCT!$A:$K,7,0)</f>
        <v>21</v>
      </c>
      <c r="M9" s="980" t="s">
        <v>1459</v>
      </c>
    </row>
    <row r="10" spans="1:13" ht="7.5" customHeight="1"/>
    <row r="11" spans="1:13" ht="34.5" customHeight="1">
      <c r="C11" s="1265" t="str">
        <f>"(*) "&amp;VLOOKUP(C9,IPC!B:C,2,0)</f>
        <v>(*) 식용유지 예· 마가린, 쇼트닝(shortenings), 식용유(채취, 정제, 보존. C11B, C11C; 수소첨가 C11C 3/12)</v>
      </c>
      <c r="D11" s="1266"/>
      <c r="E11" s="1266"/>
      <c r="F11" s="1266"/>
      <c r="G11" s="1266"/>
      <c r="H11" s="1266"/>
      <c r="I11" s="1266"/>
      <c r="J11" s="1267"/>
    </row>
    <row r="12" spans="1:13" ht="9.75" customHeight="1">
      <c r="C12" s="994"/>
      <c r="D12" s="994"/>
      <c r="E12" s="995"/>
      <c r="F12" s="996"/>
    </row>
    <row r="13" spans="1:13" ht="26.25">
      <c r="C13" s="997" t="s">
        <v>1171</v>
      </c>
      <c r="D13" s="994" t="s">
        <v>2951</v>
      </c>
      <c r="E13" s="995"/>
      <c r="F13" s="996"/>
    </row>
    <row r="14" spans="1:13">
      <c r="C14" s="994"/>
      <c r="D14" s="994"/>
      <c r="E14" s="995"/>
      <c r="F14" s="996"/>
    </row>
    <row r="15" spans="1:13">
      <c r="C15" s="994"/>
      <c r="D15" s="994"/>
      <c r="E15" s="995"/>
      <c r="F15" s="996"/>
    </row>
    <row r="16" spans="1:13">
      <c r="C16" s="994"/>
      <c r="D16" s="994"/>
      <c r="E16" s="995"/>
      <c r="F16" s="996"/>
    </row>
    <row r="17" spans="2:10">
      <c r="C17" s="994"/>
      <c r="D17" s="994"/>
      <c r="E17" s="995"/>
      <c r="F17" s="996"/>
    </row>
    <row r="18" spans="2:10">
      <c r="C18" s="994"/>
      <c r="D18" s="994"/>
      <c r="E18" s="995"/>
      <c r="F18" s="996"/>
    </row>
    <row r="19" spans="2:10">
      <c r="C19" s="994"/>
      <c r="D19" s="994"/>
      <c r="E19" s="995"/>
      <c r="F19" s="996"/>
    </row>
    <row r="20" spans="2:10">
      <c r="C20" s="994"/>
      <c r="D20" s="994"/>
      <c r="E20" s="995"/>
      <c r="F20" s="996"/>
    </row>
    <row r="21" spans="2:10">
      <c r="C21" s="994"/>
      <c r="D21" s="994"/>
      <c r="E21" s="995"/>
      <c r="F21" s="996"/>
    </row>
    <row r="22" spans="2:10">
      <c r="C22" s="994"/>
      <c r="D22" s="994"/>
      <c r="E22" s="995"/>
      <c r="F22" s="996"/>
    </row>
    <row r="23" spans="2:10">
      <c r="C23" s="994"/>
      <c r="D23" s="994"/>
      <c r="E23" s="995"/>
      <c r="F23" s="996"/>
    </row>
    <row r="24" spans="2:10">
      <c r="C24" s="994"/>
      <c r="D24" s="994"/>
      <c r="E24" s="995"/>
      <c r="F24" s="996"/>
    </row>
    <row r="25" spans="2:10">
      <c r="C25" s="994"/>
      <c r="D25" s="994"/>
      <c r="E25" s="995"/>
      <c r="F25" s="996"/>
    </row>
    <row r="26" spans="2:10">
      <c r="C26" s="994"/>
      <c r="D26" s="994"/>
      <c r="E26" s="995"/>
      <c r="F26" s="996"/>
    </row>
    <row r="27" spans="2:10">
      <c r="C27" s="994"/>
      <c r="D27" s="994"/>
      <c r="E27" s="995"/>
      <c r="F27" s="996"/>
    </row>
    <row r="28" spans="2:10" ht="8.25" customHeight="1">
      <c r="C28" s="994"/>
      <c r="D28" s="994"/>
      <c r="E28" s="995"/>
      <c r="F28" s="996"/>
    </row>
    <row r="29" spans="2:10" ht="26.25">
      <c r="B29" s="981" t="s">
        <v>215</v>
      </c>
    </row>
    <row r="30" spans="2:10" ht="6.75" customHeight="1" thickBot="1">
      <c r="F30" s="625" t="s">
        <v>3132</v>
      </c>
      <c r="G30" s="625" t="s">
        <v>3133</v>
      </c>
      <c r="H30" s="625" t="s">
        <v>3134</v>
      </c>
      <c r="I30" s="625" t="s">
        <v>3135</v>
      </c>
      <c r="J30" s="625" t="s">
        <v>3136</v>
      </c>
    </row>
    <row r="31" spans="2:10" ht="18.75" customHeight="1">
      <c r="C31" s="1254" t="s">
        <v>152</v>
      </c>
      <c r="D31" s="1270" t="s">
        <v>153</v>
      </c>
      <c r="E31" s="1270"/>
      <c r="F31" s="1262" t="s">
        <v>154</v>
      </c>
      <c r="G31" s="1263"/>
      <c r="H31" s="1263"/>
      <c r="I31" s="1263"/>
      <c r="J31" s="1264"/>
    </row>
    <row r="32" spans="2:10" ht="18.75" customHeight="1">
      <c r="C32" s="1255"/>
      <c r="D32" s="1271"/>
      <c r="E32" s="1271"/>
      <c r="F32" s="998">
        <v>-2</v>
      </c>
      <c r="G32" s="998">
        <v>-1</v>
      </c>
      <c r="H32" s="998">
        <v>0</v>
      </c>
      <c r="I32" s="998">
        <v>1</v>
      </c>
      <c r="J32" s="999">
        <v>2</v>
      </c>
    </row>
    <row r="33" spans="2:15" s="851" customFormat="1" ht="22.5" customHeight="1">
      <c r="C33" s="1256" t="s">
        <v>2985</v>
      </c>
      <c r="D33" s="1245" t="s">
        <v>2989</v>
      </c>
      <c r="E33" s="1245"/>
      <c r="F33" s="1000" t="str">
        <f>IF(VLOOKUP($D33,INPUT!$E$21:$G$30,3,0)=기술수명!F$30,1,"")</f>
        <v/>
      </c>
      <c r="G33" s="1000" t="str">
        <f>IF(VLOOKUP($D33,INPUT!$E$21:$G$30,3,0)=기술수명!G$30,1,"")</f>
        <v/>
      </c>
      <c r="H33" s="1000" t="str">
        <f>IF(VLOOKUP($D33,INPUT!$E$21:$G$30,3,0)=기술수명!H$30,1,"")</f>
        <v/>
      </c>
      <c r="I33" s="1000" t="str">
        <f>IF(VLOOKUP($D33,INPUT!$E$21:$G$30,3,0)=기술수명!I$30,1,"")</f>
        <v/>
      </c>
      <c r="J33" s="1001">
        <f>IF(VLOOKUP($D33,INPUT!$E$21:$G$30,3,0)=기술수명!J$30,1,"")</f>
        <v>1</v>
      </c>
      <c r="L33" s="1002"/>
      <c r="M33" s="1002"/>
      <c r="N33" s="1002"/>
      <c r="O33" s="1002"/>
    </row>
    <row r="34" spans="2:15" s="851" customFormat="1" ht="22.5" customHeight="1">
      <c r="C34" s="1256"/>
      <c r="D34" s="1245" t="s">
        <v>3035</v>
      </c>
      <c r="E34" s="1245"/>
      <c r="F34" s="1000" t="str">
        <f>IF(VLOOKUP($D34,INPUT!$E$21:$G$30,3,0)=기술수명!F$30,1,"")</f>
        <v/>
      </c>
      <c r="G34" s="1000" t="str">
        <f>IF(VLOOKUP($D34,INPUT!$E$21:$G$30,3,0)=기술수명!G$30,1,"")</f>
        <v/>
      </c>
      <c r="H34" s="1000" t="str">
        <f>IF(VLOOKUP($D34,INPUT!$E$21:$G$30,3,0)=기술수명!H$30,1,"")</f>
        <v/>
      </c>
      <c r="I34" s="1000" t="str">
        <f>IF(VLOOKUP($D34,INPUT!$E$21:$G$30,3,0)=기술수명!I$30,1,"")</f>
        <v/>
      </c>
      <c r="J34" s="1001">
        <f>IF(VLOOKUP($D34,INPUT!$E$21:$G$30,3,0)=기술수명!J$30,1,"")</f>
        <v>1</v>
      </c>
      <c r="L34" s="1002"/>
      <c r="M34" s="1002"/>
      <c r="N34" s="1002"/>
      <c r="O34" s="1002"/>
    </row>
    <row r="35" spans="2:15" s="851" customFormat="1" ht="22.5" customHeight="1">
      <c r="C35" s="1256"/>
      <c r="D35" s="1245" t="s">
        <v>2993</v>
      </c>
      <c r="E35" s="1245"/>
      <c r="F35" s="1000" t="str">
        <f>IF(VLOOKUP($D35,INPUT!$E$21:$G$30,3,0)=기술수명!F$30,1,"")</f>
        <v/>
      </c>
      <c r="G35" s="1000" t="str">
        <f>IF(VLOOKUP($D35,INPUT!$E$21:$G$30,3,0)=기술수명!G$30,1,"")</f>
        <v/>
      </c>
      <c r="H35" s="1000">
        <f>IF(VLOOKUP($D35,INPUT!$E$21:$G$30,3,0)=기술수명!H$30,1,"")</f>
        <v>1</v>
      </c>
      <c r="I35" s="1000" t="str">
        <f>IF(VLOOKUP($D35,INPUT!$E$21:$G$30,3,0)=기술수명!I$30,1,"")</f>
        <v/>
      </c>
      <c r="J35" s="1001" t="str">
        <f>IF(VLOOKUP($D35,INPUT!$E$21:$G$30,3,0)=기술수명!J$30,1,"")</f>
        <v/>
      </c>
      <c r="L35" s="1002"/>
      <c r="M35" s="1002"/>
      <c r="N35" s="1002"/>
      <c r="O35" s="1002"/>
    </row>
    <row r="36" spans="2:15" s="851" customFormat="1" ht="22.5" customHeight="1">
      <c r="C36" s="1256"/>
      <c r="D36" s="1245" t="s">
        <v>2995</v>
      </c>
      <c r="E36" s="1245"/>
      <c r="F36" s="1000" t="str">
        <f>IF(VLOOKUP($D36,INPUT!$E$21:$G$30,3,0)=기술수명!F$30,1,"")</f>
        <v/>
      </c>
      <c r="G36" s="1000" t="str">
        <f>IF(VLOOKUP($D36,INPUT!$E$21:$G$30,3,0)=기술수명!G$30,1,"")</f>
        <v/>
      </c>
      <c r="H36" s="1000" t="str">
        <f>IF(VLOOKUP($D36,INPUT!$E$21:$G$30,3,0)=기술수명!H$30,1,"")</f>
        <v/>
      </c>
      <c r="I36" s="1000" t="str">
        <f>IF(VLOOKUP($D36,INPUT!$E$21:$G$30,3,0)=기술수명!I$30,1,"")</f>
        <v/>
      </c>
      <c r="J36" s="1001">
        <f>IF(VLOOKUP($D36,INPUT!$E$21:$G$30,3,0)=기술수명!J$30,1,"")</f>
        <v>1</v>
      </c>
      <c r="L36" s="1002"/>
      <c r="M36" s="1002"/>
      <c r="N36" s="1002"/>
      <c r="O36" s="1002"/>
    </row>
    <row r="37" spans="2:15" s="851" customFormat="1" ht="22.5" customHeight="1">
      <c r="C37" s="1256"/>
      <c r="D37" s="1245" t="s">
        <v>2997</v>
      </c>
      <c r="E37" s="1245"/>
      <c r="F37" s="1000" t="str">
        <f>IF(VLOOKUP($D37,INPUT!$E$21:$G$30,3,0)=기술수명!F$30,1,"")</f>
        <v/>
      </c>
      <c r="G37" s="1000" t="str">
        <f>IF(VLOOKUP($D37,INPUT!$E$21:$G$30,3,0)=기술수명!G$30,1,"")</f>
        <v/>
      </c>
      <c r="H37" s="1000">
        <f>IF(VLOOKUP($D37,INPUT!$E$21:$G$30,3,0)=기술수명!H$30,1,"")</f>
        <v>1</v>
      </c>
      <c r="I37" s="1000" t="str">
        <f>IF(VLOOKUP($D37,INPUT!$E$21:$G$30,3,0)=기술수명!I$30,1,"")</f>
        <v/>
      </c>
      <c r="J37" s="1001" t="str">
        <f>IF(VLOOKUP($D37,INPUT!$E$21:$G$30,3,0)=기술수명!J$30,1,"")</f>
        <v/>
      </c>
      <c r="L37" s="1002"/>
      <c r="M37" s="1002"/>
      <c r="N37" s="1002"/>
      <c r="O37" s="1002"/>
    </row>
    <row r="38" spans="2:15" s="851" customFormat="1" ht="22.5" customHeight="1">
      <c r="C38" s="1256" t="s">
        <v>2987</v>
      </c>
      <c r="D38" s="1245" t="s">
        <v>2999</v>
      </c>
      <c r="E38" s="1245"/>
      <c r="F38" s="1000" t="str">
        <f>IF(VLOOKUP($D38,INPUT!$E$21:$G$30,3,0)=기술수명!F$30,1,"")</f>
        <v/>
      </c>
      <c r="G38" s="1000" t="str">
        <f>IF(VLOOKUP($D38,INPUT!$E$21:$G$30,3,0)=기술수명!G$30,1,"")</f>
        <v/>
      </c>
      <c r="H38" s="1000">
        <f>IF(VLOOKUP($D38,INPUT!$E$21:$G$30,3,0)=기술수명!H$30,1,"")</f>
        <v>1</v>
      </c>
      <c r="I38" s="1000" t="str">
        <f>IF(VLOOKUP($D38,INPUT!$E$21:$G$30,3,0)=기술수명!I$30,1,"")</f>
        <v/>
      </c>
      <c r="J38" s="1001" t="str">
        <f>IF(VLOOKUP($D38,INPUT!$E$21:$G$30,3,0)=기술수명!J$30,1,"")</f>
        <v/>
      </c>
      <c r="L38" s="1002"/>
      <c r="M38" s="1002"/>
      <c r="N38" s="1002"/>
      <c r="O38" s="1002"/>
    </row>
    <row r="39" spans="2:15" s="851" customFormat="1" ht="22.5" customHeight="1">
      <c r="C39" s="1256"/>
      <c r="D39" s="1245" t="s">
        <v>2991</v>
      </c>
      <c r="E39" s="1245"/>
      <c r="F39" s="1000" t="str">
        <f>IF(VLOOKUP($D39,INPUT!$E$21:$G$30,3,0)=기술수명!F$30,1,"")</f>
        <v/>
      </c>
      <c r="G39" s="1000" t="str">
        <f>IF(VLOOKUP($D39,INPUT!$E$21:$G$30,3,0)=기술수명!G$30,1,"")</f>
        <v/>
      </c>
      <c r="H39" s="1000" t="str">
        <f>IF(VLOOKUP($D39,INPUT!$E$21:$G$30,3,0)=기술수명!H$30,1,"")</f>
        <v/>
      </c>
      <c r="I39" s="1000" t="str">
        <f>IF(VLOOKUP($D39,INPUT!$E$21:$G$30,3,0)=기술수명!I$30,1,"")</f>
        <v/>
      </c>
      <c r="J39" s="1001">
        <f>IF(VLOOKUP($D39,INPUT!$E$21:$G$30,3,0)=기술수명!J$30,1,"")</f>
        <v>1</v>
      </c>
      <c r="L39" s="1002"/>
      <c r="M39" s="1002"/>
      <c r="N39" s="1002"/>
      <c r="O39" s="1002"/>
    </row>
    <row r="40" spans="2:15" s="851" customFormat="1" ht="22.5" customHeight="1">
      <c r="C40" s="1256"/>
      <c r="D40" s="1245" t="s">
        <v>3001</v>
      </c>
      <c r="E40" s="1245"/>
      <c r="F40" s="1000" t="str">
        <f>IF(VLOOKUP($D40,INPUT!$E$21:$G$30,3,0)=기술수명!F$30,1,"")</f>
        <v/>
      </c>
      <c r="G40" s="1000" t="str">
        <f>IF(VLOOKUP($D40,INPUT!$E$21:$G$30,3,0)=기술수명!G$30,1,"")</f>
        <v/>
      </c>
      <c r="H40" s="1000" t="str">
        <f>IF(VLOOKUP($D40,INPUT!$E$21:$G$30,3,0)=기술수명!H$30,1,"")</f>
        <v/>
      </c>
      <c r="I40" s="1000" t="str">
        <f>IF(VLOOKUP($D40,INPUT!$E$21:$G$30,3,0)=기술수명!I$30,1,"")</f>
        <v/>
      </c>
      <c r="J40" s="1001">
        <f>IF(VLOOKUP($D40,INPUT!$E$21:$G$30,3,0)=기술수명!J$30,1,"")</f>
        <v>1</v>
      </c>
      <c r="L40" s="1002"/>
      <c r="M40" s="1002"/>
      <c r="N40" s="1002"/>
      <c r="O40" s="1002"/>
    </row>
    <row r="41" spans="2:15" s="851" customFormat="1" ht="22.5" customHeight="1">
      <c r="C41" s="1256"/>
      <c r="D41" s="1245" t="s">
        <v>3003</v>
      </c>
      <c r="E41" s="1245"/>
      <c r="F41" s="1000" t="str">
        <f>IF(VLOOKUP($D41,INPUT!$E$21:$G$30,3,0)=기술수명!F$30,1,"")</f>
        <v/>
      </c>
      <c r="G41" s="1000" t="str">
        <f>IF(VLOOKUP($D41,INPUT!$E$21:$G$30,3,0)=기술수명!G$30,1,"")</f>
        <v/>
      </c>
      <c r="H41" s="1000" t="str">
        <f>IF(VLOOKUP($D41,INPUT!$E$21:$G$30,3,0)=기술수명!H$30,1,"")</f>
        <v/>
      </c>
      <c r="I41" s="1000" t="str">
        <f>IF(VLOOKUP($D41,INPUT!$E$21:$G$30,3,0)=기술수명!I$30,1,"")</f>
        <v/>
      </c>
      <c r="J41" s="1001">
        <f>IF(VLOOKUP($D41,INPUT!$E$21:$G$30,3,0)=기술수명!J$30,1,"")</f>
        <v>1</v>
      </c>
      <c r="L41" s="1002"/>
      <c r="M41" s="1002"/>
      <c r="N41" s="1002"/>
      <c r="O41" s="1002"/>
    </row>
    <row r="42" spans="2:15" s="851" customFormat="1" ht="22.5" customHeight="1">
      <c r="C42" s="1256"/>
      <c r="D42" s="1245" t="s">
        <v>3005</v>
      </c>
      <c r="E42" s="1245"/>
      <c r="F42" s="1000" t="str">
        <f>IF(VLOOKUP($D42,INPUT!$E$21:$G$30,3,0)=기술수명!F$30,1,"")</f>
        <v/>
      </c>
      <c r="G42" s="1000" t="str">
        <f>IF(VLOOKUP($D42,INPUT!$E$21:$G$30,3,0)=기술수명!G$30,1,"")</f>
        <v/>
      </c>
      <c r="H42" s="1000" t="str">
        <f>IF(VLOOKUP($D42,INPUT!$E$21:$G$30,3,0)=기술수명!H$30,1,"")</f>
        <v/>
      </c>
      <c r="I42" s="1000" t="str">
        <f>IF(VLOOKUP($D42,INPUT!$E$21:$G$30,3,0)=기술수명!I$30,1,"")</f>
        <v/>
      </c>
      <c r="J42" s="1001">
        <f>IF(VLOOKUP($D42,INPUT!$E$21:$G$30,3,0)=기술수명!J$30,1,"")</f>
        <v>1</v>
      </c>
      <c r="L42" s="1002"/>
      <c r="M42" s="1002"/>
      <c r="N42" s="1002"/>
      <c r="O42" s="1002"/>
    </row>
    <row r="43" spans="2:15" s="851" customFormat="1" ht="22.5" customHeight="1" thickBot="1">
      <c r="C43" s="1259" t="s">
        <v>155</v>
      </c>
      <c r="D43" s="1260"/>
      <c r="E43" s="1261"/>
      <c r="F43" s="1268">
        <f>F32*SUM(F33:F42)+G32*SUM(G33:G42)+I32*SUM(I33:I42)+J32*SUM(J33:J42)</f>
        <v>14</v>
      </c>
      <c r="G43" s="1268"/>
      <c r="H43" s="1268"/>
      <c r="I43" s="1268"/>
      <c r="J43" s="1269"/>
      <c r="L43" s="1002"/>
      <c r="M43" s="1002"/>
      <c r="N43" s="1002"/>
      <c r="O43" s="1002"/>
    </row>
    <row r="44" spans="2:15" ht="6.75" customHeight="1"/>
    <row r="45" spans="2:15" ht="6.75" customHeight="1"/>
    <row r="46" spans="2:15" ht="26.25">
      <c r="B46" s="981" t="s">
        <v>216</v>
      </c>
    </row>
    <row r="47" spans="2:15" ht="4.5" customHeight="1">
      <c r="E47" s="1003"/>
    </row>
    <row r="48" spans="2:15" ht="4.5" customHeight="1" thickBot="1"/>
    <row r="49" spans="3:15" s="851" customFormat="1" ht="38.25" customHeight="1">
      <c r="C49" s="1004" t="s">
        <v>1151</v>
      </c>
      <c r="D49" s="1005" t="s">
        <v>227</v>
      </c>
      <c r="E49" s="1005" t="s">
        <v>1415</v>
      </c>
      <c r="F49" s="1006" t="s">
        <v>1424</v>
      </c>
      <c r="G49" s="1006" t="s">
        <v>1433</v>
      </c>
      <c r="H49" s="1006" t="s">
        <v>1154</v>
      </c>
      <c r="I49" s="1007" t="s">
        <v>1425</v>
      </c>
      <c r="L49" s="1002"/>
      <c r="M49" s="1002"/>
      <c r="N49" s="1002"/>
      <c r="O49" s="1002"/>
    </row>
    <row r="50" spans="3:15" s="851" customFormat="1" ht="21.75" customHeight="1">
      <c r="C50" s="1248">
        <f>INPUT!$I$10</f>
        <v>44926</v>
      </c>
      <c r="D50" s="1246">
        <f>IF(INPUT!$J$10="","",INPUT!$J$10)</f>
        <v>45107</v>
      </c>
      <c r="E50" s="1243">
        <f>HLOOKUP($I$5,$E$8:$J$9,2,0)*(1+(F43/20))</f>
        <v>13.6</v>
      </c>
      <c r="F50" s="1241">
        <f>IF(INPUT!F6="실용신안",10,20)-(INPUT!G10-기술수명!C50)/365</f>
        <v>18.997260273972604</v>
      </c>
      <c r="G50" s="1008">
        <f>IF(F50&gt;E50,E50,F50)</f>
        <v>13.6</v>
      </c>
      <c r="H50" s="1239">
        <f>INPUT!$K$10</f>
        <v>0</v>
      </c>
      <c r="I50" s="1237">
        <v>14</v>
      </c>
      <c r="L50" s="1002"/>
      <c r="M50" s="1002"/>
      <c r="N50" s="1002"/>
      <c r="O50" s="1002"/>
    </row>
    <row r="51" spans="3:15" ht="22.5" customHeight="1" thickBot="1">
      <c r="C51" s="1249"/>
      <c r="D51" s="1247"/>
      <c r="E51" s="1244"/>
      <c r="F51" s="1242"/>
      <c r="G51" s="1009" t="str">
        <f>ROUNDDOWN(G50,0)&amp;"년"&amp;" "&amp;ROUND(((G50-ROUNDDOWN(G50,0)))*12,0)&amp;"개월"</f>
        <v>13년 7개월</v>
      </c>
      <c r="H51" s="1240"/>
      <c r="I51" s="1238"/>
    </row>
    <row r="59" spans="3:15">
      <c r="E59" s="1010"/>
    </row>
  </sheetData>
  <mergeCells count="28">
    <mergeCell ref="A2:K2"/>
    <mergeCell ref="E7:J7"/>
    <mergeCell ref="C43:E43"/>
    <mergeCell ref="D41:E41"/>
    <mergeCell ref="D40:E40"/>
    <mergeCell ref="D39:E39"/>
    <mergeCell ref="D38:E38"/>
    <mergeCell ref="F31:J31"/>
    <mergeCell ref="C11:J11"/>
    <mergeCell ref="D36:E36"/>
    <mergeCell ref="D35:E35"/>
    <mergeCell ref="D34:E34"/>
    <mergeCell ref="D33:E33"/>
    <mergeCell ref="F43:J43"/>
    <mergeCell ref="D31:E32"/>
    <mergeCell ref="D42:E42"/>
    <mergeCell ref="C50:C51"/>
    <mergeCell ref="C7:C8"/>
    <mergeCell ref="D7:D8"/>
    <mergeCell ref="C31:C32"/>
    <mergeCell ref="C33:C37"/>
    <mergeCell ref="C38:C42"/>
    <mergeCell ref="I50:I51"/>
    <mergeCell ref="H50:H51"/>
    <mergeCell ref="F50:F51"/>
    <mergeCell ref="E50:E51"/>
    <mergeCell ref="D37:E37"/>
    <mergeCell ref="D50:D51"/>
  </mergeCells>
  <phoneticPr fontId="11" type="noConversion"/>
  <conditionalFormatting sqref="E8:J8">
    <cfRule type="cellIs" dxfId="18" priority="1" operator="equal">
      <formula>$I$5</formula>
    </cfRule>
  </conditionalFormatting>
  <dataValidations count="1">
    <dataValidation type="list" allowBlank="1" showInputMessage="1" showErrorMessage="1" sqref="I5" xr:uid="{00000000-0002-0000-0500-000000000000}">
      <formula1>$M$4:$M$9</formula1>
    </dataValidation>
  </dataValidations>
  <pageMargins left="0.7" right="0.7" top="0.75" bottom="0.75" header="0.3" footer="0.3"/>
  <pageSetup paperSize="9" scale="72"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tabColor rgb="FFFFFF00"/>
  </sheetPr>
  <dimension ref="B1:G18"/>
  <sheetViews>
    <sheetView zoomScale="85" zoomScaleNormal="85" zoomScaleSheetLayoutView="100" workbookViewId="0">
      <selection activeCell="D6" sqref="D6"/>
    </sheetView>
  </sheetViews>
  <sheetFormatPr defaultRowHeight="16.5"/>
  <cols>
    <col min="1" max="1" width="3.6640625" style="222" customWidth="1"/>
    <col min="2" max="2" width="19.44140625" style="222" customWidth="1"/>
    <col min="3" max="3" width="12.88671875" style="222" customWidth="1"/>
    <col min="4" max="4" width="20.88671875" style="222" customWidth="1"/>
    <col min="5" max="5" width="14.33203125" style="222" customWidth="1"/>
    <col min="6" max="6" width="12.77734375" style="222" customWidth="1"/>
    <col min="7" max="7" width="11.6640625" style="222" customWidth="1"/>
    <col min="8" max="16384" width="8.88671875" style="222"/>
  </cols>
  <sheetData>
    <row r="1" spans="2:7" ht="17.25" thickBot="1"/>
    <row r="2" spans="2:7" ht="17.25">
      <c r="B2" s="24" t="s">
        <v>3043</v>
      </c>
      <c r="C2" s="24" t="s">
        <v>3230</v>
      </c>
      <c r="D2" s="24" t="s">
        <v>3044</v>
      </c>
      <c r="E2" s="24" t="s">
        <v>3231</v>
      </c>
      <c r="F2" s="24" t="s">
        <v>3095</v>
      </c>
      <c r="G2" s="24" t="s">
        <v>3045</v>
      </c>
    </row>
    <row r="3" spans="2:7" ht="30" customHeight="1">
      <c r="B3" s="1294" t="str">
        <f>INPUT!D56</f>
        <v>구성기술 1</v>
      </c>
      <c r="C3" s="1295">
        <f>INPUT!F56</f>
        <v>0.6</v>
      </c>
      <c r="D3" s="1011" t="str">
        <f>INPUT!G56</f>
        <v>세부구성기술 1-1</v>
      </c>
      <c r="E3" s="621">
        <f>INPUT!J56</f>
        <v>0.25</v>
      </c>
      <c r="F3" s="622" t="str">
        <f>INPUT!K56</f>
        <v>O</v>
      </c>
      <c r="G3" s="623">
        <f>C3*E3</f>
        <v>0.15</v>
      </c>
    </row>
    <row r="4" spans="2:7" ht="30" customHeight="1">
      <c r="B4" s="1287"/>
      <c r="C4" s="1290"/>
      <c r="D4" s="1011" t="str">
        <f>INPUT!G57</f>
        <v>세부구성기술 1-2</v>
      </c>
      <c r="E4" s="621">
        <f>INPUT!J57</f>
        <v>0</v>
      </c>
      <c r="F4" s="622" t="str">
        <f>INPUT!K57</f>
        <v>X</v>
      </c>
      <c r="G4" s="623">
        <f t="shared" ref="G4:G6" si="0">C4*E4</f>
        <v>0</v>
      </c>
    </row>
    <row r="5" spans="2:7" ht="30" customHeight="1">
      <c r="B5" s="1287"/>
      <c r="C5" s="1290"/>
      <c r="D5" s="1011" t="str">
        <f>INPUT!G58</f>
        <v>세부구성기술 1-3</v>
      </c>
      <c r="E5" s="621">
        <f>INPUT!J58</f>
        <v>0</v>
      </c>
      <c r="F5" s="622" t="str">
        <f>INPUT!K58</f>
        <v>X</v>
      </c>
      <c r="G5" s="623">
        <f t="shared" si="0"/>
        <v>0</v>
      </c>
    </row>
    <row r="6" spans="2:7" ht="30" customHeight="1">
      <c r="B6" s="1288"/>
      <c r="C6" s="1291"/>
      <c r="D6" s="1011">
        <f>INPUT!G59</f>
        <v>0</v>
      </c>
      <c r="E6" s="621">
        <f>INPUT!J59</f>
        <v>0.25</v>
      </c>
      <c r="F6" s="622" t="str">
        <f>INPUT!K59</f>
        <v>O</v>
      </c>
      <c r="G6" s="623">
        <f t="shared" si="0"/>
        <v>0</v>
      </c>
    </row>
    <row r="7" spans="2:7" ht="30" customHeight="1">
      <c r="B7" s="1292" t="s">
        <v>3046</v>
      </c>
      <c r="C7" s="1292"/>
      <c r="D7" s="1292"/>
      <c r="E7" s="1292"/>
      <c r="F7" s="1293"/>
      <c r="G7" s="624">
        <f>SUM(G3:G6)</f>
        <v>0.15</v>
      </c>
    </row>
    <row r="8" spans="2:7" s="470" customFormat="1" ht="30" customHeight="1">
      <c r="B8" s="1286" t="str">
        <f>INPUT!D61</f>
        <v>구성기술 2</v>
      </c>
      <c r="C8" s="1289">
        <f>INPUT!F61</f>
        <v>0.3</v>
      </c>
      <c r="D8" s="1011" t="str">
        <f>INPUT!G61</f>
        <v>세부구성기술 2-1</v>
      </c>
      <c r="E8" s="621">
        <f>INPUT!J61</f>
        <v>0.15</v>
      </c>
      <c r="F8" s="622" t="str">
        <f>INPUT!K61</f>
        <v>O</v>
      </c>
      <c r="G8" s="623">
        <f>C8*E8</f>
        <v>4.4999999999999998E-2</v>
      </c>
    </row>
    <row r="9" spans="2:7" s="470" customFormat="1" ht="30" customHeight="1">
      <c r="B9" s="1287"/>
      <c r="C9" s="1290"/>
      <c r="D9" s="1011" t="str">
        <f>INPUT!G62</f>
        <v>세부구성기술 2-2</v>
      </c>
      <c r="E9" s="621">
        <f>INPUT!J62</f>
        <v>0</v>
      </c>
      <c r="F9" s="622" t="str">
        <f>INPUT!K62</f>
        <v>X</v>
      </c>
      <c r="G9" s="623">
        <f t="shared" ref="G9:G11" si="1">C9*E9</f>
        <v>0</v>
      </c>
    </row>
    <row r="10" spans="2:7" s="470" customFormat="1" ht="30" customHeight="1">
      <c r="B10" s="1287"/>
      <c r="C10" s="1290"/>
      <c r="D10" s="1011" t="str">
        <f>INPUT!G63</f>
        <v>세부구성기술 2-3</v>
      </c>
      <c r="E10" s="621">
        <f>INPUT!J63</f>
        <v>0</v>
      </c>
      <c r="F10" s="622" t="str">
        <f>INPUT!K63</f>
        <v>X</v>
      </c>
      <c r="G10" s="623">
        <f t="shared" si="1"/>
        <v>0</v>
      </c>
    </row>
    <row r="11" spans="2:7" s="470" customFormat="1" ht="30" customHeight="1">
      <c r="B11" s="1288"/>
      <c r="C11" s="1291"/>
      <c r="D11" s="1011">
        <f>INPUT!G64</f>
        <v>0</v>
      </c>
      <c r="E11" s="621">
        <f>INPUT!J64</f>
        <v>0.35</v>
      </c>
      <c r="F11" s="622" t="str">
        <f>INPUT!K64</f>
        <v>O</v>
      </c>
      <c r="G11" s="623">
        <f t="shared" si="1"/>
        <v>0</v>
      </c>
    </row>
    <row r="12" spans="2:7" ht="30" customHeight="1">
      <c r="B12" s="1292" t="s">
        <v>3047</v>
      </c>
      <c r="C12" s="1292"/>
      <c r="D12" s="1292"/>
      <c r="E12" s="1292"/>
      <c r="F12" s="1293"/>
      <c r="G12" s="624">
        <f>SUM(G8:G11)</f>
        <v>4.4999999999999998E-2</v>
      </c>
    </row>
    <row r="13" spans="2:7" ht="30" customHeight="1">
      <c r="B13" s="1286" t="str">
        <f>INPUT!D66</f>
        <v>구성기술 3</v>
      </c>
      <c r="C13" s="1289">
        <f>INPUT!F66</f>
        <v>0.1</v>
      </c>
      <c r="D13" s="1011" t="str">
        <f>INPUT!G66</f>
        <v>세부구성기술 3-1</v>
      </c>
      <c r="E13" s="621">
        <f>INPUT!J66</f>
        <v>0</v>
      </c>
      <c r="F13" s="622" t="str">
        <f>INPUT!K66</f>
        <v>O</v>
      </c>
      <c r="G13" s="623">
        <f>C13*E13</f>
        <v>0</v>
      </c>
    </row>
    <row r="14" spans="2:7" ht="30" customHeight="1">
      <c r="B14" s="1287"/>
      <c r="C14" s="1290"/>
      <c r="D14" s="1011" t="str">
        <f>INPUT!G67</f>
        <v>세부구성기술 3-2</v>
      </c>
      <c r="E14" s="621">
        <f>INPUT!J67</f>
        <v>0</v>
      </c>
      <c r="F14" s="622" t="str">
        <f>INPUT!K67</f>
        <v>X</v>
      </c>
      <c r="G14" s="623">
        <f t="shared" ref="G14:G16" si="2">C14*E14</f>
        <v>0</v>
      </c>
    </row>
    <row r="15" spans="2:7" ht="30" customHeight="1">
      <c r="B15" s="1287"/>
      <c r="C15" s="1290"/>
      <c r="D15" s="1011" t="str">
        <f>INPUT!G68</f>
        <v>세부구성기술 3-3</v>
      </c>
      <c r="E15" s="621">
        <f>INPUT!J68</f>
        <v>0</v>
      </c>
      <c r="F15" s="622" t="str">
        <f>INPUT!K68</f>
        <v>X</v>
      </c>
      <c r="G15" s="623">
        <f t="shared" si="2"/>
        <v>0</v>
      </c>
    </row>
    <row r="16" spans="2:7" ht="30" customHeight="1">
      <c r="B16" s="1288"/>
      <c r="C16" s="1291"/>
      <c r="D16" s="1011">
        <f>INPUT!G69</f>
        <v>0</v>
      </c>
      <c r="E16" s="621">
        <f>INPUT!J69</f>
        <v>0</v>
      </c>
      <c r="F16" s="622" t="str">
        <f>INPUT!K69</f>
        <v>O</v>
      </c>
      <c r="G16" s="623">
        <f t="shared" si="2"/>
        <v>0</v>
      </c>
    </row>
    <row r="17" spans="2:7" ht="30" customHeight="1">
      <c r="B17" s="1292" t="s">
        <v>3048</v>
      </c>
      <c r="C17" s="1292"/>
      <c r="D17" s="1292"/>
      <c r="E17" s="1292"/>
      <c r="F17" s="1293"/>
      <c r="G17" s="624">
        <f>SUM(G13:G16)</f>
        <v>0</v>
      </c>
    </row>
    <row r="18" spans="2:7" ht="30" customHeight="1">
      <c r="B18" s="1292" t="s">
        <v>3049</v>
      </c>
      <c r="C18" s="1292"/>
      <c r="D18" s="1292"/>
      <c r="E18" s="1292"/>
      <c r="F18" s="1293"/>
      <c r="G18" s="624">
        <f>SUM(G17+G12+G7)</f>
        <v>0.19500000000000001</v>
      </c>
    </row>
  </sheetData>
  <mergeCells count="10">
    <mergeCell ref="B13:B16"/>
    <mergeCell ref="C13:C16"/>
    <mergeCell ref="B17:F17"/>
    <mergeCell ref="B18:F18"/>
    <mergeCell ref="B3:B6"/>
    <mergeCell ref="C3:C6"/>
    <mergeCell ref="B7:F7"/>
    <mergeCell ref="B8:B11"/>
    <mergeCell ref="C8:C11"/>
    <mergeCell ref="B12:F12"/>
  </mergeCells>
  <phoneticPr fontId="11"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pageSetUpPr fitToPage="1"/>
  </sheetPr>
  <dimension ref="B1:R44"/>
  <sheetViews>
    <sheetView zoomScaleNormal="100" zoomScaleSheetLayoutView="100" workbookViewId="0">
      <selection activeCell="G38" sqref="G38"/>
    </sheetView>
  </sheetViews>
  <sheetFormatPr defaultRowHeight="16.5"/>
  <cols>
    <col min="1" max="1" width="1.88671875" style="8" customWidth="1"/>
    <col min="2" max="2" width="6.33203125" style="8" customWidth="1"/>
    <col min="3" max="3" width="23.5546875" style="8" customWidth="1"/>
    <col min="4" max="8" width="6.6640625" style="8" customWidth="1"/>
    <col min="9" max="9" width="16" style="8" bestFit="1" customWidth="1"/>
    <col min="10" max="10" width="1.77734375" style="8" customWidth="1"/>
    <col min="11" max="11" width="8.88671875" style="8"/>
    <col min="12" max="12" width="17.77734375" style="8" customWidth="1"/>
    <col min="13" max="17" width="6.6640625" style="8" customWidth="1"/>
    <col min="18" max="18" width="14.77734375" style="8" customWidth="1"/>
    <col min="19" max="16384" width="8.88671875" style="8"/>
  </cols>
  <sheetData>
    <row r="1" spans="2:18" ht="24.75" customHeight="1"/>
    <row r="2" spans="2:18" ht="26.25">
      <c r="B2" s="1312" t="s">
        <v>1367</v>
      </c>
      <c r="C2" s="1312"/>
      <c r="D2" s="625" t="s">
        <v>3132</v>
      </c>
      <c r="E2" s="625" t="s">
        <v>3133</v>
      </c>
      <c r="F2" s="625" t="s">
        <v>3134</v>
      </c>
      <c r="G2" s="625" t="s">
        <v>3135</v>
      </c>
      <c r="H2" s="625" t="s">
        <v>3136</v>
      </c>
      <c r="I2" s="626"/>
      <c r="J2" s="626"/>
      <c r="K2" s="1312" t="s">
        <v>3122</v>
      </c>
      <c r="L2" s="1312"/>
      <c r="M2" s="845" t="s">
        <v>3132</v>
      </c>
      <c r="N2" s="845" t="s">
        <v>3133</v>
      </c>
      <c r="O2" s="845" t="s">
        <v>3134</v>
      </c>
      <c r="P2" s="845" t="s">
        <v>3135</v>
      </c>
      <c r="Q2" s="845" t="s">
        <v>3136</v>
      </c>
      <c r="R2" s="844"/>
    </row>
    <row r="3" spans="2:18">
      <c r="B3" s="377" t="s">
        <v>178</v>
      </c>
      <c r="C3" s="374" t="s">
        <v>179</v>
      </c>
      <c r="D3" s="369">
        <v>1</v>
      </c>
      <c r="E3" s="369">
        <v>2</v>
      </c>
      <c r="F3" s="369">
        <v>3</v>
      </c>
      <c r="G3" s="369">
        <v>4</v>
      </c>
      <c r="H3" s="369">
        <v>5</v>
      </c>
      <c r="I3" s="375" t="s">
        <v>3125</v>
      </c>
      <c r="K3" s="1411" t="s">
        <v>178</v>
      </c>
      <c r="L3" s="1412" t="s">
        <v>179</v>
      </c>
      <c r="M3" s="1413">
        <v>-2</v>
      </c>
      <c r="N3" s="1413">
        <v>-1</v>
      </c>
      <c r="O3" s="1413">
        <v>0</v>
      </c>
      <c r="P3" s="1413">
        <v>1</v>
      </c>
      <c r="Q3" s="1413">
        <v>2</v>
      </c>
      <c r="R3" s="1414" t="s">
        <v>3125</v>
      </c>
    </row>
    <row r="4" spans="2:18" ht="16.5" customHeight="1">
      <c r="B4" s="1309" t="s">
        <v>3137</v>
      </c>
      <c r="C4" s="366" t="s">
        <v>3009</v>
      </c>
      <c r="D4" s="392" t="str">
        <f>IF(VLOOKUP($C4,INPUT!$E$34:$G$45,3,0)='(DCF,로열티1) 기술기여도 및 조정계수1'!D$2,1,"")</f>
        <v/>
      </c>
      <c r="E4" s="392" t="str">
        <f>IF(VLOOKUP($C4,INPUT!$E$34:$G$45,3,0)='(DCF,로열티1) 기술기여도 및 조정계수1'!E$2,1,"")</f>
        <v/>
      </c>
      <c r="F4" s="393">
        <f>IF(VLOOKUP($C4,INPUT!$E$34:$G$45,3,0)='(DCF,로열티1) 기술기여도 및 조정계수1'!F$2,1,"")</f>
        <v>1</v>
      </c>
      <c r="G4" s="395" t="str">
        <f>IF(VLOOKUP($C4,INPUT!$E$34:$G$45,3,0)='(DCF,로열티1) 기술기여도 및 조정계수1'!G$2,1,"")</f>
        <v/>
      </c>
      <c r="H4" s="393" t="str">
        <f>IF(VLOOKUP($C4,INPUT!$E$34:$G$45,3,0)='(DCF,로열티1) 기술기여도 및 조정계수1'!H$2,1,"")</f>
        <v/>
      </c>
      <c r="I4" s="6">
        <f>SUMIF(D4:H4,1,$D$3:$H$3)</f>
        <v>3</v>
      </c>
      <c r="K4" s="1415" t="s">
        <v>3124</v>
      </c>
      <c r="L4" s="1416" t="s">
        <v>3009</v>
      </c>
      <c r="M4" s="1417" t="str">
        <f>IF(VLOOKUP($L4,INPUT!$E$34:$G$45,3,0)='(DCF,로열티1) 기술기여도 및 조정계수1'!M$2,1,"")</f>
        <v/>
      </c>
      <c r="N4" s="1417" t="str">
        <f>IF(VLOOKUP($L4,INPUT!$E$34:$G$45,3,0)='(DCF,로열티1) 기술기여도 및 조정계수1'!N$2,1,"")</f>
        <v/>
      </c>
      <c r="O4" s="1417">
        <f>IF(VLOOKUP($L4,INPUT!$E$34:$G$45,3,0)='(DCF,로열티1) 기술기여도 및 조정계수1'!O$2,1,"")</f>
        <v>1</v>
      </c>
      <c r="P4" s="1417" t="str">
        <f>IF(VLOOKUP($L4,INPUT!$E$34:$G$45,3,0)='(DCF,로열티1) 기술기여도 및 조정계수1'!P$2,1,"")</f>
        <v/>
      </c>
      <c r="Q4" s="1417" t="str">
        <f>IF(VLOOKUP($L4,INPUT!$E$34:$G$45,3,0)='(DCF,로열티1) 기술기여도 및 조정계수1'!Q$2,1,"")</f>
        <v/>
      </c>
      <c r="R4" s="1418">
        <f>SUMIF(M4:Q4,1,$M$3:$Q$3)</f>
        <v>0</v>
      </c>
    </row>
    <row r="5" spans="2:18">
      <c r="B5" s="1310"/>
      <c r="C5" s="366" t="s">
        <v>184</v>
      </c>
      <c r="D5" s="368" t="str">
        <f>IF(VLOOKUP($C5,INPUT!$E$34:$G$45,3,0)='(DCF,로열티1) 기술기여도 및 조정계수1'!D$2,1,"")</f>
        <v/>
      </c>
      <c r="E5" s="368" t="str">
        <f>IF(VLOOKUP($C5,INPUT!$E$34:$G$45,3,0)='(DCF,로열티1) 기술기여도 및 조정계수1'!E$2,1,"")</f>
        <v/>
      </c>
      <c r="F5" s="398" t="str">
        <f>IF(VLOOKUP($C5,INPUT!$E$34:$G$45,3,0)='(DCF,로열티1) 기술기여도 및 조정계수1'!F$2,1,"")</f>
        <v/>
      </c>
      <c r="G5" s="396" t="str">
        <f>IF(VLOOKUP($C5,INPUT!$E$34:$G$45,3,0)='(DCF,로열티1) 기술기여도 및 조정계수1'!G$2,1,"")</f>
        <v/>
      </c>
      <c r="H5" s="368">
        <f>IF(VLOOKUP($C5,INPUT!$E$34:$G$45,3,0)='(DCF,로열티1) 기술기여도 및 조정계수1'!H$2,1,"")</f>
        <v>1</v>
      </c>
      <c r="I5" s="6">
        <f t="shared" ref="I5:I13" si="0">SUMIF(D5:H5,1,$D$3:$H$3)</f>
        <v>5</v>
      </c>
      <c r="K5" s="1415"/>
      <c r="L5" s="1416" t="s">
        <v>3117</v>
      </c>
      <c r="M5" s="1417" t="str">
        <f>IF(VLOOKUP($L5,INPUT!$E$34:$G$45,3,0)='(DCF,로열티1) 기술기여도 및 조정계수1'!M$2,1,"")</f>
        <v/>
      </c>
      <c r="N5" s="1417" t="str">
        <f>IF(VLOOKUP($L5,INPUT!$E$34:$G$45,3,0)='(DCF,로열티1) 기술기여도 및 조정계수1'!N$2,1,"")</f>
        <v/>
      </c>
      <c r="O5" s="1417" t="str">
        <f>IF(VLOOKUP($L5,INPUT!$E$34:$G$45,3,0)='(DCF,로열티1) 기술기여도 및 조정계수1'!O$2,1,"")</f>
        <v/>
      </c>
      <c r="P5" s="1417" t="str">
        <f>IF(VLOOKUP($L5,INPUT!$E$34:$G$45,3,0)='(DCF,로열티1) 기술기여도 및 조정계수1'!P$2,1,"")</f>
        <v/>
      </c>
      <c r="Q5" s="1417">
        <f>IF(VLOOKUP($L5,INPUT!$E$34:$G$45,3,0)='(DCF,로열티1) 기술기여도 및 조정계수1'!Q$2,1,"")</f>
        <v>1</v>
      </c>
      <c r="R5" s="1418">
        <f t="shared" ref="R5:R12" si="1">SUMIF(M5:Q5,1,$M$3:$Q$3)</f>
        <v>2</v>
      </c>
    </row>
    <row r="6" spans="2:18" ht="16.5" customHeight="1">
      <c r="B6" s="1310"/>
      <c r="C6" s="366" t="s">
        <v>2993</v>
      </c>
      <c r="D6" s="368" t="str">
        <f>IF(VLOOKUP($C6,INPUT!$E$34:$G$45,3,0)='(DCF,로열티1) 기술기여도 및 조정계수1'!D$2,1,"")</f>
        <v/>
      </c>
      <c r="E6" s="368" t="str">
        <f>IF(VLOOKUP($C6,INPUT!$E$34:$G$45,3,0)='(DCF,로열티1) 기술기여도 및 조정계수1'!E$2,1,"")</f>
        <v/>
      </c>
      <c r="F6" s="398">
        <f>IF(VLOOKUP($C6,INPUT!$E$34:$G$45,3,0)='(DCF,로열티1) 기술기여도 및 조정계수1'!F$2,1,"")</f>
        <v>1</v>
      </c>
      <c r="G6" s="396" t="str">
        <f>IF(VLOOKUP($C6,INPUT!$E$34:$G$45,3,0)='(DCF,로열티1) 기술기여도 및 조정계수1'!G$2,1,"")</f>
        <v/>
      </c>
      <c r="H6" s="368" t="str">
        <f>IF(VLOOKUP($C6,INPUT!$E$34:$G$45,3,0)='(DCF,로열티1) 기술기여도 및 조정계수1'!H$2,1,"")</f>
        <v/>
      </c>
      <c r="I6" s="6">
        <f t="shared" si="0"/>
        <v>3</v>
      </c>
      <c r="K6" s="1415"/>
      <c r="L6" s="1416" t="s">
        <v>3118</v>
      </c>
      <c r="M6" s="1417" t="str">
        <f>IF(VLOOKUP($L6,INPUT!$E$34:$G$45,3,0)='(DCF,로열티1) 기술기여도 및 조정계수1'!M$2,1,"")</f>
        <v/>
      </c>
      <c r="N6" s="1417" t="str">
        <f>IF(VLOOKUP($L6,INPUT!$E$34:$G$45,3,0)='(DCF,로열티1) 기술기여도 및 조정계수1'!N$2,1,"")</f>
        <v/>
      </c>
      <c r="O6" s="1417" t="str">
        <f>IF(VLOOKUP($L6,INPUT!$E$34:$G$45,3,0)='(DCF,로열티1) 기술기여도 및 조정계수1'!O$2,1,"")</f>
        <v/>
      </c>
      <c r="P6" s="1417" t="str">
        <f>IF(VLOOKUP($L6,INPUT!$E$34:$G$45,3,0)='(DCF,로열티1) 기술기여도 및 조정계수1'!P$2,1,"")</f>
        <v/>
      </c>
      <c r="Q6" s="1417">
        <f>IF(VLOOKUP($L6,INPUT!$E$34:$G$45,3,0)='(DCF,로열티1) 기술기여도 및 조정계수1'!Q$2,1,"")</f>
        <v>1</v>
      </c>
      <c r="R6" s="1418">
        <f t="shared" si="1"/>
        <v>2</v>
      </c>
    </row>
    <row r="7" spans="2:18">
      <c r="B7" s="1310"/>
      <c r="C7" s="366" t="s">
        <v>3012</v>
      </c>
      <c r="D7" s="368" t="str">
        <f>IF(VLOOKUP($C7,INPUT!$E$34:$G$45,3,0)='(DCF,로열티1) 기술기여도 및 조정계수1'!D$2,1,"")</f>
        <v/>
      </c>
      <c r="E7" s="368" t="str">
        <f>IF(VLOOKUP($C7,INPUT!$E$34:$G$45,3,0)='(DCF,로열티1) 기술기여도 및 조정계수1'!E$2,1,"")</f>
        <v/>
      </c>
      <c r="F7" s="398" t="str">
        <f>IF(VLOOKUP($C7,INPUT!$E$34:$G$45,3,0)='(DCF,로열티1) 기술기여도 및 조정계수1'!F$2,1,"")</f>
        <v/>
      </c>
      <c r="G7" s="396" t="str">
        <f>IF(VLOOKUP($C7,INPUT!$E$34:$G$45,3,0)='(DCF,로열티1) 기술기여도 및 조정계수1'!G$2,1,"")</f>
        <v/>
      </c>
      <c r="H7" s="368">
        <f>IF(VLOOKUP($C7,INPUT!$E$34:$G$45,3,0)='(DCF,로열티1) 기술기여도 및 조정계수1'!H$2,1,"")</f>
        <v>1</v>
      </c>
      <c r="I7" s="6">
        <f>SUMIF(D7:H7,1,$D$3:$H$3)</f>
        <v>5</v>
      </c>
      <c r="K7" s="1415"/>
      <c r="L7" s="1416" t="s">
        <v>3035</v>
      </c>
      <c r="M7" s="1417" t="str">
        <f>IF(VLOOKUP($L7,INPUT!$E$34:$G$45,3,0)='(DCF,로열티1) 기술기여도 및 조정계수1'!M$2,1,"")</f>
        <v/>
      </c>
      <c r="N7" s="1417" t="str">
        <f>IF(VLOOKUP($L7,INPUT!$E$34:$G$45,3,0)='(DCF,로열티1) 기술기여도 및 조정계수1'!N$2,1,"")</f>
        <v/>
      </c>
      <c r="O7" s="1417" t="str">
        <f>IF(VLOOKUP($L7,INPUT!$E$34:$G$45,3,0)='(DCF,로열티1) 기술기여도 및 조정계수1'!O$2,1,"")</f>
        <v/>
      </c>
      <c r="P7" s="1417" t="str">
        <f>IF(VLOOKUP($L7,INPUT!$E$34:$G$45,3,0)='(DCF,로열티1) 기술기여도 및 조정계수1'!P$2,1,"")</f>
        <v/>
      </c>
      <c r="Q7" s="1417">
        <f>IF(VLOOKUP($L7,INPUT!$E$34:$G$45,3,0)='(DCF,로열티1) 기술기여도 및 조정계수1'!Q$2,1,"")</f>
        <v>1</v>
      </c>
      <c r="R7" s="1418">
        <f t="shared" si="1"/>
        <v>2</v>
      </c>
    </row>
    <row r="8" spans="2:18">
      <c r="B8" s="1310"/>
      <c r="C8" s="366" t="s">
        <v>3013</v>
      </c>
      <c r="D8" s="368">
        <f>IF(VLOOKUP($C8,INPUT!$E$34:$G$45,3,0)='(DCF,로열티1) 기술기여도 및 조정계수1'!D$2,1,"")</f>
        <v>1</v>
      </c>
      <c r="E8" s="368" t="str">
        <f>IF(VLOOKUP($C8,INPUT!$E$34:$G$45,3,0)='(DCF,로열티1) 기술기여도 및 조정계수1'!E$2,1,"")</f>
        <v/>
      </c>
      <c r="F8" s="398" t="str">
        <f>IF(VLOOKUP($C8,INPUT!$E$34:$G$45,3,0)='(DCF,로열티1) 기술기여도 및 조정계수1'!F$2,1,"")</f>
        <v/>
      </c>
      <c r="G8" s="396" t="str">
        <f>IF(VLOOKUP($C8,INPUT!$E$34:$G$45,3,0)='(DCF,로열티1) 기술기여도 및 조정계수1'!G$2,1,"")</f>
        <v/>
      </c>
      <c r="H8" s="368" t="str">
        <f>IF(VLOOKUP($C8,INPUT!$E$34:$G$45,3,0)='(DCF,로열티1) 기술기여도 및 조정계수1'!H$2,1,"")</f>
        <v/>
      </c>
      <c r="I8" s="6">
        <f t="shared" si="0"/>
        <v>1</v>
      </c>
      <c r="K8" s="1415"/>
      <c r="L8" s="1416" t="s">
        <v>3119</v>
      </c>
      <c r="M8" s="1417" t="str">
        <f>IF(VLOOKUP($L8,INPUT!$E$34:$G$45,3,0)='(DCF,로열티1) 기술기여도 및 조정계수1'!M$2,1,"")</f>
        <v/>
      </c>
      <c r="N8" s="1417" t="str">
        <f>IF(VLOOKUP($L8,INPUT!$E$34:$G$45,3,0)='(DCF,로열티1) 기술기여도 및 조정계수1'!N$2,1,"")</f>
        <v/>
      </c>
      <c r="O8" s="1417">
        <f>IF(VLOOKUP($L8,INPUT!$E$34:$G$45,3,0)='(DCF,로열티1) 기술기여도 및 조정계수1'!O$2,1,"")</f>
        <v>1</v>
      </c>
      <c r="P8" s="1417" t="str">
        <f>IF(VLOOKUP($L8,INPUT!$E$34:$G$45,3,0)='(DCF,로열티1) 기술기여도 및 조정계수1'!P$2,1,"")</f>
        <v/>
      </c>
      <c r="Q8" s="1417" t="str">
        <f>IF(VLOOKUP($L8,INPUT!$E$34:$G$45,3,0)='(DCF,로열티1) 기술기여도 및 조정계수1'!Q$2,1,"")</f>
        <v/>
      </c>
      <c r="R8" s="1418">
        <f t="shared" si="1"/>
        <v>0</v>
      </c>
    </row>
    <row r="9" spans="2:18">
      <c r="B9" s="1310"/>
      <c r="C9" s="366" t="s">
        <v>3014</v>
      </c>
      <c r="D9" s="368" t="str">
        <f>IF(VLOOKUP($C9,INPUT!$E$34:$G$45,3,0)='(DCF,로열티1) 기술기여도 및 조정계수1'!D$2,1,"")</f>
        <v/>
      </c>
      <c r="E9" s="368" t="str">
        <f>IF(VLOOKUP($C9,INPUT!$E$34:$G$45,3,0)='(DCF,로열티1) 기술기여도 및 조정계수1'!E$2,1,"")</f>
        <v/>
      </c>
      <c r="F9" s="398">
        <f>IF(VLOOKUP($C9,INPUT!$E$34:$G$45,3,0)='(DCF,로열티1) 기술기여도 및 조정계수1'!F$2,1,"")</f>
        <v>1</v>
      </c>
      <c r="G9" s="396" t="str">
        <f>IF(VLOOKUP($C9,INPUT!$E$34:$G$45,3,0)='(DCF,로열티1) 기술기여도 및 조정계수1'!G$2,1,"")</f>
        <v/>
      </c>
      <c r="H9" s="368" t="str">
        <f>IF(VLOOKUP($C9,INPUT!$E$34:$G$45,3,0)='(DCF,로열티1) 기술기여도 및 조정계수1'!H$2,1,"")</f>
        <v/>
      </c>
      <c r="I9" s="6">
        <f>SUMIF(D9:H9,1,$D$3:$H$3)</f>
        <v>3</v>
      </c>
      <c r="K9" s="1415"/>
      <c r="L9" s="1416" t="s">
        <v>3120</v>
      </c>
      <c r="M9" s="1417" t="str">
        <f>IF(VLOOKUP($L9,INPUT!$E$34:$G$45,3,0)='(DCF,로열티1) 기술기여도 및 조정계수1'!M$2,1,"")</f>
        <v/>
      </c>
      <c r="N9" s="1417" t="str">
        <f>IF(VLOOKUP($L9,INPUT!$E$34:$G$45,3,0)='(DCF,로열티1) 기술기여도 및 조정계수1'!N$2,1,"")</f>
        <v/>
      </c>
      <c r="O9" s="1417" t="str">
        <f>IF(VLOOKUP($L9,INPUT!$E$34:$G$45,3,0)='(DCF,로열티1) 기술기여도 및 조정계수1'!O$2,1,"")</f>
        <v/>
      </c>
      <c r="P9" s="1417" t="str">
        <f>IF(VLOOKUP($L9,INPUT!$E$34:$G$45,3,0)='(DCF,로열티1) 기술기여도 및 조정계수1'!P$2,1,"")</f>
        <v/>
      </c>
      <c r="Q9" s="1417">
        <f>IF(VLOOKUP($L9,INPUT!$E$34:$G$45,3,0)='(DCF,로열티1) 기술기여도 및 조정계수1'!Q$2,1,"")</f>
        <v>1</v>
      </c>
      <c r="R9" s="1418">
        <f t="shared" si="1"/>
        <v>2</v>
      </c>
    </row>
    <row r="10" spans="2:18">
      <c r="B10" s="1310"/>
      <c r="C10" s="366" t="s">
        <v>2995</v>
      </c>
      <c r="D10" s="368" t="str">
        <f>IF(VLOOKUP($C10,INPUT!$E$34:$G$45,3,0)='(DCF,로열티1) 기술기여도 및 조정계수1'!D$2,1,"")</f>
        <v/>
      </c>
      <c r="E10" s="368" t="str">
        <f>IF(VLOOKUP($C10,INPUT!$E$34:$G$45,3,0)='(DCF,로열티1) 기술기여도 및 조정계수1'!E$2,1,"")</f>
        <v/>
      </c>
      <c r="F10" s="398" t="str">
        <f>IF(VLOOKUP($C10,INPUT!$E$34:$G$45,3,0)='(DCF,로열티1) 기술기여도 및 조정계수1'!F$2,1,"")</f>
        <v/>
      </c>
      <c r="G10" s="396" t="str">
        <f>IF(VLOOKUP($C10,INPUT!$E$34:$G$45,3,0)='(DCF,로열티1) 기술기여도 및 조정계수1'!G$2,1,"")</f>
        <v/>
      </c>
      <c r="H10" s="368">
        <f>IF(VLOOKUP($C10,INPUT!$E$34:$G$45,3,0)='(DCF,로열티1) 기술기여도 및 조정계수1'!H$2,1,"")</f>
        <v>1</v>
      </c>
      <c r="I10" s="6">
        <f t="shared" si="0"/>
        <v>5</v>
      </c>
      <c r="K10" s="1419" t="s">
        <v>3121</v>
      </c>
      <c r="L10" s="1420" t="s">
        <v>3016</v>
      </c>
      <c r="M10" s="1417">
        <f>IF(VLOOKUP($L10,INPUT!$E$34:$G$45,3,0)='(DCF,로열티1) 기술기여도 및 조정계수1'!M$2,1,"")</f>
        <v>1</v>
      </c>
      <c r="N10" s="1417" t="str">
        <f>IF(VLOOKUP($L10,INPUT!$E$34:$G$45,3,0)='(DCF,로열티1) 기술기여도 및 조정계수1'!N$2,1,"")</f>
        <v/>
      </c>
      <c r="O10" s="1417" t="str">
        <f>IF(VLOOKUP($L10,INPUT!$E$34:$G$45,3,0)='(DCF,로열티1) 기술기여도 및 조정계수1'!O$2,1,"")</f>
        <v/>
      </c>
      <c r="P10" s="1417" t="str">
        <f>IF(VLOOKUP($L10,INPUT!$E$34:$G$45,3,0)='(DCF,로열티1) 기술기여도 및 조정계수1'!P$2,1,"")</f>
        <v/>
      </c>
      <c r="Q10" s="1417" t="str">
        <f>IF(VLOOKUP($L10,INPUT!$E$34:$G$45,3,0)='(DCF,로열티1) 기술기여도 및 조정계수1'!Q$2,1,"")</f>
        <v/>
      </c>
      <c r="R10" s="1418">
        <f t="shared" si="1"/>
        <v>-2</v>
      </c>
    </row>
    <row r="11" spans="2:18">
      <c r="B11" s="1310"/>
      <c r="C11" s="366" t="s">
        <v>2997</v>
      </c>
      <c r="D11" s="368" t="str">
        <f>IF(VLOOKUP($C11,INPUT!$E$34:$G$45,3,0)='(DCF,로열티1) 기술기여도 및 조정계수1'!D$2,1,"")</f>
        <v/>
      </c>
      <c r="E11" s="368" t="str">
        <f>IF(VLOOKUP($C11,INPUT!$E$34:$G$45,3,0)='(DCF,로열티1) 기술기여도 및 조정계수1'!E$2,1,"")</f>
        <v/>
      </c>
      <c r="F11" s="398">
        <f>IF(VLOOKUP($C11,INPUT!$E$34:$G$45,3,0)='(DCF,로열티1) 기술기여도 및 조정계수1'!F$2,1,"")</f>
        <v>1</v>
      </c>
      <c r="G11" s="396" t="str">
        <f>IF(VLOOKUP($C11,INPUT!$E$34:$G$45,3,0)='(DCF,로열티1) 기술기여도 및 조정계수1'!G$2,1,"")</f>
        <v/>
      </c>
      <c r="H11" s="368" t="str">
        <f>IF(VLOOKUP($C11,INPUT!$E$34:$G$45,3,0)='(DCF,로열티1) 기술기여도 및 조정계수1'!H$2,1,"")</f>
        <v/>
      </c>
      <c r="I11" s="6">
        <f t="shared" si="0"/>
        <v>3</v>
      </c>
      <c r="K11" s="1421"/>
      <c r="L11" s="1422" t="s">
        <v>2998</v>
      </c>
      <c r="M11" s="1417" t="str">
        <f>IF(VLOOKUP($L11,INPUT!$E$34:$G$45,3,0)='(DCF,로열티1) 기술기여도 및 조정계수1'!M$2,1,"")</f>
        <v/>
      </c>
      <c r="N11" s="1417" t="str">
        <f>IF(VLOOKUP($L11,INPUT!$E$34:$G$45,3,0)='(DCF,로열티1) 기술기여도 및 조정계수1'!N$2,1,"")</f>
        <v/>
      </c>
      <c r="O11" s="1417">
        <f>IF(VLOOKUP($L11,INPUT!$E$34:$G$45,3,0)='(DCF,로열티1) 기술기여도 및 조정계수1'!O$2,1,"")</f>
        <v>1</v>
      </c>
      <c r="P11" s="1417" t="str">
        <f>IF(VLOOKUP($L11,INPUT!$E$34:$G$45,3,0)='(DCF,로열티1) 기술기여도 및 조정계수1'!P$2,1,"")</f>
        <v/>
      </c>
      <c r="Q11" s="1417" t="str">
        <f>IF(VLOOKUP($L11,INPUT!$E$34:$G$45,3,0)='(DCF,로열티1) 기술기여도 및 조정계수1'!Q$2,1,"")</f>
        <v/>
      </c>
      <c r="R11" s="1418">
        <f t="shared" si="1"/>
        <v>0</v>
      </c>
    </row>
    <row r="12" spans="2:18">
      <c r="B12" s="1310"/>
      <c r="C12" s="366" t="s">
        <v>3016</v>
      </c>
      <c r="D12" s="368">
        <f>IF(VLOOKUP($C12,INPUT!$E$34:$G$45,3,0)='(DCF,로열티1) 기술기여도 및 조정계수1'!D$2,1,"")</f>
        <v>1</v>
      </c>
      <c r="E12" s="368" t="str">
        <f>IF(VLOOKUP($C12,INPUT!$E$34:$G$45,3,0)='(DCF,로열티1) 기술기여도 및 조정계수1'!E$2,1,"")</f>
        <v/>
      </c>
      <c r="F12" s="398" t="str">
        <f>IF(VLOOKUP($C12,INPUT!$E$34:$G$45,3,0)='(DCF,로열티1) 기술기여도 및 조정계수1'!F$2,1,"")</f>
        <v/>
      </c>
      <c r="G12" s="396" t="str">
        <f>IF(VLOOKUP($C12,INPUT!$E$34:$G$45,3,0)='(DCF,로열티1) 기술기여도 및 조정계수1'!G$2,1,"")</f>
        <v/>
      </c>
      <c r="H12" s="368" t="str">
        <f>IF(VLOOKUP($C12,INPUT!$E$34:$G$45,3,0)='(DCF,로열티1) 기술기여도 및 조정계수1'!H$2,1,"")</f>
        <v/>
      </c>
      <c r="I12" s="6">
        <f t="shared" si="0"/>
        <v>1</v>
      </c>
      <c r="K12" s="1423"/>
      <c r="L12" s="1422" t="s">
        <v>3018</v>
      </c>
      <c r="M12" s="1417" t="str">
        <f>IF(VLOOKUP($L12,INPUT!$E$34:$G$45,3,0)='(DCF,로열티1) 기술기여도 및 조정계수1'!M$2,1,"")</f>
        <v/>
      </c>
      <c r="N12" s="1417" t="str">
        <f>IF(VLOOKUP($L12,INPUT!$E$34:$G$45,3,0)='(DCF,로열티1) 기술기여도 및 조정계수1'!N$2,1,"")</f>
        <v/>
      </c>
      <c r="O12" s="1417">
        <f>IF(VLOOKUP($L12,INPUT!$E$34:$G$45,3,0)='(DCF,로열티1) 기술기여도 및 조정계수1'!O$2,1,"")</f>
        <v>1</v>
      </c>
      <c r="P12" s="1417" t="str">
        <f>IF(VLOOKUP($L12,INPUT!$E$34:$G$45,3,0)='(DCF,로열티1) 기술기여도 및 조정계수1'!P$2,1,"")</f>
        <v/>
      </c>
      <c r="Q12" s="1417" t="str">
        <f>IF(VLOOKUP($L12,INPUT!$E$34:$G$45,3,0)='(DCF,로열티1) 기술기여도 및 조정계수1'!Q$2,1,"")</f>
        <v/>
      </c>
      <c r="R12" s="1418">
        <f t="shared" si="1"/>
        <v>0</v>
      </c>
    </row>
    <row r="13" spans="2:18">
      <c r="B13" s="1310"/>
      <c r="C13" s="367" t="s">
        <v>3018</v>
      </c>
      <c r="D13" s="394" t="str">
        <f>IF(VLOOKUP($C13,INPUT!$E$34:$G$45,3,0)='(DCF,로열티1) 기술기여도 및 조정계수1'!D$2,1,"")</f>
        <v/>
      </c>
      <c r="E13" s="394" t="str">
        <f>IF(VLOOKUP($C13,INPUT!$E$34:$G$45,3,0)='(DCF,로열티1) 기술기여도 및 조정계수1'!E$2,1,"")</f>
        <v/>
      </c>
      <c r="F13" s="399">
        <f>IF(VLOOKUP($C13,INPUT!$E$34:$G$45,3,0)='(DCF,로열티1) 기술기여도 및 조정계수1'!F$2,1,"")</f>
        <v>1</v>
      </c>
      <c r="G13" s="397" t="str">
        <f>IF(VLOOKUP($C13,INPUT!$E$34:$G$45,3,0)='(DCF,로열티1) 기술기여도 및 조정계수1'!G$2,1,"")</f>
        <v/>
      </c>
      <c r="H13" s="394" t="str">
        <f>IF(VLOOKUP($C13,INPUT!$E$34:$G$45,3,0)='(DCF,로열티1) 기술기여도 및 조정계수1'!H$2,1,"")</f>
        <v/>
      </c>
      <c r="I13" s="6">
        <f t="shared" si="0"/>
        <v>3</v>
      </c>
      <c r="K13" s="1419" t="s">
        <v>3123</v>
      </c>
      <c r="L13" s="1420" t="s">
        <v>2992</v>
      </c>
      <c r="M13" s="1417" t="str">
        <f>IF(VLOOKUP($L13,INPUT!$J$34:$L$45,3,0)=M$2,1,"")</f>
        <v/>
      </c>
      <c r="N13" s="1417" t="str">
        <f>IF(VLOOKUP($L13,INPUT!$J$34:$L$45,3,0)=N$2,1,"")</f>
        <v/>
      </c>
      <c r="O13" s="1417" t="str">
        <f>IF(VLOOKUP($L13,INPUT!$J$34:$L$45,3,0)=O$2,1,"")</f>
        <v/>
      </c>
      <c r="P13" s="1417" t="str">
        <f>IF(VLOOKUP($L13,INPUT!$J$34:$L$45,3,0)=P$2,1,"")</f>
        <v/>
      </c>
      <c r="Q13" s="1417">
        <f>IF(VLOOKUP($L13,INPUT!$J$34:$L$45,3,0)=Q$2,1,"")</f>
        <v>1</v>
      </c>
      <c r="R13" s="1418">
        <f t="shared" ref="R13:R18" si="2">SUMIF(M13:Q13,1,$M$3:$Q$3)</f>
        <v>2</v>
      </c>
    </row>
    <row r="14" spans="2:18">
      <c r="B14" s="1311" t="s">
        <v>183</v>
      </c>
      <c r="C14" s="1311"/>
      <c r="D14" s="1311"/>
      <c r="E14" s="1311"/>
      <c r="F14" s="1311"/>
      <c r="G14" s="1311"/>
      <c r="H14" s="1311"/>
      <c r="I14" s="7">
        <f>SUM(I4:I13)</f>
        <v>32</v>
      </c>
      <c r="K14" s="1421"/>
      <c r="L14" s="1420" t="s">
        <v>3020</v>
      </c>
      <c r="M14" s="1417" t="str">
        <f>IF(VLOOKUP($L14,INPUT!$J$34:$L$45,3,0)=M$2,1,"")</f>
        <v/>
      </c>
      <c r="N14" s="1417" t="str">
        <f>IF(VLOOKUP($L14,INPUT!$J$34:$L$45,3,0)=N$2,1,"")</f>
        <v/>
      </c>
      <c r="O14" s="1417" t="str">
        <f>IF(VLOOKUP($L14,INPUT!$J$34:$L$45,3,0)=O$2,1,"")</f>
        <v/>
      </c>
      <c r="P14" s="1417" t="str">
        <f>IF(VLOOKUP($L14,INPUT!$J$34:$L$45,3,0)=P$2,1,"")</f>
        <v/>
      </c>
      <c r="Q14" s="1417">
        <f>IF(VLOOKUP($L14,INPUT!$J$34:$L$45,3,0)=Q$2,1,"")</f>
        <v>1</v>
      </c>
      <c r="R14" s="1418">
        <f t="shared" si="2"/>
        <v>2</v>
      </c>
    </row>
    <row r="15" spans="2:18" ht="16.5" customHeight="1">
      <c r="K15" s="1421"/>
      <c r="L15" s="1420" t="s">
        <v>3005</v>
      </c>
      <c r="M15" s="1417" t="str">
        <f>IF(VLOOKUP($L15,INPUT!$J$34:$L$45,3,0)=M$2,1,"")</f>
        <v/>
      </c>
      <c r="N15" s="1417" t="str">
        <f>IF(VLOOKUP($L15,INPUT!$J$34:$L$45,3,0)=N$2,1,"")</f>
        <v/>
      </c>
      <c r="O15" s="1417">
        <f>IF(VLOOKUP($L15,INPUT!$J$34:$L$45,3,0)=O$2,1,"")</f>
        <v>1</v>
      </c>
      <c r="P15" s="1417" t="str">
        <f>IF(VLOOKUP($L15,INPUT!$J$34:$L$45,3,0)=P$2,1,"")</f>
        <v/>
      </c>
      <c r="Q15" s="1417" t="str">
        <f>IF(VLOOKUP($L15,INPUT!$J$34:$L$45,3,0)=Q$2,1,"")</f>
        <v/>
      </c>
      <c r="R15" s="1418">
        <f t="shared" si="2"/>
        <v>0</v>
      </c>
    </row>
    <row r="16" spans="2:18">
      <c r="B16" s="377" t="s">
        <v>178</v>
      </c>
      <c r="C16" s="374" t="s">
        <v>179</v>
      </c>
      <c r="D16" s="369">
        <v>1</v>
      </c>
      <c r="E16" s="369">
        <v>2</v>
      </c>
      <c r="F16" s="369">
        <v>3</v>
      </c>
      <c r="G16" s="369">
        <v>4</v>
      </c>
      <c r="H16" s="369">
        <v>5</v>
      </c>
      <c r="I16" s="375" t="s">
        <v>3125</v>
      </c>
      <c r="K16" s="1421"/>
      <c r="L16" s="1420" t="s">
        <v>3023</v>
      </c>
      <c r="M16" s="1417" t="str">
        <f>IF(VLOOKUP($L16,INPUT!$J$34:$L$45,3,0)=M$2,1,"")</f>
        <v/>
      </c>
      <c r="N16" s="1417" t="str">
        <f>IF(VLOOKUP($L16,INPUT!$J$34:$L$45,3,0)=N$2,1,"")</f>
        <v/>
      </c>
      <c r="O16" s="1417">
        <f>IF(VLOOKUP($L16,INPUT!$J$34:$L$45,3,0)=O$2,1,"")</f>
        <v>1</v>
      </c>
      <c r="P16" s="1417" t="str">
        <f>IF(VLOOKUP($L16,INPUT!$J$34:$L$45,3,0)=P$2,1,"")</f>
        <v/>
      </c>
      <c r="Q16" s="1417" t="str">
        <f>IF(VLOOKUP($L16,INPUT!$J$34:$L$45,3,0)=Q$2,1,"")</f>
        <v/>
      </c>
      <c r="R16" s="1418">
        <f t="shared" si="2"/>
        <v>0</v>
      </c>
    </row>
    <row r="17" spans="2:18">
      <c r="B17" s="1310" t="s">
        <v>3138</v>
      </c>
      <c r="C17" s="366" t="s">
        <v>3000</v>
      </c>
      <c r="D17" s="368" t="str">
        <f>IF(VLOOKUP($C17,INPUT!$J$34:$L$45,3,0)='(DCF,로열티1) 기술기여도 및 조정계수1'!D$2,1,"")</f>
        <v/>
      </c>
      <c r="E17" s="368" t="str">
        <f>IF(VLOOKUP($C17,INPUT!$J$34:$L$45,3,0)='(DCF,로열티1) 기술기여도 및 조정계수1'!E$2,1,"")</f>
        <v/>
      </c>
      <c r="F17" s="368">
        <f>IF(VLOOKUP($C17,INPUT!$J$34:$L$45,3,0)='(DCF,로열티1) 기술기여도 및 조정계수1'!F$2,1,"")</f>
        <v>1</v>
      </c>
      <c r="G17" s="368" t="str">
        <f>IF(VLOOKUP($C17,INPUT!$J$34:$L$45,3,0)='(DCF,로열티1) 기술기여도 및 조정계수1'!G$2,1,"")</f>
        <v/>
      </c>
      <c r="H17" s="368" t="str">
        <f>IF(VLOOKUP($C17,INPUT!$J$34:$L$45,3,0)='(DCF,로열티1) 기술기여도 및 조정계수1'!H$2,1,"")</f>
        <v/>
      </c>
      <c r="I17" s="6">
        <f t="shared" ref="I17:I26" si="3">SUMIF(D17:H17,1,$D$16:$H$16)</f>
        <v>3</v>
      </c>
      <c r="K17" s="1421"/>
      <c r="L17" s="1420" t="s">
        <v>3028</v>
      </c>
      <c r="M17" s="1417" t="str">
        <f>IF(VLOOKUP($L17,INPUT!$J$34:$L$45,3,0)=M$2,1,"")</f>
        <v/>
      </c>
      <c r="N17" s="1417" t="str">
        <f>IF(VLOOKUP($L17,INPUT!$J$34:$L$45,3,0)=N$2,1,"")</f>
        <v/>
      </c>
      <c r="O17" s="1417">
        <f>IF(VLOOKUP($L17,INPUT!$J$34:$L$45,3,0)=O$2,1,"")</f>
        <v>1</v>
      </c>
      <c r="P17" s="1417" t="str">
        <f>IF(VLOOKUP($L17,INPUT!$J$34:$L$45,3,0)=P$2,1,"")</f>
        <v/>
      </c>
      <c r="Q17" s="1417" t="str">
        <f>IF(VLOOKUP($L17,INPUT!$J$34:$L$45,3,0)=Q$2,1,"")</f>
        <v/>
      </c>
      <c r="R17" s="1418">
        <f t="shared" si="2"/>
        <v>0</v>
      </c>
    </row>
    <row r="18" spans="2:18">
      <c r="B18" s="1310"/>
      <c r="C18" s="366" t="s">
        <v>3021</v>
      </c>
      <c r="D18" s="368" t="str">
        <f>IF(VLOOKUP($C18,INPUT!$J$34:$L$45,3,0)='(DCF,로열티1) 기술기여도 및 조정계수1'!D$2,1,"")</f>
        <v/>
      </c>
      <c r="E18" s="368" t="str">
        <f>IF(VLOOKUP($C18,INPUT!$J$34:$L$45,3,0)='(DCF,로열티1) 기술기여도 및 조정계수1'!E$2,1,"")</f>
        <v/>
      </c>
      <c r="F18" s="368" t="str">
        <f>IF(VLOOKUP($C18,INPUT!$J$34:$L$45,3,0)='(DCF,로열티1) 기술기여도 및 조정계수1'!F$2,1,"")</f>
        <v/>
      </c>
      <c r="G18" s="368" t="str">
        <f>IF(VLOOKUP($C18,INPUT!$J$34:$L$45,3,0)='(DCF,로열티1) 기술기여도 및 조정계수1'!G$2,1,"")</f>
        <v/>
      </c>
      <c r="H18" s="368">
        <f>IF(VLOOKUP($C18,INPUT!$J$34:$L$45,3,0)='(DCF,로열티1) 기술기여도 및 조정계수1'!H$2,1,"")</f>
        <v>1</v>
      </c>
      <c r="I18" s="6">
        <f t="shared" si="3"/>
        <v>5</v>
      </c>
      <c r="K18" s="1423"/>
      <c r="L18" s="1420" t="s">
        <v>209</v>
      </c>
      <c r="M18" s="1417" t="str">
        <f>IF(VLOOKUP($L18,INPUT!$J$34:$L$45,3,0)=M$2,1,"")</f>
        <v/>
      </c>
      <c r="N18" s="1417" t="str">
        <f>IF(VLOOKUP($L18,INPUT!$J$34:$L$45,3,0)=N$2,1,"")</f>
        <v/>
      </c>
      <c r="O18" s="1417">
        <f>IF(VLOOKUP($L18,INPUT!$J$34:$L$45,3,0)=O$2,1,"")</f>
        <v>1</v>
      </c>
      <c r="P18" s="1417" t="str">
        <f>IF(VLOOKUP($L18,INPUT!$J$34:$L$45,3,0)=P$2,1,"")</f>
        <v/>
      </c>
      <c r="Q18" s="1417" t="str">
        <f>IF(VLOOKUP($L18,INPUT!$J$34:$L$45,3,0)=Q$2,1,"")</f>
        <v/>
      </c>
      <c r="R18" s="1418">
        <f t="shared" si="2"/>
        <v>0</v>
      </c>
    </row>
    <row r="19" spans="2:18">
      <c r="B19" s="1310"/>
      <c r="C19" s="366" t="s">
        <v>3006</v>
      </c>
      <c r="D19" s="368" t="str">
        <f>IF(VLOOKUP($C19,INPUT!$J$34:$L$45,3,0)='(DCF,로열티1) 기술기여도 및 조정계수1'!D$2,1,"")</f>
        <v/>
      </c>
      <c r="E19" s="368" t="str">
        <f>IF(VLOOKUP($C19,INPUT!$J$34:$L$45,3,0)='(DCF,로열티1) 기술기여도 및 조정계수1'!E$2,1,"")</f>
        <v/>
      </c>
      <c r="F19" s="368">
        <f>IF(VLOOKUP($C19,INPUT!$J$34:$L$45,3,0)='(DCF,로열티1) 기술기여도 및 조정계수1'!F$2,1,"")</f>
        <v>1</v>
      </c>
      <c r="G19" s="368" t="str">
        <f>IF(VLOOKUP($C19,INPUT!$J$34:$L$45,3,0)='(DCF,로열티1) 기술기여도 및 조정계수1'!G$2,1,"")</f>
        <v/>
      </c>
      <c r="H19" s="368" t="str">
        <f>IF(VLOOKUP($C19,INPUT!$J$34:$L$45,3,0)='(DCF,로열티1) 기술기여도 및 조정계수1'!H$2,1,"")</f>
        <v/>
      </c>
      <c r="I19" s="6">
        <f t="shared" si="3"/>
        <v>3</v>
      </c>
      <c r="K19" s="1424" t="s">
        <v>3092</v>
      </c>
      <c r="L19" s="1424"/>
      <c r="M19" s="1424"/>
      <c r="N19" s="1424"/>
      <c r="O19" s="1424"/>
      <c r="P19" s="1424"/>
      <c r="Q19" s="1425"/>
      <c r="R19" s="891">
        <f>SUM(R4:R18)</f>
        <v>10</v>
      </c>
    </row>
    <row r="20" spans="2:18">
      <c r="B20" s="1310"/>
      <c r="C20" s="366" t="s">
        <v>3022</v>
      </c>
      <c r="D20" s="368" t="str">
        <f>IF(VLOOKUP($C20,INPUT!$J$34:$L$45,3,0)='(DCF,로열티1) 기술기여도 및 조정계수1'!D$2,1,"")</f>
        <v/>
      </c>
      <c r="E20" s="368" t="str">
        <f>IF(VLOOKUP($C20,INPUT!$J$34:$L$45,3,0)='(DCF,로열티1) 기술기여도 및 조정계수1'!E$2,1,"")</f>
        <v/>
      </c>
      <c r="F20" s="368" t="str">
        <f>IF(VLOOKUP($C20,INPUT!$J$34:$L$45,3,0)='(DCF,로열티1) 기술기여도 및 조정계수1'!F$2,1,"")</f>
        <v/>
      </c>
      <c r="G20" s="368" t="str">
        <f>IF(VLOOKUP($C20,INPUT!$J$34:$L$45,3,0)='(DCF,로열티1) 기술기여도 및 조정계수1'!G$2,1,"")</f>
        <v/>
      </c>
      <c r="H20" s="368">
        <f>IF(VLOOKUP($C20,INPUT!$J$34:$L$45,3,0)='(DCF,로열티1) 기술기여도 및 조정계수1'!H$2,1,"")</f>
        <v>1</v>
      </c>
      <c r="I20" s="6">
        <f t="shared" si="3"/>
        <v>5</v>
      </c>
      <c r="K20" s="1426" t="s">
        <v>1442</v>
      </c>
      <c r="L20" s="1427"/>
      <c r="M20" s="1427"/>
      <c r="N20" s="1427"/>
      <c r="O20" s="1427"/>
      <c r="P20" s="1427"/>
      <c r="Q20" s="1427"/>
      <c r="R20" s="451">
        <f>ROUNDDOWN(1+R19/30,2)</f>
        <v>1.33</v>
      </c>
    </row>
    <row r="21" spans="2:18">
      <c r="B21" s="1310"/>
      <c r="C21" s="366" t="s">
        <v>3024</v>
      </c>
      <c r="D21" s="368" t="str">
        <f>IF(VLOOKUP($C21,INPUT!$J$34:$L$45,3,0)='(DCF,로열티1) 기술기여도 및 조정계수1'!D$2,1,"")</f>
        <v/>
      </c>
      <c r="E21" s="368" t="str">
        <f>IF(VLOOKUP($C21,INPUT!$J$34:$L$45,3,0)='(DCF,로열티1) 기술기여도 및 조정계수1'!E$2,1,"")</f>
        <v/>
      </c>
      <c r="F21" s="368">
        <f>IF(VLOOKUP($C21,INPUT!$J$34:$L$45,3,0)='(DCF,로열티1) 기술기여도 및 조정계수1'!F$2,1,"")</f>
        <v>1</v>
      </c>
      <c r="G21" s="368" t="str">
        <f>IF(VLOOKUP($C21,INPUT!$J$34:$L$45,3,0)='(DCF,로열티1) 기술기여도 및 조정계수1'!G$2,1,"")</f>
        <v/>
      </c>
      <c r="H21" s="368" t="str">
        <f>IF(VLOOKUP($C21,INPUT!$J$34:$L$45,3,0)='(DCF,로열티1) 기술기여도 및 조정계수1'!H$2,1,"")</f>
        <v/>
      </c>
      <c r="I21" s="6">
        <f t="shared" si="3"/>
        <v>3</v>
      </c>
    </row>
    <row r="22" spans="2:18">
      <c r="B22" s="1310"/>
      <c r="C22" s="366" t="s">
        <v>3025</v>
      </c>
      <c r="D22" s="368" t="str">
        <f>IF(VLOOKUP($C22,INPUT!$J$34:$L$45,3,0)='(DCF,로열티1) 기술기여도 및 조정계수1'!D$2,1,"")</f>
        <v/>
      </c>
      <c r="E22" s="368" t="str">
        <f>IF(VLOOKUP($C22,INPUT!$J$34:$L$45,3,0)='(DCF,로열티1) 기술기여도 및 조정계수1'!E$2,1,"")</f>
        <v/>
      </c>
      <c r="F22" s="368" t="str">
        <f>IF(VLOOKUP($C22,INPUT!$J$34:$L$45,3,0)='(DCF,로열티1) 기술기여도 및 조정계수1'!F$2,1,"")</f>
        <v/>
      </c>
      <c r="G22" s="368" t="str">
        <f>IF(VLOOKUP($C22,INPUT!$J$34:$L$45,3,0)='(DCF,로열티1) 기술기여도 및 조정계수1'!G$2,1,"")</f>
        <v/>
      </c>
      <c r="H22" s="368">
        <f>IF(VLOOKUP($C22,INPUT!$J$34:$L$45,3,0)='(DCF,로열티1) 기술기여도 및 조정계수1'!H$2,1,"")</f>
        <v>1</v>
      </c>
      <c r="I22" s="6">
        <f t="shared" si="3"/>
        <v>5</v>
      </c>
    </row>
    <row r="23" spans="2:18">
      <c r="B23" s="1310"/>
      <c r="C23" s="366" t="s">
        <v>3027</v>
      </c>
      <c r="D23" s="368" t="str">
        <f>IF(VLOOKUP($C23,INPUT!$J$34:$L$45,3,0)='(DCF,로열티1) 기술기여도 및 조정계수1'!D$2,1,"")</f>
        <v/>
      </c>
      <c r="E23" s="368" t="str">
        <f>IF(VLOOKUP($C23,INPUT!$J$34:$L$45,3,0)='(DCF,로열티1) 기술기여도 및 조정계수1'!E$2,1,"")</f>
        <v/>
      </c>
      <c r="F23" s="368" t="str">
        <f>IF(VLOOKUP($C23,INPUT!$J$34:$L$45,3,0)='(DCF,로열티1) 기술기여도 및 조정계수1'!F$2,1,"")</f>
        <v/>
      </c>
      <c r="G23" s="368" t="str">
        <f>IF(VLOOKUP($C23,INPUT!$J$34:$L$45,3,0)='(DCF,로열티1) 기술기여도 및 조정계수1'!G$2,1,"")</f>
        <v/>
      </c>
      <c r="H23" s="368">
        <f>IF(VLOOKUP($C23,INPUT!$J$34:$L$45,3,0)='(DCF,로열티1) 기술기여도 및 조정계수1'!H$2,1,"")</f>
        <v>1</v>
      </c>
      <c r="I23" s="6">
        <f t="shared" si="3"/>
        <v>5</v>
      </c>
    </row>
    <row r="24" spans="2:18">
      <c r="B24" s="1310"/>
      <c r="C24" s="366" t="s">
        <v>3029</v>
      </c>
      <c r="D24" s="368" t="str">
        <f>IF(VLOOKUP($C24,INPUT!$J$34:$L$45,3,0)='(DCF,로열티1) 기술기여도 및 조정계수1'!D$2,1,"")</f>
        <v/>
      </c>
      <c r="E24" s="368" t="str">
        <f>IF(VLOOKUP($C24,INPUT!$J$34:$L$45,3,0)='(DCF,로열티1) 기술기여도 및 조정계수1'!E$2,1,"")</f>
        <v/>
      </c>
      <c r="F24" s="368">
        <f>IF(VLOOKUP($C24,INPUT!$J$34:$L$45,3,0)='(DCF,로열티1) 기술기여도 및 조정계수1'!F$2,1,"")</f>
        <v>1</v>
      </c>
      <c r="G24" s="368" t="str">
        <f>IF(VLOOKUP($C24,INPUT!$J$34:$L$45,3,0)='(DCF,로열티1) 기술기여도 및 조정계수1'!G$2,1,"")</f>
        <v/>
      </c>
      <c r="H24" s="368" t="str">
        <f>IF(VLOOKUP($C24,INPUT!$J$34:$L$45,3,0)='(DCF,로열티1) 기술기여도 및 조정계수1'!H$2,1,"")</f>
        <v/>
      </c>
      <c r="I24" s="6">
        <f t="shared" si="3"/>
        <v>3</v>
      </c>
    </row>
    <row r="25" spans="2:18">
      <c r="B25" s="1310"/>
      <c r="C25" s="366" t="s">
        <v>3030</v>
      </c>
      <c r="D25" s="368" t="str">
        <f>IF(VLOOKUP($C25,INPUT!$J$34:$L$45,3,0)='(DCF,로열티1) 기술기여도 및 조정계수1'!D$2,1,"")</f>
        <v/>
      </c>
      <c r="E25" s="368" t="str">
        <f>IF(VLOOKUP($C25,INPUT!$J$34:$L$45,3,0)='(DCF,로열티1) 기술기여도 및 조정계수1'!E$2,1,"")</f>
        <v/>
      </c>
      <c r="F25" s="368">
        <f>IF(VLOOKUP($C25,INPUT!$J$34:$L$45,3,0)='(DCF,로열티1) 기술기여도 및 조정계수1'!F$2,1,"")</f>
        <v>1</v>
      </c>
      <c r="G25" s="368" t="str">
        <f>IF(VLOOKUP($C25,INPUT!$J$34:$L$45,3,0)='(DCF,로열티1) 기술기여도 및 조정계수1'!G$2,1,"")</f>
        <v/>
      </c>
      <c r="H25" s="368" t="str">
        <f>IF(VLOOKUP($C25,INPUT!$J$34:$L$45,3,0)='(DCF,로열티1) 기술기여도 및 조정계수1'!H$2,1,"")</f>
        <v/>
      </c>
      <c r="I25" s="6">
        <f t="shared" si="3"/>
        <v>3</v>
      </c>
    </row>
    <row r="26" spans="2:18">
      <c r="B26" s="1313"/>
      <c r="C26" s="366" t="s">
        <v>182</v>
      </c>
      <c r="D26" s="368" t="str">
        <f>IF(VLOOKUP($C26,INPUT!$J$34:$L$45,3,0)='(DCF,로열티1) 기술기여도 및 조정계수1'!D$2,1,"")</f>
        <v/>
      </c>
      <c r="E26" s="368" t="str">
        <f>IF(VLOOKUP($C26,INPUT!$J$34:$L$45,3,0)='(DCF,로열티1) 기술기여도 및 조정계수1'!E$2,1,"")</f>
        <v/>
      </c>
      <c r="F26" s="368" t="str">
        <f>IF(VLOOKUP($C26,INPUT!$J$34:$L$45,3,0)='(DCF,로열티1) 기술기여도 및 조정계수1'!F$2,1,"")</f>
        <v/>
      </c>
      <c r="G26" s="368" t="str">
        <f>IF(VLOOKUP($C26,INPUT!$J$34:$L$45,3,0)='(DCF,로열티1) 기술기여도 및 조정계수1'!G$2,1,"")</f>
        <v/>
      </c>
      <c r="H26" s="368">
        <f>IF(VLOOKUP($C26,INPUT!$J$34:$L$45,3,0)='(DCF,로열티1) 기술기여도 및 조정계수1'!H$2,1,"")</f>
        <v>1</v>
      </c>
      <c r="I26" s="6">
        <f t="shared" si="3"/>
        <v>5</v>
      </c>
    </row>
    <row r="27" spans="2:18">
      <c r="B27" s="1305" t="s">
        <v>183</v>
      </c>
      <c r="C27" s="1306"/>
      <c r="D27" s="1306"/>
      <c r="E27" s="1306"/>
      <c r="F27" s="1306"/>
      <c r="G27" s="1306"/>
      <c r="H27" s="1307"/>
      <c r="I27" s="7">
        <f>SUM(I17:I26)</f>
        <v>40</v>
      </c>
    </row>
    <row r="29" spans="2:18" ht="11.25" customHeight="1"/>
    <row r="30" spans="2:18" ht="17.25">
      <c r="B30" s="1299" t="s">
        <v>185</v>
      </c>
      <c r="C30" s="1299"/>
      <c r="D30" s="627" t="s">
        <v>3034</v>
      </c>
      <c r="E30" s="627" t="s">
        <v>3050</v>
      </c>
    </row>
    <row r="31" spans="2:18">
      <c r="B31" s="1296" t="s">
        <v>188</v>
      </c>
      <c r="C31" s="1296"/>
      <c r="D31" s="628">
        <f>I14</f>
        <v>32</v>
      </c>
      <c r="E31" s="628">
        <f>I27</f>
        <v>40</v>
      </c>
    </row>
    <row r="32" spans="2:18">
      <c r="B32" s="1296" t="s">
        <v>189</v>
      </c>
      <c r="C32" s="1296"/>
      <c r="D32" s="629">
        <f>D31/50</f>
        <v>0.64</v>
      </c>
      <c r="E32" s="629">
        <f>E31/50</f>
        <v>0.8</v>
      </c>
    </row>
    <row r="33" spans="2:9">
      <c r="B33" s="1296" t="s">
        <v>190</v>
      </c>
      <c r="C33" s="1296"/>
      <c r="D33" s="630">
        <v>0.5</v>
      </c>
      <c r="E33" s="630">
        <v>0.5</v>
      </c>
    </row>
    <row r="34" spans="2:9">
      <c r="B34" s="1296" t="s">
        <v>191</v>
      </c>
      <c r="C34" s="1296"/>
      <c r="D34" s="1297">
        <f>D32*D33/(D33+E33)+E32*E33/(D33+E33)</f>
        <v>0.72</v>
      </c>
      <c r="E34" s="1298"/>
    </row>
    <row r="35" spans="2:9" ht="8.25" customHeight="1"/>
    <row r="36" spans="2:9" ht="17.25">
      <c r="B36" s="1300" t="s">
        <v>3061</v>
      </c>
      <c r="C36" s="1301"/>
      <c r="D36" s="1301"/>
      <c r="E36" s="1302"/>
      <c r="I36" s="450" t="s">
        <v>1671</v>
      </c>
    </row>
    <row r="37" spans="2:9" ht="16.5" customHeight="1">
      <c r="B37" s="1296" t="s">
        <v>3232</v>
      </c>
      <c r="C37" s="1296"/>
      <c r="D37" s="1303">
        <f>VLOOKUP(INPUT!$E$16&amp;"_"&amp;INPUT!$E$17,'산업기술요소(보조)'!$A:$F,4+C42,0)</f>
        <v>0.50490000000000002</v>
      </c>
      <c r="E37" s="1304"/>
      <c r="G37" s="1308"/>
      <c r="H37" s="1308"/>
    </row>
    <row r="38" spans="2:9" ht="16.5" customHeight="1">
      <c r="B38" s="1296" t="s">
        <v>3233</v>
      </c>
      <c r="C38" s="1296"/>
      <c r="D38" s="1303">
        <f>INPUT!L75</f>
        <v>0.44999999999999996</v>
      </c>
      <c r="E38" s="1304"/>
      <c r="G38" s="438"/>
      <c r="H38" s="438"/>
    </row>
    <row r="39" spans="2:9" ht="16.5" customHeight="1">
      <c r="B39" s="1296" t="s">
        <v>3234</v>
      </c>
      <c r="C39" s="1296"/>
      <c r="D39" s="1297">
        <f>D34</f>
        <v>0.72</v>
      </c>
      <c r="E39" s="1298"/>
    </row>
    <row r="40" spans="2:9" ht="16.5" customHeight="1">
      <c r="B40" s="1296" t="s">
        <v>1674</v>
      </c>
      <c r="C40" s="1296"/>
      <c r="D40" s="1297">
        <f>D37*D38*D39</f>
        <v>0.1635876</v>
      </c>
      <c r="E40" s="1298"/>
    </row>
    <row r="42" spans="2:9">
      <c r="B42" s="631" t="s">
        <v>1672</v>
      </c>
      <c r="C42" s="632">
        <v>2</v>
      </c>
    </row>
    <row r="43" spans="2:9">
      <c r="B43" s="631" t="s">
        <v>1673</v>
      </c>
      <c r="C43" s="632"/>
    </row>
    <row r="44" spans="2:9">
      <c r="B44" s="632"/>
      <c r="C44" s="632"/>
    </row>
  </sheetData>
  <mergeCells count="27">
    <mergeCell ref="B2:C2"/>
    <mergeCell ref="K2:L2"/>
    <mergeCell ref="B17:B26"/>
    <mergeCell ref="K10:K12"/>
    <mergeCell ref="K13:K18"/>
    <mergeCell ref="K19:Q19"/>
    <mergeCell ref="B27:H27"/>
    <mergeCell ref="K20:Q20"/>
    <mergeCell ref="K4:K9"/>
    <mergeCell ref="G37:H37"/>
    <mergeCell ref="B4:B13"/>
    <mergeCell ref="B14:H14"/>
    <mergeCell ref="B40:C40"/>
    <mergeCell ref="D40:E40"/>
    <mergeCell ref="B30:C30"/>
    <mergeCell ref="B31:C31"/>
    <mergeCell ref="B32:C32"/>
    <mergeCell ref="B33:C33"/>
    <mergeCell ref="B34:C34"/>
    <mergeCell ref="D34:E34"/>
    <mergeCell ref="B36:E36"/>
    <mergeCell ref="B37:C37"/>
    <mergeCell ref="D37:E37"/>
    <mergeCell ref="B39:C39"/>
    <mergeCell ref="D39:E39"/>
    <mergeCell ref="D38:E38"/>
    <mergeCell ref="B38:C38"/>
  </mergeCells>
  <phoneticPr fontId="11" type="noConversion"/>
  <pageMargins left="0.7" right="0.7" top="0.75" bottom="0.75" header="0.3" footer="0.3"/>
  <pageSetup paperSize="9" scale="7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autoLine="0" autoPict="0">
                <anchor moveWithCells="1">
                  <from>
                    <xdr:col>8</xdr:col>
                    <xdr:colOff>0</xdr:colOff>
                    <xdr:row>36</xdr:row>
                    <xdr:rowOff>9525</xdr:rowOff>
                  </from>
                  <to>
                    <xdr:col>8</xdr:col>
                    <xdr:colOff>1362075</xdr:colOff>
                    <xdr:row>37</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rgb="FFFFFF00"/>
  </sheetPr>
  <dimension ref="A1:O33"/>
  <sheetViews>
    <sheetView zoomScale="85" zoomScaleNormal="85" zoomScaleSheetLayoutView="100" workbookViewId="0">
      <selection activeCell="D7" sqref="D7"/>
    </sheetView>
  </sheetViews>
  <sheetFormatPr defaultRowHeight="16.5"/>
  <cols>
    <col min="1" max="1" width="14.44140625" style="38" customWidth="1"/>
    <col min="2" max="2" width="17.33203125" style="38" customWidth="1"/>
    <col min="3" max="3" width="10.77734375" style="38" bestFit="1" customWidth="1"/>
    <col min="4" max="4" width="28.77734375" style="38" bestFit="1" customWidth="1"/>
    <col min="5" max="5" width="9.88671875" style="38" customWidth="1"/>
    <col min="6" max="9" width="5.88671875" style="38" customWidth="1"/>
    <col min="10" max="10" width="10.77734375" style="38" customWidth="1"/>
    <col min="11" max="11" width="3.21875" style="38" customWidth="1"/>
    <col min="12" max="12" width="2.5546875" style="38" customWidth="1"/>
    <col min="13" max="16384" width="8.88671875" style="38"/>
  </cols>
  <sheetData>
    <row r="1" spans="1:15" ht="30" customHeight="1">
      <c r="A1" s="462"/>
      <c r="B1" s="462"/>
      <c r="C1" s="633"/>
      <c r="D1" s="462"/>
      <c r="E1" s="462"/>
      <c r="F1" s="462"/>
      <c r="M1" s="634"/>
      <c r="N1" s="462"/>
      <c r="O1" s="462"/>
    </row>
    <row r="2" spans="1:15">
      <c r="A2" s="452" t="s">
        <v>3099</v>
      </c>
      <c r="B2" s="452" t="s">
        <v>3100</v>
      </c>
      <c r="C2" s="453" t="s">
        <v>3101</v>
      </c>
      <c r="D2" s="454" t="s">
        <v>3102</v>
      </c>
      <c r="E2" s="455" t="s">
        <v>3103</v>
      </c>
      <c r="F2" s="462"/>
      <c r="M2" s="462" t="s">
        <v>3076</v>
      </c>
      <c r="N2" s="462"/>
      <c r="O2" s="462"/>
    </row>
    <row r="3" spans="1:15" ht="27">
      <c r="A3" s="456">
        <f>INPUT!E16</f>
        <v>429</v>
      </c>
      <c r="B3" s="498" t="str">
        <f>INPUT!F16</f>
        <v>기타 임산물 가공품 제조업</v>
      </c>
      <c r="C3" s="457">
        <f>VLOOKUP(A3,경상로열티!$D$14:$M$193,5,0)</f>
        <v>0.3</v>
      </c>
      <c r="D3" s="458">
        <f>VLOOKUP(A3,경상로열티!$D$14:$M$193,8,0)</f>
        <v>2.25</v>
      </c>
      <c r="E3" s="458">
        <f>VLOOKUP(A3,경상로열티!$D$14:$M$193,6,0)</f>
        <v>6</v>
      </c>
      <c r="F3" s="462"/>
      <c r="M3" s="463"/>
      <c r="N3" s="462"/>
      <c r="O3" s="462"/>
    </row>
    <row r="4" spans="1:15">
      <c r="A4" s="459" t="s">
        <v>3204</v>
      </c>
      <c r="B4" s="497">
        <f>(C3+(D3-C3)*((J20-30)/(50-30)))</f>
        <v>1.08</v>
      </c>
      <c r="C4" s="460"/>
      <c r="D4" s="461"/>
      <c r="E4" s="462"/>
      <c r="F4" s="462"/>
      <c r="M4" s="463" t="s">
        <v>3078</v>
      </c>
      <c r="N4" s="462"/>
      <c r="O4" s="462"/>
    </row>
    <row r="5" spans="1:15">
      <c r="A5" s="459" t="s">
        <v>3080</v>
      </c>
      <c r="B5" s="497">
        <f>(C3+(D3-C3)*((J20-10)/(30-10)))</f>
        <v>3.03</v>
      </c>
      <c r="C5" s="463"/>
      <c r="D5" s="463"/>
      <c r="E5" s="463"/>
      <c r="F5" s="462"/>
      <c r="M5" s="463" t="s">
        <v>3079</v>
      </c>
      <c r="N5" s="462"/>
      <c r="O5" s="462"/>
    </row>
    <row r="6" spans="1:15">
      <c r="A6" s="464" t="s">
        <v>3077</v>
      </c>
      <c r="B6" s="1428">
        <f>IF(J20&gt;=30,B4,B5)/100</f>
        <v>1.0800000000000001E-2</v>
      </c>
      <c r="C6" s="463"/>
      <c r="D6" s="463"/>
      <c r="E6" s="463"/>
      <c r="F6" s="462"/>
      <c r="M6" s="463" t="s">
        <v>3081</v>
      </c>
      <c r="N6" s="462"/>
      <c r="O6" s="462"/>
    </row>
    <row r="7" spans="1:15">
      <c r="C7" s="463" t="s">
        <v>2951</v>
      </c>
      <c r="D7" s="463"/>
      <c r="E7" s="463"/>
      <c r="F7" s="462"/>
      <c r="M7" s="463" t="s">
        <v>3082</v>
      </c>
      <c r="N7" s="462"/>
      <c r="O7" s="462"/>
    </row>
    <row r="8" spans="1:15" ht="17.25">
      <c r="A8" s="462"/>
      <c r="B8" s="463"/>
      <c r="C8" s="463"/>
      <c r="E8" s="625" t="s">
        <v>3132</v>
      </c>
      <c r="F8" s="625" t="s">
        <v>3133</v>
      </c>
      <c r="G8" s="625" t="s">
        <v>3134</v>
      </c>
      <c r="H8" s="625" t="s">
        <v>3135</v>
      </c>
      <c r="I8" s="625" t="s">
        <v>3136</v>
      </c>
      <c r="J8" s="635" t="s">
        <v>3094</v>
      </c>
      <c r="M8" s="463" t="s">
        <v>3083</v>
      </c>
      <c r="N8" s="462"/>
      <c r="O8" s="462"/>
    </row>
    <row r="9" spans="1:15">
      <c r="A9" s="636" t="s">
        <v>3113</v>
      </c>
      <c r="B9" s="637" t="s">
        <v>3097</v>
      </c>
      <c r="C9" s="1319" t="s">
        <v>3098</v>
      </c>
      <c r="D9" s="1320"/>
      <c r="E9" s="376">
        <v>1</v>
      </c>
      <c r="F9" s="376">
        <v>2</v>
      </c>
      <c r="G9" s="376">
        <v>3</v>
      </c>
      <c r="H9" s="376">
        <v>4</v>
      </c>
      <c r="I9" s="376">
        <v>5</v>
      </c>
      <c r="J9" s="376" t="s">
        <v>2970</v>
      </c>
      <c r="M9" s="463"/>
      <c r="N9" s="462"/>
      <c r="O9" s="462"/>
    </row>
    <row r="10" spans="1:15">
      <c r="A10" s="638"/>
      <c r="B10" s="1326" t="s">
        <v>3104</v>
      </c>
      <c r="C10" s="1318" t="s">
        <v>3010</v>
      </c>
      <c r="D10" s="1318"/>
      <c r="E10" s="5" t="str">
        <f>IF(VLOOKUP($C10,INPUT!$E$34:$G$44,3,0)=E$8,1,"")</f>
        <v/>
      </c>
      <c r="F10" s="5" t="str">
        <f>IF(VLOOKUP($C10,INPUT!$E$34:$G$44,3,0)=F$8,1,"")</f>
        <v/>
      </c>
      <c r="G10" s="5">
        <f>IF(VLOOKUP($C10,INPUT!$E$34:$G$44,3,0)=G$8,1,"")</f>
        <v>1</v>
      </c>
      <c r="H10" s="5" t="str">
        <f>IF(VLOOKUP($C10,INPUT!$E$34:$G$44,3,0)=H$8,1,"")</f>
        <v/>
      </c>
      <c r="I10" s="5" t="str">
        <f>IF(VLOOKUP($C10,INPUT!$E$34:$G$44,3,0)=I$8,1,"")</f>
        <v/>
      </c>
      <c r="J10" s="6">
        <f>SUMIF(E10:I10,1,$E$9:$I$9)</f>
        <v>3</v>
      </c>
      <c r="M10" s="463" t="s">
        <v>3084</v>
      </c>
      <c r="N10" s="462"/>
      <c r="O10" s="462"/>
    </row>
    <row r="11" spans="1:15">
      <c r="A11" s="638"/>
      <c r="B11" s="1327"/>
      <c r="C11" s="1318" t="s">
        <v>3013</v>
      </c>
      <c r="D11" s="1318"/>
      <c r="E11" s="5">
        <f>IF(VLOOKUP($C11,INPUT!$E$34:$G$44,3,0)=E$8,1,"")</f>
        <v>1</v>
      </c>
      <c r="F11" s="5" t="str">
        <f>IF(VLOOKUP($C11,INPUT!$E$34:$G$44,3,0)=F$8,1,"")</f>
        <v/>
      </c>
      <c r="G11" s="5" t="str">
        <f>IF(VLOOKUP($C11,INPUT!$E$34:$G$44,3,0)=G$8,1,"")</f>
        <v/>
      </c>
      <c r="H11" s="5" t="str">
        <f>IF(VLOOKUP($C11,INPUT!$E$34:$G$44,3,0)=H$8,1,"")</f>
        <v/>
      </c>
      <c r="I11" s="5" t="str">
        <f>IF(VLOOKUP($C11,INPUT!$E$34:$G$44,3,0)=I$8,1,"")</f>
        <v/>
      </c>
      <c r="J11" s="6">
        <f t="shared" ref="J11:J19" si="0">SUMIF(E11:I11,1,$E$9:$I$9)</f>
        <v>1</v>
      </c>
      <c r="M11" s="463" t="s">
        <v>3085</v>
      </c>
      <c r="N11" s="462"/>
      <c r="O11" s="462"/>
    </row>
    <row r="12" spans="1:15">
      <c r="A12" s="638"/>
      <c r="B12" s="1327"/>
      <c r="C12" s="1318" t="s">
        <v>3040</v>
      </c>
      <c r="D12" s="1318"/>
      <c r="E12" s="5" t="str">
        <f>IF(VLOOKUP($C12,INPUT!$E$34:$G$44,3,0)=E$8,1,"")</f>
        <v/>
      </c>
      <c r="F12" s="5" t="str">
        <f>IF(VLOOKUP($C12,INPUT!$E$34:$G$44,3,0)=F$8,1,"")</f>
        <v/>
      </c>
      <c r="G12" s="5">
        <f>IF(VLOOKUP($C12,INPUT!$E$34:$G$44,3,0)=G$8,1,"")</f>
        <v>1</v>
      </c>
      <c r="H12" s="5" t="str">
        <f>IF(VLOOKUP($C12,INPUT!$E$34:$G$44,3,0)=H$8,1,"")</f>
        <v/>
      </c>
      <c r="I12" s="5" t="str">
        <f>IF(VLOOKUP($C12,INPUT!$E$34:$G$44,3,0)=I$8,1,"")</f>
        <v/>
      </c>
      <c r="J12" s="6">
        <f t="shared" si="0"/>
        <v>3</v>
      </c>
      <c r="M12" s="1314" t="s">
        <v>3086</v>
      </c>
      <c r="N12" s="1314"/>
      <c r="O12" s="1314"/>
    </row>
    <row r="13" spans="1:15">
      <c r="A13" s="638"/>
      <c r="B13" s="1327"/>
      <c r="C13" s="1318" t="s">
        <v>3011</v>
      </c>
      <c r="D13" s="1318"/>
      <c r="E13" s="5" t="str">
        <f>IF(VLOOKUP($C13,INPUT!$E$34:$G$44,3,0)=E$8,1,"")</f>
        <v/>
      </c>
      <c r="F13" s="5" t="str">
        <f>IF(VLOOKUP($C13,INPUT!$E$34:$G$44,3,0)=F$8,1,"")</f>
        <v/>
      </c>
      <c r="G13" s="5" t="str">
        <f>IF(VLOOKUP($C13,INPUT!$E$34:$G$44,3,0)=G$8,1,"")</f>
        <v/>
      </c>
      <c r="H13" s="5" t="str">
        <f>IF(VLOOKUP($C13,INPUT!$E$34:$G$44,3,0)=H$8,1,"")</f>
        <v/>
      </c>
      <c r="I13" s="5">
        <f>IF(VLOOKUP($C13,INPUT!$E$34:$G$44,3,0)=I$8,1,"")</f>
        <v>1</v>
      </c>
      <c r="J13" s="6">
        <f t="shared" si="0"/>
        <v>5</v>
      </c>
      <c r="M13" s="463" t="s">
        <v>3087</v>
      </c>
      <c r="N13" s="462"/>
      <c r="O13" s="462"/>
    </row>
    <row r="14" spans="1:15">
      <c r="A14" s="638"/>
      <c r="B14" s="1328"/>
      <c r="C14" s="1318" t="s">
        <v>2994</v>
      </c>
      <c r="D14" s="1318"/>
      <c r="E14" s="5" t="str">
        <f>IF(VLOOKUP($C14,INPUT!$E$34:$G$44,3,0)=E$8,1,"")</f>
        <v/>
      </c>
      <c r="F14" s="5" t="str">
        <f>IF(VLOOKUP($C14,INPUT!$E$34:$G$44,3,0)=F$8,1,"")</f>
        <v/>
      </c>
      <c r="G14" s="5">
        <f>IF(VLOOKUP($C14,INPUT!$E$34:$G$44,3,0)=G$8,1,"")</f>
        <v>1</v>
      </c>
      <c r="H14" s="5" t="str">
        <f>IF(VLOOKUP($C14,INPUT!$E$34:$G$44,3,0)=H$8,1,"")</f>
        <v/>
      </c>
      <c r="I14" s="5" t="str">
        <f>IF(VLOOKUP($C14,INPUT!$E$34:$G$44,3,0)=I$8,1,"")</f>
        <v/>
      </c>
      <c r="J14" s="6">
        <f t="shared" si="0"/>
        <v>3</v>
      </c>
      <c r="M14" s="463" t="s">
        <v>3088</v>
      </c>
      <c r="N14" s="462"/>
      <c r="O14" s="462"/>
    </row>
    <row r="15" spans="1:15">
      <c r="A15" s="638"/>
      <c r="B15" s="1315" t="s">
        <v>3105</v>
      </c>
      <c r="C15" s="1318" t="s">
        <v>2992</v>
      </c>
      <c r="D15" s="1318"/>
      <c r="E15" s="5" t="str">
        <f>IF(VLOOKUP($C15,INPUT!$J$34:$L$45,3,0)=E$8,1,"")</f>
        <v/>
      </c>
      <c r="F15" s="5" t="str">
        <f>IF(VLOOKUP($C15,INPUT!$J$34:$L$45,3,0)=F$8,1,"")</f>
        <v/>
      </c>
      <c r="G15" s="5" t="str">
        <f>IF(VLOOKUP($C15,INPUT!$J$34:$L$45,3,0)=G$8,1,"")</f>
        <v/>
      </c>
      <c r="H15" s="5" t="str">
        <f>IF(VLOOKUP($C15,INPUT!$J$34:$L$45,3,0)=H$8,1,"")</f>
        <v/>
      </c>
      <c r="I15" s="5">
        <f>IF(VLOOKUP($C15,INPUT!$J$34:$L$45,3,0)=I$8,1,"")</f>
        <v>1</v>
      </c>
      <c r="J15" s="6">
        <f t="shared" si="0"/>
        <v>5</v>
      </c>
      <c r="M15" s="463" t="s">
        <v>3089</v>
      </c>
      <c r="N15" s="462"/>
      <c r="O15" s="462"/>
    </row>
    <row r="16" spans="1:15">
      <c r="A16" s="638"/>
      <c r="B16" s="1316"/>
      <c r="C16" s="1318" t="s">
        <v>3060</v>
      </c>
      <c r="D16" s="1318"/>
      <c r="E16" s="5" t="str">
        <f>IF(VLOOKUP($C16,INPUT!$J$34:$L$45,3,0)=E$8,1,"")</f>
        <v/>
      </c>
      <c r="F16" s="5" t="str">
        <f>IF(VLOOKUP($C16,INPUT!$J$34:$L$45,3,0)=F$8,1,"")</f>
        <v/>
      </c>
      <c r="G16" s="5" t="str">
        <f>IF(VLOOKUP($C16,INPUT!$J$34:$L$45,3,0)=G$8,1,"")</f>
        <v/>
      </c>
      <c r="H16" s="5" t="str">
        <f>IF(VLOOKUP($C16,INPUT!$J$34:$L$45,3,0)=H$8,1,"")</f>
        <v/>
      </c>
      <c r="I16" s="5">
        <f>IF(VLOOKUP($C16,INPUT!$J$34:$L$45,3,0)=I$8,1,"")</f>
        <v>1</v>
      </c>
      <c r="J16" s="6">
        <f t="shared" si="0"/>
        <v>5</v>
      </c>
      <c r="M16" s="463" t="s">
        <v>3090</v>
      </c>
      <c r="N16" s="462"/>
      <c r="O16" s="462"/>
    </row>
    <row r="17" spans="1:15">
      <c r="A17" s="638"/>
      <c r="B17" s="1316"/>
      <c r="C17" s="1318" t="s">
        <v>3021</v>
      </c>
      <c r="D17" s="1318"/>
      <c r="E17" s="5" t="str">
        <f>IF(VLOOKUP($C17,INPUT!$J$34:$L$45,3,0)=E$8,1,"")</f>
        <v/>
      </c>
      <c r="F17" s="5" t="str">
        <f>IF(VLOOKUP($C17,INPUT!$J$34:$L$45,3,0)=F$8,1,"")</f>
        <v/>
      </c>
      <c r="G17" s="5" t="str">
        <f>IF(VLOOKUP($C17,INPUT!$J$34:$L$45,3,0)=G$8,1,"")</f>
        <v/>
      </c>
      <c r="H17" s="5" t="str">
        <f>IF(VLOOKUP($C17,INPUT!$J$34:$L$45,3,0)=H$8,1,"")</f>
        <v/>
      </c>
      <c r="I17" s="5">
        <f>IF(VLOOKUP($C17,INPUT!$J$34:$L$45,3,0)=I$8,1,"")</f>
        <v>1</v>
      </c>
      <c r="J17" s="6">
        <f t="shared" si="0"/>
        <v>5</v>
      </c>
      <c r="M17" s="463" t="s">
        <v>3091</v>
      </c>
      <c r="N17" s="462"/>
      <c r="O17" s="462"/>
    </row>
    <row r="18" spans="1:15">
      <c r="A18" s="638"/>
      <c r="B18" s="1316"/>
      <c r="C18" s="1318" t="s">
        <v>3026</v>
      </c>
      <c r="D18" s="1318"/>
      <c r="E18" s="5" t="str">
        <f>IF(VLOOKUP($C18,INPUT!$J$34:$L$45,3,0)=E$8,1,"")</f>
        <v/>
      </c>
      <c r="F18" s="5" t="str">
        <f>IF(VLOOKUP($C18,INPUT!$J$34:$L$45,3,0)=F$8,1,"")</f>
        <v/>
      </c>
      <c r="G18" s="5" t="str">
        <f>IF(VLOOKUP($C18,INPUT!$J$34:$L$45,3,0)=G$8,1,"")</f>
        <v/>
      </c>
      <c r="H18" s="5" t="str">
        <f>IF(VLOOKUP($C18,INPUT!$J$34:$L$45,3,0)=H$8,1,"")</f>
        <v/>
      </c>
      <c r="I18" s="5">
        <f>IF(VLOOKUP($C18,INPUT!$J$34:$L$45,3,0)=I$8,1,"")</f>
        <v>1</v>
      </c>
      <c r="J18" s="6">
        <f t="shared" si="0"/>
        <v>5</v>
      </c>
    </row>
    <row r="19" spans="1:15">
      <c r="A19" s="638"/>
      <c r="B19" s="1317"/>
      <c r="C19" s="1318" t="s">
        <v>3107</v>
      </c>
      <c r="D19" s="1318"/>
      <c r="E19" s="5" t="str">
        <f>IF(VLOOKUP($C19,INPUT!$J$34:$L$45,3,0)=E$8,1,"")</f>
        <v/>
      </c>
      <c r="F19" s="5" t="str">
        <f>IF(VLOOKUP($C19,INPUT!$J$34:$L$45,3,0)=F$8,1,"")</f>
        <v/>
      </c>
      <c r="G19" s="5">
        <f>IF(VLOOKUP($C19,INPUT!$J$34:$L$45,3,0)=G$8,1,"")</f>
        <v>1</v>
      </c>
      <c r="H19" s="5" t="str">
        <f>IF(VLOOKUP($C19,INPUT!$J$34:$L$45,3,0)=H$8,1,"")</f>
        <v/>
      </c>
      <c r="I19" s="5" t="str">
        <f>IF(VLOOKUP($C19,INPUT!$J$34:$L$45,3,0)=I$8,1,"")</f>
        <v/>
      </c>
      <c r="J19" s="6">
        <f t="shared" si="0"/>
        <v>3</v>
      </c>
    </row>
    <row r="20" spans="1:15">
      <c r="A20" s="638"/>
      <c r="B20" s="1322" t="s">
        <v>3092</v>
      </c>
      <c r="C20" s="1323"/>
      <c r="D20" s="1323"/>
      <c r="E20" s="1323"/>
      <c r="F20" s="1323"/>
      <c r="G20" s="1323"/>
      <c r="H20" s="1323"/>
      <c r="I20" s="1324"/>
      <c r="J20" s="7">
        <f>SUM(J10:J19)</f>
        <v>38</v>
      </c>
    </row>
    <row r="21" spans="1:15">
      <c r="A21" s="462"/>
      <c r="B21" s="463"/>
      <c r="C21" s="463"/>
      <c r="D21" s="639"/>
      <c r="E21" s="463"/>
      <c r="F21" s="463"/>
      <c r="G21" s="640" t="s">
        <v>2338</v>
      </c>
      <c r="H21" s="640" t="s">
        <v>3093</v>
      </c>
      <c r="J21" s="641">
        <f>J20/50*5</f>
        <v>3.8</v>
      </c>
    </row>
    <row r="22" spans="1:15">
      <c r="A22" s="462"/>
      <c r="B22" s="463"/>
      <c r="C22" s="463"/>
      <c r="D22" s="463"/>
      <c r="E22" s="463"/>
      <c r="F22" s="463"/>
      <c r="G22" s="642"/>
      <c r="H22" s="643"/>
      <c r="I22" s="642"/>
    </row>
    <row r="23" spans="1:15">
      <c r="A23" s="462"/>
      <c r="B23" s="463"/>
      <c r="C23" s="463"/>
      <c r="D23" s="644"/>
      <c r="E23" s="644"/>
      <c r="F23" s="645"/>
      <c r="G23" s="642"/>
      <c r="H23" s="643"/>
      <c r="I23" s="642"/>
      <c r="J23" s="635" t="s">
        <v>3094</v>
      </c>
    </row>
    <row r="24" spans="1:15">
      <c r="A24" s="636" t="s">
        <v>3062</v>
      </c>
      <c r="B24" s="637" t="s">
        <v>3097</v>
      </c>
      <c r="C24" s="1319" t="s">
        <v>3098</v>
      </c>
      <c r="D24" s="1320"/>
      <c r="E24" s="376">
        <v>1</v>
      </c>
      <c r="F24" s="376">
        <v>2</v>
      </c>
      <c r="G24" s="376">
        <v>3</v>
      </c>
      <c r="H24" s="376">
        <v>4</v>
      </c>
      <c r="I24" s="376">
        <v>5</v>
      </c>
      <c r="J24" s="376" t="s">
        <v>2970</v>
      </c>
    </row>
    <row r="25" spans="1:15">
      <c r="B25" s="1321" t="s">
        <v>3063</v>
      </c>
      <c r="C25" s="1325" t="s">
        <v>3064</v>
      </c>
      <c r="D25" s="646" t="s">
        <v>3065</v>
      </c>
      <c r="E25" s="5">
        <f>IF(VLOOKUP($D25,INPUT!$E$49:$G$52,3,0)=E$8,1,"")</f>
        <v>1</v>
      </c>
      <c r="F25" s="5" t="str">
        <f>IF(VLOOKUP($D25,INPUT!$E$49:$G$52,3,0)=F$8,1,"")</f>
        <v/>
      </c>
      <c r="G25" s="5" t="str">
        <f>IF(VLOOKUP($D25,INPUT!$E$49:$G$52,3,0)=G$8,1,"")</f>
        <v/>
      </c>
      <c r="H25" s="5" t="str">
        <f>IF(VLOOKUP($D25,INPUT!$E$49:$G$52,3,0)=H$8,1,"")</f>
        <v/>
      </c>
      <c r="I25" s="5" t="str">
        <f>IF(VLOOKUP($D25,INPUT!$E$49:$G$52,3,0)=I$8,1,"")</f>
        <v/>
      </c>
      <c r="J25" s="6">
        <f>SUMIF(E25:I25,1,$E$24:$I$24)</f>
        <v>1</v>
      </c>
      <c r="K25" s="463"/>
    </row>
    <row r="26" spans="1:15">
      <c r="A26" s="462"/>
      <c r="B26" s="1321"/>
      <c r="C26" s="1325"/>
      <c r="D26" s="646" t="s">
        <v>3066</v>
      </c>
      <c r="E26" s="5" t="str">
        <f>IF(VLOOKUP($D26,INPUT!$E$49:$G$52,3,0)=E$8,1,"")</f>
        <v/>
      </c>
      <c r="F26" s="5">
        <f>IF(VLOOKUP($D26,INPUT!$E$49:$G$52,3,0)=F$8,1,"")</f>
        <v>1</v>
      </c>
      <c r="G26" s="5" t="str">
        <f>IF(VLOOKUP($D26,INPUT!$E$49:$G$52,3,0)=G$8,1,"")</f>
        <v/>
      </c>
      <c r="H26" s="5" t="str">
        <f>IF(VLOOKUP($D26,INPUT!$E$49:$G$52,3,0)=H$8,1,"")</f>
        <v/>
      </c>
      <c r="I26" s="5" t="str">
        <f>IF(VLOOKUP($D26,INPUT!$E$49:$G$52,3,0)=I$8,1,"")</f>
        <v/>
      </c>
      <c r="J26" s="6">
        <f t="shared" ref="J26:J32" si="1">SUMIF(E26:I26,1,$E$24:$I$24)</f>
        <v>2</v>
      </c>
      <c r="K26" s="463"/>
    </row>
    <row r="27" spans="1:15">
      <c r="A27" s="462"/>
      <c r="B27" s="1321"/>
      <c r="C27" s="1325" t="s">
        <v>3067</v>
      </c>
      <c r="D27" s="646" t="s">
        <v>3068</v>
      </c>
      <c r="E27" s="5" t="str">
        <f>IF(VLOOKUP($D27,INPUT!$E$49:$G$52,3,0)=E$8,1,"")</f>
        <v/>
      </c>
      <c r="F27" s="5" t="str">
        <f>IF(VLOOKUP($D27,INPUT!$E$49:$G$52,3,0)=F$8,1,"")</f>
        <v/>
      </c>
      <c r="G27" s="5" t="str">
        <f>IF(VLOOKUP($D27,INPUT!$E$49:$G$52,3,0)=G$8,1,"")</f>
        <v/>
      </c>
      <c r="H27" s="5">
        <f>IF(VLOOKUP($D27,INPUT!$E$49:$G$52,3,0)=H$8,1,"")</f>
        <v>1</v>
      </c>
      <c r="I27" s="5" t="str">
        <f>IF(VLOOKUP($D27,INPUT!$E$49:$G$52,3,0)=I$8,1,"")</f>
        <v/>
      </c>
      <c r="J27" s="6">
        <f t="shared" si="1"/>
        <v>4</v>
      </c>
      <c r="K27" s="463"/>
    </row>
    <row r="28" spans="1:15">
      <c r="A28" s="462"/>
      <c r="B28" s="1321"/>
      <c r="C28" s="1325"/>
      <c r="D28" s="646" t="s">
        <v>3069</v>
      </c>
      <c r="E28" s="5" t="str">
        <f>IF(VLOOKUP($D28,INPUT!$E$49:$G$52,3,0)=E$8,1,"")</f>
        <v/>
      </c>
      <c r="F28" s="5" t="str">
        <f>IF(VLOOKUP($D28,INPUT!$E$49:$G$52,3,0)=F$8,1,"")</f>
        <v/>
      </c>
      <c r="G28" s="5">
        <f>IF(VLOOKUP($D28,INPUT!$E$49:$G$52,3,0)=G$8,1,"")</f>
        <v>1</v>
      </c>
      <c r="H28" s="5" t="str">
        <f>IF(VLOOKUP($D28,INPUT!$E$49:$G$52,3,0)=H$8,1,"")</f>
        <v/>
      </c>
      <c r="I28" s="5" t="str">
        <f>IF(VLOOKUP($D28,INPUT!$E$49:$G$52,3,0)=I$8,1,"")</f>
        <v/>
      </c>
      <c r="J28" s="6">
        <f t="shared" si="1"/>
        <v>3</v>
      </c>
      <c r="K28" s="463"/>
    </row>
    <row r="29" spans="1:15">
      <c r="A29" s="462"/>
      <c r="B29" s="1321"/>
      <c r="C29" s="1325" t="s">
        <v>3070</v>
      </c>
      <c r="D29" s="646" t="s">
        <v>3071</v>
      </c>
      <c r="E29" s="5" t="str">
        <f>IF(VLOOKUP($D29,INPUT!$J$49:$L$52,3,0)=E$8,1,"")</f>
        <v/>
      </c>
      <c r="F29" s="5" t="str">
        <f>IF(VLOOKUP($D29,INPUT!$J$49:$L$52,3,0)=F$8,1,"")</f>
        <v/>
      </c>
      <c r="G29" s="5" t="str">
        <f>IF(VLOOKUP($D29,INPUT!$J$49:$L$52,3,0)=G$8,1,"")</f>
        <v/>
      </c>
      <c r="H29" s="5">
        <f>IF(VLOOKUP($D29,INPUT!$J$49:$L$52,3,0)=H$8,1,"")</f>
        <v>1</v>
      </c>
      <c r="I29" s="5" t="str">
        <f>IF(VLOOKUP($D29,INPUT!$J$49:$L$52,3,0)=I$8,1,"")</f>
        <v/>
      </c>
      <c r="J29" s="6">
        <f t="shared" si="1"/>
        <v>4</v>
      </c>
      <c r="K29" s="463"/>
    </row>
    <row r="30" spans="1:15">
      <c r="A30" s="462"/>
      <c r="B30" s="1321"/>
      <c r="C30" s="1325"/>
      <c r="D30" s="646" t="s">
        <v>3072</v>
      </c>
      <c r="E30" s="5" t="str">
        <f>IF(VLOOKUP($D30,INPUT!$J$49:$L$52,3,0)=E$8,1,"")</f>
        <v/>
      </c>
      <c r="F30" s="5" t="str">
        <f>IF(VLOOKUP($D30,INPUT!$J$49:$L$52,3,0)=F$8,1,"")</f>
        <v/>
      </c>
      <c r="G30" s="5">
        <f>IF(VLOOKUP($D30,INPUT!$J$49:$L$52,3,0)=G$8,1,"")</f>
        <v>1</v>
      </c>
      <c r="H30" s="5" t="str">
        <f>IF(VLOOKUP($D30,INPUT!$J$49:$L$52,3,0)=H$8,1,"")</f>
        <v/>
      </c>
      <c r="I30" s="5" t="str">
        <f>IF(VLOOKUP($D30,INPUT!$J$49:$L$52,3,0)=I$8,1,"")</f>
        <v/>
      </c>
      <c r="J30" s="6">
        <f t="shared" si="1"/>
        <v>3</v>
      </c>
      <c r="K30" s="463"/>
    </row>
    <row r="31" spans="1:15">
      <c r="A31" s="462"/>
      <c r="B31" s="1321" t="s">
        <v>3073</v>
      </c>
      <c r="C31" s="1321"/>
      <c r="D31" s="647" t="s">
        <v>3106</v>
      </c>
      <c r="E31" s="5" t="str">
        <f>IF(VLOOKUP($D31,INPUT!$J$49:$L$52,3,0)=E$8,1,"")</f>
        <v/>
      </c>
      <c r="F31" s="5">
        <f>IF(VLOOKUP($D31,INPUT!$J$49:$L$52,3,0)=F$8,1,"")</f>
        <v>1</v>
      </c>
      <c r="G31" s="5" t="str">
        <f>IF(VLOOKUP($D31,INPUT!$J$49:$L$52,3,0)=G$8,1,"")</f>
        <v/>
      </c>
      <c r="H31" s="5" t="str">
        <f>IF(VLOOKUP($D31,INPUT!$J$49:$L$52,3,0)=H$8,1,"")</f>
        <v/>
      </c>
      <c r="I31" s="5" t="str">
        <f>IF(VLOOKUP($D31,INPUT!$J$49:$L$52,3,0)=I$8,1,"")</f>
        <v/>
      </c>
      <c r="J31" s="6">
        <f t="shared" si="1"/>
        <v>2</v>
      </c>
      <c r="K31" s="648"/>
    </row>
    <row r="32" spans="1:15">
      <c r="A32" s="462"/>
      <c r="B32" s="1321"/>
      <c r="C32" s="1321"/>
      <c r="D32" s="646" t="s">
        <v>3074</v>
      </c>
      <c r="E32" s="5">
        <f>IF(VLOOKUP($D32,INPUT!$J$49:$L$52,3,0)=E$8,1,"")</f>
        <v>1</v>
      </c>
      <c r="F32" s="5" t="str">
        <f>IF(VLOOKUP($D32,INPUT!$J$49:$L$52,3,0)=F$8,1,"")</f>
        <v/>
      </c>
      <c r="G32" s="5" t="str">
        <f>IF(VLOOKUP($D32,INPUT!$J$49:$L$52,3,0)=G$8,1,"")</f>
        <v/>
      </c>
      <c r="H32" s="5" t="str">
        <f>IF(VLOOKUP($D32,INPUT!$J$49:$L$52,3,0)=H$8,1,"")</f>
        <v/>
      </c>
      <c r="I32" s="5" t="str">
        <f>IF(VLOOKUP($D32,INPUT!$J$49:$L$52,3,0)=I$8,1,"")</f>
        <v/>
      </c>
      <c r="J32" s="6">
        <f t="shared" si="1"/>
        <v>1</v>
      </c>
      <c r="K32" s="649">
        <f>SUM(J25:J32)</f>
        <v>20</v>
      </c>
    </row>
    <row r="33" spans="1:11">
      <c r="A33" s="462"/>
      <c r="B33" s="1321" t="s">
        <v>3075</v>
      </c>
      <c r="C33" s="1321"/>
      <c r="D33" s="1321"/>
      <c r="G33" s="642"/>
      <c r="H33" s="643"/>
      <c r="I33" s="650"/>
      <c r="J33" s="651">
        <f>SUM(J25:J32)/40</f>
        <v>0.5</v>
      </c>
      <c r="K33" s="463"/>
    </row>
  </sheetData>
  <mergeCells count="22">
    <mergeCell ref="C11:D11"/>
    <mergeCell ref="C10:D10"/>
    <mergeCell ref="C9:D9"/>
    <mergeCell ref="B33:D33"/>
    <mergeCell ref="C18:D18"/>
    <mergeCell ref="B20:I20"/>
    <mergeCell ref="C19:D19"/>
    <mergeCell ref="C17:D17"/>
    <mergeCell ref="B25:B30"/>
    <mergeCell ref="C25:C26"/>
    <mergeCell ref="C27:C28"/>
    <mergeCell ref="C29:C30"/>
    <mergeCell ref="B31:C32"/>
    <mergeCell ref="B10:B14"/>
    <mergeCell ref="C24:D24"/>
    <mergeCell ref="M12:O12"/>
    <mergeCell ref="B15:B19"/>
    <mergeCell ref="C16:D16"/>
    <mergeCell ref="C15:D15"/>
    <mergeCell ref="C14:D14"/>
    <mergeCell ref="C13:D13"/>
    <mergeCell ref="C12:D12"/>
  </mergeCells>
  <phoneticPr fontId="11" type="noConversion"/>
  <pageMargins left="0.7" right="0.7" top="0.75" bottom="0.75" header="0.3" footer="0.3"/>
  <pageSetup paperSize="9" scale="63" orientation="portrait" r:id="rId1"/>
  <colBreaks count="1" manualBreakCount="1">
    <brk id="11" max="1048575" man="1"/>
  </col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FF00"/>
  </sheetPr>
  <dimension ref="B1:R42"/>
  <sheetViews>
    <sheetView topLeftCell="A4" zoomScale="90" zoomScaleNormal="90" zoomScaleSheetLayoutView="85" workbookViewId="0">
      <selection activeCell="B3" sqref="B3:B5"/>
    </sheetView>
  </sheetViews>
  <sheetFormatPr defaultRowHeight="16.5"/>
  <cols>
    <col min="1" max="1" width="2.109375" style="8" customWidth="1"/>
    <col min="2" max="2" width="18.21875" style="8" customWidth="1"/>
    <col min="3" max="3" width="12.6640625" style="8" customWidth="1"/>
    <col min="4" max="4" width="11.109375" style="8" customWidth="1"/>
    <col min="5" max="9" width="9.6640625" style="8" customWidth="1"/>
    <col min="10" max="10" width="2.33203125" style="8" customWidth="1"/>
    <col min="11" max="11" width="8.88671875" style="8" hidden="1" customWidth="1"/>
    <col min="12" max="12" width="13" style="8" hidden="1" customWidth="1"/>
    <col min="13" max="13" width="8" style="8" hidden="1" customWidth="1"/>
    <col min="14" max="18" width="8.88671875" style="8" hidden="1" customWidth="1"/>
    <col min="19" max="16384" width="8.88671875" style="8"/>
  </cols>
  <sheetData>
    <row r="1" spans="2:13" ht="34.5" customHeight="1" thickBot="1"/>
    <row r="2" spans="2:13" ht="28.5" customHeight="1" thickBot="1">
      <c r="B2" s="1352" t="s">
        <v>193</v>
      </c>
      <c r="C2" s="1353"/>
      <c r="D2" s="1353"/>
    </row>
    <row r="3" spans="2:13" ht="20.25" customHeight="1">
      <c r="B3" s="1354" t="s">
        <v>194</v>
      </c>
      <c r="C3" s="652" t="s">
        <v>195</v>
      </c>
      <c r="D3" s="653">
        <f>VLOOKUP(INPUT!$E$16,업종분류!B:J,MATCH(할인율!C3,업종분류!$B$7:$J$7,0),0)</f>
        <v>8.4701072000000016E-2</v>
      </c>
      <c r="F3" s="654"/>
    </row>
    <row r="4" spans="2:13" ht="20.25" customHeight="1">
      <c r="B4" s="1350"/>
      <c r="C4" s="655" t="s">
        <v>196</v>
      </c>
      <c r="D4" s="653">
        <f>VLOOKUP(INPUT!$E$16,업종분류!B:J,MATCH(할인율!C4,업종분류!$B$7:$J$7,0),0)</f>
        <v>5.4387780177881373E-2</v>
      </c>
    </row>
    <row r="5" spans="2:13" ht="20.25" customHeight="1">
      <c r="B5" s="1350"/>
      <c r="C5" s="656" t="s">
        <v>2231</v>
      </c>
      <c r="D5" s="657">
        <f ca="1">VLOOKUP(INPUT!$E$16,업종분류!B:J,MATCH(할인율!C5,업종분류!$B$7:$J$7,0),0)</f>
        <v>6.8322895525414262E-2</v>
      </c>
    </row>
    <row r="6" spans="2:13" ht="20.25" customHeight="1">
      <c r="B6" s="1355" t="s">
        <v>197</v>
      </c>
      <c r="C6" s="1356"/>
      <c r="D6" s="658">
        <f>C24</f>
        <v>8.3099999999999993E-2</v>
      </c>
      <c r="F6" s="1350" t="s">
        <v>3235</v>
      </c>
      <c r="G6" s="1351"/>
    </row>
    <row r="7" spans="2:13" ht="20.25" customHeight="1">
      <c r="B7" s="1355" t="s">
        <v>198</v>
      </c>
      <c r="C7" s="1356"/>
      <c r="D7" s="658">
        <f>VLOOKUP(INPUT!$L$10,할인율!$B$28:$D$32,$M$7+1,0)</f>
        <v>0.02</v>
      </c>
      <c r="F7" s="1308"/>
      <c r="G7" s="1308"/>
      <c r="L7" s="8" t="s">
        <v>1670</v>
      </c>
      <c r="M7" s="8">
        <v>1</v>
      </c>
    </row>
    <row r="8" spans="2:13" ht="20.25" customHeight="1" thickBot="1">
      <c r="B8" s="1344" t="s">
        <v>199</v>
      </c>
      <c r="C8" s="1345"/>
      <c r="D8" s="659">
        <f ca="1">D5+D6+D7</f>
        <v>0.17142289552541426</v>
      </c>
      <c r="L8" s="8" t="s">
        <v>1669</v>
      </c>
    </row>
    <row r="9" spans="2:13" ht="17.25" thickBot="1">
      <c r="D9" s="660" t="s">
        <v>3132</v>
      </c>
      <c r="E9" s="660" t="s">
        <v>3133</v>
      </c>
      <c r="F9" s="660" t="s">
        <v>3134</v>
      </c>
      <c r="G9" s="660" t="s">
        <v>3135</v>
      </c>
      <c r="H9" s="660" t="s">
        <v>3136</v>
      </c>
    </row>
    <row r="10" spans="2:13" ht="20.25" customHeight="1">
      <c r="B10" s="1348" t="s">
        <v>200</v>
      </c>
      <c r="C10" s="1349"/>
      <c r="D10" s="1349"/>
      <c r="E10" s="1349"/>
      <c r="F10" s="1349"/>
      <c r="G10" s="1349"/>
      <c r="H10" s="1349"/>
      <c r="I10" s="1349"/>
      <c r="L10" s="661" t="s">
        <v>204</v>
      </c>
      <c r="M10" s="662" t="s">
        <v>205</v>
      </c>
    </row>
    <row r="11" spans="2:13">
      <c r="B11" s="1340" t="s">
        <v>158</v>
      </c>
      <c r="C11" s="1340" t="s">
        <v>201</v>
      </c>
      <c r="D11" s="1342" t="s">
        <v>202</v>
      </c>
      <c r="E11" s="1343"/>
      <c r="F11" s="1343"/>
      <c r="G11" s="1343"/>
      <c r="H11" s="1343"/>
      <c r="I11" s="1346" t="s">
        <v>203</v>
      </c>
      <c r="L11" s="663">
        <v>50</v>
      </c>
      <c r="M11" s="664">
        <v>0</v>
      </c>
    </row>
    <row r="12" spans="2:13">
      <c r="B12" s="1341"/>
      <c r="C12" s="1341"/>
      <c r="D12" s="665">
        <v>1</v>
      </c>
      <c r="E12" s="665">
        <v>2</v>
      </c>
      <c r="F12" s="665">
        <v>3</v>
      </c>
      <c r="G12" s="665">
        <v>4</v>
      </c>
      <c r="H12" s="666">
        <v>5</v>
      </c>
      <c r="I12" s="1347"/>
      <c r="L12" s="663">
        <v>49</v>
      </c>
      <c r="M12" s="664">
        <v>5.9999999999999995E-4</v>
      </c>
    </row>
    <row r="13" spans="2:13">
      <c r="B13" s="1331" t="s">
        <v>3042</v>
      </c>
      <c r="C13" s="667" t="s">
        <v>3011</v>
      </c>
      <c r="D13" s="667" t="str">
        <f>IF(VLOOKUP($C13,INPUT!$J$21:$L$25,3,0)=D$9,1,"")</f>
        <v/>
      </c>
      <c r="E13" s="667">
        <f>IF(VLOOKUP($C13,INPUT!$J$21:$L$25,3,0)=E$9,1,"")</f>
        <v>1</v>
      </c>
      <c r="F13" s="667" t="str">
        <f>IF(VLOOKUP($C13,INPUT!$J$21:$L$25,3,0)=F$9,1,"")</f>
        <v/>
      </c>
      <c r="G13" s="667" t="str">
        <f>IF(VLOOKUP($C13,INPUT!$J$21:$L$25,3,0)=G$9,1,"")</f>
        <v/>
      </c>
      <c r="H13" s="667" t="str">
        <f>IF(VLOOKUP($C13,INPUT!$J$21:$L$25,3,0)=H$9,1,"")</f>
        <v/>
      </c>
      <c r="I13" s="668">
        <f>SUMIF(D13:H13,1,$D$12:$H$12)</f>
        <v>2</v>
      </c>
      <c r="L13" s="663">
        <v>48</v>
      </c>
      <c r="M13" s="664">
        <v>4.8999999999999998E-3</v>
      </c>
    </row>
    <row r="14" spans="2:13">
      <c r="B14" s="1332"/>
      <c r="C14" s="667" t="s">
        <v>3035</v>
      </c>
      <c r="D14" s="667" t="str">
        <f>IF(VLOOKUP($C14,INPUT!$J$21:$L$25,3,0)=D$9,1,"")</f>
        <v/>
      </c>
      <c r="E14" s="667" t="str">
        <f>IF(VLOOKUP($C14,INPUT!$J$21:$L$25,3,0)=E$9,1,"")</f>
        <v/>
      </c>
      <c r="F14" s="667">
        <f>IF(VLOOKUP($C14,INPUT!$J$21:$L$25,3,0)=F$9,1,"")</f>
        <v>1</v>
      </c>
      <c r="G14" s="667" t="str">
        <f>IF(VLOOKUP($C14,INPUT!$J$21:$L$25,3,0)=G$9,1,"")</f>
        <v/>
      </c>
      <c r="H14" s="667" t="str">
        <f>IF(VLOOKUP($C14,INPUT!$J$21:$L$25,3,0)=H$9,1,"")</f>
        <v/>
      </c>
      <c r="I14" s="668">
        <f t="shared" ref="I14:I22" si="0">SUMIF(D14:H14,1,$D$12:$H$12)</f>
        <v>3</v>
      </c>
      <c r="L14" s="663">
        <v>47</v>
      </c>
      <c r="M14" s="664">
        <v>9.2999999999999992E-3</v>
      </c>
    </row>
    <row r="15" spans="2:13" ht="19.5" customHeight="1">
      <c r="B15" s="1332"/>
      <c r="C15" s="667" t="s">
        <v>3041</v>
      </c>
      <c r="D15" s="667" t="str">
        <f>IF(VLOOKUP($C15,INPUT!$J$21:$L$25,3,0)=D$9,1,"")</f>
        <v/>
      </c>
      <c r="E15" s="667" t="str">
        <f>IF(VLOOKUP($C15,INPUT!$J$21:$L$25,3,0)=E$9,1,"")</f>
        <v/>
      </c>
      <c r="F15" s="667" t="str">
        <f>IF(VLOOKUP($C15,INPUT!$J$21:$L$25,3,0)=F$9,1,"")</f>
        <v/>
      </c>
      <c r="G15" s="667">
        <f>IF(VLOOKUP($C15,INPUT!$J$21:$L$25,3,0)=G$9,1,"")</f>
        <v>1</v>
      </c>
      <c r="H15" s="667" t="str">
        <f>IF(VLOOKUP($C15,INPUT!$J$21:$L$25,3,0)=H$9,1,"")</f>
        <v/>
      </c>
      <c r="I15" s="668">
        <f t="shared" si="0"/>
        <v>4</v>
      </c>
      <c r="L15" s="663">
        <v>46</v>
      </c>
      <c r="M15" s="664">
        <v>1.38E-2</v>
      </c>
    </row>
    <row r="16" spans="2:13">
      <c r="B16" s="1332"/>
      <c r="C16" s="667" t="s">
        <v>2996</v>
      </c>
      <c r="D16" s="667">
        <f>IF(VLOOKUP($C16,INPUT!$J$21:$L$25,3,0)=D$9,1,"")</f>
        <v>1</v>
      </c>
      <c r="E16" s="667" t="str">
        <f>IF(VLOOKUP($C16,INPUT!$J$21:$L$25,3,0)=E$9,1,"")</f>
        <v/>
      </c>
      <c r="F16" s="667" t="str">
        <f>IF(VLOOKUP($C16,INPUT!$J$21:$L$25,3,0)=F$9,1,"")</f>
        <v/>
      </c>
      <c r="G16" s="667" t="str">
        <f>IF(VLOOKUP($C16,INPUT!$J$21:$L$25,3,0)=G$9,1,"")</f>
        <v/>
      </c>
      <c r="H16" s="667" t="str">
        <f>IF(VLOOKUP($C16,INPUT!$J$21:$L$25,3,0)=H$9,1,"")</f>
        <v/>
      </c>
      <c r="I16" s="668">
        <f t="shared" si="0"/>
        <v>1</v>
      </c>
      <c r="L16" s="663">
        <v>45</v>
      </c>
      <c r="M16" s="664">
        <v>1.83E-2</v>
      </c>
    </row>
    <row r="17" spans="2:13">
      <c r="B17" s="1333"/>
      <c r="C17" s="667" t="s">
        <v>206</v>
      </c>
      <c r="D17" s="667" t="str">
        <f>IF(VLOOKUP($C17,INPUT!$J$21:$L$25,3,0)=D$9,1,"")</f>
        <v/>
      </c>
      <c r="E17" s="667">
        <f>IF(VLOOKUP($C17,INPUT!$J$21:$L$25,3,0)=E$9,1,"")</f>
        <v>1</v>
      </c>
      <c r="F17" s="667" t="str">
        <f>IF(VLOOKUP($C17,INPUT!$J$21:$L$25,3,0)=F$9,1,"")</f>
        <v/>
      </c>
      <c r="G17" s="667" t="str">
        <f>IF(VLOOKUP($C17,INPUT!$J$21:$L$25,3,0)=G$9,1,"")</f>
        <v/>
      </c>
      <c r="H17" s="667" t="str">
        <f>IF(VLOOKUP($C17,INPUT!$J$21:$L$25,3,0)=H$9,1,"")</f>
        <v/>
      </c>
      <c r="I17" s="668">
        <f t="shared" si="0"/>
        <v>2</v>
      </c>
      <c r="L17" s="663">
        <v>44</v>
      </c>
      <c r="M17" s="664">
        <v>2.3E-2</v>
      </c>
    </row>
    <row r="18" spans="2:13" ht="18.75" customHeight="1">
      <c r="B18" s="1331" t="s">
        <v>207</v>
      </c>
      <c r="C18" s="667" t="s">
        <v>3000</v>
      </c>
      <c r="D18" s="667" t="str">
        <f>IF(VLOOKUP($C18,INPUT!$J$26:$L$30,3,0)=D$9,1,"")</f>
        <v/>
      </c>
      <c r="E18" s="667" t="str">
        <f>IF(VLOOKUP($C18,INPUT!$J$26:$L$30,3,0)=E$9,1,"")</f>
        <v/>
      </c>
      <c r="F18" s="667">
        <f>IF(VLOOKUP($C18,INPUT!$J$26:$L$30,3,0)=F$9,1,"")</f>
        <v>1</v>
      </c>
      <c r="G18" s="667" t="str">
        <f>IF(VLOOKUP($C18,INPUT!$J$26:$L$30,3,0)=G$9,1,"")</f>
        <v/>
      </c>
      <c r="H18" s="667" t="str">
        <f>IF(VLOOKUP($C18,INPUT!$J$26:$L$30,3,0)=H$9,1,"")</f>
        <v/>
      </c>
      <c r="I18" s="668">
        <f t="shared" si="0"/>
        <v>3</v>
      </c>
      <c r="L18" s="663">
        <v>43</v>
      </c>
      <c r="M18" s="664">
        <v>2.7799999999999998E-2</v>
      </c>
    </row>
    <row r="19" spans="2:13">
      <c r="B19" s="1332"/>
      <c r="C19" s="667" t="s">
        <v>2992</v>
      </c>
      <c r="D19" s="667" t="str">
        <f>IF(VLOOKUP($C19,INPUT!$J$26:$L$30,3,0)=D$9,1,"")</f>
        <v/>
      </c>
      <c r="E19" s="667" t="str">
        <f>IF(VLOOKUP($C19,INPUT!$J$26:$L$30,3,0)=E$9,1,"")</f>
        <v/>
      </c>
      <c r="F19" s="667" t="str">
        <f>IF(VLOOKUP($C19,INPUT!$J$26:$L$30,3,0)=F$9,1,"")</f>
        <v/>
      </c>
      <c r="G19" s="667" t="str">
        <f>IF(VLOOKUP($C19,INPUT!$J$26:$L$30,3,0)=G$9,1,"")</f>
        <v/>
      </c>
      <c r="H19" s="667">
        <f>IF(VLOOKUP($C19,INPUT!$J$26:$L$30,3,0)=H$9,1,"")</f>
        <v>1</v>
      </c>
      <c r="I19" s="668">
        <f t="shared" si="0"/>
        <v>5</v>
      </c>
      <c r="L19" s="663">
        <v>42</v>
      </c>
      <c r="M19" s="664">
        <v>3.2800000000000003E-2</v>
      </c>
    </row>
    <row r="20" spans="2:13">
      <c r="B20" s="1332"/>
      <c r="C20" s="667" t="s">
        <v>3060</v>
      </c>
      <c r="D20" s="667" t="str">
        <f>IF(VLOOKUP($C20,INPUT!$J$26:$L$30,3,0)=D$9,1,"")</f>
        <v/>
      </c>
      <c r="E20" s="667" t="str">
        <f>IF(VLOOKUP($C20,INPUT!$J$26:$L$30,3,0)=E$9,1,"")</f>
        <v/>
      </c>
      <c r="F20" s="667">
        <f>IF(VLOOKUP($C20,INPUT!$J$26:$L$30,3,0)=F$9,1,"")</f>
        <v>1</v>
      </c>
      <c r="G20" s="667" t="str">
        <f>IF(VLOOKUP($C20,INPUT!$J$26:$L$30,3,0)=G$9,1,"")</f>
        <v/>
      </c>
      <c r="H20" s="667" t="str">
        <f>IF(VLOOKUP($C20,INPUT!$J$26:$L$30,3,0)=H$9,1,"")</f>
        <v/>
      </c>
      <c r="I20" s="668">
        <f t="shared" si="0"/>
        <v>3</v>
      </c>
      <c r="L20" s="663">
        <v>41</v>
      </c>
      <c r="M20" s="664">
        <v>3.78E-2</v>
      </c>
    </row>
    <row r="21" spans="2:13">
      <c r="B21" s="1332"/>
      <c r="C21" s="667" t="s">
        <v>208</v>
      </c>
      <c r="D21" s="667" t="str">
        <f>IF(VLOOKUP($C21,INPUT!$J$26:$L$30,3,0)=D$9,1,"")</f>
        <v/>
      </c>
      <c r="E21" s="667" t="str">
        <f>IF(VLOOKUP($C21,INPUT!$J$26:$L$30,3,0)=E$9,1,"")</f>
        <v/>
      </c>
      <c r="F21" s="667" t="str">
        <f>IF(VLOOKUP($C21,INPUT!$J$26:$L$30,3,0)=F$9,1,"")</f>
        <v/>
      </c>
      <c r="G21" s="667" t="str">
        <f>IF(VLOOKUP($C21,INPUT!$J$26:$L$30,3,0)=G$9,1,"")</f>
        <v/>
      </c>
      <c r="H21" s="667">
        <f>IF(VLOOKUP($C21,INPUT!$J$26:$L$30,3,0)=H$9,1,"")</f>
        <v>1</v>
      </c>
      <c r="I21" s="668">
        <f t="shared" si="0"/>
        <v>5</v>
      </c>
      <c r="L21" s="663">
        <v>40</v>
      </c>
      <c r="M21" s="664">
        <v>4.2900000000000001E-2</v>
      </c>
    </row>
    <row r="22" spans="2:13">
      <c r="B22" s="1333"/>
      <c r="C22" s="667" t="s">
        <v>209</v>
      </c>
      <c r="D22" s="667" t="str">
        <f>IF(VLOOKUP($C22,INPUT!$J$26:$L$30,3,0)=D$9,1,"")</f>
        <v/>
      </c>
      <c r="E22" s="667" t="str">
        <f>IF(VLOOKUP($C22,INPUT!$J$26:$L$30,3,0)=E$9,1,"")</f>
        <v/>
      </c>
      <c r="F22" s="667" t="str">
        <f>IF(VLOOKUP($C22,INPUT!$J$26:$L$30,3,0)=F$9,1,"")</f>
        <v/>
      </c>
      <c r="G22" s="667" t="str">
        <f>IF(VLOOKUP($C22,INPUT!$J$26:$L$30,3,0)=G$9,1,"")</f>
        <v/>
      </c>
      <c r="H22" s="667">
        <f>IF(VLOOKUP($C22,INPUT!$J$26:$L$30,3,0)=H$9,1,"")</f>
        <v>1</v>
      </c>
      <c r="I22" s="668">
        <f t="shared" si="0"/>
        <v>5</v>
      </c>
      <c r="L22" s="663">
        <v>39</v>
      </c>
      <c r="M22" s="664">
        <v>4.82E-2</v>
      </c>
    </row>
    <row r="23" spans="2:13">
      <c r="B23" s="665" t="s">
        <v>210</v>
      </c>
      <c r="C23" s="1334">
        <f>SUM(I13:I22)</f>
        <v>33</v>
      </c>
      <c r="D23" s="1335"/>
      <c r="E23" s="1335"/>
      <c r="F23" s="1335"/>
      <c r="G23" s="1335"/>
      <c r="H23" s="1336"/>
      <c r="L23" s="663">
        <v>38</v>
      </c>
      <c r="M23" s="664">
        <v>5.3600000000000002E-2</v>
      </c>
    </row>
    <row r="24" spans="2:13">
      <c r="B24" s="665" t="s">
        <v>211</v>
      </c>
      <c r="C24" s="1337">
        <f>VLOOKUP(C23,$L$11:$M$42,2,0)</f>
        <v>8.3099999999999993E-2</v>
      </c>
      <c r="D24" s="1338"/>
      <c r="E24" s="1338"/>
      <c r="F24" s="1338"/>
      <c r="G24" s="1338"/>
      <c r="H24" s="1339"/>
      <c r="L24" s="663">
        <v>37</v>
      </c>
      <c r="M24" s="664">
        <v>5.9200000000000003E-2</v>
      </c>
    </row>
    <row r="25" spans="2:13">
      <c r="L25" s="663">
        <v>36</v>
      </c>
      <c r="M25" s="664">
        <v>6.4899999999999999E-2</v>
      </c>
    </row>
    <row r="26" spans="2:13" ht="20.25" customHeight="1">
      <c r="B26" s="1329" t="s">
        <v>212</v>
      </c>
      <c r="C26" s="1330"/>
      <c r="D26" s="1330"/>
      <c r="L26" s="663">
        <v>35</v>
      </c>
      <c r="M26" s="664">
        <v>7.0800000000000002E-2</v>
      </c>
    </row>
    <row r="27" spans="2:13" ht="33">
      <c r="B27" s="669" t="s">
        <v>213</v>
      </c>
      <c r="C27" s="669" t="s">
        <v>2237</v>
      </c>
      <c r="D27" s="670" t="s">
        <v>2238</v>
      </c>
      <c r="L27" s="663">
        <v>34</v>
      </c>
      <c r="M27" s="664">
        <v>7.6899999999999996E-2</v>
      </c>
    </row>
    <row r="28" spans="2:13">
      <c r="B28" s="669" t="s">
        <v>1402</v>
      </c>
      <c r="C28" s="671">
        <v>0.1</v>
      </c>
      <c r="D28" s="672">
        <v>0.32800000000000001</v>
      </c>
      <c r="L28" s="663">
        <v>33</v>
      </c>
      <c r="M28" s="664">
        <v>8.3099999999999993E-2</v>
      </c>
    </row>
    <row r="29" spans="2:13">
      <c r="B29" s="669" t="s">
        <v>1403</v>
      </c>
      <c r="C29" s="671">
        <v>0.06</v>
      </c>
      <c r="D29" s="672">
        <v>0.24099999999999999</v>
      </c>
      <c r="L29" s="663">
        <v>32</v>
      </c>
      <c r="M29" s="664">
        <v>8.9499999999999996E-2</v>
      </c>
    </row>
    <row r="30" spans="2:13">
      <c r="B30" s="669" t="s">
        <v>1404</v>
      </c>
      <c r="C30" s="671">
        <v>0.04</v>
      </c>
      <c r="D30" s="672">
        <v>0.153</v>
      </c>
      <c r="L30" s="663">
        <v>31</v>
      </c>
      <c r="M30" s="664">
        <v>9.6199999999999994E-2</v>
      </c>
    </row>
    <row r="31" spans="2:13">
      <c r="B31" s="669" t="s">
        <v>1405</v>
      </c>
      <c r="C31" s="671">
        <v>0.02</v>
      </c>
      <c r="D31" s="672">
        <v>6.6000000000000003E-2</v>
      </c>
      <c r="L31" s="663">
        <v>30</v>
      </c>
      <c r="M31" s="664">
        <v>0.10299999999999999</v>
      </c>
    </row>
    <row r="32" spans="2:13">
      <c r="B32" s="669" t="s">
        <v>1406</v>
      </c>
      <c r="C32" s="671">
        <v>0</v>
      </c>
      <c r="D32" s="672">
        <v>0</v>
      </c>
      <c r="L32" s="663">
        <v>29</v>
      </c>
      <c r="M32" s="664">
        <v>0.1101</v>
      </c>
    </row>
    <row r="33" spans="12:13">
      <c r="L33" s="663">
        <v>28</v>
      </c>
      <c r="M33" s="664">
        <v>0.1174</v>
      </c>
    </row>
    <row r="34" spans="12:13">
      <c r="L34" s="663">
        <v>27</v>
      </c>
      <c r="M34" s="664">
        <v>0.125</v>
      </c>
    </row>
    <row r="35" spans="12:13">
      <c r="L35" s="663">
        <v>26</v>
      </c>
      <c r="M35" s="664">
        <v>0.13289999999999999</v>
      </c>
    </row>
    <row r="36" spans="12:13">
      <c r="L36" s="663">
        <v>25</v>
      </c>
      <c r="M36" s="664">
        <v>0.1411</v>
      </c>
    </row>
    <row r="37" spans="12:13">
      <c r="L37" s="663">
        <v>24</v>
      </c>
      <c r="M37" s="664">
        <v>0.14960000000000001</v>
      </c>
    </row>
    <row r="38" spans="12:13">
      <c r="L38" s="663">
        <v>23</v>
      </c>
      <c r="M38" s="664">
        <v>0.1585</v>
      </c>
    </row>
    <row r="39" spans="12:13">
      <c r="L39" s="663">
        <v>22</v>
      </c>
      <c r="M39" s="664">
        <v>0.1678</v>
      </c>
    </row>
    <row r="40" spans="12:13">
      <c r="L40" s="663">
        <v>21</v>
      </c>
      <c r="M40" s="664">
        <v>0.17749999999999999</v>
      </c>
    </row>
    <row r="41" spans="12:13">
      <c r="L41" s="663">
        <v>20</v>
      </c>
      <c r="M41" s="664">
        <v>0.18770000000000001</v>
      </c>
    </row>
    <row r="42" spans="12:13" ht="17.25" thickBot="1">
      <c r="L42" s="673" t="s">
        <v>1401</v>
      </c>
      <c r="M42" s="674">
        <v>10000</v>
      </c>
    </row>
  </sheetData>
  <mergeCells count="17">
    <mergeCell ref="F6:G6"/>
    <mergeCell ref="B2:D2"/>
    <mergeCell ref="B3:B5"/>
    <mergeCell ref="B6:C6"/>
    <mergeCell ref="B7:C7"/>
    <mergeCell ref="B8:C8"/>
    <mergeCell ref="F7:G7"/>
    <mergeCell ref="I11:I12"/>
    <mergeCell ref="B13:B17"/>
    <mergeCell ref="B10:I10"/>
    <mergeCell ref="B26:D26"/>
    <mergeCell ref="B18:B22"/>
    <mergeCell ref="C23:H23"/>
    <mergeCell ref="C24:H24"/>
    <mergeCell ref="B11:B12"/>
    <mergeCell ref="C11:C12"/>
    <mergeCell ref="D11:H11"/>
  </mergeCells>
  <phoneticPr fontId="11" type="noConversion"/>
  <conditionalFormatting sqref="C27">
    <cfRule type="expression" dxfId="2" priority="2">
      <formula>$M$7=1</formula>
    </cfRule>
  </conditionalFormatting>
  <conditionalFormatting sqref="D27">
    <cfRule type="expression" dxfId="1" priority="1">
      <formula>$M$7=2</formula>
    </cfRule>
  </conditionalFormatting>
  <pageMargins left="0.7" right="0.7" top="0.75" bottom="0.75" header="0.3" footer="0.3"/>
  <pageSetup paperSize="9" scale="57" orientation="portrait" r:id="rId1"/>
  <colBreaks count="1" manualBreakCount="1">
    <brk id="10" min="1" max="41"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9" r:id="rId4" name="Drop Down 3">
              <controlPr defaultSize="0" autoLine="0" autoPict="0">
                <anchor moveWithCells="1">
                  <from>
                    <xdr:col>5</xdr:col>
                    <xdr:colOff>0</xdr:colOff>
                    <xdr:row>6</xdr:row>
                    <xdr:rowOff>9525</xdr:rowOff>
                  </from>
                  <to>
                    <xdr:col>6</xdr:col>
                    <xdr:colOff>819150</xdr:colOff>
                    <xdr:row>6</xdr:row>
                    <xdr:rowOff>247650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rgb="FFFFFF00"/>
  </sheetPr>
  <dimension ref="B1:O254"/>
  <sheetViews>
    <sheetView zoomScale="85" zoomScaleNormal="85" workbookViewId="0">
      <pane ySplit="13" topLeftCell="A14" activePane="bottomLeft" state="frozen"/>
      <selection pane="bottomLeft" activeCell="J20" sqref="J20"/>
    </sheetView>
  </sheetViews>
  <sheetFormatPr defaultRowHeight="16.5"/>
  <cols>
    <col min="1" max="1" width="8.88671875" style="222"/>
    <col min="2" max="2" width="8.88671875" style="470"/>
    <col min="3" max="3" width="12.44140625" style="470" hidden="1" customWidth="1"/>
    <col min="4" max="4" width="8.88671875" style="469"/>
    <col min="5" max="5" width="44" style="470" customWidth="1"/>
    <col min="6" max="6" width="20.88671875" style="470" customWidth="1"/>
    <col min="7" max="7" width="33.5546875" style="470" customWidth="1"/>
    <col min="8" max="12" width="8.88671875" style="675"/>
    <col min="13" max="13" width="14.33203125" style="676" customWidth="1"/>
    <col min="14" max="14" width="8.88671875" style="222"/>
    <col min="15" max="15" width="33.5546875" style="222" customWidth="1"/>
    <col min="16" max="16384" width="8.88671875" style="222"/>
  </cols>
  <sheetData>
    <row r="1" spans="2:15" ht="41.25" customHeight="1"/>
    <row r="2" spans="2:15" ht="39">
      <c r="D2" s="476" t="s">
        <v>1476</v>
      </c>
      <c r="G2" s="477" t="s">
        <v>2778</v>
      </c>
      <c r="H2" s="478"/>
      <c r="I2" s="478"/>
      <c r="J2" s="478"/>
      <c r="K2" s="478"/>
      <c r="L2" s="478"/>
      <c r="M2" s="479"/>
      <c r="N2" s="480"/>
      <c r="O2" s="480"/>
    </row>
    <row r="3" spans="2:15" ht="17.25" thickBot="1"/>
    <row r="4" spans="2:15" s="10" customFormat="1" ht="23.25" customHeight="1" thickBot="1">
      <c r="B4" s="677"/>
      <c r="C4" s="677"/>
      <c r="D4" s="1370" t="s">
        <v>1477</v>
      </c>
      <c r="E4" s="465" t="s">
        <v>1475</v>
      </c>
      <c r="F4" s="466">
        <f>IF(INDEX($D$14:$D$193,MATCH(OUTPUT!$D$12,$D$14:$D$193,0)+1,1)="0",$F$5,VLOOKUP(OUTPUT!$D$12,$D$14:$M$193,8,0)/100)</f>
        <v>2.2499999999999999E-2</v>
      </c>
      <c r="G4" s="678"/>
      <c r="H4" s="679"/>
      <c r="I4" s="679"/>
      <c r="J4" s="679"/>
      <c r="K4" s="679"/>
      <c r="L4" s="679"/>
      <c r="M4" s="680"/>
    </row>
    <row r="5" spans="2:15" s="10" customFormat="1" ht="23.25" customHeight="1" thickBot="1">
      <c r="B5" s="677"/>
      <c r="C5" s="677"/>
      <c r="D5" s="1371"/>
      <c r="E5" s="467" t="s">
        <v>2257</v>
      </c>
      <c r="F5" s="468">
        <f>IFERROR(VLOOKUP(OUTPUT!$D$11,경상로열티!$F$14:$M$193,6,0)/100,"")</f>
        <v>2.2499999999999999E-2</v>
      </c>
      <c r="G5" s="470"/>
      <c r="H5" s="1372" t="s">
        <v>1479</v>
      </c>
      <c r="I5" s="1373"/>
      <c r="J5" s="1378">
        <f>IF(F4&lt;&gt;"",F4,IF(F5&lt;&gt;"",F5,IF(F7&lt;&gt;"",F7,F8)))</f>
        <v>2.2499999999999999E-2</v>
      </c>
      <c r="K5" s="1379"/>
      <c r="L5" s="681"/>
      <c r="M5" s="680"/>
    </row>
    <row r="6" spans="2:15" s="10" customFormat="1" ht="7.5" customHeight="1" thickBot="1">
      <c r="B6" s="677"/>
      <c r="C6" s="677"/>
      <c r="D6" s="469"/>
      <c r="E6" s="470"/>
      <c r="F6" s="471"/>
      <c r="G6" s="470"/>
      <c r="H6" s="1374"/>
      <c r="I6" s="1375"/>
      <c r="J6" s="1380"/>
      <c r="K6" s="1381"/>
      <c r="L6" s="681"/>
      <c r="M6" s="680"/>
    </row>
    <row r="7" spans="2:15" ht="35.25" customHeight="1" thickBot="1">
      <c r="D7" s="472" t="s">
        <v>1478</v>
      </c>
      <c r="E7" s="473" t="s">
        <v>2261</v>
      </c>
      <c r="F7" s="466">
        <f>IFERROR(VLOOKUP($E$7,$F$210:$K$253,5,0)/100,"")</f>
        <v>0.03</v>
      </c>
      <c r="H7" s="1376"/>
      <c r="I7" s="1377"/>
      <c r="J7" s="1382"/>
      <c r="K7" s="1383"/>
      <c r="L7" s="681"/>
    </row>
    <row r="8" spans="2:15" ht="36" customHeight="1" thickBot="1">
      <c r="D8" s="474" t="s">
        <v>1525</v>
      </c>
      <c r="E8" s="475" t="s">
        <v>0</v>
      </c>
      <c r="F8" s="468">
        <f>IFERROR(VLOOKUP(E8,$E$199:$J$205,5,0)/100,"")</f>
        <v>0.03</v>
      </c>
    </row>
    <row r="10" spans="2:15" ht="20.25" customHeight="1" thickBot="1">
      <c r="B10" s="682"/>
      <c r="C10" s="682"/>
      <c r="D10" s="683"/>
      <c r="E10" s="682"/>
      <c r="F10" s="682"/>
      <c r="G10" s="682"/>
      <c r="H10" s="684"/>
      <c r="I10" s="684"/>
      <c r="J10" s="684"/>
      <c r="K10" s="684"/>
      <c r="L10" s="684"/>
      <c r="M10" s="685"/>
    </row>
    <row r="11" spans="2:15" ht="29.25" customHeight="1" thickBot="1">
      <c r="B11" s="1363" t="s">
        <v>2333</v>
      </c>
      <c r="C11" s="1365"/>
      <c r="D11" s="1365"/>
      <c r="E11" s="1364"/>
      <c r="F11" s="1363" t="s">
        <v>2334</v>
      </c>
      <c r="G11" s="1364"/>
      <c r="H11" s="1360" t="s">
        <v>2335</v>
      </c>
      <c r="I11" s="1361"/>
      <c r="J11" s="1361"/>
      <c r="K11" s="1361"/>
      <c r="L11" s="1361"/>
      <c r="M11" s="1362"/>
    </row>
    <row r="12" spans="2:15" ht="17.25" thickTop="1">
      <c r="B12" s="167" t="s">
        <v>1454</v>
      </c>
      <c r="C12" s="179" t="s">
        <v>2799</v>
      </c>
      <c r="D12" s="323" t="s">
        <v>1172</v>
      </c>
      <c r="E12" s="169" t="s">
        <v>1455</v>
      </c>
      <c r="F12" s="168" t="s">
        <v>1456</v>
      </c>
      <c r="G12" s="170" t="s">
        <v>1457</v>
      </c>
      <c r="H12" s="183" t="s">
        <v>1458</v>
      </c>
      <c r="I12" s="183" t="s">
        <v>1459</v>
      </c>
      <c r="J12" s="183" t="s">
        <v>1460</v>
      </c>
      <c r="K12" s="183" t="s">
        <v>1461</v>
      </c>
      <c r="L12" s="184" t="s">
        <v>1462</v>
      </c>
      <c r="M12" s="346" t="s">
        <v>2957</v>
      </c>
    </row>
    <row r="13" spans="2:15" ht="17.25" thickBot="1">
      <c r="B13" s="171" t="s">
        <v>1192</v>
      </c>
      <c r="C13" s="180" t="s">
        <v>2800</v>
      </c>
      <c r="D13" s="324" t="s">
        <v>1192</v>
      </c>
      <c r="E13" s="173"/>
      <c r="F13" s="172" t="s">
        <v>1192</v>
      </c>
      <c r="G13" s="174"/>
      <c r="H13" s="185"/>
      <c r="I13" s="185"/>
      <c r="J13" s="185"/>
      <c r="K13" s="185"/>
      <c r="L13" s="330"/>
      <c r="M13" s="347"/>
    </row>
    <row r="14" spans="2:15" ht="17.25" thickTop="1">
      <c r="B14" s="182">
        <v>11</v>
      </c>
      <c r="C14" s="305"/>
      <c r="D14" s="325">
        <v>112</v>
      </c>
      <c r="E14" s="305" t="s">
        <v>1196</v>
      </c>
      <c r="F14" s="328">
        <v>1121</v>
      </c>
      <c r="G14" s="305" t="s">
        <v>3205</v>
      </c>
      <c r="H14" s="187" t="s">
        <v>1468</v>
      </c>
      <c r="I14" s="187" t="s">
        <v>1468</v>
      </c>
      <c r="J14" s="186">
        <f>VLOOKUP($B$14,상관행법로열티!$D$4:$J$325,2,0)</f>
        <v>3.23</v>
      </c>
      <c r="K14" s="186">
        <f>VLOOKUP($B$14,상관행법로열티!$D$4:$J$325,3,0)</f>
        <v>1.73</v>
      </c>
      <c r="L14" s="189" t="s">
        <v>1468</v>
      </c>
      <c r="M14" s="348" t="s">
        <v>2958</v>
      </c>
    </row>
    <row r="15" spans="2:15">
      <c r="B15" s="302">
        <v>11</v>
      </c>
      <c r="C15" s="302"/>
      <c r="D15" s="326">
        <v>111</v>
      </c>
      <c r="E15" s="302" t="s">
        <v>1195</v>
      </c>
      <c r="F15" s="329">
        <v>1110</v>
      </c>
      <c r="G15" s="302" t="s">
        <v>1195</v>
      </c>
      <c r="H15" s="187" t="s">
        <v>1468</v>
      </c>
      <c r="I15" s="187" t="s">
        <v>1468</v>
      </c>
      <c r="J15" s="188">
        <f>VLOOKUP($B$14,상관행법로열티!$D$4:$J$325,2,0)</f>
        <v>3.23</v>
      </c>
      <c r="K15" s="188">
        <f>VLOOKUP($B$14,상관행법로열티!$D$4:$J$325,3,0)</f>
        <v>1.73</v>
      </c>
      <c r="L15" s="189" t="s">
        <v>1468</v>
      </c>
      <c r="M15" s="348" t="s">
        <v>2958</v>
      </c>
    </row>
    <row r="16" spans="2:15">
      <c r="B16" s="302">
        <v>11</v>
      </c>
      <c r="C16" s="302"/>
      <c r="D16" s="326">
        <v>112</v>
      </c>
      <c r="E16" s="302" t="s">
        <v>1196</v>
      </c>
      <c r="F16" s="329">
        <v>1122</v>
      </c>
      <c r="G16" s="302" t="s">
        <v>2779</v>
      </c>
      <c r="H16" s="187" t="s">
        <v>1468</v>
      </c>
      <c r="I16" s="187" t="s">
        <v>1468</v>
      </c>
      <c r="J16" s="188">
        <f>VLOOKUP($B$14,상관행법로열티!$D$4:$J$325,2,0)</f>
        <v>3.23</v>
      </c>
      <c r="K16" s="188">
        <f>VLOOKUP($B$14,상관행법로열티!$D$4:$J$325,3,0)</f>
        <v>1.73</v>
      </c>
      <c r="L16" s="189" t="s">
        <v>1468</v>
      </c>
      <c r="M16" s="348" t="s">
        <v>2958</v>
      </c>
    </row>
    <row r="17" spans="2:13">
      <c r="B17" s="302">
        <v>11</v>
      </c>
      <c r="C17" s="302"/>
      <c r="D17" s="326">
        <v>113</v>
      </c>
      <c r="E17" s="302" t="s">
        <v>1197</v>
      </c>
      <c r="F17" s="326">
        <v>113</v>
      </c>
      <c r="G17" s="302" t="s">
        <v>3206</v>
      </c>
      <c r="H17" s="187" t="s">
        <v>1468</v>
      </c>
      <c r="I17" s="187" t="s">
        <v>1468</v>
      </c>
      <c r="J17" s="188">
        <f>VLOOKUP($B$14,상관행법로열티!$D$4:$J$325,2,0)</f>
        <v>3.23</v>
      </c>
      <c r="K17" s="188">
        <f>VLOOKUP($B$14,상관행법로열티!$D$4:$J$325,3,0)</f>
        <v>1.73</v>
      </c>
      <c r="L17" s="189" t="s">
        <v>1468</v>
      </c>
      <c r="M17" s="348" t="s">
        <v>2958</v>
      </c>
    </row>
    <row r="18" spans="2:13">
      <c r="B18" s="302">
        <v>11</v>
      </c>
      <c r="C18" s="302"/>
      <c r="D18" s="326">
        <v>114</v>
      </c>
      <c r="E18" s="302" t="s">
        <v>1198</v>
      </c>
      <c r="F18" s="329">
        <v>1123</v>
      </c>
      <c r="G18" s="302" t="s">
        <v>1301</v>
      </c>
      <c r="H18" s="187" t="s">
        <v>1468</v>
      </c>
      <c r="I18" s="187" t="s">
        <v>1468</v>
      </c>
      <c r="J18" s="188">
        <f>VLOOKUP($B$14,상관행법로열티!$D$4:$J$325,2,0)</f>
        <v>3.23</v>
      </c>
      <c r="K18" s="188">
        <f>VLOOKUP($B$14,상관행법로열티!$D$4:$J$325,3,0)</f>
        <v>1.73</v>
      </c>
      <c r="L18" s="189" t="s">
        <v>1468</v>
      </c>
      <c r="M18" s="348" t="s">
        <v>2958</v>
      </c>
    </row>
    <row r="19" spans="2:13">
      <c r="B19" s="302">
        <v>11</v>
      </c>
      <c r="C19" s="302"/>
      <c r="D19" s="326">
        <v>115</v>
      </c>
      <c r="E19" s="302" t="s">
        <v>1199</v>
      </c>
      <c r="F19" s="326">
        <v>115</v>
      </c>
      <c r="G19" s="302" t="s">
        <v>1199</v>
      </c>
      <c r="H19" s="187" t="s">
        <v>1468</v>
      </c>
      <c r="I19" s="187" t="s">
        <v>1468</v>
      </c>
      <c r="J19" s="188">
        <f>VLOOKUP($B$14,상관행법로열티!$D$4:$J$325,2,0)</f>
        <v>3.23</v>
      </c>
      <c r="K19" s="188">
        <f>VLOOKUP($B$14,상관행법로열티!$D$4:$J$325,3,0)</f>
        <v>1.73</v>
      </c>
      <c r="L19" s="189" t="s">
        <v>1468</v>
      </c>
      <c r="M19" s="348" t="s">
        <v>2958</v>
      </c>
    </row>
    <row r="20" spans="2:13">
      <c r="B20" s="302">
        <v>11</v>
      </c>
      <c r="C20" s="302"/>
      <c r="D20" s="326">
        <v>119</v>
      </c>
      <c r="E20" s="302" t="s">
        <v>1200</v>
      </c>
      <c r="F20" s="326">
        <v>114</v>
      </c>
      <c r="G20" s="302" t="s">
        <v>1200</v>
      </c>
      <c r="H20" s="187" t="s">
        <v>1468</v>
      </c>
      <c r="I20" s="187" t="s">
        <v>1468</v>
      </c>
      <c r="J20" s="188">
        <f>VLOOKUP($B$14,상관행법로열티!$D$4:$J$325,2,0)</f>
        <v>3.23</v>
      </c>
      <c r="K20" s="188">
        <f>VLOOKUP($B$14,상관행법로열티!$D$4:$J$325,3,0)</f>
        <v>1.73</v>
      </c>
      <c r="L20" s="189" t="s">
        <v>1468</v>
      </c>
      <c r="M20" s="348" t="s">
        <v>2958</v>
      </c>
    </row>
    <row r="21" spans="2:13">
      <c r="B21" s="181">
        <v>12</v>
      </c>
      <c r="C21" s="302"/>
      <c r="D21" s="326">
        <v>121</v>
      </c>
      <c r="E21" s="302" t="s">
        <v>1201</v>
      </c>
      <c r="F21" s="326">
        <v>121</v>
      </c>
      <c r="G21" s="302" t="s">
        <v>1201</v>
      </c>
      <c r="H21" s="187" t="s">
        <v>1468</v>
      </c>
      <c r="I21" s="187" t="s">
        <v>1468</v>
      </c>
      <c r="J21" s="190">
        <f>VLOOKUP($B$21,상관행법로열티!$D$4:$J$325,2,0)</f>
        <v>3.07</v>
      </c>
      <c r="K21" s="190">
        <f>VLOOKUP($B$21,상관행법로열티!$D$4:$J$325,3,0)</f>
        <v>2.15</v>
      </c>
      <c r="L21" s="189" t="s">
        <v>1468</v>
      </c>
      <c r="M21" s="348" t="s">
        <v>2958</v>
      </c>
    </row>
    <row r="22" spans="2:13">
      <c r="B22" s="302">
        <v>12</v>
      </c>
      <c r="C22" s="302"/>
      <c r="D22" s="326">
        <v>122</v>
      </c>
      <c r="E22" s="302" t="s">
        <v>3</v>
      </c>
      <c r="F22" s="326">
        <v>122</v>
      </c>
      <c r="G22" s="302" t="s">
        <v>3</v>
      </c>
      <c r="H22" s="187" t="s">
        <v>1468</v>
      </c>
      <c r="I22" s="187" t="s">
        <v>1468</v>
      </c>
      <c r="J22" s="190">
        <f>VLOOKUP($B$21,상관행법로열티!$D$4:$J$325,2,0)</f>
        <v>3.07</v>
      </c>
      <c r="K22" s="190">
        <f>VLOOKUP($B$21,상관행법로열티!$D$4:$J$325,3,0)</f>
        <v>2.15</v>
      </c>
      <c r="L22" s="189" t="s">
        <v>1468</v>
      </c>
      <c r="M22" s="348" t="s">
        <v>2958</v>
      </c>
    </row>
    <row r="23" spans="2:13">
      <c r="B23" s="302">
        <v>12</v>
      </c>
      <c r="C23" s="302"/>
      <c r="D23" s="326">
        <v>123</v>
      </c>
      <c r="E23" s="302" t="s">
        <v>1202</v>
      </c>
      <c r="F23" s="326">
        <v>123</v>
      </c>
      <c r="G23" s="302" t="s">
        <v>1202</v>
      </c>
      <c r="H23" s="187" t="s">
        <v>1468</v>
      </c>
      <c r="I23" s="187" t="s">
        <v>1468</v>
      </c>
      <c r="J23" s="190">
        <f>VLOOKUP($B$21,상관행법로열티!$D$4:$J$325,2,0)</f>
        <v>3.07</v>
      </c>
      <c r="K23" s="190">
        <f>VLOOKUP($B$21,상관행법로열티!$D$4:$J$325,3,0)</f>
        <v>2.15</v>
      </c>
      <c r="L23" s="189" t="s">
        <v>1468</v>
      </c>
      <c r="M23" s="348" t="s">
        <v>2958</v>
      </c>
    </row>
    <row r="24" spans="2:13">
      <c r="B24" s="302">
        <v>12</v>
      </c>
      <c r="C24" s="302"/>
      <c r="D24" s="326">
        <v>124</v>
      </c>
      <c r="E24" s="302" t="s">
        <v>1203</v>
      </c>
      <c r="F24" s="329">
        <v>1299</v>
      </c>
      <c r="G24" s="302" t="s">
        <v>1302</v>
      </c>
      <c r="H24" s="187" t="s">
        <v>1468</v>
      </c>
      <c r="I24" s="187" t="s">
        <v>1468</v>
      </c>
      <c r="J24" s="190">
        <f>VLOOKUP($B$21,상관행법로열티!$D$4:$J$325,2,0)</f>
        <v>3.07</v>
      </c>
      <c r="K24" s="190">
        <f>VLOOKUP($B$21,상관행법로열티!$D$4:$J$325,3,0)</f>
        <v>2.15</v>
      </c>
      <c r="L24" s="189" t="s">
        <v>1468</v>
      </c>
      <c r="M24" s="348" t="s">
        <v>2958</v>
      </c>
    </row>
    <row r="25" spans="2:13">
      <c r="B25" s="302">
        <v>12</v>
      </c>
      <c r="C25" s="302"/>
      <c r="D25" s="326">
        <v>129</v>
      </c>
      <c r="E25" s="302" t="s">
        <v>1204</v>
      </c>
      <c r="F25" s="326">
        <v>129</v>
      </c>
      <c r="G25" s="302" t="s">
        <v>1204</v>
      </c>
      <c r="H25" s="187" t="s">
        <v>1468</v>
      </c>
      <c r="I25" s="187" t="s">
        <v>1468</v>
      </c>
      <c r="J25" s="190">
        <f>VLOOKUP($B$21,상관행법로열티!$D$4:$J$325,2,0)</f>
        <v>3.07</v>
      </c>
      <c r="K25" s="190">
        <f>VLOOKUP($B$21,상관행법로열티!$D$4:$J$325,3,0)</f>
        <v>2.15</v>
      </c>
      <c r="L25" s="189" t="s">
        <v>1468</v>
      </c>
      <c r="M25" s="348" t="s">
        <v>2958</v>
      </c>
    </row>
    <row r="26" spans="2:13">
      <c r="B26" s="303">
        <v>21</v>
      </c>
      <c r="C26" s="302"/>
      <c r="D26" s="326">
        <v>212</v>
      </c>
      <c r="E26" s="302" t="s">
        <v>1206</v>
      </c>
      <c r="F26" s="302">
        <v>1200</v>
      </c>
      <c r="G26" s="302" t="s">
        <v>1206</v>
      </c>
      <c r="H26" s="188">
        <v>0.3</v>
      </c>
      <c r="I26" s="188">
        <v>6</v>
      </c>
      <c r="J26" s="188">
        <v>2.58</v>
      </c>
      <c r="K26" s="188">
        <v>2.25</v>
      </c>
      <c r="L26" s="357">
        <v>1.82</v>
      </c>
      <c r="M26" s="348">
        <v>214</v>
      </c>
    </row>
    <row r="27" spans="2:13">
      <c r="B27" s="302">
        <v>21</v>
      </c>
      <c r="C27" s="302"/>
      <c r="D27" s="326">
        <v>211</v>
      </c>
      <c r="E27" s="302" t="s">
        <v>1205</v>
      </c>
      <c r="F27" s="302">
        <v>1310</v>
      </c>
      <c r="G27" s="302" t="s">
        <v>1308</v>
      </c>
      <c r="H27" s="188">
        <v>0.3</v>
      </c>
      <c r="I27" s="188">
        <v>6</v>
      </c>
      <c r="J27" s="188">
        <v>2.58</v>
      </c>
      <c r="K27" s="188">
        <v>2.25</v>
      </c>
      <c r="L27" s="357">
        <v>1.82</v>
      </c>
      <c r="M27" s="348">
        <v>214</v>
      </c>
    </row>
    <row r="28" spans="2:13">
      <c r="B28" s="302">
        <v>21</v>
      </c>
      <c r="C28" s="302"/>
      <c r="D28" s="326">
        <v>213</v>
      </c>
      <c r="E28" s="302" t="s">
        <v>1207</v>
      </c>
      <c r="F28" s="302">
        <v>1420</v>
      </c>
      <c r="G28" s="302" t="s">
        <v>2308</v>
      </c>
      <c r="H28" s="188">
        <v>0.3</v>
      </c>
      <c r="I28" s="188">
        <v>6</v>
      </c>
      <c r="J28" s="188">
        <v>2.58</v>
      </c>
      <c r="K28" s="188">
        <v>2.25</v>
      </c>
      <c r="L28" s="357">
        <v>1.82</v>
      </c>
      <c r="M28" s="348">
        <v>214</v>
      </c>
    </row>
    <row r="29" spans="2:13">
      <c r="B29" s="302">
        <v>21</v>
      </c>
      <c r="C29" s="302"/>
      <c r="D29" s="326">
        <v>219</v>
      </c>
      <c r="E29" s="302" t="s">
        <v>1210</v>
      </c>
      <c r="F29" s="302">
        <v>20493</v>
      </c>
      <c r="G29" s="302" t="s">
        <v>1321</v>
      </c>
      <c r="H29" s="188">
        <v>0.3</v>
      </c>
      <c r="I29" s="188">
        <v>6</v>
      </c>
      <c r="J29" s="188">
        <v>2.58</v>
      </c>
      <c r="K29" s="188">
        <v>2.25</v>
      </c>
      <c r="L29" s="357">
        <v>1.82</v>
      </c>
      <c r="M29" s="348">
        <v>214</v>
      </c>
    </row>
    <row r="30" spans="2:13">
      <c r="B30" s="302">
        <v>21</v>
      </c>
      <c r="C30" s="302"/>
      <c r="D30" s="326">
        <v>219</v>
      </c>
      <c r="E30" s="302" t="s">
        <v>1210</v>
      </c>
      <c r="F30" s="302">
        <v>20499</v>
      </c>
      <c r="G30" s="302" t="s">
        <v>1322</v>
      </c>
      <c r="H30" s="188">
        <v>0.3</v>
      </c>
      <c r="I30" s="188">
        <v>6</v>
      </c>
      <c r="J30" s="188">
        <v>2.58</v>
      </c>
      <c r="K30" s="188">
        <v>2.25</v>
      </c>
      <c r="L30" s="357">
        <v>1.82</v>
      </c>
      <c r="M30" s="348">
        <v>214</v>
      </c>
    </row>
    <row r="31" spans="2:13" ht="13.5" customHeight="1">
      <c r="B31" s="302">
        <v>21</v>
      </c>
      <c r="C31" s="302"/>
      <c r="D31" s="326">
        <v>215</v>
      </c>
      <c r="E31" s="302" t="s">
        <v>1209</v>
      </c>
      <c r="F31" s="302">
        <v>2042</v>
      </c>
      <c r="G31" s="302" t="s">
        <v>2309</v>
      </c>
      <c r="H31" s="188">
        <v>0.3</v>
      </c>
      <c r="I31" s="188">
        <v>6</v>
      </c>
      <c r="J31" s="188">
        <v>2.58</v>
      </c>
      <c r="K31" s="188">
        <v>2.25</v>
      </c>
      <c r="L31" s="357">
        <v>1.82</v>
      </c>
      <c r="M31" s="348">
        <v>214</v>
      </c>
    </row>
    <row r="32" spans="2:13" ht="14.25" customHeight="1">
      <c r="B32" s="302">
        <v>21</v>
      </c>
      <c r="C32" s="302"/>
      <c r="D32" s="326">
        <v>214</v>
      </c>
      <c r="E32" s="302" t="s">
        <v>1208</v>
      </c>
      <c r="F32" s="302">
        <v>21</v>
      </c>
      <c r="G32" s="302" t="s">
        <v>1323</v>
      </c>
      <c r="H32" s="188">
        <v>0.3</v>
      </c>
      <c r="I32" s="188">
        <v>6</v>
      </c>
      <c r="J32" s="188">
        <v>2.58</v>
      </c>
      <c r="K32" s="188">
        <v>2.25</v>
      </c>
      <c r="L32" s="357">
        <v>1.82</v>
      </c>
      <c r="M32" s="348">
        <v>214</v>
      </c>
    </row>
    <row r="33" spans="2:13">
      <c r="B33" s="302">
        <v>21</v>
      </c>
      <c r="C33" s="302"/>
      <c r="D33" s="326">
        <v>213</v>
      </c>
      <c r="E33" s="302" t="s">
        <v>1207</v>
      </c>
      <c r="F33" s="302">
        <v>1511</v>
      </c>
      <c r="G33" s="302" t="s">
        <v>2310</v>
      </c>
      <c r="H33" s="188">
        <v>0.3</v>
      </c>
      <c r="I33" s="188">
        <v>6</v>
      </c>
      <c r="J33" s="188">
        <v>2.58</v>
      </c>
      <c r="K33" s="188">
        <v>2.25</v>
      </c>
      <c r="L33" s="357">
        <v>1.82</v>
      </c>
      <c r="M33" s="348">
        <v>214</v>
      </c>
    </row>
    <row r="34" spans="2:13">
      <c r="B34" s="303">
        <v>22</v>
      </c>
      <c r="C34" s="302"/>
      <c r="D34" s="326">
        <v>221</v>
      </c>
      <c r="E34" s="302" t="s">
        <v>1211</v>
      </c>
      <c r="F34" s="302">
        <v>2020</v>
      </c>
      <c r="G34" s="302" t="s">
        <v>1211</v>
      </c>
      <c r="H34" s="360">
        <v>0.3</v>
      </c>
      <c r="I34" s="360">
        <v>20</v>
      </c>
      <c r="J34" s="360">
        <v>4.5599999999999996</v>
      </c>
      <c r="K34" s="360">
        <v>3</v>
      </c>
      <c r="L34" s="361">
        <v>5.13</v>
      </c>
      <c r="M34" s="348">
        <v>328</v>
      </c>
    </row>
    <row r="35" spans="2:13">
      <c r="B35" s="302">
        <v>22</v>
      </c>
      <c r="C35" s="302"/>
      <c r="D35" s="326">
        <v>222</v>
      </c>
      <c r="E35" s="302" t="s">
        <v>1212</v>
      </c>
      <c r="F35" s="304">
        <v>20412</v>
      </c>
      <c r="G35" s="302" t="s">
        <v>1212</v>
      </c>
      <c r="H35" s="360">
        <v>0.3</v>
      </c>
      <c r="I35" s="360">
        <v>20</v>
      </c>
      <c r="J35" s="360">
        <v>4.5599999999999996</v>
      </c>
      <c r="K35" s="360">
        <v>3</v>
      </c>
      <c r="L35" s="361">
        <v>5.13</v>
      </c>
      <c r="M35" s="348">
        <v>328</v>
      </c>
    </row>
    <row r="36" spans="2:13">
      <c r="B36" s="302">
        <v>22</v>
      </c>
      <c r="C36" s="302"/>
      <c r="D36" s="326">
        <v>223</v>
      </c>
      <c r="E36" s="302" t="s">
        <v>1213</v>
      </c>
      <c r="F36" s="302">
        <v>222</v>
      </c>
      <c r="G36" s="302" t="s">
        <v>1326</v>
      </c>
      <c r="H36" s="360">
        <v>0.3</v>
      </c>
      <c r="I36" s="360">
        <v>20</v>
      </c>
      <c r="J36" s="360">
        <v>4.5599999999999996</v>
      </c>
      <c r="K36" s="360">
        <v>3</v>
      </c>
      <c r="L36" s="361">
        <v>5.13</v>
      </c>
      <c r="M36" s="348">
        <v>328</v>
      </c>
    </row>
    <row r="37" spans="2:13">
      <c r="B37" s="302">
        <v>22</v>
      </c>
      <c r="C37" s="302"/>
      <c r="D37" s="326">
        <v>229</v>
      </c>
      <c r="E37" s="302" t="s">
        <v>1218</v>
      </c>
      <c r="F37" s="304">
        <v>13225</v>
      </c>
      <c r="G37" s="302" t="s">
        <v>1310</v>
      </c>
      <c r="H37" s="360">
        <v>0.3</v>
      </c>
      <c r="I37" s="360">
        <v>20</v>
      </c>
      <c r="J37" s="360">
        <v>4.5599999999999996</v>
      </c>
      <c r="K37" s="360">
        <v>3</v>
      </c>
      <c r="L37" s="361">
        <v>5.13</v>
      </c>
      <c r="M37" s="348">
        <v>328</v>
      </c>
    </row>
    <row r="38" spans="2:13">
      <c r="B38" s="302">
        <v>22</v>
      </c>
      <c r="C38" s="302"/>
      <c r="D38" s="326">
        <v>229</v>
      </c>
      <c r="E38" s="302" t="s">
        <v>1218</v>
      </c>
      <c r="F38" s="302">
        <v>29171</v>
      </c>
      <c r="G38" s="302" t="s">
        <v>1340</v>
      </c>
      <c r="H38" s="360">
        <v>0.3</v>
      </c>
      <c r="I38" s="360">
        <v>20</v>
      </c>
      <c r="J38" s="360">
        <v>4.5599999999999996</v>
      </c>
      <c r="K38" s="360">
        <v>3</v>
      </c>
      <c r="L38" s="361">
        <v>5.13</v>
      </c>
      <c r="M38" s="348">
        <v>328</v>
      </c>
    </row>
    <row r="39" spans="2:13">
      <c r="B39" s="302">
        <v>22</v>
      </c>
      <c r="C39" s="302"/>
      <c r="D39" s="326">
        <v>226</v>
      </c>
      <c r="E39" s="302" t="s">
        <v>1216</v>
      </c>
      <c r="F39" s="302">
        <v>2721</v>
      </c>
      <c r="G39" s="302" t="s">
        <v>2311</v>
      </c>
      <c r="H39" s="360">
        <v>0.3</v>
      </c>
      <c r="I39" s="360">
        <v>20</v>
      </c>
      <c r="J39" s="360">
        <v>4.5599999999999996</v>
      </c>
      <c r="K39" s="360">
        <v>3</v>
      </c>
      <c r="L39" s="361">
        <v>5.13</v>
      </c>
      <c r="M39" s="348">
        <v>328</v>
      </c>
    </row>
    <row r="40" spans="2:13">
      <c r="B40" s="302">
        <v>22</v>
      </c>
      <c r="C40" s="302"/>
      <c r="D40" s="326">
        <v>225</v>
      </c>
      <c r="E40" s="302" t="s">
        <v>1215</v>
      </c>
      <c r="F40" s="302">
        <v>2921</v>
      </c>
      <c r="G40" s="302" t="s">
        <v>1342</v>
      </c>
      <c r="H40" s="360">
        <v>0.3</v>
      </c>
      <c r="I40" s="360">
        <v>20</v>
      </c>
      <c r="J40" s="360">
        <v>4.5599999999999996</v>
      </c>
      <c r="K40" s="360">
        <v>3</v>
      </c>
      <c r="L40" s="361">
        <v>5.13</v>
      </c>
      <c r="M40" s="348">
        <v>328</v>
      </c>
    </row>
    <row r="41" spans="2:13">
      <c r="B41" s="302">
        <v>22</v>
      </c>
      <c r="C41" s="302"/>
      <c r="D41" s="326">
        <v>224</v>
      </c>
      <c r="E41" s="302" t="s">
        <v>1214</v>
      </c>
      <c r="F41" s="302">
        <v>25</v>
      </c>
      <c r="G41" s="302" t="s">
        <v>2312</v>
      </c>
      <c r="H41" s="360">
        <v>0.3</v>
      </c>
      <c r="I41" s="360">
        <v>20</v>
      </c>
      <c r="J41" s="360">
        <v>4.5599999999999996</v>
      </c>
      <c r="K41" s="360">
        <v>3</v>
      </c>
      <c r="L41" s="361">
        <v>5.13</v>
      </c>
      <c r="M41" s="348">
        <v>328</v>
      </c>
    </row>
    <row r="42" spans="2:13">
      <c r="B42" s="302">
        <v>22</v>
      </c>
      <c r="C42" s="302"/>
      <c r="D42" s="326">
        <v>227</v>
      </c>
      <c r="E42" s="302" t="s">
        <v>1217</v>
      </c>
      <c r="F42" s="302">
        <v>21</v>
      </c>
      <c r="G42" s="302" t="s">
        <v>1323</v>
      </c>
      <c r="H42" s="360">
        <v>0.3</v>
      </c>
      <c r="I42" s="360">
        <v>20</v>
      </c>
      <c r="J42" s="360">
        <v>4.5599999999999996</v>
      </c>
      <c r="K42" s="360">
        <v>3</v>
      </c>
      <c r="L42" s="361">
        <v>5.13</v>
      </c>
      <c r="M42" s="348">
        <v>328</v>
      </c>
    </row>
    <row r="43" spans="2:13">
      <c r="B43" s="303">
        <v>23</v>
      </c>
      <c r="C43" s="302"/>
      <c r="D43" s="326">
        <v>231</v>
      </c>
      <c r="E43" s="302" t="s">
        <v>1219</v>
      </c>
      <c r="F43" s="326">
        <v>141</v>
      </c>
      <c r="G43" s="302" t="s">
        <v>1219</v>
      </c>
      <c r="H43" s="195">
        <v>1</v>
      </c>
      <c r="I43" s="195">
        <v>15</v>
      </c>
      <c r="J43" s="195">
        <v>5.4</v>
      </c>
      <c r="K43" s="195">
        <v>4.5</v>
      </c>
      <c r="L43" s="362">
        <v>3.95</v>
      </c>
      <c r="M43" s="348">
        <v>183</v>
      </c>
    </row>
    <row r="44" spans="2:13">
      <c r="B44" s="302">
        <v>23</v>
      </c>
      <c r="C44" s="302"/>
      <c r="D44" s="326">
        <v>239</v>
      </c>
      <c r="E44" s="302" t="s">
        <v>1225</v>
      </c>
      <c r="F44" s="302">
        <v>7422</v>
      </c>
      <c r="G44" s="302" t="s">
        <v>2313</v>
      </c>
      <c r="H44" s="195">
        <v>1</v>
      </c>
      <c r="I44" s="195">
        <v>15</v>
      </c>
      <c r="J44" s="195">
        <v>5.4</v>
      </c>
      <c r="K44" s="195">
        <v>4.5</v>
      </c>
      <c r="L44" s="362">
        <v>3.95</v>
      </c>
      <c r="M44" s="348">
        <v>183</v>
      </c>
    </row>
    <row r="45" spans="2:13">
      <c r="B45" s="302">
        <v>23</v>
      </c>
      <c r="C45" s="302"/>
      <c r="D45" s="326">
        <v>239</v>
      </c>
      <c r="E45" s="302" t="s">
        <v>1225</v>
      </c>
      <c r="F45" s="302">
        <v>9121</v>
      </c>
      <c r="G45" s="302" t="s">
        <v>1356</v>
      </c>
      <c r="H45" s="195">
        <v>1</v>
      </c>
      <c r="I45" s="195">
        <v>15</v>
      </c>
      <c r="J45" s="195">
        <v>5.4</v>
      </c>
      <c r="K45" s="195">
        <v>4.5</v>
      </c>
      <c r="L45" s="362">
        <v>3.95</v>
      </c>
      <c r="M45" s="348">
        <v>183</v>
      </c>
    </row>
    <row r="46" spans="2:13">
      <c r="B46" s="302">
        <v>23</v>
      </c>
      <c r="C46" s="302"/>
      <c r="D46" s="326">
        <v>239</v>
      </c>
      <c r="E46" s="302" t="s">
        <v>1225</v>
      </c>
      <c r="F46" s="302">
        <v>73909</v>
      </c>
      <c r="G46" s="302" t="s">
        <v>2314</v>
      </c>
      <c r="H46" s="195">
        <v>1</v>
      </c>
      <c r="I46" s="195">
        <v>15</v>
      </c>
      <c r="J46" s="195">
        <v>5.4</v>
      </c>
      <c r="K46" s="195">
        <v>4.5</v>
      </c>
      <c r="L46" s="362">
        <v>3.95</v>
      </c>
      <c r="M46" s="348">
        <v>183</v>
      </c>
    </row>
    <row r="47" spans="2:13">
      <c r="B47" s="302">
        <v>23</v>
      </c>
      <c r="C47" s="302"/>
      <c r="D47" s="326">
        <v>237</v>
      </c>
      <c r="E47" s="302" t="s">
        <v>1224</v>
      </c>
      <c r="F47" s="302">
        <v>7212</v>
      </c>
      <c r="G47" s="302" t="s">
        <v>1353</v>
      </c>
      <c r="H47" s="195">
        <v>1</v>
      </c>
      <c r="I47" s="195">
        <v>15</v>
      </c>
      <c r="J47" s="195">
        <v>5.4</v>
      </c>
      <c r="K47" s="195">
        <v>4.5</v>
      </c>
      <c r="L47" s="362">
        <v>3.95</v>
      </c>
      <c r="M47" s="348">
        <v>183</v>
      </c>
    </row>
    <row r="48" spans="2:13">
      <c r="B48" s="302">
        <v>23</v>
      </c>
      <c r="C48" s="302"/>
      <c r="D48" s="326">
        <v>236</v>
      </c>
      <c r="E48" s="302" t="s">
        <v>1223</v>
      </c>
      <c r="F48" s="302">
        <v>7291</v>
      </c>
      <c r="G48" s="302" t="s">
        <v>2315</v>
      </c>
      <c r="H48" s="195">
        <v>1</v>
      </c>
      <c r="I48" s="195">
        <v>15</v>
      </c>
      <c r="J48" s="195">
        <v>5.4</v>
      </c>
      <c r="K48" s="195">
        <v>4.5</v>
      </c>
      <c r="L48" s="362">
        <v>3.95</v>
      </c>
      <c r="M48" s="348">
        <v>183</v>
      </c>
    </row>
    <row r="49" spans="2:13">
      <c r="B49" s="302">
        <v>23</v>
      </c>
      <c r="C49" s="302"/>
      <c r="D49" s="326">
        <v>235</v>
      </c>
      <c r="E49" s="302" t="s">
        <v>1222</v>
      </c>
      <c r="F49" s="302">
        <v>39</v>
      </c>
      <c r="G49" s="302" t="s">
        <v>1347</v>
      </c>
      <c r="H49" s="195">
        <v>1</v>
      </c>
      <c r="I49" s="195">
        <v>15</v>
      </c>
      <c r="J49" s="195">
        <v>5.4</v>
      </c>
      <c r="K49" s="195">
        <v>4.5</v>
      </c>
      <c r="L49" s="362">
        <v>3.95</v>
      </c>
      <c r="M49" s="348">
        <v>183</v>
      </c>
    </row>
    <row r="50" spans="2:13">
      <c r="B50" s="302">
        <v>23</v>
      </c>
      <c r="C50" s="302"/>
      <c r="D50" s="326">
        <v>235</v>
      </c>
      <c r="E50" s="302" t="s">
        <v>1222</v>
      </c>
      <c r="F50" s="302">
        <v>38</v>
      </c>
      <c r="G50" s="302" t="s">
        <v>2316</v>
      </c>
      <c r="H50" s="195">
        <v>1</v>
      </c>
      <c r="I50" s="195">
        <v>15</v>
      </c>
      <c r="J50" s="195">
        <v>5.4</v>
      </c>
      <c r="K50" s="195">
        <v>4.5</v>
      </c>
      <c r="L50" s="362">
        <v>3.95</v>
      </c>
      <c r="M50" s="348">
        <v>183</v>
      </c>
    </row>
    <row r="51" spans="2:13">
      <c r="B51" s="302">
        <v>23</v>
      </c>
      <c r="C51" s="302"/>
      <c r="D51" s="326">
        <v>235</v>
      </c>
      <c r="E51" s="302" t="s">
        <v>1222</v>
      </c>
      <c r="F51" s="302">
        <v>37</v>
      </c>
      <c r="G51" s="302" t="s">
        <v>2317</v>
      </c>
      <c r="H51" s="195">
        <v>1</v>
      </c>
      <c r="I51" s="195">
        <v>15</v>
      </c>
      <c r="J51" s="195">
        <v>5.4</v>
      </c>
      <c r="K51" s="195">
        <v>4.5</v>
      </c>
      <c r="L51" s="362">
        <v>3.95</v>
      </c>
      <c r="M51" s="348">
        <v>183</v>
      </c>
    </row>
    <row r="52" spans="2:13">
      <c r="B52" s="302">
        <v>23</v>
      </c>
      <c r="C52" s="302"/>
      <c r="D52" s="326">
        <v>234</v>
      </c>
      <c r="E52" s="302" t="s">
        <v>1221</v>
      </c>
      <c r="F52" s="302">
        <v>5822</v>
      </c>
      <c r="G52" s="302" t="s">
        <v>2318</v>
      </c>
      <c r="H52" s="195">
        <v>1</v>
      </c>
      <c r="I52" s="195">
        <v>15</v>
      </c>
      <c r="J52" s="195">
        <v>5.4</v>
      </c>
      <c r="K52" s="195">
        <v>4.5</v>
      </c>
      <c r="L52" s="362">
        <v>3.95</v>
      </c>
      <c r="M52" s="348">
        <v>183</v>
      </c>
    </row>
    <row r="53" spans="2:13">
      <c r="B53" s="302">
        <v>23</v>
      </c>
      <c r="C53" s="302"/>
      <c r="D53" s="326">
        <v>234</v>
      </c>
      <c r="E53" s="302" t="s">
        <v>1221</v>
      </c>
      <c r="F53" s="302">
        <v>63</v>
      </c>
      <c r="G53" s="302" t="s">
        <v>1349</v>
      </c>
      <c r="H53" s="195">
        <v>1</v>
      </c>
      <c r="I53" s="195">
        <v>15</v>
      </c>
      <c r="J53" s="195">
        <v>5.4</v>
      </c>
      <c r="K53" s="195">
        <v>4.5</v>
      </c>
      <c r="L53" s="362">
        <v>3.95</v>
      </c>
      <c r="M53" s="348">
        <v>183</v>
      </c>
    </row>
    <row r="54" spans="2:13">
      <c r="B54" s="302">
        <v>23</v>
      </c>
      <c r="C54" s="302"/>
      <c r="D54" s="326">
        <v>234</v>
      </c>
      <c r="E54" s="302" t="s">
        <v>1221</v>
      </c>
      <c r="F54" s="302">
        <v>62</v>
      </c>
      <c r="G54" s="302" t="s">
        <v>2319</v>
      </c>
      <c r="H54" s="195">
        <v>1</v>
      </c>
      <c r="I54" s="195">
        <v>15</v>
      </c>
      <c r="J54" s="195">
        <v>5.4</v>
      </c>
      <c r="K54" s="195">
        <v>4.5</v>
      </c>
      <c r="L54" s="362">
        <v>3.95</v>
      </c>
      <c r="M54" s="348">
        <v>183</v>
      </c>
    </row>
    <row r="55" spans="2:13">
      <c r="B55" s="302">
        <v>23</v>
      </c>
      <c r="C55" s="302"/>
      <c r="D55" s="326">
        <v>233</v>
      </c>
      <c r="E55" s="302" t="s">
        <v>1220</v>
      </c>
      <c r="F55" s="302">
        <v>70112</v>
      </c>
      <c r="G55" s="302" t="s">
        <v>2780</v>
      </c>
      <c r="H55" s="195">
        <v>1</v>
      </c>
      <c r="I55" s="195">
        <v>15</v>
      </c>
      <c r="J55" s="195">
        <v>5.4</v>
      </c>
      <c r="K55" s="195">
        <v>4.5</v>
      </c>
      <c r="L55" s="362">
        <v>3.95</v>
      </c>
      <c r="M55" s="348">
        <v>183</v>
      </c>
    </row>
    <row r="56" spans="2:13">
      <c r="B56" s="302">
        <v>23</v>
      </c>
      <c r="C56" s="302"/>
      <c r="D56" s="326">
        <v>232</v>
      </c>
      <c r="E56" s="302" t="s">
        <v>70</v>
      </c>
      <c r="F56" s="302">
        <v>7310</v>
      </c>
      <c r="G56" s="302" t="s">
        <v>70</v>
      </c>
      <c r="H56" s="195">
        <v>1</v>
      </c>
      <c r="I56" s="195">
        <v>15</v>
      </c>
      <c r="J56" s="195">
        <v>5.4</v>
      </c>
      <c r="K56" s="195">
        <v>4.5</v>
      </c>
      <c r="L56" s="362">
        <v>3.95</v>
      </c>
      <c r="M56" s="348">
        <v>183</v>
      </c>
    </row>
    <row r="57" spans="2:13">
      <c r="B57" s="303">
        <v>39</v>
      </c>
      <c r="C57" s="302"/>
      <c r="D57" s="326">
        <v>390</v>
      </c>
      <c r="E57" s="302" t="s">
        <v>1226</v>
      </c>
      <c r="F57" s="332">
        <v>2030</v>
      </c>
      <c r="G57" s="302" t="s">
        <v>1303</v>
      </c>
      <c r="H57" s="187" t="s">
        <v>1468</v>
      </c>
      <c r="I57" s="187">
        <v>0</v>
      </c>
      <c r="J57" s="188">
        <f>VLOOKUP($C$58,상관행법로열티!$D$4:$J$325,2,0)</f>
        <v>2.4500000000000002</v>
      </c>
      <c r="K57" s="188">
        <f>VLOOKUP($C$58,상관행법로열티!$D$4:$J$325,3,0)</f>
        <v>1.65</v>
      </c>
      <c r="L57" s="189" t="s">
        <v>1468</v>
      </c>
      <c r="M57" s="348" t="s">
        <v>2958</v>
      </c>
    </row>
    <row r="58" spans="2:13">
      <c r="B58" s="303">
        <v>31</v>
      </c>
      <c r="C58" s="181">
        <v>20</v>
      </c>
      <c r="D58" s="326">
        <v>311</v>
      </c>
      <c r="E58" s="302" t="s">
        <v>4</v>
      </c>
      <c r="F58" s="326">
        <v>201</v>
      </c>
      <c r="G58" s="302" t="s">
        <v>4</v>
      </c>
      <c r="H58" s="187" t="s">
        <v>1468</v>
      </c>
      <c r="I58" s="187">
        <v>0</v>
      </c>
      <c r="J58" s="188">
        <f>VLOOKUP($C$58,상관행법로열티!$D$4:$J$325,2,0)</f>
        <v>2.4500000000000002</v>
      </c>
      <c r="K58" s="188">
        <f>VLOOKUP($C$58,상관행법로열티!$D$4:$J$325,3,0)</f>
        <v>1.65</v>
      </c>
      <c r="L58" s="189" t="s">
        <v>1468</v>
      </c>
      <c r="M58" s="348" t="s">
        <v>2958</v>
      </c>
    </row>
    <row r="59" spans="2:13">
      <c r="B59" s="302">
        <v>31</v>
      </c>
      <c r="C59" s="302"/>
      <c r="D59" s="326">
        <v>312</v>
      </c>
      <c r="E59" s="302" t="s">
        <v>77</v>
      </c>
      <c r="F59" s="326">
        <v>202</v>
      </c>
      <c r="G59" s="302" t="s">
        <v>77</v>
      </c>
      <c r="H59" s="187" t="s">
        <v>1468</v>
      </c>
      <c r="I59" s="187">
        <v>0</v>
      </c>
      <c r="J59" s="188">
        <f>VLOOKUP($C$58,상관행법로열티!$D$4:$J$325,2,0)</f>
        <v>2.4500000000000002</v>
      </c>
      <c r="K59" s="188">
        <f>VLOOKUP($C$58,상관행법로열티!$D$4:$J$325,3,0)</f>
        <v>1.65</v>
      </c>
      <c r="L59" s="189" t="s">
        <v>1468</v>
      </c>
      <c r="M59" s="348" t="s">
        <v>2958</v>
      </c>
    </row>
    <row r="60" spans="2:13">
      <c r="B60" s="303">
        <v>39</v>
      </c>
      <c r="C60" s="302"/>
      <c r="D60" s="326">
        <v>390</v>
      </c>
      <c r="E60" s="302" t="s">
        <v>1226</v>
      </c>
      <c r="F60" s="332">
        <v>2030</v>
      </c>
      <c r="G60" s="302" t="s">
        <v>1303</v>
      </c>
      <c r="H60" s="187" t="s">
        <v>1468</v>
      </c>
      <c r="I60" s="187">
        <v>0</v>
      </c>
      <c r="J60" s="188">
        <f>VLOOKUP($C$58,상관행법로열티!$D$4:$J$325,2,0)</f>
        <v>2.4500000000000002</v>
      </c>
      <c r="K60" s="188">
        <f>VLOOKUP($C$58,상관행법로열티!$D$4:$J$325,3,0)</f>
        <v>1.65</v>
      </c>
      <c r="L60" s="189" t="s">
        <v>1468</v>
      </c>
      <c r="M60" s="348" t="s">
        <v>2958</v>
      </c>
    </row>
    <row r="61" spans="2:13">
      <c r="B61" s="303">
        <v>41</v>
      </c>
      <c r="C61" s="302"/>
      <c r="D61" s="326">
        <v>415</v>
      </c>
      <c r="E61" s="302" t="s">
        <v>1231</v>
      </c>
      <c r="F61" s="302">
        <v>1630</v>
      </c>
      <c r="G61" s="302" t="s">
        <v>1231</v>
      </c>
      <c r="H61" s="360">
        <v>1</v>
      </c>
      <c r="I61" s="360">
        <v>5</v>
      </c>
      <c r="J61" s="360">
        <v>3.33</v>
      </c>
      <c r="K61" s="360">
        <v>4</v>
      </c>
      <c r="L61" s="361">
        <v>1.7</v>
      </c>
      <c r="M61" s="348">
        <v>28</v>
      </c>
    </row>
    <row r="62" spans="2:13">
      <c r="B62" s="302">
        <v>41</v>
      </c>
      <c r="C62" s="302"/>
      <c r="D62" s="326">
        <v>411</v>
      </c>
      <c r="E62" s="302" t="s">
        <v>1227</v>
      </c>
      <c r="F62" s="302">
        <v>1610</v>
      </c>
      <c r="G62" s="302" t="s">
        <v>1227</v>
      </c>
      <c r="H62" s="360">
        <v>1</v>
      </c>
      <c r="I62" s="360">
        <v>5</v>
      </c>
      <c r="J62" s="360">
        <v>3.33</v>
      </c>
      <c r="K62" s="360">
        <v>4</v>
      </c>
      <c r="L62" s="361">
        <v>1.7</v>
      </c>
      <c r="M62" s="348">
        <v>28</v>
      </c>
    </row>
    <row r="63" spans="2:13">
      <c r="B63" s="302">
        <v>41</v>
      </c>
      <c r="C63" s="302"/>
      <c r="D63" s="326">
        <v>412</v>
      </c>
      <c r="E63" s="302" t="s">
        <v>1228</v>
      </c>
      <c r="F63" s="302">
        <v>1621</v>
      </c>
      <c r="G63" s="302" t="s">
        <v>1228</v>
      </c>
      <c r="H63" s="360">
        <v>1</v>
      </c>
      <c r="I63" s="360">
        <v>5</v>
      </c>
      <c r="J63" s="360">
        <v>3.33</v>
      </c>
      <c r="K63" s="360">
        <v>4</v>
      </c>
      <c r="L63" s="361">
        <v>1.7</v>
      </c>
      <c r="M63" s="348">
        <v>28</v>
      </c>
    </row>
    <row r="64" spans="2:13">
      <c r="B64" s="302">
        <v>41</v>
      </c>
      <c r="C64" s="302"/>
      <c r="D64" s="326">
        <v>413</v>
      </c>
      <c r="E64" s="302" t="s">
        <v>1229</v>
      </c>
      <c r="F64" s="302">
        <v>1622</v>
      </c>
      <c r="G64" s="302" t="s">
        <v>1229</v>
      </c>
      <c r="H64" s="360">
        <v>1</v>
      </c>
      <c r="I64" s="360">
        <v>5</v>
      </c>
      <c r="J64" s="360">
        <v>3.33</v>
      </c>
      <c r="K64" s="360">
        <v>4</v>
      </c>
      <c r="L64" s="361">
        <v>1.7</v>
      </c>
      <c r="M64" s="348">
        <v>28</v>
      </c>
    </row>
    <row r="65" spans="2:13">
      <c r="B65" s="302">
        <v>41</v>
      </c>
      <c r="C65" s="302"/>
      <c r="D65" s="326">
        <v>419</v>
      </c>
      <c r="E65" s="302" t="s">
        <v>1233</v>
      </c>
      <c r="F65" s="302">
        <v>16292</v>
      </c>
      <c r="G65" s="302" t="s">
        <v>1313</v>
      </c>
      <c r="H65" s="360">
        <v>1</v>
      </c>
      <c r="I65" s="360">
        <v>5</v>
      </c>
      <c r="J65" s="360">
        <v>3.33</v>
      </c>
      <c r="K65" s="360">
        <v>4</v>
      </c>
      <c r="L65" s="361">
        <v>1.7</v>
      </c>
      <c r="M65" s="348">
        <v>28</v>
      </c>
    </row>
    <row r="66" spans="2:13">
      <c r="B66" s="302">
        <v>41</v>
      </c>
      <c r="C66" s="302"/>
      <c r="D66" s="326">
        <v>419</v>
      </c>
      <c r="E66" s="302" t="s">
        <v>1233</v>
      </c>
      <c r="F66" s="302">
        <v>16299</v>
      </c>
      <c r="G66" s="302" t="s">
        <v>1314</v>
      </c>
      <c r="H66" s="360">
        <v>1</v>
      </c>
      <c r="I66" s="360">
        <v>5</v>
      </c>
      <c r="J66" s="360">
        <v>3.33</v>
      </c>
      <c r="K66" s="360">
        <v>4</v>
      </c>
      <c r="L66" s="361">
        <v>1.7</v>
      </c>
      <c r="M66" s="348">
        <v>28</v>
      </c>
    </row>
    <row r="67" spans="2:13">
      <c r="B67" s="302">
        <v>41</v>
      </c>
      <c r="C67" s="302"/>
      <c r="D67" s="326">
        <v>419</v>
      </c>
      <c r="E67" s="302" t="s">
        <v>1233</v>
      </c>
      <c r="F67" s="302">
        <v>16291</v>
      </c>
      <c r="G67" s="302" t="s">
        <v>1312</v>
      </c>
      <c r="H67" s="360">
        <v>1</v>
      </c>
      <c r="I67" s="360">
        <v>5</v>
      </c>
      <c r="J67" s="360">
        <v>3.33</v>
      </c>
      <c r="K67" s="360">
        <v>4</v>
      </c>
      <c r="L67" s="361">
        <v>1.7</v>
      </c>
      <c r="M67" s="348">
        <v>28</v>
      </c>
    </row>
    <row r="68" spans="2:13">
      <c r="B68" s="302">
        <v>41</v>
      </c>
      <c r="C68" s="302"/>
      <c r="D68" s="326">
        <v>416</v>
      </c>
      <c r="E68" s="302" t="s">
        <v>1232</v>
      </c>
      <c r="F68" s="302">
        <v>3202</v>
      </c>
      <c r="G68" s="302" t="s">
        <v>1232</v>
      </c>
      <c r="H68" s="360">
        <v>1</v>
      </c>
      <c r="I68" s="360">
        <v>5</v>
      </c>
      <c r="J68" s="360">
        <v>3.33</v>
      </c>
      <c r="K68" s="360">
        <v>4</v>
      </c>
      <c r="L68" s="361">
        <v>1.7</v>
      </c>
      <c r="M68" s="348">
        <v>28</v>
      </c>
    </row>
    <row r="69" spans="2:13">
      <c r="B69" s="302">
        <v>41</v>
      </c>
      <c r="C69" s="302"/>
      <c r="D69" s="326">
        <v>414</v>
      </c>
      <c r="E69" s="302" t="s">
        <v>1230</v>
      </c>
      <c r="F69" s="302">
        <v>1623</v>
      </c>
      <c r="G69" s="302" t="s">
        <v>1230</v>
      </c>
      <c r="H69" s="360">
        <v>1</v>
      </c>
      <c r="I69" s="360">
        <v>5</v>
      </c>
      <c r="J69" s="360">
        <v>3.33</v>
      </c>
      <c r="K69" s="360">
        <v>4</v>
      </c>
      <c r="L69" s="361">
        <v>1.7</v>
      </c>
      <c r="M69" s="348">
        <v>28</v>
      </c>
    </row>
    <row r="70" spans="2:13">
      <c r="B70" s="303">
        <v>42</v>
      </c>
      <c r="C70" s="302"/>
      <c r="D70" s="326">
        <v>429</v>
      </c>
      <c r="E70" s="302" t="s">
        <v>1237</v>
      </c>
      <c r="F70" s="302">
        <v>20423</v>
      </c>
      <c r="G70" s="302" t="s">
        <v>1319</v>
      </c>
      <c r="H70" s="188">
        <v>0.3</v>
      </c>
      <c r="I70" s="188">
        <v>6</v>
      </c>
      <c r="J70" s="188">
        <v>2.58</v>
      </c>
      <c r="K70" s="188">
        <v>2.25</v>
      </c>
      <c r="L70" s="357">
        <v>1.82</v>
      </c>
      <c r="M70" s="348">
        <v>66</v>
      </c>
    </row>
    <row r="71" spans="2:13">
      <c r="B71" s="302">
        <v>42</v>
      </c>
      <c r="C71" s="302"/>
      <c r="D71" s="326">
        <v>423</v>
      </c>
      <c r="E71" s="302" t="s">
        <v>1236</v>
      </c>
      <c r="F71" s="302">
        <v>1712</v>
      </c>
      <c r="G71" s="302" t="s">
        <v>1236</v>
      </c>
      <c r="H71" s="188">
        <v>0.3</v>
      </c>
      <c r="I71" s="188">
        <v>6</v>
      </c>
      <c r="J71" s="188">
        <v>2.58</v>
      </c>
      <c r="K71" s="188">
        <v>2.25</v>
      </c>
      <c r="L71" s="357">
        <v>1.82</v>
      </c>
      <c r="M71" s="348">
        <v>66</v>
      </c>
    </row>
    <row r="72" spans="2:13">
      <c r="B72" s="302">
        <v>42</v>
      </c>
      <c r="C72" s="302"/>
      <c r="D72" s="326">
        <v>421</v>
      </c>
      <c r="E72" s="302" t="s">
        <v>1234</v>
      </c>
      <c r="F72" s="302">
        <v>1711</v>
      </c>
      <c r="G72" s="302" t="s">
        <v>1234</v>
      </c>
      <c r="H72" s="188">
        <v>0.3</v>
      </c>
      <c r="I72" s="188">
        <v>6</v>
      </c>
      <c r="J72" s="188">
        <v>2.58</v>
      </c>
      <c r="K72" s="188">
        <v>2.25</v>
      </c>
      <c r="L72" s="357">
        <v>1.82</v>
      </c>
      <c r="M72" s="348">
        <v>66</v>
      </c>
    </row>
    <row r="73" spans="2:13">
      <c r="B73" s="302">
        <v>42</v>
      </c>
      <c r="C73" s="302"/>
      <c r="D73" s="326">
        <v>422</v>
      </c>
      <c r="E73" s="302" t="s">
        <v>1235</v>
      </c>
      <c r="F73" s="302">
        <v>20112</v>
      </c>
      <c r="G73" s="302" t="s">
        <v>1235</v>
      </c>
      <c r="H73" s="188">
        <v>0.3</v>
      </c>
      <c r="I73" s="188">
        <v>6</v>
      </c>
      <c r="J73" s="188">
        <v>2.58</v>
      </c>
      <c r="K73" s="188">
        <v>2.25</v>
      </c>
      <c r="L73" s="357">
        <v>1.82</v>
      </c>
      <c r="M73" s="348">
        <v>66</v>
      </c>
    </row>
    <row r="74" spans="2:13">
      <c r="B74" s="303">
        <v>43</v>
      </c>
      <c r="C74" s="302"/>
      <c r="D74" s="326">
        <v>431</v>
      </c>
      <c r="E74" s="302" t="s">
        <v>1238</v>
      </c>
      <c r="F74" s="302">
        <v>2593</v>
      </c>
      <c r="G74" s="302" t="s">
        <v>2320</v>
      </c>
      <c r="H74" s="360">
        <v>0.3</v>
      </c>
      <c r="I74" s="360">
        <v>10</v>
      </c>
      <c r="J74" s="360">
        <v>3.4</v>
      </c>
      <c r="K74" s="360">
        <v>2.75</v>
      </c>
      <c r="L74" s="361">
        <v>2.69</v>
      </c>
      <c r="M74" s="348">
        <v>312</v>
      </c>
    </row>
    <row r="75" spans="2:13">
      <c r="B75" s="302">
        <v>43</v>
      </c>
      <c r="C75" s="302"/>
      <c r="D75" s="326">
        <v>432</v>
      </c>
      <c r="E75" s="302" t="s">
        <v>1239</v>
      </c>
      <c r="F75" s="302">
        <v>2511</v>
      </c>
      <c r="G75" s="302" t="s">
        <v>1330</v>
      </c>
      <c r="H75" s="360">
        <v>0.3</v>
      </c>
      <c r="I75" s="360">
        <v>10</v>
      </c>
      <c r="J75" s="360">
        <v>3.4</v>
      </c>
      <c r="K75" s="360">
        <v>2.75</v>
      </c>
      <c r="L75" s="361">
        <v>2.69</v>
      </c>
      <c r="M75" s="348">
        <v>312</v>
      </c>
    </row>
    <row r="76" spans="2:13">
      <c r="B76" s="302">
        <v>43</v>
      </c>
      <c r="C76" s="302"/>
      <c r="D76" s="326">
        <v>433</v>
      </c>
      <c r="E76" s="302" t="s">
        <v>1240</v>
      </c>
      <c r="F76" s="302">
        <v>29194</v>
      </c>
      <c r="G76" s="302" t="s">
        <v>1341</v>
      </c>
      <c r="H76" s="360">
        <v>0.3</v>
      </c>
      <c r="I76" s="360">
        <v>10</v>
      </c>
      <c r="J76" s="360">
        <v>3.4</v>
      </c>
      <c r="K76" s="360">
        <v>2.75</v>
      </c>
      <c r="L76" s="361">
        <v>2.69</v>
      </c>
      <c r="M76" s="348">
        <v>312</v>
      </c>
    </row>
    <row r="77" spans="2:13">
      <c r="B77" s="302">
        <v>43</v>
      </c>
      <c r="C77" s="302"/>
      <c r="D77" s="326">
        <v>433</v>
      </c>
      <c r="E77" s="302" t="s">
        <v>1240</v>
      </c>
      <c r="F77" s="302">
        <v>2921</v>
      </c>
      <c r="G77" s="302" t="s">
        <v>1342</v>
      </c>
      <c r="H77" s="360">
        <v>0.3</v>
      </c>
      <c r="I77" s="360">
        <v>10</v>
      </c>
      <c r="J77" s="360">
        <v>3.4</v>
      </c>
      <c r="K77" s="360">
        <v>2.75</v>
      </c>
      <c r="L77" s="361">
        <v>2.69</v>
      </c>
      <c r="M77" s="348">
        <v>312</v>
      </c>
    </row>
    <row r="78" spans="2:13">
      <c r="B78" s="302">
        <v>43</v>
      </c>
      <c r="C78" s="302"/>
      <c r="D78" s="326">
        <v>439</v>
      </c>
      <c r="E78" s="302" t="s">
        <v>1241</v>
      </c>
      <c r="F78" s="302">
        <v>20493</v>
      </c>
      <c r="G78" s="302" t="s">
        <v>1321</v>
      </c>
      <c r="H78" s="360">
        <v>0.3</v>
      </c>
      <c r="I78" s="360">
        <v>10</v>
      </c>
      <c r="J78" s="360">
        <v>3.4</v>
      </c>
      <c r="K78" s="360">
        <v>2.75</v>
      </c>
      <c r="L78" s="361">
        <v>2.69</v>
      </c>
      <c r="M78" s="348">
        <v>312</v>
      </c>
    </row>
    <row r="79" spans="2:13">
      <c r="B79" s="302">
        <v>43</v>
      </c>
      <c r="C79" s="302"/>
      <c r="D79" s="326">
        <v>439</v>
      </c>
      <c r="E79" s="302" t="s">
        <v>1241</v>
      </c>
      <c r="F79" s="302">
        <v>26429</v>
      </c>
      <c r="G79" s="302" t="s">
        <v>1335</v>
      </c>
      <c r="H79" s="360">
        <v>0.3</v>
      </c>
      <c r="I79" s="360">
        <v>10</v>
      </c>
      <c r="J79" s="360">
        <v>3.4</v>
      </c>
      <c r="K79" s="360">
        <v>2.75</v>
      </c>
      <c r="L79" s="361">
        <v>2.69</v>
      </c>
      <c r="M79" s="348">
        <v>312</v>
      </c>
    </row>
    <row r="80" spans="2:13">
      <c r="B80" s="302">
        <v>43</v>
      </c>
      <c r="C80" s="302"/>
      <c r="D80" s="326">
        <v>439</v>
      </c>
      <c r="E80" s="302" t="s">
        <v>1241</v>
      </c>
      <c r="F80" s="302">
        <v>20129</v>
      </c>
      <c r="G80" s="302" t="s">
        <v>1318</v>
      </c>
      <c r="H80" s="360">
        <v>0.3</v>
      </c>
      <c r="I80" s="360">
        <v>10</v>
      </c>
      <c r="J80" s="360">
        <v>3.4</v>
      </c>
      <c r="K80" s="360">
        <v>2.75</v>
      </c>
      <c r="L80" s="361">
        <v>2.69</v>
      </c>
      <c r="M80" s="348">
        <v>312</v>
      </c>
    </row>
    <row r="81" spans="2:13">
      <c r="B81" s="303">
        <v>44</v>
      </c>
      <c r="C81" s="302"/>
      <c r="D81" s="326">
        <v>441</v>
      </c>
      <c r="E81" s="302" t="s">
        <v>5</v>
      </c>
      <c r="F81" s="302">
        <v>204</v>
      </c>
      <c r="G81" s="302" t="s">
        <v>1304</v>
      </c>
      <c r="H81" s="188">
        <v>1</v>
      </c>
      <c r="I81" s="188">
        <v>10</v>
      </c>
      <c r="J81" s="188">
        <v>4.2699999999999996</v>
      </c>
      <c r="K81" s="188">
        <v>3.5</v>
      </c>
      <c r="L81" s="357">
        <v>2.82</v>
      </c>
      <c r="M81" s="348">
        <v>200</v>
      </c>
    </row>
    <row r="82" spans="2:13">
      <c r="B82" s="302">
        <v>44</v>
      </c>
      <c r="C82" s="302"/>
      <c r="D82" s="326">
        <v>442</v>
      </c>
      <c r="E82" s="302" t="s">
        <v>1463</v>
      </c>
      <c r="F82" s="302">
        <v>63</v>
      </c>
      <c r="G82" s="302" t="s">
        <v>1349</v>
      </c>
      <c r="H82" s="188">
        <v>1</v>
      </c>
      <c r="I82" s="188">
        <v>10</v>
      </c>
      <c r="J82" s="188">
        <v>4.2699999999999996</v>
      </c>
      <c r="K82" s="188">
        <v>3.5</v>
      </c>
      <c r="L82" s="357">
        <v>2.82</v>
      </c>
      <c r="M82" s="348">
        <v>200</v>
      </c>
    </row>
    <row r="83" spans="2:13">
      <c r="B83" s="302">
        <v>44</v>
      </c>
      <c r="C83" s="302"/>
      <c r="D83" s="326">
        <v>442</v>
      </c>
      <c r="E83" s="302" t="s">
        <v>1463</v>
      </c>
      <c r="F83" s="302">
        <v>62</v>
      </c>
      <c r="G83" s="302" t="s">
        <v>2319</v>
      </c>
      <c r="H83" s="188">
        <v>1</v>
      </c>
      <c r="I83" s="188">
        <v>10</v>
      </c>
      <c r="J83" s="188">
        <v>4.2699999999999996</v>
      </c>
      <c r="K83" s="188">
        <v>3.5</v>
      </c>
      <c r="L83" s="357">
        <v>2.82</v>
      </c>
      <c r="M83" s="348">
        <v>200</v>
      </c>
    </row>
    <row r="84" spans="2:13">
      <c r="B84" s="302">
        <v>44</v>
      </c>
      <c r="C84" s="302"/>
      <c r="D84" s="326">
        <v>442</v>
      </c>
      <c r="E84" s="302" t="s">
        <v>1463</v>
      </c>
      <c r="F84" s="302">
        <v>5822</v>
      </c>
      <c r="G84" s="302" t="s">
        <v>2318</v>
      </c>
      <c r="H84" s="188">
        <v>1</v>
      </c>
      <c r="I84" s="188">
        <v>10</v>
      </c>
      <c r="J84" s="188">
        <v>4.2699999999999996</v>
      </c>
      <c r="K84" s="188">
        <v>3.5</v>
      </c>
      <c r="L84" s="357">
        <v>2.82</v>
      </c>
      <c r="M84" s="348">
        <v>200</v>
      </c>
    </row>
    <row r="85" spans="2:13">
      <c r="B85" s="302">
        <v>44</v>
      </c>
      <c r="C85" s="302"/>
      <c r="D85" s="326">
        <v>443</v>
      </c>
      <c r="E85" s="302" t="s">
        <v>1243</v>
      </c>
      <c r="F85" s="302">
        <v>41226</v>
      </c>
      <c r="G85" s="302" t="s">
        <v>1243</v>
      </c>
      <c r="H85" s="188">
        <v>1</v>
      </c>
      <c r="I85" s="188">
        <v>10</v>
      </c>
      <c r="J85" s="188">
        <v>4.2699999999999996</v>
      </c>
      <c r="K85" s="188">
        <v>3.5</v>
      </c>
      <c r="L85" s="357">
        <v>2.82</v>
      </c>
      <c r="M85" s="348">
        <v>200</v>
      </c>
    </row>
    <row r="86" spans="2:13">
      <c r="B86" s="302">
        <v>44</v>
      </c>
      <c r="C86" s="302"/>
      <c r="D86" s="326">
        <v>449</v>
      </c>
      <c r="E86" s="302" t="s">
        <v>1248</v>
      </c>
      <c r="F86" s="302">
        <v>204</v>
      </c>
      <c r="G86" s="302" t="s">
        <v>1304</v>
      </c>
      <c r="H86" s="188">
        <v>1</v>
      </c>
      <c r="I86" s="188">
        <v>10</v>
      </c>
      <c r="J86" s="188">
        <v>4.2699999999999996</v>
      </c>
      <c r="K86" s="188">
        <v>3.5</v>
      </c>
      <c r="L86" s="357">
        <v>2.82</v>
      </c>
      <c r="M86" s="348">
        <v>200</v>
      </c>
    </row>
    <row r="87" spans="2:13">
      <c r="B87" s="302">
        <v>44</v>
      </c>
      <c r="C87" s="302"/>
      <c r="D87" s="326">
        <v>445</v>
      </c>
      <c r="E87" s="302" t="s">
        <v>1245</v>
      </c>
      <c r="F87" s="302">
        <v>72112</v>
      </c>
      <c r="G87" s="302" t="s">
        <v>1352</v>
      </c>
      <c r="H87" s="188">
        <v>1</v>
      </c>
      <c r="I87" s="188">
        <v>10</v>
      </c>
      <c r="J87" s="188">
        <v>4.2699999999999996</v>
      </c>
      <c r="K87" s="188">
        <v>3.5</v>
      </c>
      <c r="L87" s="357">
        <v>2.82</v>
      </c>
      <c r="M87" s="348">
        <v>200</v>
      </c>
    </row>
    <row r="88" spans="2:13">
      <c r="B88" s="302">
        <v>44</v>
      </c>
      <c r="C88" s="302"/>
      <c r="D88" s="326">
        <v>446</v>
      </c>
      <c r="E88" s="302" t="s">
        <v>1246</v>
      </c>
      <c r="F88" s="302">
        <v>37</v>
      </c>
      <c r="G88" s="302" t="s">
        <v>2317</v>
      </c>
      <c r="H88" s="188">
        <v>1</v>
      </c>
      <c r="I88" s="188">
        <v>10</v>
      </c>
      <c r="J88" s="188">
        <v>4.2699999999999996</v>
      </c>
      <c r="K88" s="188">
        <v>3.5</v>
      </c>
      <c r="L88" s="357">
        <v>2.82</v>
      </c>
      <c r="M88" s="348">
        <v>200</v>
      </c>
    </row>
    <row r="89" spans="2:13">
      <c r="B89" s="302">
        <v>44</v>
      </c>
      <c r="C89" s="302"/>
      <c r="D89" s="326">
        <v>446</v>
      </c>
      <c r="E89" s="302" t="s">
        <v>1246</v>
      </c>
      <c r="F89" s="302">
        <v>38</v>
      </c>
      <c r="G89" s="302" t="s">
        <v>2316</v>
      </c>
      <c r="H89" s="188">
        <v>1</v>
      </c>
      <c r="I89" s="188">
        <v>10</v>
      </c>
      <c r="J89" s="188">
        <v>4.2699999999999996</v>
      </c>
      <c r="K89" s="188">
        <v>3.5</v>
      </c>
      <c r="L89" s="357">
        <v>2.82</v>
      </c>
      <c r="M89" s="348">
        <v>200</v>
      </c>
    </row>
    <row r="90" spans="2:13">
      <c r="B90" s="302">
        <v>44</v>
      </c>
      <c r="C90" s="302"/>
      <c r="D90" s="326">
        <v>446</v>
      </c>
      <c r="E90" s="302" t="s">
        <v>1246</v>
      </c>
      <c r="F90" s="302">
        <v>39</v>
      </c>
      <c r="G90" s="302" t="s">
        <v>1347</v>
      </c>
      <c r="H90" s="188">
        <v>1</v>
      </c>
      <c r="I90" s="188">
        <v>10</v>
      </c>
      <c r="J90" s="188">
        <v>4.2699999999999996</v>
      </c>
      <c r="K90" s="188">
        <v>3.5</v>
      </c>
      <c r="L90" s="357">
        <v>2.82</v>
      </c>
      <c r="M90" s="348">
        <v>200</v>
      </c>
    </row>
    <row r="91" spans="2:13">
      <c r="B91" s="302">
        <v>44</v>
      </c>
      <c r="C91" s="302"/>
      <c r="D91" s="326">
        <v>447</v>
      </c>
      <c r="E91" s="302" t="s">
        <v>1247</v>
      </c>
      <c r="F91" s="302">
        <v>7011</v>
      </c>
      <c r="G91" s="302" t="s">
        <v>1351</v>
      </c>
      <c r="H91" s="188">
        <v>1</v>
      </c>
      <c r="I91" s="188">
        <v>10</v>
      </c>
      <c r="J91" s="188">
        <v>4.2699999999999996</v>
      </c>
      <c r="K91" s="188">
        <v>3.5</v>
      </c>
      <c r="L91" s="357">
        <v>2.82</v>
      </c>
      <c r="M91" s="348">
        <v>200</v>
      </c>
    </row>
    <row r="92" spans="2:13">
      <c r="B92" s="302">
        <v>44</v>
      </c>
      <c r="C92" s="302"/>
      <c r="D92" s="326">
        <v>444</v>
      </c>
      <c r="E92" s="302" t="s">
        <v>1244</v>
      </c>
      <c r="F92" s="302">
        <v>7430</v>
      </c>
      <c r="G92" s="302" t="s">
        <v>1355</v>
      </c>
      <c r="H92" s="188">
        <v>1</v>
      </c>
      <c r="I92" s="188">
        <v>10</v>
      </c>
      <c r="J92" s="188">
        <v>4.2699999999999996</v>
      </c>
      <c r="K92" s="188">
        <v>3.5</v>
      </c>
      <c r="L92" s="357">
        <v>2.82</v>
      </c>
      <c r="M92" s="348">
        <v>200</v>
      </c>
    </row>
    <row r="93" spans="2:13">
      <c r="B93" s="303">
        <v>51</v>
      </c>
      <c r="C93" s="181">
        <v>31</v>
      </c>
      <c r="D93" s="326">
        <v>511</v>
      </c>
      <c r="E93" s="302" t="s">
        <v>1249</v>
      </c>
      <c r="F93" s="326">
        <v>311</v>
      </c>
      <c r="G93" s="302" t="s">
        <v>1249</v>
      </c>
      <c r="H93" s="187" t="s">
        <v>1468</v>
      </c>
      <c r="I93" s="187">
        <v>0</v>
      </c>
      <c r="J93" s="195">
        <f>VLOOKUP($C$93,상관행법로열티!$D$4:$J$325,2,0)</f>
        <v>2.23</v>
      </c>
      <c r="K93" s="195">
        <f>VLOOKUP($C$93,상관행법로열티!$D$4:$J$325,3,0)</f>
        <v>1.7</v>
      </c>
      <c r="L93" s="189" t="s">
        <v>1468</v>
      </c>
      <c r="M93" s="348" t="s">
        <v>2958</v>
      </c>
    </row>
    <row r="94" spans="2:13">
      <c r="B94" s="303">
        <v>51</v>
      </c>
      <c r="C94" s="181">
        <v>31</v>
      </c>
      <c r="D94" s="326">
        <v>512</v>
      </c>
      <c r="E94" s="302" t="s">
        <v>1250</v>
      </c>
      <c r="F94" s="326">
        <v>312</v>
      </c>
      <c r="G94" s="302" t="s">
        <v>1250</v>
      </c>
      <c r="H94" s="187" t="s">
        <v>1468</v>
      </c>
      <c r="I94" s="187">
        <v>0</v>
      </c>
      <c r="J94" s="195">
        <f>VLOOKUP($C$93,상관행법로열티!$D$4:$J$325,2,0)</f>
        <v>2.23</v>
      </c>
      <c r="K94" s="195">
        <f>VLOOKUP($C$93,상관행법로열티!$D$4:$J$325,3,0)</f>
        <v>1.7</v>
      </c>
      <c r="L94" s="189" t="s">
        <v>1468</v>
      </c>
      <c r="M94" s="348" t="s">
        <v>2958</v>
      </c>
    </row>
    <row r="95" spans="2:13">
      <c r="B95" s="303">
        <v>52</v>
      </c>
      <c r="C95" s="181">
        <v>32</v>
      </c>
      <c r="D95" s="326">
        <v>520</v>
      </c>
      <c r="E95" s="302" t="s">
        <v>1251</v>
      </c>
      <c r="F95" s="326">
        <v>321</v>
      </c>
      <c r="G95" s="302" t="s">
        <v>1251</v>
      </c>
      <c r="H95" s="187" t="s">
        <v>1468</v>
      </c>
      <c r="I95" s="187">
        <v>0</v>
      </c>
      <c r="J95" s="195">
        <f>VLOOKUP($C$95,상관행법로열티!$D$4:$J$325,2,0)</f>
        <v>2.44</v>
      </c>
      <c r="K95" s="195">
        <f>VLOOKUP($C$95,상관행법로열티!$D$4:$J$325,3,0)</f>
        <v>1.73</v>
      </c>
      <c r="L95" s="189" t="s">
        <v>1468</v>
      </c>
      <c r="M95" s="348" t="s">
        <v>2958</v>
      </c>
    </row>
    <row r="96" spans="2:13">
      <c r="B96" s="303">
        <v>61</v>
      </c>
      <c r="C96" s="302"/>
      <c r="D96" s="326">
        <v>611</v>
      </c>
      <c r="E96" s="302" t="s">
        <v>1252</v>
      </c>
      <c r="F96" s="302">
        <v>3311</v>
      </c>
      <c r="G96" s="302" t="s">
        <v>1344</v>
      </c>
      <c r="H96" s="358">
        <v>0.3</v>
      </c>
      <c r="I96" s="358">
        <v>6</v>
      </c>
      <c r="J96" s="358">
        <v>2.58</v>
      </c>
      <c r="K96" s="358">
        <v>2.25</v>
      </c>
      <c r="L96" s="359">
        <v>1.82</v>
      </c>
      <c r="M96" s="348">
        <v>70</v>
      </c>
    </row>
    <row r="97" spans="2:13">
      <c r="B97" s="302">
        <v>61</v>
      </c>
      <c r="C97" s="302"/>
      <c r="D97" s="326">
        <v>619</v>
      </c>
      <c r="E97" s="302" t="s">
        <v>1254</v>
      </c>
      <c r="F97" s="302">
        <v>20423</v>
      </c>
      <c r="G97" s="302" t="s">
        <v>1319</v>
      </c>
      <c r="H97" s="358">
        <v>0.3</v>
      </c>
      <c r="I97" s="358">
        <v>6</v>
      </c>
      <c r="J97" s="358">
        <v>2.58</v>
      </c>
      <c r="K97" s="358">
        <v>2.25</v>
      </c>
      <c r="L97" s="359">
        <v>1.82</v>
      </c>
      <c r="M97" s="348">
        <v>70</v>
      </c>
    </row>
    <row r="98" spans="2:13">
      <c r="B98" s="302">
        <v>61</v>
      </c>
      <c r="C98" s="302"/>
      <c r="D98" s="326">
        <v>619</v>
      </c>
      <c r="E98" s="302" t="s">
        <v>1254</v>
      </c>
      <c r="F98" s="302">
        <v>2011</v>
      </c>
      <c r="G98" s="302" t="s">
        <v>1317</v>
      </c>
      <c r="H98" s="358">
        <v>0.3</v>
      </c>
      <c r="I98" s="358">
        <v>6</v>
      </c>
      <c r="J98" s="358">
        <v>2.58</v>
      </c>
      <c r="K98" s="358">
        <v>2.25</v>
      </c>
      <c r="L98" s="359">
        <v>1.82</v>
      </c>
      <c r="M98" s="348">
        <v>70</v>
      </c>
    </row>
    <row r="99" spans="2:13">
      <c r="B99" s="302">
        <v>61</v>
      </c>
      <c r="C99" s="302"/>
      <c r="D99" s="326">
        <v>612</v>
      </c>
      <c r="E99" s="302" t="s">
        <v>1253</v>
      </c>
      <c r="F99" s="302">
        <v>16292</v>
      </c>
      <c r="G99" s="302" t="s">
        <v>1313</v>
      </c>
      <c r="H99" s="358">
        <v>0.3</v>
      </c>
      <c r="I99" s="358">
        <v>6</v>
      </c>
      <c r="J99" s="358">
        <v>2.58</v>
      </c>
      <c r="K99" s="358">
        <v>2.25</v>
      </c>
      <c r="L99" s="359">
        <v>1.82</v>
      </c>
      <c r="M99" s="348">
        <v>70</v>
      </c>
    </row>
    <row r="100" spans="2:13">
      <c r="B100" s="302">
        <v>61</v>
      </c>
      <c r="C100" s="302"/>
      <c r="D100" s="326">
        <v>613</v>
      </c>
      <c r="E100" s="302" t="s">
        <v>1253</v>
      </c>
      <c r="F100" s="302">
        <v>32029</v>
      </c>
      <c r="G100" s="302" t="s">
        <v>2321</v>
      </c>
      <c r="H100" s="358">
        <v>0.3</v>
      </c>
      <c r="I100" s="358">
        <v>6</v>
      </c>
      <c r="J100" s="358">
        <v>2.58</v>
      </c>
      <c r="K100" s="358">
        <v>2.25</v>
      </c>
      <c r="L100" s="359">
        <v>1.82</v>
      </c>
      <c r="M100" s="348">
        <v>70</v>
      </c>
    </row>
    <row r="101" spans="2:13">
      <c r="B101" s="303">
        <v>62</v>
      </c>
      <c r="C101" s="302"/>
      <c r="D101" s="326">
        <v>626</v>
      </c>
      <c r="E101" s="302" t="s">
        <v>1260</v>
      </c>
      <c r="F101" s="302">
        <v>2511</v>
      </c>
      <c r="G101" s="302" t="s">
        <v>1330</v>
      </c>
      <c r="H101" s="188">
        <v>0.3</v>
      </c>
      <c r="I101" s="188">
        <v>15</v>
      </c>
      <c r="J101" s="188">
        <v>4.4400000000000004</v>
      </c>
      <c r="K101" s="188">
        <v>3.25</v>
      </c>
      <c r="L101" s="357">
        <v>3.9</v>
      </c>
      <c r="M101" s="348">
        <v>543</v>
      </c>
    </row>
    <row r="102" spans="2:13">
      <c r="B102" s="302">
        <v>62</v>
      </c>
      <c r="C102" s="302"/>
      <c r="D102" s="326">
        <v>627</v>
      </c>
      <c r="E102" s="302" t="s">
        <v>1261</v>
      </c>
      <c r="F102" s="302">
        <v>23111</v>
      </c>
      <c r="G102" s="331" t="s">
        <v>2781</v>
      </c>
      <c r="H102" s="188">
        <v>0.3</v>
      </c>
      <c r="I102" s="188">
        <v>15</v>
      </c>
      <c r="J102" s="188">
        <v>4.4400000000000004</v>
      </c>
      <c r="K102" s="188">
        <v>3.25</v>
      </c>
      <c r="L102" s="357">
        <v>3.9</v>
      </c>
      <c r="M102" s="348">
        <v>543</v>
      </c>
    </row>
    <row r="103" spans="2:13">
      <c r="B103" s="302">
        <v>62</v>
      </c>
      <c r="C103" s="302"/>
      <c r="D103" s="326">
        <v>628</v>
      </c>
      <c r="E103" s="302" t="s">
        <v>1262</v>
      </c>
      <c r="F103" s="335">
        <v>2323</v>
      </c>
      <c r="G103" s="335" t="s">
        <v>2782</v>
      </c>
      <c r="H103" s="188">
        <v>0.3</v>
      </c>
      <c r="I103" s="188">
        <v>15</v>
      </c>
      <c r="J103" s="188">
        <v>4.4400000000000004</v>
      </c>
      <c r="K103" s="188">
        <v>3.25</v>
      </c>
      <c r="L103" s="357">
        <v>3.9</v>
      </c>
      <c r="M103" s="348">
        <v>543</v>
      </c>
    </row>
    <row r="104" spans="2:13">
      <c r="B104" s="302">
        <v>62</v>
      </c>
      <c r="C104" s="302"/>
      <c r="D104" s="326">
        <v>629</v>
      </c>
      <c r="E104" s="302" t="s">
        <v>1262</v>
      </c>
      <c r="F104" s="302">
        <v>2332</v>
      </c>
      <c r="G104" s="302" t="s">
        <v>2322</v>
      </c>
      <c r="H104" s="188">
        <v>0.3</v>
      </c>
      <c r="I104" s="188">
        <v>15</v>
      </c>
      <c r="J104" s="188">
        <v>4.4400000000000004</v>
      </c>
      <c r="K104" s="188">
        <v>3.25</v>
      </c>
      <c r="L104" s="357">
        <v>3.9</v>
      </c>
      <c r="M104" s="348">
        <v>543</v>
      </c>
    </row>
    <row r="105" spans="2:13">
      <c r="B105" s="302">
        <v>62</v>
      </c>
      <c r="C105" s="302"/>
      <c r="D105" s="326">
        <v>629</v>
      </c>
      <c r="E105" s="302" t="s">
        <v>1263</v>
      </c>
      <c r="F105" s="302">
        <v>20499</v>
      </c>
      <c r="G105" s="302" t="s">
        <v>1322</v>
      </c>
      <c r="H105" s="188">
        <v>0.3</v>
      </c>
      <c r="I105" s="188">
        <v>15</v>
      </c>
      <c r="J105" s="188">
        <v>4.4400000000000004</v>
      </c>
      <c r="K105" s="188">
        <v>3.25</v>
      </c>
      <c r="L105" s="357">
        <v>3.9</v>
      </c>
      <c r="M105" s="348">
        <v>543</v>
      </c>
    </row>
    <row r="106" spans="2:13">
      <c r="B106" s="302">
        <v>62</v>
      </c>
      <c r="C106" s="302"/>
      <c r="D106" s="326">
        <v>630</v>
      </c>
      <c r="E106" s="302" t="s">
        <v>1263</v>
      </c>
      <c r="F106" s="302">
        <v>33303</v>
      </c>
      <c r="G106" s="302" t="s">
        <v>1345</v>
      </c>
      <c r="H106" s="188">
        <v>0.3</v>
      </c>
      <c r="I106" s="188">
        <v>15</v>
      </c>
      <c r="J106" s="188">
        <v>4.4400000000000004</v>
      </c>
      <c r="K106" s="188">
        <v>3.25</v>
      </c>
      <c r="L106" s="357">
        <v>3.9</v>
      </c>
      <c r="M106" s="348">
        <v>543</v>
      </c>
    </row>
    <row r="107" spans="2:13" ht="13.5" customHeight="1">
      <c r="B107" s="302">
        <v>62</v>
      </c>
      <c r="C107" s="302"/>
      <c r="D107" s="326">
        <v>631</v>
      </c>
      <c r="E107" s="302" t="s">
        <v>1263</v>
      </c>
      <c r="F107" s="302">
        <v>20492</v>
      </c>
      <c r="G107" s="302" t="s">
        <v>1320</v>
      </c>
      <c r="H107" s="188">
        <v>0.3</v>
      </c>
      <c r="I107" s="188">
        <v>15</v>
      </c>
      <c r="J107" s="188">
        <v>4.4400000000000004</v>
      </c>
      <c r="K107" s="188">
        <v>3.25</v>
      </c>
      <c r="L107" s="357">
        <v>3.9</v>
      </c>
      <c r="M107" s="348">
        <v>543</v>
      </c>
    </row>
    <row r="108" spans="2:13" ht="13.5" customHeight="1">
      <c r="B108" s="302">
        <v>62</v>
      </c>
      <c r="C108" s="302"/>
      <c r="D108" s="326">
        <v>632</v>
      </c>
      <c r="E108" s="302" t="s">
        <v>1263</v>
      </c>
      <c r="F108" s="336">
        <v>7220</v>
      </c>
      <c r="G108" s="335" t="s">
        <v>2783</v>
      </c>
      <c r="H108" s="188">
        <v>0.3</v>
      </c>
      <c r="I108" s="188">
        <v>15</v>
      </c>
      <c r="J108" s="188">
        <v>4.4400000000000004</v>
      </c>
      <c r="K108" s="188">
        <v>3.25</v>
      </c>
      <c r="L108" s="357">
        <v>3.9</v>
      </c>
      <c r="M108" s="348">
        <v>543</v>
      </c>
    </row>
    <row r="109" spans="2:13">
      <c r="B109" s="302">
        <v>62</v>
      </c>
      <c r="C109" s="302"/>
      <c r="D109" s="326">
        <v>633</v>
      </c>
      <c r="E109" s="302" t="s">
        <v>1263</v>
      </c>
      <c r="F109" s="302">
        <v>222</v>
      </c>
      <c r="G109" s="302" t="s">
        <v>2784</v>
      </c>
      <c r="H109" s="188">
        <v>0.3</v>
      </c>
      <c r="I109" s="188">
        <v>15</v>
      </c>
      <c r="J109" s="188">
        <v>4.4400000000000004</v>
      </c>
      <c r="K109" s="188">
        <v>3.25</v>
      </c>
      <c r="L109" s="357">
        <v>3.9</v>
      </c>
      <c r="M109" s="348">
        <v>543</v>
      </c>
    </row>
    <row r="110" spans="2:13">
      <c r="B110" s="302">
        <v>62</v>
      </c>
      <c r="C110" s="302"/>
      <c r="D110" s="326">
        <v>634</v>
      </c>
      <c r="E110" s="302" t="s">
        <v>1263</v>
      </c>
      <c r="F110" s="302">
        <v>28</v>
      </c>
      <c r="G110" s="302" t="s">
        <v>1336</v>
      </c>
      <c r="H110" s="188">
        <v>0.3</v>
      </c>
      <c r="I110" s="188">
        <v>15</v>
      </c>
      <c r="J110" s="188">
        <v>4.4400000000000004</v>
      </c>
      <c r="K110" s="188">
        <v>3.25</v>
      </c>
      <c r="L110" s="357">
        <v>3.9</v>
      </c>
      <c r="M110" s="348">
        <v>543</v>
      </c>
    </row>
    <row r="111" spans="2:13">
      <c r="B111" s="302">
        <v>62</v>
      </c>
      <c r="C111" s="302"/>
      <c r="D111" s="326">
        <v>635</v>
      </c>
      <c r="E111" s="302" t="s">
        <v>1263</v>
      </c>
      <c r="F111" s="302">
        <v>29</v>
      </c>
      <c r="G111" s="302" t="s">
        <v>1339</v>
      </c>
      <c r="H111" s="188">
        <v>0.3</v>
      </c>
      <c r="I111" s="188">
        <v>15</v>
      </c>
      <c r="J111" s="188">
        <v>4.4400000000000004</v>
      </c>
      <c r="K111" s="188">
        <v>3.25</v>
      </c>
      <c r="L111" s="357">
        <v>3.9</v>
      </c>
      <c r="M111" s="348">
        <v>543</v>
      </c>
    </row>
    <row r="112" spans="2:13">
      <c r="B112" s="302">
        <v>62</v>
      </c>
      <c r="C112" s="302"/>
      <c r="D112" s="326">
        <v>625</v>
      </c>
      <c r="E112" s="302" t="s">
        <v>1259</v>
      </c>
      <c r="F112" s="302">
        <v>13922</v>
      </c>
      <c r="G112" s="302" t="s">
        <v>1311</v>
      </c>
      <c r="H112" s="188">
        <v>0.3</v>
      </c>
      <c r="I112" s="188">
        <v>15</v>
      </c>
      <c r="J112" s="188">
        <v>4.4400000000000004</v>
      </c>
      <c r="K112" s="188">
        <v>3.25</v>
      </c>
      <c r="L112" s="357">
        <v>3.9</v>
      </c>
      <c r="M112" s="348">
        <v>543</v>
      </c>
    </row>
    <row r="113" spans="2:13">
      <c r="B113" s="302">
        <v>62</v>
      </c>
      <c r="C113" s="302"/>
      <c r="D113" s="326">
        <v>624</v>
      </c>
      <c r="E113" s="302" t="s">
        <v>1258</v>
      </c>
      <c r="F113" s="302">
        <v>2721</v>
      </c>
      <c r="G113" s="302" t="s">
        <v>2311</v>
      </c>
      <c r="H113" s="188">
        <v>0.3</v>
      </c>
      <c r="I113" s="188">
        <v>15</v>
      </c>
      <c r="J113" s="188">
        <v>4.4400000000000004</v>
      </c>
      <c r="K113" s="188">
        <v>3.25</v>
      </c>
      <c r="L113" s="357">
        <v>3.9</v>
      </c>
      <c r="M113" s="348">
        <v>543</v>
      </c>
    </row>
    <row r="114" spans="2:13">
      <c r="B114" s="302">
        <v>62</v>
      </c>
      <c r="C114" s="302"/>
      <c r="D114" s="326">
        <v>623</v>
      </c>
      <c r="E114" s="302" t="s">
        <v>1257</v>
      </c>
      <c r="F114" s="302">
        <v>31114</v>
      </c>
      <c r="G114" s="302" t="s">
        <v>1343</v>
      </c>
      <c r="H114" s="188">
        <v>0.3</v>
      </c>
      <c r="I114" s="188">
        <v>15</v>
      </c>
      <c r="J114" s="188">
        <v>4.4400000000000004</v>
      </c>
      <c r="K114" s="188">
        <v>3.25</v>
      </c>
      <c r="L114" s="357">
        <v>3.9</v>
      </c>
      <c r="M114" s="348">
        <v>543</v>
      </c>
    </row>
    <row r="115" spans="2:13">
      <c r="B115" s="302">
        <v>62</v>
      </c>
      <c r="C115" s="302"/>
      <c r="D115" s="326">
        <v>622</v>
      </c>
      <c r="E115" s="302" t="s">
        <v>1256</v>
      </c>
      <c r="F115" s="302">
        <v>3112</v>
      </c>
      <c r="G115" s="302" t="s">
        <v>1256</v>
      </c>
      <c r="H115" s="188">
        <v>0.3</v>
      </c>
      <c r="I115" s="188">
        <v>15</v>
      </c>
      <c r="J115" s="188">
        <v>4.4400000000000004</v>
      </c>
      <c r="K115" s="188">
        <v>3.25</v>
      </c>
      <c r="L115" s="357">
        <v>3.9</v>
      </c>
      <c r="M115" s="348">
        <v>543</v>
      </c>
    </row>
    <row r="116" spans="2:13">
      <c r="B116" s="302">
        <v>62</v>
      </c>
      <c r="C116" s="302"/>
      <c r="D116" s="326">
        <v>621</v>
      </c>
      <c r="E116" s="302" t="s">
        <v>1255</v>
      </c>
      <c r="F116" s="302">
        <v>3111</v>
      </c>
      <c r="G116" s="335" t="s">
        <v>2787</v>
      </c>
      <c r="H116" s="188">
        <v>0.3</v>
      </c>
      <c r="I116" s="188">
        <v>15</v>
      </c>
      <c r="J116" s="188">
        <v>4.4400000000000004</v>
      </c>
      <c r="K116" s="188">
        <v>3.25</v>
      </c>
      <c r="L116" s="357">
        <v>3.9</v>
      </c>
      <c r="M116" s="348">
        <v>543</v>
      </c>
    </row>
    <row r="117" spans="2:13">
      <c r="B117" s="302">
        <v>62</v>
      </c>
      <c r="C117" s="302"/>
      <c r="D117" s="326">
        <v>629</v>
      </c>
      <c r="E117" s="302" t="s">
        <v>1263</v>
      </c>
      <c r="F117" s="302">
        <v>33999</v>
      </c>
      <c r="G117" s="302" t="s">
        <v>1346</v>
      </c>
      <c r="H117" s="188">
        <v>0.3</v>
      </c>
      <c r="I117" s="188">
        <v>15</v>
      </c>
      <c r="J117" s="188">
        <v>4.4400000000000004</v>
      </c>
      <c r="K117" s="188">
        <v>3.25</v>
      </c>
      <c r="L117" s="357">
        <v>3.9</v>
      </c>
      <c r="M117" s="348">
        <v>543</v>
      </c>
    </row>
    <row r="118" spans="2:13">
      <c r="B118" s="302">
        <v>62</v>
      </c>
      <c r="C118" s="302"/>
      <c r="D118" s="326">
        <v>630</v>
      </c>
      <c r="E118" s="302" t="s">
        <v>1263</v>
      </c>
      <c r="F118" s="302">
        <v>22193</v>
      </c>
      <c r="G118" s="302" t="s">
        <v>1325</v>
      </c>
      <c r="H118" s="188">
        <v>0.3</v>
      </c>
      <c r="I118" s="188">
        <v>15</v>
      </c>
      <c r="J118" s="188">
        <v>4.4400000000000004</v>
      </c>
      <c r="K118" s="188">
        <v>3.25</v>
      </c>
      <c r="L118" s="357">
        <v>3.9</v>
      </c>
      <c r="M118" s="348">
        <v>543</v>
      </c>
    </row>
    <row r="119" spans="2:13">
      <c r="B119" s="302">
        <v>62</v>
      </c>
      <c r="C119" s="302"/>
      <c r="D119" s="326">
        <v>631</v>
      </c>
      <c r="E119" s="302" t="s">
        <v>1263</v>
      </c>
      <c r="F119" s="302">
        <v>25931</v>
      </c>
      <c r="G119" s="302" t="s">
        <v>1331</v>
      </c>
      <c r="H119" s="188">
        <v>0.3</v>
      </c>
      <c r="I119" s="188">
        <v>15</v>
      </c>
      <c r="J119" s="188">
        <v>4.4400000000000004</v>
      </c>
      <c r="K119" s="188">
        <v>3.25</v>
      </c>
      <c r="L119" s="357">
        <v>3.9</v>
      </c>
      <c r="M119" s="348">
        <v>543</v>
      </c>
    </row>
    <row r="120" spans="2:13">
      <c r="B120" s="302">
        <v>62</v>
      </c>
      <c r="C120" s="302"/>
      <c r="D120" s="326">
        <v>632</v>
      </c>
      <c r="E120" s="302" t="s">
        <v>1263</v>
      </c>
      <c r="F120" s="302">
        <v>25944</v>
      </c>
      <c r="G120" s="302" t="s">
        <v>1332</v>
      </c>
      <c r="H120" s="188">
        <v>0.3</v>
      </c>
      <c r="I120" s="188">
        <v>15</v>
      </c>
      <c r="J120" s="188">
        <v>4.4400000000000004</v>
      </c>
      <c r="K120" s="188">
        <v>3.25</v>
      </c>
      <c r="L120" s="357">
        <v>3.9</v>
      </c>
      <c r="M120" s="348">
        <v>543</v>
      </c>
    </row>
    <row r="121" spans="2:13">
      <c r="B121" s="302">
        <v>62</v>
      </c>
      <c r="C121" s="302"/>
      <c r="D121" s="326">
        <v>633</v>
      </c>
      <c r="E121" s="302" t="s">
        <v>1263</v>
      </c>
      <c r="F121" s="302">
        <v>13219</v>
      </c>
      <c r="G121" s="302" t="s">
        <v>1309</v>
      </c>
      <c r="H121" s="188">
        <v>0.3</v>
      </c>
      <c r="I121" s="188">
        <v>15</v>
      </c>
      <c r="J121" s="188">
        <v>4.4400000000000004</v>
      </c>
      <c r="K121" s="188">
        <v>3.25</v>
      </c>
      <c r="L121" s="357">
        <v>3.9</v>
      </c>
      <c r="M121" s="348">
        <v>543</v>
      </c>
    </row>
    <row r="122" spans="2:13">
      <c r="B122" s="303">
        <v>63</v>
      </c>
      <c r="C122" s="302"/>
      <c r="D122" s="326">
        <v>631</v>
      </c>
      <c r="E122" s="302" t="s">
        <v>1264</v>
      </c>
      <c r="F122" s="302">
        <v>42136</v>
      </c>
      <c r="G122" s="302" t="s">
        <v>1264</v>
      </c>
      <c r="H122" s="358">
        <v>0.5</v>
      </c>
      <c r="I122" s="358">
        <v>10</v>
      </c>
      <c r="J122" s="358">
        <v>3.98</v>
      </c>
      <c r="K122" s="358">
        <v>3</v>
      </c>
      <c r="L122" s="359">
        <v>2.89</v>
      </c>
      <c r="M122" s="348">
        <v>221</v>
      </c>
    </row>
    <row r="123" spans="2:13">
      <c r="B123" s="302">
        <v>63</v>
      </c>
      <c r="C123" s="302"/>
      <c r="D123" s="326">
        <v>639</v>
      </c>
      <c r="E123" s="302" t="s">
        <v>1271</v>
      </c>
      <c r="F123" s="302">
        <v>91231</v>
      </c>
      <c r="G123" s="302" t="s">
        <v>1357</v>
      </c>
      <c r="H123" s="358">
        <v>0.5</v>
      </c>
      <c r="I123" s="358">
        <v>10</v>
      </c>
      <c r="J123" s="358">
        <v>3.98</v>
      </c>
      <c r="K123" s="358">
        <v>3</v>
      </c>
      <c r="L123" s="359">
        <v>2.89</v>
      </c>
      <c r="M123" s="348">
        <v>221</v>
      </c>
    </row>
    <row r="124" spans="2:13">
      <c r="B124" s="302">
        <v>63</v>
      </c>
      <c r="C124" s="302"/>
      <c r="D124" s="326">
        <v>632</v>
      </c>
      <c r="E124" s="302" t="s">
        <v>1265</v>
      </c>
      <c r="F124" s="302">
        <v>63</v>
      </c>
      <c r="G124" s="302" t="s">
        <v>1349</v>
      </c>
      <c r="H124" s="358">
        <v>0.5</v>
      </c>
      <c r="I124" s="358">
        <v>10</v>
      </c>
      <c r="J124" s="358">
        <v>3.98</v>
      </c>
      <c r="K124" s="358">
        <v>3</v>
      </c>
      <c r="L124" s="359">
        <v>2.89</v>
      </c>
      <c r="M124" s="348">
        <v>221</v>
      </c>
    </row>
    <row r="125" spans="2:13">
      <c r="B125" s="302">
        <v>63</v>
      </c>
      <c r="C125" s="302"/>
      <c r="D125" s="326">
        <v>633</v>
      </c>
      <c r="E125" s="302" t="s">
        <v>1265</v>
      </c>
      <c r="F125" s="302">
        <v>5822</v>
      </c>
      <c r="G125" s="302" t="s">
        <v>2318</v>
      </c>
      <c r="H125" s="358">
        <v>0.5</v>
      </c>
      <c r="I125" s="358">
        <v>10</v>
      </c>
      <c r="J125" s="358">
        <v>3.98</v>
      </c>
      <c r="K125" s="358">
        <v>3</v>
      </c>
      <c r="L125" s="359">
        <v>2.89</v>
      </c>
      <c r="M125" s="348">
        <v>221</v>
      </c>
    </row>
    <row r="126" spans="2:13">
      <c r="B126" s="302">
        <v>63</v>
      </c>
      <c r="C126" s="302"/>
      <c r="D126" s="326">
        <v>633</v>
      </c>
      <c r="E126" s="302" t="s">
        <v>1266</v>
      </c>
      <c r="F126" s="302">
        <v>701</v>
      </c>
      <c r="G126" s="302" t="s">
        <v>1350</v>
      </c>
      <c r="H126" s="358">
        <v>0.5</v>
      </c>
      <c r="I126" s="358">
        <v>10</v>
      </c>
      <c r="J126" s="358">
        <v>3.98</v>
      </c>
      <c r="K126" s="358">
        <v>3</v>
      </c>
      <c r="L126" s="359">
        <v>2.89</v>
      </c>
      <c r="M126" s="348">
        <v>221</v>
      </c>
    </row>
    <row r="127" spans="2:13">
      <c r="B127" s="302">
        <v>63</v>
      </c>
      <c r="C127" s="302"/>
      <c r="D127" s="326">
        <v>634</v>
      </c>
      <c r="E127" s="302" t="s">
        <v>1267</v>
      </c>
      <c r="F127" s="302">
        <v>7291</v>
      </c>
      <c r="G127" s="302" t="s">
        <v>2315</v>
      </c>
      <c r="H127" s="358">
        <v>0.5</v>
      </c>
      <c r="I127" s="358">
        <v>10</v>
      </c>
      <c r="J127" s="358">
        <v>3.98</v>
      </c>
      <c r="K127" s="358">
        <v>3</v>
      </c>
      <c r="L127" s="359">
        <v>2.89</v>
      </c>
      <c r="M127" s="348">
        <v>221</v>
      </c>
    </row>
    <row r="128" spans="2:13">
      <c r="B128" s="302">
        <v>63</v>
      </c>
      <c r="C128" s="302"/>
      <c r="D128" s="326">
        <v>635</v>
      </c>
      <c r="E128" s="302" t="s">
        <v>1268</v>
      </c>
      <c r="F128" s="302">
        <v>7212</v>
      </c>
      <c r="G128" s="302" t="s">
        <v>1353</v>
      </c>
      <c r="H128" s="358">
        <v>0.5</v>
      </c>
      <c r="I128" s="358">
        <v>10</v>
      </c>
      <c r="J128" s="358">
        <v>3.98</v>
      </c>
      <c r="K128" s="358">
        <v>3</v>
      </c>
      <c r="L128" s="359">
        <v>2.89</v>
      </c>
      <c r="M128" s="348">
        <v>221</v>
      </c>
    </row>
    <row r="129" spans="2:13">
      <c r="B129" s="302">
        <v>63</v>
      </c>
      <c r="C129" s="302"/>
      <c r="D129" s="326">
        <v>636</v>
      </c>
      <c r="E129" s="302" t="s">
        <v>1269</v>
      </c>
      <c r="F129" s="302">
        <v>7310</v>
      </c>
      <c r="G129" s="302" t="s">
        <v>70</v>
      </c>
      <c r="H129" s="358">
        <v>0.5</v>
      </c>
      <c r="I129" s="358">
        <v>10</v>
      </c>
      <c r="J129" s="358">
        <v>3.98</v>
      </c>
      <c r="K129" s="358">
        <v>3</v>
      </c>
      <c r="L129" s="359">
        <v>2.89</v>
      </c>
      <c r="M129" s="348">
        <v>221</v>
      </c>
    </row>
    <row r="130" spans="2:13">
      <c r="B130" s="302">
        <v>63</v>
      </c>
      <c r="C130" s="302"/>
      <c r="D130" s="326">
        <v>637</v>
      </c>
      <c r="E130" s="302" t="s">
        <v>1270</v>
      </c>
      <c r="F130" s="302">
        <v>37</v>
      </c>
      <c r="G130" s="302" t="s">
        <v>2789</v>
      </c>
      <c r="H130" s="358">
        <v>0.5</v>
      </c>
      <c r="I130" s="358">
        <v>10</v>
      </c>
      <c r="J130" s="358">
        <v>3.98</v>
      </c>
      <c r="K130" s="358">
        <v>3</v>
      </c>
      <c r="L130" s="359">
        <v>2.89</v>
      </c>
      <c r="M130" s="348">
        <v>221</v>
      </c>
    </row>
    <row r="131" spans="2:13">
      <c r="B131" s="302">
        <v>63</v>
      </c>
      <c r="C131" s="302"/>
      <c r="D131" s="326">
        <v>638</v>
      </c>
      <c r="E131" s="302" t="s">
        <v>1270</v>
      </c>
      <c r="F131" s="302">
        <v>39</v>
      </c>
      <c r="G131" s="302" t="s">
        <v>1347</v>
      </c>
      <c r="H131" s="358">
        <v>0.5</v>
      </c>
      <c r="I131" s="358">
        <v>10</v>
      </c>
      <c r="J131" s="358">
        <v>3.98</v>
      </c>
      <c r="K131" s="358">
        <v>3</v>
      </c>
      <c r="L131" s="359">
        <v>2.89</v>
      </c>
      <c r="M131" s="348">
        <v>221</v>
      </c>
    </row>
    <row r="132" spans="2:13">
      <c r="B132" s="302">
        <v>63</v>
      </c>
      <c r="C132" s="302"/>
      <c r="D132" s="326">
        <v>639</v>
      </c>
      <c r="E132" s="302" t="s">
        <v>1270</v>
      </c>
      <c r="F132" s="302">
        <v>38</v>
      </c>
      <c r="G132" s="302" t="s">
        <v>2316</v>
      </c>
      <c r="H132" s="358">
        <v>0.5</v>
      </c>
      <c r="I132" s="358">
        <v>10</v>
      </c>
      <c r="J132" s="358">
        <v>3.98</v>
      </c>
      <c r="K132" s="358">
        <v>3</v>
      </c>
      <c r="L132" s="359">
        <v>2.89</v>
      </c>
      <c r="M132" s="348">
        <v>221</v>
      </c>
    </row>
    <row r="133" spans="2:13">
      <c r="B133" s="302">
        <v>63</v>
      </c>
      <c r="C133" s="302"/>
      <c r="D133" s="326">
        <v>639</v>
      </c>
      <c r="E133" s="302" t="s">
        <v>1271</v>
      </c>
      <c r="F133" s="302">
        <v>73909</v>
      </c>
      <c r="G133" s="302" t="s">
        <v>2314</v>
      </c>
      <c r="H133" s="358">
        <v>0.5</v>
      </c>
      <c r="I133" s="358">
        <v>10</v>
      </c>
      <c r="J133" s="358">
        <v>3.98</v>
      </c>
      <c r="K133" s="358">
        <v>3</v>
      </c>
      <c r="L133" s="359">
        <v>2.89</v>
      </c>
      <c r="M133" s="348">
        <v>221</v>
      </c>
    </row>
    <row r="134" spans="2:13">
      <c r="B134" s="302">
        <v>63</v>
      </c>
      <c r="C134" s="302"/>
      <c r="D134" s="326">
        <v>639</v>
      </c>
      <c r="E134" s="302" t="s">
        <v>1271</v>
      </c>
      <c r="F134" s="302">
        <v>42412</v>
      </c>
      <c r="G134" s="302" t="s">
        <v>2323</v>
      </c>
      <c r="H134" s="358">
        <v>0.5</v>
      </c>
      <c r="I134" s="358">
        <v>10</v>
      </c>
      <c r="J134" s="358">
        <v>3.98</v>
      </c>
      <c r="K134" s="358">
        <v>3</v>
      </c>
      <c r="L134" s="359">
        <v>2.89</v>
      </c>
      <c r="M134" s="348">
        <v>221</v>
      </c>
    </row>
    <row r="135" spans="2:13">
      <c r="B135" s="302">
        <v>63</v>
      </c>
      <c r="C135" s="302"/>
      <c r="D135" s="326">
        <v>639</v>
      </c>
      <c r="E135" s="302" t="s">
        <v>1271</v>
      </c>
      <c r="F135" s="302">
        <v>72923</v>
      </c>
      <c r="G135" s="302" t="s">
        <v>1354</v>
      </c>
      <c r="H135" s="358">
        <v>0.5</v>
      </c>
      <c r="I135" s="358">
        <v>10</v>
      </c>
      <c r="J135" s="358">
        <v>3.98</v>
      </c>
      <c r="K135" s="358">
        <v>3</v>
      </c>
      <c r="L135" s="359">
        <v>2.89</v>
      </c>
      <c r="M135" s="348">
        <v>221</v>
      </c>
    </row>
    <row r="136" spans="2:13">
      <c r="B136" s="302">
        <v>63</v>
      </c>
      <c r="C136" s="302"/>
      <c r="D136" s="326">
        <v>639</v>
      </c>
      <c r="E136" s="302" t="s">
        <v>1271</v>
      </c>
      <c r="F136" s="302">
        <v>41224</v>
      </c>
      <c r="G136" s="302" t="s">
        <v>2324</v>
      </c>
      <c r="H136" s="358">
        <v>0.5</v>
      </c>
      <c r="I136" s="358">
        <v>10</v>
      </c>
      <c r="J136" s="358">
        <v>3.98</v>
      </c>
      <c r="K136" s="358">
        <v>3</v>
      </c>
      <c r="L136" s="359">
        <v>2.89</v>
      </c>
      <c r="M136" s="348">
        <v>221</v>
      </c>
    </row>
    <row r="137" spans="2:13">
      <c r="B137" s="302">
        <v>63</v>
      </c>
      <c r="C137" s="302"/>
      <c r="D137" s="326">
        <v>639</v>
      </c>
      <c r="E137" s="302" t="s">
        <v>1271</v>
      </c>
      <c r="F137" s="302">
        <v>42322</v>
      </c>
      <c r="G137" s="302" t="s">
        <v>1348</v>
      </c>
      <c r="H137" s="358">
        <v>0.5</v>
      </c>
      <c r="I137" s="358">
        <v>10</v>
      </c>
      <c r="J137" s="358">
        <v>3.98</v>
      </c>
      <c r="K137" s="358">
        <v>3</v>
      </c>
      <c r="L137" s="359">
        <v>2.89</v>
      </c>
      <c r="M137" s="348">
        <v>221</v>
      </c>
    </row>
    <row r="138" spans="2:13">
      <c r="B138" s="302">
        <v>63</v>
      </c>
      <c r="C138" s="302"/>
      <c r="D138" s="326">
        <v>639</v>
      </c>
      <c r="E138" s="302" t="s">
        <v>1271</v>
      </c>
      <c r="F138" s="302">
        <v>91239</v>
      </c>
      <c r="G138" s="302" t="s">
        <v>1358</v>
      </c>
      <c r="H138" s="358">
        <v>0.5</v>
      </c>
      <c r="I138" s="358">
        <v>10</v>
      </c>
      <c r="J138" s="358">
        <v>3.98</v>
      </c>
      <c r="K138" s="358">
        <v>3</v>
      </c>
      <c r="L138" s="359">
        <v>2.89</v>
      </c>
      <c r="M138" s="348">
        <v>221</v>
      </c>
    </row>
    <row r="139" spans="2:13">
      <c r="B139" s="302">
        <v>63</v>
      </c>
      <c r="C139" s="302"/>
      <c r="D139" s="326">
        <v>632</v>
      </c>
      <c r="E139" s="302" t="s">
        <v>1265</v>
      </c>
      <c r="F139" s="302">
        <v>62</v>
      </c>
      <c r="G139" s="302" t="s">
        <v>2319</v>
      </c>
      <c r="H139" s="358">
        <v>0.5</v>
      </c>
      <c r="I139" s="358">
        <v>10</v>
      </c>
      <c r="J139" s="358">
        <v>3.98</v>
      </c>
      <c r="K139" s="358">
        <v>3</v>
      </c>
      <c r="L139" s="359">
        <v>2.89</v>
      </c>
      <c r="M139" s="348">
        <v>221</v>
      </c>
    </row>
    <row r="140" spans="2:13">
      <c r="B140" s="303">
        <v>71</v>
      </c>
      <c r="C140" s="181">
        <v>101</v>
      </c>
      <c r="D140" s="326">
        <v>711</v>
      </c>
      <c r="E140" s="302" t="s">
        <v>6</v>
      </c>
      <c r="F140" s="302">
        <v>1011</v>
      </c>
      <c r="G140" s="302" t="s">
        <v>6</v>
      </c>
      <c r="H140" s="187" t="s">
        <v>1468</v>
      </c>
      <c r="I140" s="187">
        <v>0</v>
      </c>
      <c r="J140" s="196">
        <f>VLOOKUP($C$140,상관행법로열티!$D$4:$J$325,2,0)</f>
        <v>1.18</v>
      </c>
      <c r="K140" s="196">
        <f>VLOOKUP($C$140,상관행법로열티!$D$4:$J$325,3,0)</f>
        <v>0.92</v>
      </c>
      <c r="L140" s="189" t="s">
        <v>1468</v>
      </c>
      <c r="M140" s="348">
        <v>4</v>
      </c>
    </row>
    <row r="141" spans="2:13">
      <c r="B141" s="302">
        <v>71</v>
      </c>
      <c r="C141" s="181">
        <v>101</v>
      </c>
      <c r="D141" s="326">
        <v>712</v>
      </c>
      <c r="E141" s="302" t="s">
        <v>1272</v>
      </c>
      <c r="F141" s="302">
        <v>1012</v>
      </c>
      <c r="G141" s="302" t="s">
        <v>1272</v>
      </c>
      <c r="H141" s="187" t="s">
        <v>1468</v>
      </c>
      <c r="I141" s="187">
        <v>0</v>
      </c>
      <c r="J141" s="196">
        <f>VLOOKUP($C$140,상관행법로열티!$D$4:$J$325,2,0)</f>
        <v>1.18</v>
      </c>
      <c r="K141" s="196">
        <f>VLOOKUP($C$140,상관행법로열티!$D$4:$J$325,3,0)</f>
        <v>0.92</v>
      </c>
      <c r="L141" s="189" t="s">
        <v>1468</v>
      </c>
      <c r="M141" s="348">
        <v>4</v>
      </c>
    </row>
    <row r="142" spans="2:13">
      <c r="B142" s="303">
        <v>72</v>
      </c>
      <c r="C142" s="181">
        <v>102</v>
      </c>
      <c r="D142" s="326">
        <v>721</v>
      </c>
      <c r="E142" s="302" t="s">
        <v>1464</v>
      </c>
      <c r="F142" s="302">
        <v>1021</v>
      </c>
      <c r="G142" s="302" t="s">
        <v>1305</v>
      </c>
      <c r="H142" s="187" t="s">
        <v>1468</v>
      </c>
      <c r="I142" s="187">
        <v>0</v>
      </c>
      <c r="J142" s="196">
        <f>VLOOKUP($C$142,상관행법로열티!$D$4:$J$325,2,0)</f>
        <v>1.57</v>
      </c>
      <c r="K142" s="196">
        <f>VLOOKUP($C$142,상관행법로열티!$D$4:$J$325,3,0)</f>
        <v>1.31</v>
      </c>
      <c r="L142" s="189" t="s">
        <v>1468</v>
      </c>
      <c r="M142" s="348">
        <v>2</v>
      </c>
    </row>
    <row r="143" spans="2:13">
      <c r="B143" s="302">
        <v>72</v>
      </c>
      <c r="C143" s="181">
        <v>102</v>
      </c>
      <c r="D143" s="326">
        <v>722</v>
      </c>
      <c r="E143" s="302" t="s">
        <v>1465</v>
      </c>
      <c r="F143" s="302">
        <v>1022</v>
      </c>
      <c r="G143" s="302" t="s">
        <v>1306</v>
      </c>
      <c r="H143" s="187" t="s">
        <v>1468</v>
      </c>
      <c r="I143" s="187">
        <v>0</v>
      </c>
      <c r="J143" s="196">
        <f>VLOOKUP($C$142,상관행법로열티!$D$4:$J$325,2,0)</f>
        <v>1.57</v>
      </c>
      <c r="K143" s="196">
        <f>VLOOKUP($C$142,상관행법로열티!$D$4:$J$325,3,0)</f>
        <v>1.31</v>
      </c>
      <c r="L143" s="189" t="s">
        <v>1468</v>
      </c>
      <c r="M143" s="348">
        <v>2</v>
      </c>
    </row>
    <row r="144" spans="2:13">
      <c r="B144" s="303">
        <v>73</v>
      </c>
      <c r="C144" s="302"/>
      <c r="D144" s="326">
        <v>730</v>
      </c>
      <c r="E144" s="302" t="s">
        <v>1275</v>
      </c>
      <c r="F144" s="302">
        <v>1030</v>
      </c>
      <c r="G144" s="302" t="s">
        <v>1275</v>
      </c>
      <c r="H144" s="187">
        <v>3</v>
      </c>
      <c r="I144" s="187">
        <v>3</v>
      </c>
      <c r="J144" s="187">
        <v>3</v>
      </c>
      <c r="K144" s="187">
        <v>3</v>
      </c>
      <c r="L144" s="189">
        <v>0</v>
      </c>
      <c r="M144" s="348">
        <v>5</v>
      </c>
    </row>
    <row r="145" spans="2:13">
      <c r="B145" s="303">
        <v>74</v>
      </c>
      <c r="C145" s="302"/>
      <c r="D145" s="326">
        <v>740</v>
      </c>
      <c r="E145" s="302" t="s">
        <v>1276</v>
      </c>
      <c r="F145" s="302">
        <v>1040</v>
      </c>
      <c r="G145" s="302" t="s">
        <v>1276</v>
      </c>
      <c r="H145" s="187">
        <v>3</v>
      </c>
      <c r="I145" s="187">
        <v>3</v>
      </c>
      <c r="J145" s="187">
        <v>3</v>
      </c>
      <c r="K145" s="187">
        <v>3</v>
      </c>
      <c r="L145" s="189">
        <v>0</v>
      </c>
      <c r="M145" s="348" t="s">
        <v>2958</v>
      </c>
    </row>
    <row r="146" spans="2:13">
      <c r="B146" s="303">
        <v>75</v>
      </c>
      <c r="C146" s="181">
        <v>105</v>
      </c>
      <c r="D146" s="326">
        <v>750</v>
      </c>
      <c r="E146" s="302" t="s">
        <v>1277</v>
      </c>
      <c r="F146" s="302">
        <v>1050</v>
      </c>
      <c r="G146" s="302" t="s">
        <v>1277</v>
      </c>
      <c r="H146" s="187" t="s">
        <v>1468</v>
      </c>
      <c r="I146" s="187">
        <v>0</v>
      </c>
      <c r="J146" s="338">
        <f>VLOOKUP($C$146,상관행법로열티!$D$4:$J$325,2,0)</f>
        <v>1.52</v>
      </c>
      <c r="K146" s="338">
        <f>VLOOKUP($C$146,상관행법로열티!$D$4:$J$325,3,0)</f>
        <v>1.23</v>
      </c>
      <c r="L146" s="189" t="s">
        <v>1468</v>
      </c>
      <c r="M146" s="348">
        <v>1</v>
      </c>
    </row>
    <row r="147" spans="2:13">
      <c r="B147" s="303">
        <v>76</v>
      </c>
      <c r="C147" s="302"/>
      <c r="D147" s="326">
        <v>761</v>
      </c>
      <c r="E147" s="302" t="s">
        <v>1278</v>
      </c>
      <c r="F147" s="302">
        <v>1061</v>
      </c>
      <c r="G147" s="302" t="s">
        <v>1278</v>
      </c>
      <c r="H147" s="187">
        <v>1</v>
      </c>
      <c r="I147" s="187">
        <v>1</v>
      </c>
      <c r="J147" s="187">
        <v>1</v>
      </c>
      <c r="K147" s="187">
        <v>1</v>
      </c>
      <c r="L147" s="189">
        <v>0</v>
      </c>
      <c r="M147" s="348">
        <v>4</v>
      </c>
    </row>
    <row r="148" spans="2:13">
      <c r="B148" s="302">
        <v>76</v>
      </c>
      <c r="C148" s="302"/>
      <c r="D148" s="326">
        <v>762</v>
      </c>
      <c r="E148" s="302" t="s">
        <v>1279</v>
      </c>
      <c r="F148" s="302">
        <v>1062</v>
      </c>
      <c r="G148" s="302" t="s">
        <v>1279</v>
      </c>
      <c r="H148" s="187">
        <v>1</v>
      </c>
      <c r="I148" s="187">
        <v>1</v>
      </c>
      <c r="J148" s="187">
        <v>1</v>
      </c>
      <c r="K148" s="187">
        <v>1</v>
      </c>
      <c r="L148" s="189">
        <v>0</v>
      </c>
      <c r="M148" s="348">
        <v>4</v>
      </c>
    </row>
    <row r="149" spans="2:13">
      <c r="B149" s="303">
        <v>77</v>
      </c>
      <c r="C149" s="302"/>
      <c r="D149" s="326">
        <v>770</v>
      </c>
      <c r="E149" s="302" t="s">
        <v>1280</v>
      </c>
      <c r="F149" s="302">
        <v>1080</v>
      </c>
      <c r="G149" s="302" t="s">
        <v>1280</v>
      </c>
      <c r="H149" s="188">
        <v>1</v>
      </c>
      <c r="I149" s="188">
        <v>3</v>
      </c>
      <c r="J149" s="188">
        <v>2</v>
      </c>
      <c r="K149" s="188">
        <v>2</v>
      </c>
      <c r="L149" s="357">
        <v>1</v>
      </c>
      <c r="M149" s="348">
        <v>3</v>
      </c>
    </row>
    <row r="150" spans="2:13">
      <c r="B150" s="303">
        <v>79</v>
      </c>
      <c r="C150" s="302"/>
      <c r="D150" s="326">
        <v>791</v>
      </c>
      <c r="E150" s="302" t="s">
        <v>1281</v>
      </c>
      <c r="F150" s="302">
        <v>1071</v>
      </c>
      <c r="G150" s="302" t="s">
        <v>1281</v>
      </c>
      <c r="H150" s="187">
        <v>1</v>
      </c>
      <c r="I150" s="363">
        <v>15</v>
      </c>
      <c r="J150" s="187">
        <v>13</v>
      </c>
      <c r="K150" s="187">
        <v>3</v>
      </c>
      <c r="L150" s="189">
        <v>20.9</v>
      </c>
      <c r="M150" s="348">
        <v>210</v>
      </c>
    </row>
    <row r="151" spans="2:13">
      <c r="B151" s="302">
        <v>79</v>
      </c>
      <c r="C151" s="302"/>
      <c r="D151" s="326">
        <v>792</v>
      </c>
      <c r="E151" s="302" t="s">
        <v>1282</v>
      </c>
      <c r="F151" s="302">
        <v>1072</v>
      </c>
      <c r="G151" s="302" t="s">
        <v>1282</v>
      </c>
      <c r="H151" s="187">
        <v>1</v>
      </c>
      <c r="I151" s="188">
        <v>15</v>
      </c>
      <c r="J151" s="187">
        <v>13</v>
      </c>
      <c r="K151" s="187">
        <v>3</v>
      </c>
      <c r="L151" s="189">
        <v>20.9</v>
      </c>
      <c r="M151" s="348">
        <v>210</v>
      </c>
    </row>
    <row r="152" spans="2:13">
      <c r="B152" s="302">
        <v>79</v>
      </c>
      <c r="C152" s="302"/>
      <c r="D152" s="326">
        <v>793</v>
      </c>
      <c r="E152" s="302" t="s">
        <v>2325</v>
      </c>
      <c r="F152" s="302">
        <v>1073</v>
      </c>
      <c r="G152" s="302" t="s">
        <v>2325</v>
      </c>
      <c r="H152" s="187">
        <v>1</v>
      </c>
      <c r="I152" s="188">
        <v>15</v>
      </c>
      <c r="J152" s="187">
        <v>13</v>
      </c>
      <c r="K152" s="187">
        <v>3</v>
      </c>
      <c r="L152" s="189">
        <v>20.9</v>
      </c>
      <c r="M152" s="348">
        <v>210</v>
      </c>
    </row>
    <row r="153" spans="2:13">
      <c r="B153" s="302">
        <v>79</v>
      </c>
      <c r="C153" s="302"/>
      <c r="D153" s="326">
        <v>794</v>
      </c>
      <c r="E153" s="302" t="s">
        <v>1283</v>
      </c>
      <c r="F153" s="302">
        <v>1074</v>
      </c>
      <c r="G153" s="302" t="s">
        <v>1283</v>
      </c>
      <c r="H153" s="187">
        <v>1</v>
      </c>
      <c r="I153" s="188">
        <v>15</v>
      </c>
      <c r="J153" s="187">
        <v>13</v>
      </c>
      <c r="K153" s="187">
        <v>3</v>
      </c>
      <c r="L153" s="189">
        <v>20.9</v>
      </c>
      <c r="M153" s="348">
        <v>210</v>
      </c>
    </row>
    <row r="154" spans="2:13">
      <c r="B154" s="302">
        <v>79</v>
      </c>
      <c r="C154" s="302"/>
      <c r="D154" s="326">
        <v>795</v>
      </c>
      <c r="E154" s="302" t="s">
        <v>1284</v>
      </c>
      <c r="F154" s="302">
        <v>1079</v>
      </c>
      <c r="G154" s="302" t="s">
        <v>1285</v>
      </c>
      <c r="H154" s="187">
        <v>1</v>
      </c>
      <c r="I154" s="188">
        <v>15</v>
      </c>
      <c r="J154" s="187">
        <v>13</v>
      </c>
      <c r="K154" s="187">
        <v>3</v>
      </c>
      <c r="L154" s="189">
        <v>20.9</v>
      </c>
      <c r="M154" s="348">
        <v>210</v>
      </c>
    </row>
    <row r="155" spans="2:13">
      <c r="B155" s="302">
        <v>79</v>
      </c>
      <c r="C155" s="302"/>
      <c r="D155" s="326">
        <v>799</v>
      </c>
      <c r="E155" s="302" t="s">
        <v>1285</v>
      </c>
      <c r="F155" s="302">
        <v>1079</v>
      </c>
      <c r="G155" s="302" t="s">
        <v>1285</v>
      </c>
      <c r="H155" s="187">
        <v>1</v>
      </c>
      <c r="I155" s="188">
        <v>15</v>
      </c>
      <c r="J155" s="187">
        <v>13</v>
      </c>
      <c r="K155" s="187">
        <v>3</v>
      </c>
      <c r="L155" s="189">
        <v>20.9</v>
      </c>
      <c r="M155" s="348">
        <v>210</v>
      </c>
    </row>
    <row r="156" spans="2:13">
      <c r="B156" s="303">
        <v>81</v>
      </c>
      <c r="C156" s="181">
        <v>111</v>
      </c>
      <c r="D156" s="326">
        <v>812</v>
      </c>
      <c r="E156" s="302" t="s">
        <v>1287</v>
      </c>
      <c r="F156" s="302">
        <v>1112</v>
      </c>
      <c r="G156" s="302" t="s">
        <v>1287</v>
      </c>
      <c r="H156" s="187" t="s">
        <v>1468</v>
      </c>
      <c r="I156" s="187" t="s">
        <v>1468</v>
      </c>
      <c r="J156" s="188">
        <f>VLOOKUP($C$156,상관행법로열티!$D$4:$J$325,2,0)</f>
        <v>2.69</v>
      </c>
      <c r="K156" s="188">
        <f>VLOOKUP($C$156,상관행법로열티!$D$4:$J$325,3,0)</f>
        <v>2.2799999999999998</v>
      </c>
      <c r="L156" s="189" t="s">
        <v>1468</v>
      </c>
      <c r="M156" s="348">
        <v>12</v>
      </c>
    </row>
    <row r="157" spans="2:13">
      <c r="B157" s="302">
        <v>81</v>
      </c>
      <c r="C157" s="302"/>
      <c r="D157" s="326">
        <v>811</v>
      </c>
      <c r="E157" s="302" t="s">
        <v>1286</v>
      </c>
      <c r="F157" s="302">
        <v>1111</v>
      </c>
      <c r="G157" s="302" t="s">
        <v>1286</v>
      </c>
      <c r="H157" s="187" t="s">
        <v>1468</v>
      </c>
      <c r="I157" s="187" t="s">
        <v>1468</v>
      </c>
      <c r="J157" s="188">
        <f>VLOOKUP($C$156,상관행법로열티!$D$4:$J$325,2,0)</f>
        <v>2.69</v>
      </c>
      <c r="K157" s="188">
        <f>VLOOKUP($C$156,상관행법로열티!$D$4:$J$325,3,0)</f>
        <v>2.2799999999999998</v>
      </c>
      <c r="L157" s="189" t="s">
        <v>1468</v>
      </c>
      <c r="M157" s="348">
        <v>12</v>
      </c>
    </row>
    <row r="158" spans="2:13">
      <c r="B158" s="303">
        <v>82</v>
      </c>
      <c r="C158" s="302"/>
      <c r="D158" s="326">
        <v>821</v>
      </c>
      <c r="E158" s="302" t="s">
        <v>1288</v>
      </c>
      <c r="F158" s="302">
        <v>11209</v>
      </c>
      <c r="G158" s="302" t="s">
        <v>1307</v>
      </c>
      <c r="H158" s="187">
        <v>3</v>
      </c>
      <c r="I158" s="187">
        <v>5</v>
      </c>
      <c r="J158" s="187">
        <v>4</v>
      </c>
      <c r="K158" s="187">
        <v>4</v>
      </c>
      <c r="L158" s="189">
        <v>1</v>
      </c>
      <c r="M158" s="348">
        <v>30</v>
      </c>
    </row>
    <row r="159" spans="2:13">
      <c r="B159" s="302">
        <v>82</v>
      </c>
      <c r="C159" s="302"/>
      <c r="D159" s="326">
        <v>822</v>
      </c>
      <c r="E159" s="302" t="s">
        <v>1289</v>
      </c>
      <c r="F159" s="335">
        <v>11201</v>
      </c>
      <c r="G159" s="335" t="s">
        <v>1289</v>
      </c>
      <c r="H159" s="187">
        <v>3</v>
      </c>
      <c r="I159" s="187">
        <v>5</v>
      </c>
      <c r="J159" s="187">
        <v>4</v>
      </c>
      <c r="K159" s="187">
        <v>4</v>
      </c>
      <c r="L159" s="189">
        <v>1</v>
      </c>
      <c r="M159" s="348">
        <v>30</v>
      </c>
    </row>
    <row r="160" spans="2:13">
      <c r="B160" s="302">
        <v>82</v>
      </c>
      <c r="C160" s="302"/>
      <c r="D160" s="326">
        <v>821</v>
      </c>
      <c r="E160" s="302" t="s">
        <v>1288</v>
      </c>
      <c r="F160" s="302">
        <v>11202</v>
      </c>
      <c r="G160" s="302" t="s">
        <v>146</v>
      </c>
      <c r="H160" s="187">
        <v>3</v>
      </c>
      <c r="I160" s="187">
        <v>5</v>
      </c>
      <c r="J160" s="187">
        <v>4</v>
      </c>
      <c r="K160" s="187">
        <v>4</v>
      </c>
      <c r="L160" s="189">
        <v>1</v>
      </c>
      <c r="M160" s="348">
        <v>30</v>
      </c>
    </row>
    <row r="161" spans="2:13">
      <c r="B161" s="303">
        <v>91</v>
      </c>
      <c r="C161" s="302"/>
      <c r="D161" s="326">
        <v>911</v>
      </c>
      <c r="E161" s="302" t="s">
        <v>1290</v>
      </c>
      <c r="F161" s="302">
        <v>2852</v>
      </c>
      <c r="G161" s="302" t="s">
        <v>1338</v>
      </c>
      <c r="H161" s="188">
        <v>0.3</v>
      </c>
      <c r="I161" s="188">
        <v>10</v>
      </c>
      <c r="J161" s="188">
        <v>3.12</v>
      </c>
      <c r="K161" s="188">
        <v>2.5</v>
      </c>
      <c r="L161" s="357">
        <v>2.59</v>
      </c>
      <c r="M161" s="348">
        <v>649</v>
      </c>
    </row>
    <row r="162" spans="2:13">
      <c r="B162" s="302">
        <v>91</v>
      </c>
      <c r="C162" s="302"/>
      <c r="D162" s="326">
        <v>911</v>
      </c>
      <c r="E162" s="302" t="s">
        <v>1290</v>
      </c>
      <c r="F162" s="302">
        <v>2925</v>
      </c>
      <c r="G162" s="302" t="s">
        <v>2326</v>
      </c>
      <c r="H162" s="188">
        <v>0.3</v>
      </c>
      <c r="I162" s="188">
        <v>10</v>
      </c>
      <c r="J162" s="188">
        <v>3.12</v>
      </c>
      <c r="K162" s="188">
        <v>2.5</v>
      </c>
      <c r="L162" s="357">
        <v>2.59</v>
      </c>
      <c r="M162" s="348">
        <v>649</v>
      </c>
    </row>
    <row r="163" spans="2:13">
      <c r="B163" s="302">
        <v>91</v>
      </c>
      <c r="C163" s="302"/>
      <c r="D163" s="326">
        <v>912</v>
      </c>
      <c r="E163" s="302" t="s">
        <v>1337</v>
      </c>
      <c r="F163" s="302">
        <v>28511</v>
      </c>
      <c r="G163" s="302" t="s">
        <v>1337</v>
      </c>
      <c r="H163" s="188">
        <v>0.3</v>
      </c>
      <c r="I163" s="188">
        <v>10</v>
      </c>
      <c r="J163" s="188">
        <v>3.12</v>
      </c>
      <c r="K163" s="188">
        <v>2.5</v>
      </c>
      <c r="L163" s="357">
        <v>2.59</v>
      </c>
      <c r="M163" s="348">
        <v>649</v>
      </c>
    </row>
    <row r="164" spans="2:13">
      <c r="B164" s="302">
        <v>91</v>
      </c>
      <c r="C164" s="302"/>
      <c r="D164" s="326">
        <v>913</v>
      </c>
      <c r="E164" s="302" t="s">
        <v>1292</v>
      </c>
      <c r="F164" s="302">
        <v>25</v>
      </c>
      <c r="G164" s="302" t="s">
        <v>2312</v>
      </c>
      <c r="H164" s="188">
        <v>0.3</v>
      </c>
      <c r="I164" s="188">
        <v>10</v>
      </c>
      <c r="J164" s="188">
        <v>3.12</v>
      </c>
      <c r="K164" s="188">
        <v>2.5</v>
      </c>
      <c r="L164" s="357">
        <v>2.59</v>
      </c>
      <c r="M164" s="348">
        <v>649</v>
      </c>
    </row>
    <row r="165" spans="2:13">
      <c r="B165" s="302">
        <v>91</v>
      </c>
      <c r="C165" s="302"/>
      <c r="D165" s="326">
        <v>914</v>
      </c>
      <c r="E165" s="302" t="s">
        <v>1293</v>
      </c>
      <c r="F165" s="302">
        <v>22231</v>
      </c>
      <c r="G165" s="302" t="s">
        <v>2329</v>
      </c>
      <c r="H165" s="188">
        <v>0.3</v>
      </c>
      <c r="I165" s="188">
        <v>10</v>
      </c>
      <c r="J165" s="188">
        <v>3.12</v>
      </c>
      <c r="K165" s="188">
        <v>2.5</v>
      </c>
      <c r="L165" s="357">
        <v>2.59</v>
      </c>
      <c r="M165" s="348">
        <v>649</v>
      </c>
    </row>
    <row r="166" spans="2:13">
      <c r="B166" s="302">
        <v>91</v>
      </c>
      <c r="C166" s="302"/>
      <c r="D166" s="326">
        <v>914</v>
      </c>
      <c r="E166" s="302" t="s">
        <v>1293</v>
      </c>
      <c r="F166" s="302">
        <v>20422</v>
      </c>
      <c r="G166" s="302" t="s">
        <v>2330</v>
      </c>
      <c r="H166" s="188">
        <v>0.3</v>
      </c>
      <c r="I166" s="188">
        <v>10</v>
      </c>
      <c r="J166" s="188">
        <v>3.12</v>
      </c>
      <c r="K166" s="188">
        <v>2.5</v>
      </c>
      <c r="L166" s="357">
        <v>2.59</v>
      </c>
      <c r="M166" s="348">
        <v>649</v>
      </c>
    </row>
    <row r="167" spans="2:13">
      <c r="B167" s="302">
        <v>91</v>
      </c>
      <c r="C167" s="302"/>
      <c r="D167" s="326">
        <v>914</v>
      </c>
      <c r="E167" s="302" t="s">
        <v>1293</v>
      </c>
      <c r="F167" s="302">
        <v>22193</v>
      </c>
      <c r="G167" s="302" t="s">
        <v>1325</v>
      </c>
      <c r="H167" s="188">
        <v>0.3</v>
      </c>
      <c r="I167" s="188">
        <v>10</v>
      </c>
      <c r="J167" s="188">
        <v>3.12</v>
      </c>
      <c r="K167" s="188">
        <v>2.5</v>
      </c>
      <c r="L167" s="357">
        <v>2.59</v>
      </c>
      <c r="M167" s="348">
        <v>649</v>
      </c>
    </row>
    <row r="168" spans="2:13">
      <c r="B168" s="302">
        <v>91</v>
      </c>
      <c r="C168" s="302"/>
      <c r="D168" s="326">
        <v>914</v>
      </c>
      <c r="E168" s="302" t="s">
        <v>1293</v>
      </c>
      <c r="F168" s="302">
        <v>25993</v>
      </c>
      <c r="G168" s="302" t="s">
        <v>1334</v>
      </c>
      <c r="H168" s="188">
        <v>0.3</v>
      </c>
      <c r="I168" s="188">
        <v>10</v>
      </c>
      <c r="J168" s="188">
        <v>3.12</v>
      </c>
      <c r="K168" s="188">
        <v>2.5</v>
      </c>
      <c r="L168" s="357">
        <v>2.59</v>
      </c>
      <c r="M168" s="348">
        <v>649</v>
      </c>
    </row>
    <row r="169" spans="2:13">
      <c r="B169" s="302">
        <v>91</v>
      </c>
      <c r="C169" s="302"/>
      <c r="D169" s="326">
        <v>914</v>
      </c>
      <c r="E169" s="302" t="s">
        <v>1293</v>
      </c>
      <c r="F169" s="302">
        <v>17902</v>
      </c>
      <c r="G169" s="302" t="s">
        <v>1316</v>
      </c>
      <c r="H169" s="188">
        <v>0.3</v>
      </c>
      <c r="I169" s="188">
        <v>10</v>
      </c>
      <c r="J169" s="188">
        <v>3.12</v>
      </c>
      <c r="K169" s="188">
        <v>2.5</v>
      </c>
      <c r="L169" s="357">
        <v>2.59</v>
      </c>
      <c r="M169" s="348">
        <v>649</v>
      </c>
    </row>
    <row r="170" spans="2:13">
      <c r="B170" s="302">
        <v>91</v>
      </c>
      <c r="C170" s="302"/>
      <c r="D170" s="326">
        <v>915</v>
      </c>
      <c r="E170" s="302" t="s">
        <v>1294</v>
      </c>
      <c r="F170" s="302">
        <v>22212</v>
      </c>
      <c r="G170" s="302" t="s">
        <v>2331</v>
      </c>
      <c r="H170" s="188">
        <v>0.3</v>
      </c>
      <c r="I170" s="188">
        <v>10</v>
      </c>
      <c r="J170" s="188">
        <v>3.12</v>
      </c>
      <c r="K170" s="188">
        <v>2.5</v>
      </c>
      <c r="L170" s="357">
        <v>2.59</v>
      </c>
      <c r="M170" s="348">
        <v>649</v>
      </c>
    </row>
    <row r="171" spans="2:13">
      <c r="B171" s="302">
        <v>91</v>
      </c>
      <c r="C171" s="302"/>
      <c r="D171" s="326">
        <v>915</v>
      </c>
      <c r="E171" s="302" t="s">
        <v>1294</v>
      </c>
      <c r="F171" s="302">
        <v>22231</v>
      </c>
      <c r="G171" s="302" t="s">
        <v>2329</v>
      </c>
      <c r="H171" s="188">
        <v>0.3</v>
      </c>
      <c r="I171" s="188">
        <v>10</v>
      </c>
      <c r="J171" s="188">
        <v>3.12</v>
      </c>
      <c r="K171" s="188">
        <v>2.5</v>
      </c>
      <c r="L171" s="357">
        <v>2.59</v>
      </c>
      <c r="M171" s="348">
        <v>649</v>
      </c>
    </row>
    <row r="172" spans="2:13">
      <c r="B172" s="302">
        <v>91</v>
      </c>
      <c r="C172" s="302"/>
      <c r="D172" s="326">
        <v>915</v>
      </c>
      <c r="E172" s="302" t="s">
        <v>1294</v>
      </c>
      <c r="F172" s="302">
        <v>22251</v>
      </c>
      <c r="G172" s="302" t="s">
        <v>2798</v>
      </c>
      <c r="H172" s="188">
        <v>0.3</v>
      </c>
      <c r="I172" s="188">
        <v>10</v>
      </c>
      <c r="J172" s="188">
        <v>3.12</v>
      </c>
      <c r="K172" s="188">
        <v>2.5</v>
      </c>
      <c r="L172" s="357">
        <v>2.59</v>
      </c>
      <c r="M172" s="348">
        <v>649</v>
      </c>
    </row>
    <row r="173" spans="2:13">
      <c r="B173" s="302">
        <v>91</v>
      </c>
      <c r="C173" s="302"/>
      <c r="D173" s="326">
        <v>915</v>
      </c>
      <c r="E173" s="302" t="s">
        <v>1294</v>
      </c>
      <c r="F173" s="302">
        <v>22232</v>
      </c>
      <c r="G173" s="302" t="s">
        <v>1327</v>
      </c>
      <c r="H173" s="188">
        <v>0.3</v>
      </c>
      <c r="I173" s="188">
        <v>10</v>
      </c>
      <c r="J173" s="188">
        <v>3.12</v>
      </c>
      <c r="K173" s="188">
        <v>2.5</v>
      </c>
      <c r="L173" s="357">
        <v>2.59</v>
      </c>
      <c r="M173" s="348">
        <v>649</v>
      </c>
    </row>
    <row r="174" spans="2:13">
      <c r="B174" s="302">
        <v>91</v>
      </c>
      <c r="C174" s="302"/>
      <c r="D174" s="326">
        <v>915</v>
      </c>
      <c r="E174" s="302" t="s">
        <v>1294</v>
      </c>
      <c r="F174" s="302">
        <v>17223</v>
      </c>
      <c r="G174" s="302" t="s">
        <v>1315</v>
      </c>
      <c r="H174" s="188">
        <v>0.3</v>
      </c>
      <c r="I174" s="188">
        <v>10</v>
      </c>
      <c r="J174" s="188">
        <v>3.12</v>
      </c>
      <c r="K174" s="188">
        <v>2.5</v>
      </c>
      <c r="L174" s="357">
        <v>2.59</v>
      </c>
      <c r="M174" s="348">
        <v>649</v>
      </c>
    </row>
    <row r="175" spans="2:13">
      <c r="B175" s="302">
        <v>91</v>
      </c>
      <c r="C175" s="302"/>
      <c r="D175" s="326">
        <v>915</v>
      </c>
      <c r="E175" s="302" t="s">
        <v>1294</v>
      </c>
      <c r="F175" s="302">
        <v>23221</v>
      </c>
      <c r="G175" s="302" t="s">
        <v>1329</v>
      </c>
      <c r="H175" s="188">
        <v>0.3</v>
      </c>
      <c r="I175" s="188">
        <v>10</v>
      </c>
      <c r="J175" s="188">
        <v>3.12</v>
      </c>
      <c r="K175" s="188">
        <v>2.5</v>
      </c>
      <c r="L175" s="357">
        <v>2.59</v>
      </c>
      <c r="M175" s="348">
        <v>649</v>
      </c>
    </row>
    <row r="176" spans="2:13">
      <c r="B176" s="302">
        <v>91</v>
      </c>
      <c r="C176" s="302"/>
      <c r="D176" s="326">
        <v>915</v>
      </c>
      <c r="E176" s="302" t="s">
        <v>1294</v>
      </c>
      <c r="F176" s="302">
        <v>23192</v>
      </c>
      <c r="G176" s="302" t="s">
        <v>1328</v>
      </c>
      <c r="H176" s="188">
        <v>0.3</v>
      </c>
      <c r="I176" s="188">
        <v>10</v>
      </c>
      <c r="J176" s="188">
        <v>3.12</v>
      </c>
      <c r="K176" s="188">
        <v>2.5</v>
      </c>
      <c r="L176" s="357">
        <v>2.59</v>
      </c>
      <c r="M176" s="348">
        <v>649</v>
      </c>
    </row>
    <row r="177" spans="2:13">
      <c r="B177" s="302">
        <v>91</v>
      </c>
      <c r="C177" s="302"/>
      <c r="D177" s="326">
        <v>915</v>
      </c>
      <c r="E177" s="302" t="s">
        <v>1294</v>
      </c>
      <c r="F177" s="302">
        <v>25991</v>
      </c>
      <c r="G177" s="302" t="s">
        <v>1333</v>
      </c>
      <c r="H177" s="188">
        <v>0.3</v>
      </c>
      <c r="I177" s="188">
        <v>10</v>
      </c>
      <c r="J177" s="188">
        <v>3.12</v>
      </c>
      <c r="K177" s="188">
        <v>2.5</v>
      </c>
      <c r="L177" s="357">
        <v>2.59</v>
      </c>
      <c r="M177" s="348">
        <v>649</v>
      </c>
    </row>
    <row r="178" spans="2:13">
      <c r="B178" s="302">
        <v>91</v>
      </c>
      <c r="C178" s="302"/>
      <c r="D178" s="326">
        <v>915</v>
      </c>
      <c r="E178" s="302" t="s">
        <v>1294</v>
      </c>
      <c r="F178" s="302">
        <v>29192</v>
      </c>
      <c r="G178" s="302" t="s">
        <v>2327</v>
      </c>
      <c r="H178" s="188">
        <v>0.3</v>
      </c>
      <c r="I178" s="188">
        <v>10</v>
      </c>
      <c r="J178" s="188">
        <v>3.12</v>
      </c>
      <c r="K178" s="188">
        <v>2.5</v>
      </c>
      <c r="L178" s="357">
        <v>2.59</v>
      </c>
      <c r="M178" s="348">
        <v>649</v>
      </c>
    </row>
    <row r="179" spans="2:13">
      <c r="B179" s="302">
        <v>91</v>
      </c>
      <c r="C179" s="302"/>
      <c r="D179" s="326">
        <v>915</v>
      </c>
      <c r="E179" s="302" t="s">
        <v>1294</v>
      </c>
      <c r="F179" s="302">
        <v>22213</v>
      </c>
      <c r="G179" s="302" t="s">
        <v>2328</v>
      </c>
      <c r="H179" s="188">
        <v>0.3</v>
      </c>
      <c r="I179" s="188">
        <v>10</v>
      </c>
      <c r="J179" s="188">
        <v>3.12</v>
      </c>
      <c r="K179" s="188">
        <v>2.5</v>
      </c>
      <c r="L179" s="357">
        <v>2.59</v>
      </c>
      <c r="M179" s="348">
        <v>649</v>
      </c>
    </row>
    <row r="180" spans="2:13">
      <c r="B180" s="302">
        <v>91</v>
      </c>
      <c r="C180" s="302"/>
      <c r="D180" s="326">
        <v>919</v>
      </c>
      <c r="E180" s="302" t="s">
        <v>1295</v>
      </c>
      <c r="F180" s="302">
        <v>29171</v>
      </c>
      <c r="G180" s="302" t="s">
        <v>1340</v>
      </c>
      <c r="H180" s="188">
        <v>0.3</v>
      </c>
      <c r="I180" s="188">
        <v>10</v>
      </c>
      <c r="J180" s="188">
        <v>3.12</v>
      </c>
      <c r="K180" s="188">
        <v>2.5</v>
      </c>
      <c r="L180" s="357">
        <v>2.59</v>
      </c>
      <c r="M180" s="348">
        <v>649</v>
      </c>
    </row>
    <row r="181" spans="2:13">
      <c r="B181" s="302">
        <v>91</v>
      </c>
      <c r="C181" s="302"/>
      <c r="D181" s="326">
        <v>919</v>
      </c>
      <c r="E181" s="302" t="s">
        <v>1295</v>
      </c>
      <c r="F181" s="302">
        <v>22251</v>
      </c>
      <c r="G181" s="302" t="s">
        <v>2798</v>
      </c>
      <c r="H181" s="188">
        <v>0.3</v>
      </c>
      <c r="I181" s="188">
        <v>10</v>
      </c>
      <c r="J181" s="188">
        <v>3.12</v>
      </c>
      <c r="K181" s="188">
        <v>2.5</v>
      </c>
      <c r="L181" s="357">
        <v>2.59</v>
      </c>
      <c r="M181" s="348">
        <v>649</v>
      </c>
    </row>
    <row r="182" spans="2:13">
      <c r="B182" s="302">
        <v>91</v>
      </c>
      <c r="C182" s="302"/>
      <c r="D182" s="326">
        <v>919</v>
      </c>
      <c r="E182" s="302" t="s">
        <v>1295</v>
      </c>
      <c r="F182" s="302">
        <v>23221</v>
      </c>
      <c r="G182" s="302" t="s">
        <v>1329</v>
      </c>
      <c r="H182" s="188">
        <v>0.3</v>
      </c>
      <c r="I182" s="188">
        <v>10</v>
      </c>
      <c r="J182" s="188">
        <v>3.12</v>
      </c>
      <c r="K182" s="188">
        <v>2.5</v>
      </c>
      <c r="L182" s="357">
        <v>2.59</v>
      </c>
      <c r="M182" s="348">
        <v>649</v>
      </c>
    </row>
    <row r="183" spans="2:13">
      <c r="B183" s="302">
        <v>91</v>
      </c>
      <c r="C183" s="302"/>
      <c r="D183" s="326">
        <v>919</v>
      </c>
      <c r="E183" s="302" t="s">
        <v>1295</v>
      </c>
      <c r="F183" s="302">
        <v>21102</v>
      </c>
      <c r="G183" s="302" t="s">
        <v>1324</v>
      </c>
      <c r="H183" s="188">
        <v>0.3</v>
      </c>
      <c r="I183" s="188">
        <v>10</v>
      </c>
      <c r="J183" s="188">
        <v>3.12</v>
      </c>
      <c r="K183" s="188">
        <v>2.5</v>
      </c>
      <c r="L183" s="357">
        <v>2.59</v>
      </c>
      <c r="M183" s="348">
        <v>649</v>
      </c>
    </row>
    <row r="184" spans="2:13">
      <c r="B184" s="302">
        <v>91</v>
      </c>
      <c r="C184" s="302"/>
      <c r="D184" s="326">
        <v>919</v>
      </c>
      <c r="E184" s="302" t="s">
        <v>1295</v>
      </c>
      <c r="F184" s="331">
        <v>16291</v>
      </c>
      <c r="G184" s="335" t="s">
        <v>2790</v>
      </c>
      <c r="H184" s="188">
        <v>0.3</v>
      </c>
      <c r="I184" s="188">
        <v>10</v>
      </c>
      <c r="J184" s="188">
        <v>3.12</v>
      </c>
      <c r="K184" s="188">
        <v>2.5</v>
      </c>
      <c r="L184" s="357">
        <v>2.59</v>
      </c>
      <c r="M184" s="348">
        <v>649</v>
      </c>
    </row>
    <row r="185" spans="2:13">
      <c r="B185" s="302">
        <v>92</v>
      </c>
      <c r="C185" s="302"/>
      <c r="D185" s="326">
        <v>921</v>
      </c>
      <c r="E185" s="302" t="s">
        <v>1296</v>
      </c>
      <c r="F185" s="302">
        <v>701</v>
      </c>
      <c r="G185" s="302" t="s">
        <v>1350</v>
      </c>
      <c r="H185" s="358">
        <v>1</v>
      </c>
      <c r="I185" s="358">
        <v>15</v>
      </c>
      <c r="J185" s="358">
        <v>5.4</v>
      </c>
      <c r="K185" s="358">
        <v>4.5</v>
      </c>
      <c r="L185" s="359">
        <v>3.95</v>
      </c>
      <c r="M185" s="348">
        <v>179</v>
      </c>
    </row>
    <row r="186" spans="2:13">
      <c r="B186" s="302">
        <v>92</v>
      </c>
      <c r="C186" s="302"/>
      <c r="D186" s="326">
        <v>922</v>
      </c>
      <c r="E186" s="302" t="s">
        <v>1297</v>
      </c>
      <c r="F186" s="302">
        <v>62</v>
      </c>
      <c r="G186" s="302" t="s">
        <v>2319</v>
      </c>
      <c r="H186" s="358">
        <v>1</v>
      </c>
      <c r="I186" s="358">
        <v>15</v>
      </c>
      <c r="J186" s="358">
        <v>5.4</v>
      </c>
      <c r="K186" s="358">
        <v>4.5</v>
      </c>
      <c r="L186" s="359">
        <v>3.95</v>
      </c>
      <c r="M186" s="348">
        <v>179</v>
      </c>
    </row>
    <row r="187" spans="2:13">
      <c r="B187" s="302">
        <v>92</v>
      </c>
      <c r="C187" s="302"/>
      <c r="D187" s="326">
        <v>924</v>
      </c>
      <c r="E187" s="302" t="s">
        <v>1299</v>
      </c>
      <c r="F187" s="302">
        <v>39</v>
      </c>
      <c r="G187" s="302" t="s">
        <v>1347</v>
      </c>
      <c r="H187" s="358">
        <v>1</v>
      </c>
      <c r="I187" s="358">
        <v>15</v>
      </c>
      <c r="J187" s="358">
        <v>5.4</v>
      </c>
      <c r="K187" s="358">
        <v>4.5</v>
      </c>
      <c r="L187" s="359">
        <v>3.95</v>
      </c>
      <c r="M187" s="348">
        <v>179</v>
      </c>
    </row>
    <row r="188" spans="2:13">
      <c r="B188" s="302">
        <v>92</v>
      </c>
      <c r="C188" s="302"/>
      <c r="D188" s="326">
        <v>924</v>
      </c>
      <c r="E188" s="302" t="s">
        <v>1299</v>
      </c>
      <c r="F188" s="302">
        <v>38</v>
      </c>
      <c r="G188" s="302" t="s">
        <v>2316</v>
      </c>
      <c r="H188" s="358">
        <v>1</v>
      </c>
      <c r="I188" s="358">
        <v>15</v>
      </c>
      <c r="J188" s="358">
        <v>5.4</v>
      </c>
      <c r="K188" s="358">
        <v>4.5</v>
      </c>
      <c r="L188" s="359">
        <v>3.95</v>
      </c>
      <c r="M188" s="348">
        <v>179</v>
      </c>
    </row>
    <row r="189" spans="2:13">
      <c r="B189" s="302">
        <v>92</v>
      </c>
      <c r="C189" s="302"/>
      <c r="D189" s="326">
        <v>929</v>
      </c>
      <c r="E189" s="302" t="s">
        <v>1300</v>
      </c>
      <c r="F189" s="302">
        <v>73909</v>
      </c>
      <c r="G189" s="302" t="s">
        <v>2314</v>
      </c>
      <c r="H189" s="358">
        <v>1</v>
      </c>
      <c r="I189" s="358">
        <v>15</v>
      </c>
      <c r="J189" s="358">
        <v>5.4</v>
      </c>
      <c r="K189" s="358">
        <v>4.5</v>
      </c>
      <c r="L189" s="359">
        <v>3.95</v>
      </c>
      <c r="M189" s="348">
        <v>179</v>
      </c>
    </row>
    <row r="190" spans="2:13">
      <c r="B190" s="302">
        <v>92</v>
      </c>
      <c r="C190" s="302"/>
      <c r="D190" s="326">
        <v>923</v>
      </c>
      <c r="E190" s="302" t="s">
        <v>1298</v>
      </c>
      <c r="F190" s="302">
        <v>7291</v>
      </c>
      <c r="G190" s="302" t="s">
        <v>2315</v>
      </c>
      <c r="H190" s="358">
        <v>1</v>
      </c>
      <c r="I190" s="358">
        <v>15</v>
      </c>
      <c r="J190" s="358">
        <v>5.4</v>
      </c>
      <c r="K190" s="358">
        <v>4.5</v>
      </c>
      <c r="L190" s="359">
        <v>3.95</v>
      </c>
      <c r="M190" s="348">
        <v>179</v>
      </c>
    </row>
    <row r="191" spans="2:13">
      <c r="B191" s="302">
        <v>92</v>
      </c>
      <c r="C191" s="302"/>
      <c r="D191" s="326">
        <v>922</v>
      </c>
      <c r="E191" s="302" t="s">
        <v>1297</v>
      </c>
      <c r="F191" s="302">
        <v>63</v>
      </c>
      <c r="G191" s="302" t="s">
        <v>1349</v>
      </c>
      <c r="H191" s="358">
        <v>1</v>
      </c>
      <c r="I191" s="358">
        <v>15</v>
      </c>
      <c r="J191" s="358">
        <v>5.4</v>
      </c>
      <c r="K191" s="358">
        <v>4.5</v>
      </c>
      <c r="L191" s="359">
        <v>3.95</v>
      </c>
      <c r="M191" s="348">
        <v>179</v>
      </c>
    </row>
    <row r="192" spans="2:13">
      <c r="B192" s="302">
        <v>92</v>
      </c>
      <c r="C192" s="302"/>
      <c r="D192" s="326">
        <v>922</v>
      </c>
      <c r="E192" s="302" t="s">
        <v>1297</v>
      </c>
      <c r="F192" s="302">
        <v>5822</v>
      </c>
      <c r="G192" s="302" t="s">
        <v>2332</v>
      </c>
      <c r="H192" s="358">
        <v>1</v>
      </c>
      <c r="I192" s="358">
        <v>15</v>
      </c>
      <c r="J192" s="358">
        <v>5.4</v>
      </c>
      <c r="K192" s="358">
        <v>4.5</v>
      </c>
      <c r="L192" s="359">
        <v>3.95</v>
      </c>
      <c r="M192" s="348">
        <v>179</v>
      </c>
    </row>
    <row r="193" spans="2:13" ht="17.25" thickBot="1">
      <c r="B193" s="302">
        <v>92</v>
      </c>
      <c r="C193" s="306"/>
      <c r="D193" s="327">
        <v>924</v>
      </c>
      <c r="E193" s="308" t="s">
        <v>1299</v>
      </c>
      <c r="F193" s="307">
        <v>37</v>
      </c>
      <c r="G193" s="308" t="s">
        <v>2317</v>
      </c>
      <c r="H193" s="364">
        <v>1</v>
      </c>
      <c r="I193" s="364">
        <v>15</v>
      </c>
      <c r="J193" s="364">
        <v>5.4</v>
      </c>
      <c r="K193" s="364">
        <v>4.5</v>
      </c>
      <c r="L193" s="365">
        <v>3.95</v>
      </c>
      <c r="M193" s="349">
        <v>179</v>
      </c>
    </row>
    <row r="196" spans="2:13" ht="17.25">
      <c r="E196" s="1366" t="s">
        <v>2776</v>
      </c>
      <c r="F196" s="1366"/>
      <c r="G196" s="1366"/>
      <c r="H196" s="1366"/>
      <c r="I196" s="1366"/>
      <c r="J196" s="1366"/>
    </row>
    <row r="197" spans="2:13" ht="17.25" thickBot="1">
      <c r="I197" s="1367" t="s">
        <v>2306</v>
      </c>
      <c r="J197" s="1367"/>
    </row>
    <row r="198" spans="2:13" ht="17.25" thickBot="1">
      <c r="E198" s="165" t="s">
        <v>2258</v>
      </c>
      <c r="F198" s="166" t="s">
        <v>1144</v>
      </c>
      <c r="G198" s="166" t="s">
        <v>1143</v>
      </c>
      <c r="H198" s="191" t="s">
        <v>1141</v>
      </c>
      <c r="I198" s="191" t="s">
        <v>2259</v>
      </c>
      <c r="J198" s="192" t="s">
        <v>1466</v>
      </c>
      <c r="K198" s="350" t="s">
        <v>2959</v>
      </c>
    </row>
    <row r="199" spans="2:13">
      <c r="E199" s="309" t="s">
        <v>1469</v>
      </c>
      <c r="F199" s="310">
        <v>1</v>
      </c>
      <c r="G199" s="310">
        <v>25</v>
      </c>
      <c r="H199" s="311">
        <v>3.84</v>
      </c>
      <c r="I199" s="311">
        <v>3</v>
      </c>
      <c r="J199" s="312">
        <v>3.67</v>
      </c>
      <c r="K199" s="354">
        <v>292</v>
      </c>
    </row>
    <row r="200" spans="2:13">
      <c r="E200" s="313" t="s">
        <v>1470</v>
      </c>
      <c r="F200" s="302">
        <v>0.3</v>
      </c>
      <c r="G200" s="302">
        <v>15</v>
      </c>
      <c r="H200" s="187">
        <v>3.62</v>
      </c>
      <c r="I200" s="187">
        <v>3</v>
      </c>
      <c r="J200" s="189">
        <v>3.04</v>
      </c>
      <c r="K200" s="355">
        <v>59</v>
      </c>
    </row>
    <row r="201" spans="2:13">
      <c r="E201" s="313" t="s">
        <v>1471</v>
      </c>
      <c r="F201" s="302">
        <v>0.3</v>
      </c>
      <c r="G201" s="302">
        <v>15</v>
      </c>
      <c r="H201" s="187">
        <v>3.28</v>
      </c>
      <c r="I201" s="187">
        <v>3</v>
      </c>
      <c r="J201" s="189">
        <v>2.2799999999999998</v>
      </c>
      <c r="K201" s="355">
        <v>206</v>
      </c>
    </row>
    <row r="202" spans="2:13">
      <c r="E202" s="313" t="s">
        <v>1472</v>
      </c>
      <c r="F202" s="302">
        <v>0.1</v>
      </c>
      <c r="G202" s="302">
        <v>65</v>
      </c>
      <c r="H202" s="187">
        <v>4.99</v>
      </c>
      <c r="I202" s="187">
        <v>3</v>
      </c>
      <c r="J202" s="189">
        <v>9.4700000000000006</v>
      </c>
      <c r="K202" s="355">
        <v>196</v>
      </c>
    </row>
    <row r="203" spans="2:13">
      <c r="E203" s="313" t="s">
        <v>1473</v>
      </c>
      <c r="F203" s="302">
        <v>0.3</v>
      </c>
      <c r="G203" s="302">
        <v>70</v>
      </c>
      <c r="H203" s="187">
        <v>5.81</v>
      </c>
      <c r="I203" s="187">
        <v>3</v>
      </c>
      <c r="J203" s="189">
        <v>13.11</v>
      </c>
      <c r="K203" s="355">
        <v>124</v>
      </c>
    </row>
    <row r="204" spans="2:13">
      <c r="E204" s="313" t="s">
        <v>1474</v>
      </c>
      <c r="F204" s="302">
        <v>1</v>
      </c>
      <c r="G204" s="302">
        <v>10</v>
      </c>
      <c r="H204" s="187">
        <v>3.54</v>
      </c>
      <c r="I204" s="187">
        <v>3</v>
      </c>
      <c r="J204" s="189">
        <v>2.2000000000000002</v>
      </c>
      <c r="K204" s="355">
        <v>193</v>
      </c>
    </row>
    <row r="205" spans="2:13" ht="17.25" thickBot="1">
      <c r="E205" s="314" t="s">
        <v>0</v>
      </c>
      <c r="F205" s="315">
        <v>1</v>
      </c>
      <c r="G205" s="315">
        <v>10</v>
      </c>
      <c r="H205" s="316">
        <v>3.46</v>
      </c>
      <c r="I205" s="316">
        <v>3</v>
      </c>
      <c r="J205" s="317">
        <v>2.4700000000000002</v>
      </c>
      <c r="K205" s="356">
        <v>87</v>
      </c>
    </row>
    <row r="206" spans="2:13">
      <c r="E206" s="318" t="s">
        <v>2774</v>
      </c>
      <c r="F206" s="318"/>
      <c r="G206" s="318"/>
      <c r="H206" s="319"/>
      <c r="I206" s="319"/>
      <c r="J206" s="319"/>
    </row>
    <row r="207" spans="2:13" ht="17.25">
      <c r="E207" s="1366" t="s">
        <v>2777</v>
      </c>
      <c r="F207" s="1366"/>
      <c r="G207" s="1366"/>
      <c r="H207" s="1366"/>
      <c r="I207" s="1366"/>
      <c r="J207" s="1366"/>
      <c r="K207" s="1366"/>
      <c r="L207" s="439"/>
    </row>
    <row r="208" spans="2:13" ht="17.25" thickBot="1">
      <c r="J208" s="1367" t="s">
        <v>2307</v>
      </c>
      <c r="K208" s="1367"/>
      <c r="L208" s="686"/>
    </row>
    <row r="209" spans="5:12" ht="17.25" thickBot="1">
      <c r="E209" s="1368" t="s">
        <v>2258</v>
      </c>
      <c r="F209" s="1369"/>
      <c r="G209" s="164" t="s">
        <v>1144</v>
      </c>
      <c r="H209" s="193" t="s">
        <v>1143</v>
      </c>
      <c r="I209" s="193" t="s">
        <v>1141</v>
      </c>
      <c r="J209" s="193" t="s">
        <v>2259</v>
      </c>
      <c r="K209" s="194" t="s">
        <v>1466</v>
      </c>
      <c r="L209" s="350" t="s">
        <v>2959</v>
      </c>
    </row>
    <row r="210" spans="5:12">
      <c r="E210" s="1358" t="s">
        <v>2260</v>
      </c>
      <c r="F210" s="320" t="s">
        <v>2261</v>
      </c>
      <c r="G210" s="320">
        <v>1</v>
      </c>
      <c r="H210" s="321">
        <v>70</v>
      </c>
      <c r="I210" s="321">
        <v>10.1</v>
      </c>
      <c r="J210" s="321">
        <v>3</v>
      </c>
      <c r="K210" s="322">
        <v>18.5</v>
      </c>
      <c r="L210" s="351">
        <v>22</v>
      </c>
    </row>
    <row r="211" spans="5:12">
      <c r="E211" s="1358"/>
      <c r="F211" s="302" t="s">
        <v>2262</v>
      </c>
      <c r="G211" s="302">
        <v>3</v>
      </c>
      <c r="H211" s="187">
        <v>5</v>
      </c>
      <c r="I211" s="187">
        <v>4</v>
      </c>
      <c r="J211" s="187">
        <v>4</v>
      </c>
      <c r="K211" s="189">
        <v>1</v>
      </c>
      <c r="L211" s="352">
        <v>4</v>
      </c>
    </row>
    <row r="212" spans="5:12">
      <c r="E212" s="1358"/>
      <c r="F212" s="302" t="s">
        <v>2263</v>
      </c>
      <c r="G212" s="302">
        <v>3</v>
      </c>
      <c r="H212" s="187">
        <v>5</v>
      </c>
      <c r="I212" s="187">
        <v>3.5</v>
      </c>
      <c r="J212" s="187">
        <v>3</v>
      </c>
      <c r="K212" s="189">
        <v>0.9</v>
      </c>
      <c r="L212" s="352">
        <v>4</v>
      </c>
    </row>
    <row r="213" spans="5:12">
      <c r="E213" s="1358"/>
      <c r="F213" s="302" t="s">
        <v>2264</v>
      </c>
      <c r="G213" s="302">
        <v>5</v>
      </c>
      <c r="H213" s="187">
        <v>5</v>
      </c>
      <c r="I213" s="187">
        <v>5</v>
      </c>
      <c r="J213" s="187">
        <v>5</v>
      </c>
      <c r="K213" s="189">
        <v>0</v>
      </c>
      <c r="L213" s="352">
        <v>1</v>
      </c>
    </row>
    <row r="214" spans="5:12">
      <c r="E214" s="1358"/>
      <c r="F214" s="302" t="s">
        <v>2265</v>
      </c>
      <c r="G214" s="302">
        <v>1</v>
      </c>
      <c r="H214" s="187">
        <v>5</v>
      </c>
      <c r="I214" s="187">
        <v>3</v>
      </c>
      <c r="J214" s="187">
        <v>3</v>
      </c>
      <c r="K214" s="189">
        <v>1.6</v>
      </c>
      <c r="L214" s="352">
        <v>3</v>
      </c>
    </row>
    <row r="215" spans="5:12">
      <c r="E215" s="1358"/>
      <c r="F215" s="302" t="s">
        <v>2266</v>
      </c>
      <c r="G215" s="302">
        <v>1</v>
      </c>
      <c r="H215" s="187">
        <v>4</v>
      </c>
      <c r="I215" s="187">
        <v>2.5</v>
      </c>
      <c r="J215" s="187">
        <v>2.5</v>
      </c>
      <c r="K215" s="189">
        <v>1.5</v>
      </c>
      <c r="L215" s="352">
        <v>2</v>
      </c>
    </row>
    <row r="216" spans="5:12">
      <c r="E216" s="1358"/>
      <c r="F216" s="302" t="s">
        <v>2267</v>
      </c>
      <c r="G216" s="302">
        <v>0.3</v>
      </c>
      <c r="H216" s="187">
        <v>5</v>
      </c>
      <c r="I216" s="187">
        <v>1.5</v>
      </c>
      <c r="J216" s="187">
        <v>0.3</v>
      </c>
      <c r="K216" s="189">
        <v>1.8</v>
      </c>
      <c r="L216" s="352">
        <v>6</v>
      </c>
    </row>
    <row r="217" spans="5:12" ht="22.5">
      <c r="E217" s="1358"/>
      <c r="F217" s="302" t="s">
        <v>2268</v>
      </c>
      <c r="G217" s="302">
        <v>0.3</v>
      </c>
      <c r="H217" s="187">
        <v>10</v>
      </c>
      <c r="I217" s="187">
        <v>3.3</v>
      </c>
      <c r="J217" s="187">
        <v>3</v>
      </c>
      <c r="K217" s="189">
        <v>2.5</v>
      </c>
      <c r="L217" s="352">
        <v>41</v>
      </c>
    </row>
    <row r="218" spans="5:12">
      <c r="E218" s="1358"/>
      <c r="F218" s="302" t="s">
        <v>1816</v>
      </c>
      <c r="G218" s="302">
        <v>1</v>
      </c>
      <c r="H218" s="187">
        <v>6</v>
      </c>
      <c r="I218" s="187">
        <v>3.1</v>
      </c>
      <c r="J218" s="187">
        <v>3</v>
      </c>
      <c r="K218" s="189">
        <v>1.3</v>
      </c>
      <c r="L218" s="352">
        <v>41</v>
      </c>
    </row>
    <row r="219" spans="5:12">
      <c r="E219" s="1358"/>
      <c r="F219" s="302" t="s">
        <v>2269</v>
      </c>
      <c r="G219" s="302">
        <v>2</v>
      </c>
      <c r="H219" s="187">
        <v>10</v>
      </c>
      <c r="I219" s="187">
        <v>6</v>
      </c>
      <c r="J219" s="187">
        <v>5</v>
      </c>
      <c r="K219" s="189">
        <v>3.4</v>
      </c>
      <c r="L219" s="352">
        <v>5</v>
      </c>
    </row>
    <row r="220" spans="5:12">
      <c r="E220" s="1358"/>
      <c r="F220" s="302" t="s">
        <v>2270</v>
      </c>
      <c r="G220" s="302">
        <v>1</v>
      </c>
      <c r="H220" s="187">
        <v>10</v>
      </c>
      <c r="I220" s="187">
        <v>2.6</v>
      </c>
      <c r="J220" s="187">
        <v>2</v>
      </c>
      <c r="K220" s="189">
        <v>2.1</v>
      </c>
      <c r="L220" s="352">
        <v>18</v>
      </c>
    </row>
    <row r="221" spans="5:12">
      <c r="E221" s="1358"/>
      <c r="F221" s="302" t="s">
        <v>2271</v>
      </c>
      <c r="G221" s="302">
        <v>2</v>
      </c>
      <c r="H221" s="187">
        <v>3</v>
      </c>
      <c r="I221" s="187">
        <v>2.5</v>
      </c>
      <c r="J221" s="187">
        <v>2.5</v>
      </c>
      <c r="K221" s="189">
        <v>0.5</v>
      </c>
      <c r="L221" s="352">
        <v>2</v>
      </c>
    </row>
    <row r="222" spans="5:12">
      <c r="E222" s="1358"/>
      <c r="F222" s="302" t="s">
        <v>1821</v>
      </c>
      <c r="G222" s="302">
        <v>0.3</v>
      </c>
      <c r="H222" s="187">
        <v>25</v>
      </c>
      <c r="I222" s="187">
        <v>4.3</v>
      </c>
      <c r="J222" s="187">
        <v>1.5</v>
      </c>
      <c r="K222" s="189">
        <v>6.8</v>
      </c>
      <c r="L222" s="352">
        <v>12</v>
      </c>
    </row>
    <row r="223" spans="5:12" ht="22.5">
      <c r="E223" s="1358"/>
      <c r="F223" s="302" t="s">
        <v>2272</v>
      </c>
      <c r="G223" s="302">
        <v>0.1</v>
      </c>
      <c r="H223" s="187">
        <v>10</v>
      </c>
      <c r="I223" s="187">
        <v>3</v>
      </c>
      <c r="J223" s="187">
        <v>3</v>
      </c>
      <c r="K223" s="189">
        <v>2</v>
      </c>
      <c r="L223" s="352">
        <v>79</v>
      </c>
    </row>
    <row r="224" spans="5:12">
      <c r="E224" s="1358"/>
      <c r="F224" s="302" t="s">
        <v>2273</v>
      </c>
      <c r="G224" s="302">
        <v>0.3</v>
      </c>
      <c r="H224" s="187">
        <v>10</v>
      </c>
      <c r="I224" s="187">
        <v>3</v>
      </c>
      <c r="J224" s="187">
        <v>3</v>
      </c>
      <c r="K224" s="189">
        <v>2.2000000000000002</v>
      </c>
      <c r="L224" s="352">
        <v>54</v>
      </c>
    </row>
    <row r="225" spans="5:12">
      <c r="E225" s="1358"/>
      <c r="F225" s="302" t="s">
        <v>1857</v>
      </c>
      <c r="G225" s="302">
        <v>0.3</v>
      </c>
      <c r="H225" s="187">
        <v>15</v>
      </c>
      <c r="I225" s="187">
        <v>3.6</v>
      </c>
      <c r="J225" s="187">
        <v>3</v>
      </c>
      <c r="K225" s="189">
        <v>2.8</v>
      </c>
      <c r="L225" s="352">
        <v>36</v>
      </c>
    </row>
    <row r="226" spans="5:12">
      <c r="E226" s="1358"/>
      <c r="F226" s="302" t="s">
        <v>1856</v>
      </c>
      <c r="G226" s="302">
        <v>1</v>
      </c>
      <c r="H226" s="187">
        <v>20</v>
      </c>
      <c r="I226" s="187">
        <v>3.4</v>
      </c>
      <c r="J226" s="187">
        <v>3</v>
      </c>
      <c r="K226" s="189">
        <v>2.7</v>
      </c>
      <c r="L226" s="352">
        <v>51</v>
      </c>
    </row>
    <row r="227" spans="5:12">
      <c r="E227" s="1358"/>
      <c r="F227" s="302" t="s">
        <v>2274</v>
      </c>
      <c r="G227" s="302">
        <v>1.3</v>
      </c>
      <c r="H227" s="187">
        <v>10</v>
      </c>
      <c r="I227" s="187">
        <v>3.9</v>
      </c>
      <c r="J227" s="187">
        <v>3</v>
      </c>
      <c r="K227" s="189">
        <v>2.7</v>
      </c>
      <c r="L227" s="352">
        <v>7</v>
      </c>
    </row>
    <row r="228" spans="5:12">
      <c r="E228" s="1358"/>
      <c r="F228" s="302" t="s">
        <v>2275</v>
      </c>
      <c r="G228" s="302">
        <v>1</v>
      </c>
      <c r="H228" s="187">
        <v>7</v>
      </c>
      <c r="I228" s="187">
        <v>2.8</v>
      </c>
      <c r="J228" s="187">
        <v>2.5</v>
      </c>
      <c r="K228" s="189">
        <v>1.9</v>
      </c>
      <c r="L228" s="352">
        <v>9</v>
      </c>
    </row>
    <row r="229" spans="5:12">
      <c r="E229" s="1358"/>
      <c r="F229" s="302" t="s">
        <v>2276</v>
      </c>
      <c r="G229" s="302">
        <v>5</v>
      </c>
      <c r="H229" s="187">
        <v>5</v>
      </c>
      <c r="I229" s="187">
        <v>5</v>
      </c>
      <c r="J229" s="187">
        <v>5</v>
      </c>
      <c r="K229" s="189">
        <v>0</v>
      </c>
      <c r="L229" s="352">
        <v>2</v>
      </c>
    </row>
    <row r="230" spans="5:12">
      <c r="E230" s="1359"/>
      <c r="F230" s="302" t="s">
        <v>2277</v>
      </c>
      <c r="G230" s="302">
        <v>0.3</v>
      </c>
      <c r="H230" s="187">
        <v>5</v>
      </c>
      <c r="I230" s="187">
        <v>2.4</v>
      </c>
      <c r="J230" s="187">
        <v>2</v>
      </c>
      <c r="K230" s="189">
        <v>1.4</v>
      </c>
      <c r="L230" s="352">
        <v>15</v>
      </c>
    </row>
    <row r="231" spans="5:12">
      <c r="E231" s="313" t="s">
        <v>2278</v>
      </c>
      <c r="F231" s="302" t="s">
        <v>2278</v>
      </c>
      <c r="G231" s="302">
        <v>1</v>
      </c>
      <c r="H231" s="187">
        <v>1</v>
      </c>
      <c r="I231" s="187">
        <v>1</v>
      </c>
      <c r="J231" s="187">
        <v>1</v>
      </c>
      <c r="K231" s="189">
        <v>0</v>
      </c>
      <c r="L231" s="352">
        <v>2</v>
      </c>
    </row>
    <row r="232" spans="5:12">
      <c r="E232" s="1357" t="s">
        <v>2279</v>
      </c>
      <c r="F232" s="302" t="s">
        <v>1830</v>
      </c>
      <c r="G232" s="302">
        <v>1</v>
      </c>
      <c r="H232" s="187">
        <v>10</v>
      </c>
      <c r="I232" s="187">
        <v>5.6</v>
      </c>
      <c r="J232" s="187">
        <v>5</v>
      </c>
      <c r="K232" s="189">
        <v>3</v>
      </c>
      <c r="L232" s="352">
        <v>13</v>
      </c>
    </row>
    <row r="233" spans="5:12">
      <c r="E233" s="1358"/>
      <c r="F233" s="302" t="s">
        <v>2280</v>
      </c>
      <c r="G233" s="302">
        <v>1</v>
      </c>
      <c r="H233" s="187">
        <v>10</v>
      </c>
      <c r="I233" s="187">
        <v>4.2</v>
      </c>
      <c r="J233" s="187">
        <v>3</v>
      </c>
      <c r="K233" s="189">
        <v>2.9</v>
      </c>
      <c r="L233" s="352">
        <v>6</v>
      </c>
    </row>
    <row r="234" spans="5:12">
      <c r="E234" s="1359"/>
      <c r="F234" s="302" t="s">
        <v>1829</v>
      </c>
      <c r="G234" s="302">
        <v>1</v>
      </c>
      <c r="H234" s="187">
        <v>5</v>
      </c>
      <c r="I234" s="187">
        <v>2</v>
      </c>
      <c r="J234" s="187">
        <v>1</v>
      </c>
      <c r="K234" s="189">
        <v>1.4</v>
      </c>
      <c r="L234" s="352">
        <v>7</v>
      </c>
    </row>
    <row r="235" spans="5:12">
      <c r="E235" s="1357" t="s">
        <v>1467</v>
      </c>
      <c r="F235" s="302" t="s">
        <v>2281</v>
      </c>
      <c r="G235" s="302">
        <v>1.5</v>
      </c>
      <c r="H235" s="187">
        <v>10</v>
      </c>
      <c r="I235" s="187">
        <v>3.9</v>
      </c>
      <c r="J235" s="187">
        <v>3</v>
      </c>
      <c r="K235" s="189">
        <v>2.4</v>
      </c>
      <c r="L235" s="352">
        <v>9</v>
      </c>
    </row>
    <row r="236" spans="5:12">
      <c r="E236" s="1359"/>
      <c r="F236" s="302" t="s">
        <v>2282</v>
      </c>
      <c r="G236" s="302">
        <v>0.5</v>
      </c>
      <c r="H236" s="187">
        <v>10</v>
      </c>
      <c r="I236" s="187">
        <v>3.8</v>
      </c>
      <c r="J236" s="187">
        <v>5</v>
      </c>
      <c r="K236" s="189">
        <v>2.1</v>
      </c>
      <c r="L236" s="352">
        <v>28</v>
      </c>
    </row>
    <row r="237" spans="5:12">
      <c r="E237" s="1357" t="s">
        <v>2283</v>
      </c>
      <c r="F237" s="302" t="s">
        <v>2284</v>
      </c>
      <c r="G237" s="302">
        <v>3</v>
      </c>
      <c r="H237" s="187">
        <v>3</v>
      </c>
      <c r="I237" s="187">
        <v>3</v>
      </c>
      <c r="J237" s="187">
        <v>3</v>
      </c>
      <c r="K237" s="189">
        <v>0</v>
      </c>
      <c r="L237" s="352">
        <v>1</v>
      </c>
    </row>
    <row r="238" spans="5:12">
      <c r="E238" s="1359"/>
      <c r="F238" s="302" t="s">
        <v>2285</v>
      </c>
      <c r="G238" s="302">
        <v>2</v>
      </c>
      <c r="H238" s="187">
        <v>6</v>
      </c>
      <c r="I238" s="187">
        <v>4.3</v>
      </c>
      <c r="J238" s="187">
        <v>4.5</v>
      </c>
      <c r="K238" s="189">
        <v>1.8</v>
      </c>
      <c r="L238" s="352">
        <v>4</v>
      </c>
    </row>
    <row r="239" spans="5:12">
      <c r="E239" s="1357" t="s">
        <v>2286</v>
      </c>
      <c r="F239" s="302" t="s">
        <v>2287</v>
      </c>
      <c r="G239" s="302">
        <v>1</v>
      </c>
      <c r="H239" s="187">
        <v>45</v>
      </c>
      <c r="I239" s="187">
        <v>5.5</v>
      </c>
      <c r="J239" s="187">
        <v>2.8</v>
      </c>
      <c r="K239" s="189">
        <v>9.8000000000000007</v>
      </c>
      <c r="L239" s="352">
        <v>18</v>
      </c>
    </row>
    <row r="240" spans="5:12">
      <c r="E240" s="1358"/>
      <c r="F240" s="302" t="s">
        <v>2288</v>
      </c>
      <c r="G240" s="302">
        <v>3</v>
      </c>
      <c r="H240" s="187">
        <v>3</v>
      </c>
      <c r="I240" s="187">
        <v>3</v>
      </c>
      <c r="J240" s="187">
        <v>3</v>
      </c>
      <c r="K240" s="189">
        <v>0</v>
      </c>
      <c r="L240" s="352">
        <v>1</v>
      </c>
    </row>
    <row r="241" spans="5:12">
      <c r="E241" s="1358"/>
      <c r="F241" s="302" t="s">
        <v>2289</v>
      </c>
      <c r="G241" s="302">
        <v>30</v>
      </c>
      <c r="H241" s="187">
        <v>30</v>
      </c>
      <c r="I241" s="187">
        <v>30</v>
      </c>
      <c r="J241" s="187">
        <v>30</v>
      </c>
      <c r="K241" s="189">
        <v>0</v>
      </c>
      <c r="L241" s="352">
        <v>1</v>
      </c>
    </row>
    <row r="242" spans="5:12">
      <c r="E242" s="1358"/>
      <c r="F242" s="302" t="s">
        <v>2290</v>
      </c>
      <c r="G242" s="302">
        <v>3</v>
      </c>
      <c r="H242" s="187">
        <v>3</v>
      </c>
      <c r="I242" s="187">
        <v>3</v>
      </c>
      <c r="J242" s="187">
        <v>3</v>
      </c>
      <c r="K242" s="189">
        <v>0</v>
      </c>
      <c r="L242" s="352">
        <v>1</v>
      </c>
    </row>
    <row r="243" spans="5:12" ht="22.5">
      <c r="E243" s="1358"/>
      <c r="F243" s="302" t="s">
        <v>1827</v>
      </c>
      <c r="G243" s="302">
        <v>1</v>
      </c>
      <c r="H243" s="187">
        <v>3</v>
      </c>
      <c r="I243" s="187">
        <v>1.7</v>
      </c>
      <c r="J243" s="187">
        <v>1.1000000000000001</v>
      </c>
      <c r="K243" s="189">
        <v>0.8</v>
      </c>
      <c r="L243" s="352">
        <v>8</v>
      </c>
    </row>
    <row r="244" spans="5:12">
      <c r="E244" s="1359"/>
      <c r="F244" s="302" t="s">
        <v>1349</v>
      </c>
      <c r="G244" s="302">
        <v>1</v>
      </c>
      <c r="H244" s="187">
        <v>45</v>
      </c>
      <c r="I244" s="187">
        <v>8.4</v>
      </c>
      <c r="J244" s="187">
        <v>3</v>
      </c>
      <c r="K244" s="189">
        <v>13.2</v>
      </c>
      <c r="L244" s="352">
        <v>9</v>
      </c>
    </row>
    <row r="245" spans="5:12">
      <c r="E245" s="313" t="s">
        <v>2291</v>
      </c>
      <c r="F245" s="302" t="s">
        <v>2292</v>
      </c>
      <c r="G245" s="302">
        <v>15</v>
      </c>
      <c r="H245" s="187">
        <v>15</v>
      </c>
      <c r="I245" s="187">
        <v>15</v>
      </c>
      <c r="J245" s="187">
        <v>15</v>
      </c>
      <c r="K245" s="189">
        <v>0</v>
      </c>
      <c r="L245" s="352">
        <v>1</v>
      </c>
    </row>
    <row r="246" spans="5:12">
      <c r="E246" s="1357" t="s">
        <v>2293</v>
      </c>
      <c r="F246" s="302" t="s">
        <v>2294</v>
      </c>
      <c r="G246" s="302">
        <v>1</v>
      </c>
      <c r="H246" s="187">
        <v>1</v>
      </c>
      <c r="I246" s="187">
        <v>1</v>
      </c>
      <c r="J246" s="187">
        <v>1</v>
      </c>
      <c r="K246" s="189">
        <v>0</v>
      </c>
      <c r="L246" s="352">
        <v>2</v>
      </c>
    </row>
    <row r="247" spans="5:12" ht="22.5">
      <c r="E247" s="1358"/>
      <c r="F247" s="302" t="s">
        <v>2295</v>
      </c>
      <c r="G247" s="302">
        <v>3</v>
      </c>
      <c r="H247" s="187">
        <v>15</v>
      </c>
      <c r="I247" s="187">
        <v>7.7</v>
      </c>
      <c r="J247" s="187">
        <v>5</v>
      </c>
      <c r="K247" s="189">
        <v>5.3</v>
      </c>
      <c r="L247" s="352">
        <v>3</v>
      </c>
    </row>
    <row r="248" spans="5:12">
      <c r="E248" s="1359"/>
      <c r="F248" s="302" t="s">
        <v>2296</v>
      </c>
      <c r="G248" s="302">
        <v>3</v>
      </c>
      <c r="H248" s="187">
        <v>3</v>
      </c>
      <c r="I248" s="187">
        <v>3</v>
      </c>
      <c r="J248" s="187">
        <v>3</v>
      </c>
      <c r="K248" s="189">
        <v>0</v>
      </c>
      <c r="L248" s="352">
        <v>1</v>
      </c>
    </row>
    <row r="249" spans="5:12">
      <c r="E249" s="1357" t="s">
        <v>2297</v>
      </c>
      <c r="F249" s="302" t="s">
        <v>2298</v>
      </c>
      <c r="G249" s="302">
        <v>3</v>
      </c>
      <c r="H249" s="187">
        <v>3</v>
      </c>
      <c r="I249" s="187">
        <v>3</v>
      </c>
      <c r="J249" s="187">
        <v>3</v>
      </c>
      <c r="K249" s="189">
        <v>0</v>
      </c>
      <c r="L249" s="352">
        <v>1</v>
      </c>
    </row>
    <row r="250" spans="5:12">
      <c r="E250" s="1359"/>
      <c r="F250" s="302" t="s">
        <v>2299</v>
      </c>
      <c r="G250" s="302">
        <v>3</v>
      </c>
      <c r="H250" s="187">
        <v>3</v>
      </c>
      <c r="I250" s="187">
        <v>3</v>
      </c>
      <c r="J250" s="187">
        <v>3</v>
      </c>
      <c r="K250" s="189">
        <v>0</v>
      </c>
      <c r="L250" s="352">
        <v>1</v>
      </c>
    </row>
    <row r="251" spans="5:12">
      <c r="E251" s="313" t="s">
        <v>2300</v>
      </c>
      <c r="F251" s="302" t="s">
        <v>2301</v>
      </c>
      <c r="G251" s="302">
        <v>2</v>
      </c>
      <c r="H251" s="187">
        <v>2</v>
      </c>
      <c r="I251" s="187">
        <v>2</v>
      </c>
      <c r="J251" s="187">
        <v>2</v>
      </c>
      <c r="K251" s="189">
        <v>0</v>
      </c>
      <c r="L251" s="352">
        <v>4</v>
      </c>
    </row>
    <row r="252" spans="5:12">
      <c r="E252" s="313" t="s">
        <v>2302</v>
      </c>
      <c r="F252" s="302" t="s">
        <v>2303</v>
      </c>
      <c r="G252" s="302">
        <v>5</v>
      </c>
      <c r="H252" s="187">
        <v>5</v>
      </c>
      <c r="I252" s="187">
        <v>5</v>
      </c>
      <c r="J252" s="187">
        <v>5</v>
      </c>
      <c r="K252" s="189">
        <v>0</v>
      </c>
      <c r="L252" s="352">
        <v>1</v>
      </c>
    </row>
    <row r="253" spans="5:12" ht="17.25" thickBot="1">
      <c r="E253" s="314" t="s">
        <v>2304</v>
      </c>
      <c r="F253" s="315" t="s">
        <v>2305</v>
      </c>
      <c r="G253" s="315">
        <v>1.5</v>
      </c>
      <c r="H253" s="316">
        <v>1.5</v>
      </c>
      <c r="I253" s="316">
        <v>1.5</v>
      </c>
      <c r="J253" s="316">
        <v>1.5</v>
      </c>
      <c r="K253" s="317">
        <v>0</v>
      </c>
      <c r="L253" s="353">
        <v>1</v>
      </c>
    </row>
    <row r="254" spans="5:12">
      <c r="E254" s="318" t="s">
        <v>2774</v>
      </c>
      <c r="F254" s="318" t="s">
        <v>2775</v>
      </c>
      <c r="G254" s="318"/>
      <c r="H254" s="319"/>
      <c r="I254" s="319"/>
      <c r="J254" s="319"/>
      <c r="K254" s="319"/>
      <c r="L254" s="319"/>
    </row>
  </sheetData>
  <autoFilter ref="B14:M193" xr:uid="{00000000-0009-0000-0000-00000B000000}"/>
  <mergeCells count="18">
    <mergeCell ref="D4:D5"/>
    <mergeCell ref="H5:I7"/>
    <mergeCell ref="J5:K7"/>
    <mergeCell ref="E246:E248"/>
    <mergeCell ref="E249:E250"/>
    <mergeCell ref="H11:M11"/>
    <mergeCell ref="F11:G11"/>
    <mergeCell ref="B11:E11"/>
    <mergeCell ref="E210:E230"/>
    <mergeCell ref="E232:E234"/>
    <mergeCell ref="E235:E236"/>
    <mergeCell ref="E237:E238"/>
    <mergeCell ref="E239:E244"/>
    <mergeCell ref="E196:J196"/>
    <mergeCell ref="I197:J197"/>
    <mergeCell ref="E207:K207"/>
    <mergeCell ref="J208:K208"/>
    <mergeCell ref="E209:F209"/>
  </mergeCells>
  <phoneticPr fontId="11" type="noConversion"/>
  <dataValidations disablePrompts="1" count="2">
    <dataValidation type="list" allowBlank="1" showInputMessage="1" showErrorMessage="1" sqref="E7" xr:uid="{00000000-0002-0000-0B00-000000000000}">
      <formula1>$F$210:$F$254</formula1>
    </dataValidation>
    <dataValidation type="list" allowBlank="1" showInputMessage="1" showErrorMessage="1" sqref="E8" xr:uid="{00000000-0002-0000-0B00-000001000000}">
      <formula1>$E$199:$E$205</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FFC000"/>
    <pageSetUpPr autoPageBreaks="0"/>
  </sheetPr>
  <dimension ref="B1:O57"/>
  <sheetViews>
    <sheetView showGridLines="0" zoomScale="160" zoomScaleNormal="160" zoomScaleSheetLayoutView="130" workbookViewId="0">
      <selection activeCell="D9" sqref="D9"/>
    </sheetView>
  </sheetViews>
  <sheetFormatPr defaultRowHeight="13.5"/>
  <cols>
    <col min="1" max="1" width="2.33203125" style="689" customWidth="1"/>
    <col min="2" max="2" width="9.88671875" style="687" customWidth="1"/>
    <col min="3" max="3" width="6.5546875" style="688" bestFit="1" customWidth="1"/>
    <col min="4" max="8" width="6.5546875" style="689" bestFit="1" customWidth="1"/>
    <col min="9" max="9" width="6.5546875" style="688" bestFit="1" customWidth="1"/>
    <col min="10" max="11" width="6.5546875" style="689" bestFit="1" customWidth="1"/>
    <col min="12" max="14" width="5.44140625" style="689" bestFit="1" customWidth="1"/>
    <col min="15" max="26" width="3.33203125" style="689" customWidth="1"/>
    <col min="27" max="16384" width="8.88671875" style="689"/>
  </cols>
  <sheetData>
    <row r="1" spans="2:15" ht="16.5" customHeight="1" thickBot="1"/>
    <row r="2" spans="2:15" ht="21.75" customHeight="1" thickBot="1">
      <c r="B2" s="690" t="s">
        <v>1</v>
      </c>
      <c r="C2" s="1386">
        <f>INPUT!E16</f>
        <v>429</v>
      </c>
      <c r="D2" s="1387"/>
      <c r="E2" s="1388"/>
    </row>
    <row r="3" spans="2:15" ht="16.5" customHeight="1">
      <c r="C3" s="691"/>
    </row>
    <row r="4" spans="2:15" s="695" customFormat="1" ht="16.5" customHeight="1" thickBot="1">
      <c r="B4" s="692" t="s">
        <v>1676</v>
      </c>
      <c r="C4" s="693" t="s">
        <v>2252</v>
      </c>
      <c r="D4" s="694" t="s">
        <v>2252</v>
      </c>
      <c r="E4" s="694" t="s">
        <v>2252</v>
      </c>
      <c r="F4" s="694" t="s">
        <v>2253</v>
      </c>
      <c r="G4" s="694" t="s">
        <v>2254</v>
      </c>
      <c r="H4" s="694" t="s">
        <v>2254</v>
      </c>
      <c r="I4" s="694" t="s">
        <v>2255</v>
      </c>
      <c r="J4" s="694" t="s">
        <v>2256</v>
      </c>
      <c r="K4" s="694" t="s">
        <v>2256</v>
      </c>
      <c r="L4" s="694" t="s">
        <v>1639</v>
      </c>
      <c r="M4" s="694" t="s">
        <v>1639</v>
      </c>
      <c r="N4" s="694" t="s">
        <v>1639</v>
      </c>
    </row>
    <row r="5" spans="2:15" s="697" customFormat="1" ht="16.5" customHeight="1">
      <c r="B5" s="696" t="s">
        <v>11</v>
      </c>
      <c r="C5" s="1392">
        <v>2017</v>
      </c>
      <c r="D5" s="1393"/>
      <c r="E5" s="1394"/>
      <c r="F5" s="1392">
        <v>2018</v>
      </c>
      <c r="G5" s="1393"/>
      <c r="H5" s="1394"/>
      <c r="I5" s="1392">
        <v>2019</v>
      </c>
      <c r="J5" s="1393"/>
      <c r="K5" s="1394"/>
      <c r="L5" s="1389" t="s">
        <v>2246</v>
      </c>
      <c r="M5" s="1390"/>
      <c r="N5" s="1391"/>
    </row>
    <row r="6" spans="2:15" s="697" customFormat="1" ht="16.5" customHeight="1">
      <c r="B6" s="698" t="s">
        <v>12</v>
      </c>
      <c r="C6" s="699" t="s">
        <v>13</v>
      </c>
      <c r="D6" s="699" t="s">
        <v>14</v>
      </c>
      <c r="E6" s="699" t="s">
        <v>15</v>
      </c>
      <c r="F6" s="699" t="s">
        <v>13</v>
      </c>
      <c r="G6" s="699" t="s">
        <v>14</v>
      </c>
      <c r="H6" s="699" t="s">
        <v>15</v>
      </c>
      <c r="I6" s="699" t="s">
        <v>13</v>
      </c>
      <c r="J6" s="699" t="s">
        <v>14</v>
      </c>
      <c r="K6" s="699" t="s">
        <v>15</v>
      </c>
      <c r="L6" s="699" t="s">
        <v>13</v>
      </c>
      <c r="M6" s="699" t="s">
        <v>14</v>
      </c>
      <c r="N6" s="700" t="s">
        <v>15</v>
      </c>
    </row>
    <row r="7" spans="2:15" s="704" customFormat="1" ht="16.5" customHeight="1">
      <c r="B7" s="701" t="s">
        <v>1635</v>
      </c>
      <c r="C7" s="702">
        <f ca="1">VLOOKUP($C$2&amp;C$6,INDIRECT(C$4),MATCH($B7,Total!$A$1:$N$1,0),0)</f>
        <v>0.55600000000000005</v>
      </c>
      <c r="D7" s="702">
        <f ca="1">VLOOKUP($C$2&amp;D$6,INDIRECT(D$4),MATCH($B7,Total!$A$1:$N$1,0),0)</f>
        <v>0.40200000000000002</v>
      </c>
      <c r="E7" s="702">
        <f ca="1">VLOOKUP($C$2&amp;E$6,INDIRECT(E$4),MATCH($B7,Total!$A$1:$N$1,0),0)</f>
        <v>0.50800000000000001</v>
      </c>
      <c r="F7" s="702">
        <f ca="1">VLOOKUP($C$2&amp;F$6,INDIRECT(F$4),MATCH($B7,Total!$A$1:$N$1,0),0)</f>
        <v>0.50800000000000001</v>
      </c>
      <c r="G7" s="702">
        <f ca="1">VLOOKUP($C$2&amp;G$6,INDIRECT(G$4),MATCH($B7,Total!$A$1:$N$1,0),0)</f>
        <v>0.311</v>
      </c>
      <c r="H7" s="702">
        <f ca="1">VLOOKUP($C$2&amp;H$6,INDIRECT(H$4),MATCH($B7,Total!$A$1:$N$1,0),0)</f>
        <v>0.48799999999999999</v>
      </c>
      <c r="I7" s="702">
        <f ca="1">VLOOKUP($C$2&amp;I$6,INDIRECT(I$4),MATCH($B7,Total!$A$1:$N$1,0),0)</f>
        <v>0.46600000000000003</v>
      </c>
      <c r="J7" s="702">
        <f ca="1">VLOOKUP($C$2&amp;J$6,INDIRECT(J$4),MATCH($B7,Total!$A$1:$N$1,0),0)</f>
        <v>0.38700000000000001</v>
      </c>
      <c r="K7" s="702">
        <f ca="1">VLOOKUP($C$2&amp;K$6,INDIRECT(K$4),MATCH($B7,Total!$A$1:$N$1,0),0)</f>
        <v>0.47899999999999998</v>
      </c>
      <c r="L7" s="702">
        <f ca="1">VLOOKUP($C$2&amp;L$6,INDIRECT(L$4),MATCH($B7,Total!$A$1:$N$1,0),0)</f>
        <v>0.499</v>
      </c>
      <c r="M7" s="702">
        <f ca="1">VLOOKUP($C$2&amp;M$6,INDIRECT(M$4),MATCH($B7,Total!$A$1:$N$1,0),0)</f>
        <v>0.36599999999999999</v>
      </c>
      <c r="N7" s="703">
        <f ca="1">VLOOKUP($C$2&amp;N$6,INDIRECT(N$4),MATCH($B7,Total!$A$1:$N$1,0),0)</f>
        <v>0.49099999999999999</v>
      </c>
    </row>
    <row r="8" spans="2:15" s="704" customFormat="1" ht="16.5" customHeight="1">
      <c r="B8" s="705" t="s">
        <v>1636</v>
      </c>
      <c r="C8" s="706">
        <f ca="1">VLOOKUP($C$2&amp;C$6,INDIRECT(C$4),MATCH($B8,Total!$A$1:$N$1,0),0)</f>
        <v>4.0000000000000001E-3</v>
      </c>
      <c r="D8" s="706">
        <f ca="1">VLOOKUP($C$2&amp;D$6,INDIRECT(D$4),MATCH($B8,Total!$A$1:$N$1,0),0)</f>
        <v>2E-3</v>
      </c>
      <c r="E8" s="706">
        <f ca="1">VLOOKUP($C$2&amp;E$6,INDIRECT(E$4),MATCH($B8,Total!$A$1:$N$1,0),0)</f>
        <v>4.0000000000000001E-3</v>
      </c>
      <c r="F8" s="706">
        <f ca="1">VLOOKUP($C$2&amp;F$6,INDIRECT(F$4),MATCH($B8,Total!$A$1:$N$1,0),0)</f>
        <v>4.0000000000000001E-3</v>
      </c>
      <c r="G8" s="706">
        <f ca="1">VLOOKUP($C$2&amp;G$6,INDIRECT(G$4),MATCH($B8,Total!$A$1:$N$1,0),0)</f>
        <v>1E-3</v>
      </c>
      <c r="H8" s="706">
        <f ca="1">VLOOKUP($C$2&amp;H$6,INDIRECT(H$4),MATCH($B8,Total!$A$1:$N$1,0),0)</f>
        <v>4.0000000000000001E-3</v>
      </c>
      <c r="I8" s="706">
        <f ca="1">VLOOKUP($C$2&amp;I$6,INDIRECT(I$4),MATCH($B8,Total!$A$1:$N$1,0),0)</f>
        <v>3.0000000000000001E-3</v>
      </c>
      <c r="J8" s="706">
        <f ca="1">VLOOKUP($C$2&amp;J$6,INDIRECT(J$4),MATCH($B8,Total!$A$1:$N$1,0),0)</f>
        <v>3.0000000000000001E-3</v>
      </c>
      <c r="K8" s="706">
        <f ca="1">VLOOKUP($C$2&amp;K$6,INDIRECT(K$4),MATCH($B8,Total!$A$1:$N$1,0),0)</f>
        <v>3.0000000000000001E-3</v>
      </c>
      <c r="L8" s="706">
        <f ca="1">VLOOKUP($C$2&amp;L$6,INDIRECT(L$4),MATCH($B8,Total!$A$1:$N$1,0),0)</f>
        <v>4.0000000000000001E-3</v>
      </c>
      <c r="M8" s="706">
        <f ca="1">VLOOKUP($C$2&amp;M$6,INDIRECT(M$4),MATCH($B8,Total!$A$1:$N$1,0),0)</f>
        <v>2E-3</v>
      </c>
      <c r="N8" s="707">
        <f ca="1">VLOOKUP($C$2&amp;N$6,INDIRECT(N$4),MATCH($B8,Total!$A$1:$N$1,0),0)</f>
        <v>4.0000000000000001E-3</v>
      </c>
    </row>
    <row r="9" spans="2:15" s="704" customFormat="1" ht="16.5" customHeight="1" thickBot="1">
      <c r="B9" s="708" t="s">
        <v>1644</v>
      </c>
      <c r="C9" s="709">
        <f ca="1">SUM(C7:C8)</f>
        <v>0.56000000000000005</v>
      </c>
      <c r="D9" s="709">
        <f t="shared" ref="D9:N9" ca="1" si="0">SUM(D7:D8)</f>
        <v>0.40400000000000003</v>
      </c>
      <c r="E9" s="709">
        <f t="shared" ca="1" si="0"/>
        <v>0.51200000000000001</v>
      </c>
      <c r="F9" s="709">
        <f t="shared" ca="1" si="0"/>
        <v>0.51200000000000001</v>
      </c>
      <c r="G9" s="709">
        <f t="shared" ca="1" si="0"/>
        <v>0.312</v>
      </c>
      <c r="H9" s="709">
        <f t="shared" ca="1" si="0"/>
        <v>0.49199999999999999</v>
      </c>
      <c r="I9" s="709">
        <f t="shared" ca="1" si="0"/>
        <v>0.46900000000000003</v>
      </c>
      <c r="J9" s="709">
        <f t="shared" ca="1" si="0"/>
        <v>0.39</v>
      </c>
      <c r="K9" s="709">
        <f t="shared" ca="1" si="0"/>
        <v>0.48199999999999998</v>
      </c>
      <c r="L9" s="709">
        <f t="shared" ca="1" si="0"/>
        <v>0.503</v>
      </c>
      <c r="M9" s="709">
        <f t="shared" ca="1" si="0"/>
        <v>0.36799999999999999</v>
      </c>
      <c r="N9" s="710">
        <f t="shared" ca="1" si="0"/>
        <v>0.495</v>
      </c>
    </row>
    <row r="10" spans="2:15" s="704" customFormat="1" ht="12">
      <c r="B10" s="711"/>
      <c r="C10" s="712"/>
      <c r="I10" s="712"/>
      <c r="O10" s="713"/>
    </row>
    <row r="11" spans="2:15" s="704" customFormat="1" ht="16.5" customHeight="1" thickBot="1">
      <c r="B11" s="714" t="s">
        <v>1677</v>
      </c>
      <c r="C11" s="715"/>
      <c r="D11" s="715"/>
      <c r="E11" s="715"/>
      <c r="F11" s="715"/>
      <c r="G11" s="715"/>
      <c r="H11" s="715"/>
      <c r="I11" s="715"/>
      <c r="J11" s="715"/>
      <c r="K11" s="715"/>
      <c r="L11" s="715"/>
      <c r="M11" s="715"/>
      <c r="N11" s="715"/>
    </row>
    <row r="12" spans="2:15" s="697" customFormat="1" ht="16.5" customHeight="1">
      <c r="B12" s="696" t="s">
        <v>11</v>
      </c>
      <c r="C12" s="1392">
        <v>2017</v>
      </c>
      <c r="D12" s="1393"/>
      <c r="E12" s="1394"/>
      <c r="F12" s="1392">
        <v>2018</v>
      </c>
      <c r="G12" s="1393"/>
      <c r="H12" s="1394"/>
      <c r="I12" s="1392">
        <v>2019</v>
      </c>
      <c r="J12" s="1393"/>
      <c r="K12" s="1394"/>
      <c r="L12" s="1389" t="s">
        <v>2247</v>
      </c>
      <c r="M12" s="1390"/>
      <c r="N12" s="1391"/>
    </row>
    <row r="13" spans="2:15" s="697" customFormat="1" ht="16.5" customHeight="1">
      <c r="B13" s="698" t="s">
        <v>12</v>
      </c>
      <c r="C13" s="699" t="s">
        <v>13</v>
      </c>
      <c r="D13" s="699" t="s">
        <v>1629</v>
      </c>
      <c r="E13" s="699" t="s">
        <v>15</v>
      </c>
      <c r="F13" s="699" t="s">
        <v>13</v>
      </c>
      <c r="G13" s="699" t="s">
        <v>14</v>
      </c>
      <c r="H13" s="699" t="s">
        <v>15</v>
      </c>
      <c r="I13" s="699" t="s">
        <v>13</v>
      </c>
      <c r="J13" s="699" t="s">
        <v>14</v>
      </c>
      <c r="K13" s="699" t="s">
        <v>15</v>
      </c>
      <c r="L13" s="699" t="s">
        <v>13</v>
      </c>
      <c r="M13" s="699" t="s">
        <v>14</v>
      </c>
      <c r="N13" s="700" t="s">
        <v>15</v>
      </c>
    </row>
    <row r="14" spans="2:15" s="704" customFormat="1" ht="16.5" customHeight="1">
      <c r="B14" s="716" t="s">
        <v>17</v>
      </c>
      <c r="C14" s="717">
        <f ca="1">VLOOKUP($C$2&amp;C$6,INDIRECT(C$4),MATCH($B14,Total!$A$1:$N$1,0),0)</f>
        <v>0.80600000000000005</v>
      </c>
      <c r="D14" s="717">
        <f ca="1">VLOOKUP($C$2&amp;D$6,INDIRECT(D$4),MATCH($B14,Total!$A$1:$N$1,0),0)</f>
        <v>0.89200000000000002</v>
      </c>
      <c r="E14" s="717">
        <f ca="1">VLOOKUP($C$2&amp;E$6,INDIRECT(E$4),MATCH($B14,Total!$A$1:$N$1,0),0)</f>
        <v>0.85799999999999998</v>
      </c>
      <c r="F14" s="717">
        <f ca="1">VLOOKUP($C$2&amp;F$6,INDIRECT(F$4),MATCH($B14,Total!$A$1:$N$1,0),0)</f>
        <v>0.75800000000000001</v>
      </c>
      <c r="G14" s="717">
        <f ca="1">VLOOKUP($C$2&amp;G$6,INDIRECT(G$4),MATCH($B14,Total!$A$1:$N$1,0),0)</f>
        <v>0.91400000000000003</v>
      </c>
      <c r="H14" s="717">
        <f ca="1">VLOOKUP($C$2&amp;H$6,INDIRECT(H$4),MATCH($B14,Total!$A$1:$N$1,0),0)</f>
        <v>0.83699999999999997</v>
      </c>
      <c r="I14" s="717">
        <f ca="1">VLOOKUP($C$2&amp;I$6,INDIRECT(I$4),MATCH($B14,Total!$A$1:$N$1,0),0)</f>
        <v>0.77100000000000002</v>
      </c>
      <c r="J14" s="717">
        <f ca="1">VLOOKUP($C$2&amp;J$6,INDIRECT(J$4),MATCH($B14,Total!$A$1:$N$1,0),0)</f>
        <v>0.88800000000000001</v>
      </c>
      <c r="K14" s="717">
        <f ca="1">VLOOKUP($C$2&amp;K$6,INDIRECT(K$4),MATCH($B14,Total!$A$1:$N$1,0),0)</f>
        <v>0.84099999999999997</v>
      </c>
      <c r="L14" s="717">
        <f ca="1">VLOOKUP($C$2&amp;L$6,INDIRECT(L$4),MATCH($B14,Total!$A$1:$N$1,0),0)</f>
        <v>0.77100000000000002</v>
      </c>
      <c r="M14" s="717">
        <f ca="1">VLOOKUP($C$2&amp;M$6,INDIRECT(M$4),MATCH($B14,Total!$A$1:$N$1,0),0)</f>
        <v>0.89700000000000002</v>
      </c>
      <c r="N14" s="718">
        <f ca="1">VLOOKUP($C$2&amp;N$6,INDIRECT(N$4),MATCH($B14,Total!$A$1:$N$1,0),0)</f>
        <v>0.84499999999999997</v>
      </c>
    </row>
    <row r="15" spans="2:15" s="704" customFormat="1" ht="16.5" customHeight="1">
      <c r="B15" s="716" t="s">
        <v>1637</v>
      </c>
      <c r="C15" s="717">
        <f ca="1">VLOOKUP($C$2&amp;C$6,INDIRECT(C$4),MATCH($B15,Total!$A$1:$N$1,0),0)</f>
        <v>9.5000000000000001E-2</v>
      </c>
      <c r="D15" s="717">
        <f ca="1">VLOOKUP($C$2&amp;D$6,INDIRECT(D$4),MATCH($B15,Total!$A$1:$N$1,0),0)</f>
        <v>9.1999999999999998E-2</v>
      </c>
      <c r="E15" s="717">
        <f ca="1">VLOOKUP($C$2&amp;E$6,INDIRECT(E$4),MATCH($B15,Total!$A$1:$N$1,0),0)</f>
        <v>9.4E-2</v>
      </c>
      <c r="F15" s="717">
        <f ca="1">VLOOKUP($C$2&amp;F$6,INDIRECT(F$4),MATCH($B15,Total!$A$1:$N$1,0),0)</f>
        <v>6.3E-2</v>
      </c>
      <c r="G15" s="717">
        <f ca="1">VLOOKUP($C$2&amp;G$6,INDIRECT(G$4),MATCH($B15,Total!$A$1:$N$1,0),0)</f>
        <v>7.5999999999999998E-2</v>
      </c>
      <c r="H15" s="717">
        <f ca="1">VLOOKUP($C$2&amp;H$6,INDIRECT(H$4),MATCH($B15,Total!$A$1:$N$1,0),0)</f>
        <v>8.3000000000000004E-2</v>
      </c>
      <c r="I15" s="717">
        <f ca="1">VLOOKUP($C$2&amp;I$6,INDIRECT(I$4),MATCH($B15,Total!$A$1:$N$1,0),0)</f>
        <v>6.8000000000000005E-2</v>
      </c>
      <c r="J15" s="717">
        <f ca="1">VLOOKUP($C$2&amp;J$6,INDIRECT(J$4),MATCH($B15,Total!$A$1:$N$1,0),0)</f>
        <v>9.5000000000000001E-2</v>
      </c>
      <c r="K15" s="717">
        <f ca="1">VLOOKUP($C$2&amp;K$6,INDIRECT(K$4),MATCH($B15,Total!$A$1:$N$1,0),0)</f>
        <v>9.0999999999999998E-2</v>
      </c>
      <c r="L15" s="717">
        <f ca="1">VLOOKUP($C$2&amp;L$6,INDIRECT(L$4),MATCH($B15,Total!$A$1:$N$1,0),0)</f>
        <v>7.0000000000000007E-2</v>
      </c>
      <c r="M15" s="717">
        <f ca="1">VLOOKUP($C$2&amp;M$6,INDIRECT(M$4),MATCH($B15,Total!$A$1:$N$1,0),0)</f>
        <v>8.7999999999999995E-2</v>
      </c>
      <c r="N15" s="718">
        <f ca="1">VLOOKUP($C$2&amp;N$6,INDIRECT(N$4),MATCH($B15,Total!$A$1:$N$1,0),0)</f>
        <v>8.8999999999999996E-2</v>
      </c>
    </row>
    <row r="16" spans="2:15" s="704" customFormat="1" ht="16.5" customHeight="1" thickBot="1">
      <c r="B16" s="719" t="s">
        <v>1638</v>
      </c>
      <c r="C16" s="720">
        <f ca="1">VLOOKUP($C$2&amp;C$6,INDIRECT(C$4),MATCH($B16,Total!$A$1:$N$1,0),0)</f>
        <v>2E-3</v>
      </c>
      <c r="D16" s="720">
        <f ca="1">VLOOKUP($C$2&amp;D$6,INDIRECT(D$4),MATCH($B16,Total!$A$1:$N$1,0),0)</f>
        <v>2E-3</v>
      </c>
      <c r="E16" s="720">
        <f ca="1">VLOOKUP($C$2&amp;E$6,INDIRECT(E$4),MATCH($B16,Total!$A$1:$N$1,0),0)</f>
        <v>2E-3</v>
      </c>
      <c r="F16" s="720">
        <f ca="1">VLOOKUP($C$2&amp;F$6,INDIRECT(F$4),MATCH($B16,Total!$A$1:$N$1,0),0)</f>
        <v>2E-3</v>
      </c>
      <c r="G16" s="720">
        <f ca="1">VLOOKUP($C$2&amp;G$6,INDIRECT(G$4),MATCH($B16,Total!$A$1:$N$1,0),0)</f>
        <v>4.0000000000000001E-3</v>
      </c>
      <c r="H16" s="720">
        <f ca="1">VLOOKUP($C$2&amp;H$6,INDIRECT(H$4),MATCH($B16,Total!$A$1:$N$1,0),0)</f>
        <v>5.0000000000000001E-3</v>
      </c>
      <c r="I16" s="720">
        <f ca="1">VLOOKUP($C$2&amp;I$6,INDIRECT(I$4),MATCH($B16,Total!$A$1:$N$1,0),0)</f>
        <v>4.0000000000000001E-3</v>
      </c>
      <c r="J16" s="720">
        <f ca="1">VLOOKUP($C$2&amp;J$6,INDIRECT(J$4),MATCH($B16,Total!$A$1:$N$1,0),0)</f>
        <v>4.0000000000000001E-3</v>
      </c>
      <c r="K16" s="720">
        <f ca="1">VLOOKUP($C$2&amp;K$6,INDIRECT(K$4),MATCH($B16,Total!$A$1:$N$1,0),0)</f>
        <v>5.0000000000000001E-3</v>
      </c>
      <c r="L16" s="720">
        <f ca="1">VLOOKUP($C$2&amp;L$6,INDIRECT(L$4),MATCH($B16,Total!$A$1:$N$1,0),0)</f>
        <v>3.0000000000000001E-3</v>
      </c>
      <c r="M16" s="720">
        <f ca="1">VLOOKUP($C$2&amp;M$6,INDIRECT(M$4),MATCH($B16,Total!$A$1:$N$1,0),0)</f>
        <v>3.0000000000000001E-3</v>
      </c>
      <c r="N16" s="721">
        <f ca="1">VLOOKUP($C$2&amp;N$6,INDIRECT(N$4),MATCH($B16,Total!$A$1:$N$1,0),0)</f>
        <v>4.0000000000000001E-3</v>
      </c>
    </row>
    <row r="17" spans="2:15" s="704" customFormat="1" ht="12">
      <c r="B17" s="722"/>
    </row>
    <row r="18" spans="2:15" s="704" customFormat="1" ht="16.5" customHeight="1" thickBot="1">
      <c r="B18" s="714" t="s">
        <v>1678</v>
      </c>
    </row>
    <row r="19" spans="2:15" s="704" customFormat="1" ht="16.5" customHeight="1">
      <c r="B19" s="696" t="s">
        <v>11</v>
      </c>
      <c r="C19" s="1384" t="s">
        <v>2248</v>
      </c>
      <c r="D19" s="1384"/>
      <c r="E19" s="1384"/>
      <c r="F19" s="1384" t="s">
        <v>2249</v>
      </c>
      <c r="G19" s="1384"/>
      <c r="H19" s="1384"/>
      <c r="I19" s="1384" t="s">
        <v>2250</v>
      </c>
      <c r="J19" s="1384"/>
      <c r="K19" s="1384"/>
      <c r="L19" s="1384" t="s">
        <v>2251</v>
      </c>
      <c r="M19" s="1384"/>
      <c r="N19" s="1385"/>
      <c r="O19" s="713"/>
    </row>
    <row r="20" spans="2:15" s="704" customFormat="1" ht="16.5" customHeight="1">
      <c r="B20" s="723" t="s">
        <v>12</v>
      </c>
      <c r="C20" s="724" t="s">
        <v>1632</v>
      </c>
      <c r="D20" s="724" t="s">
        <v>1630</v>
      </c>
      <c r="E20" s="724" t="s">
        <v>1631</v>
      </c>
      <c r="F20" s="724" t="s">
        <v>1632</v>
      </c>
      <c r="G20" s="724" t="s">
        <v>1630</v>
      </c>
      <c r="H20" s="724" t="s">
        <v>1631</v>
      </c>
      <c r="I20" s="724" t="s">
        <v>1632</v>
      </c>
      <c r="J20" s="724" t="s">
        <v>1630</v>
      </c>
      <c r="K20" s="724" t="s">
        <v>1631</v>
      </c>
      <c r="L20" s="724" t="s">
        <v>1632</v>
      </c>
      <c r="M20" s="724" t="s">
        <v>1630</v>
      </c>
      <c r="N20" s="725" t="s">
        <v>1631</v>
      </c>
      <c r="O20" s="713"/>
    </row>
    <row r="21" spans="2:15" s="704" customFormat="1" ht="14.25" customHeight="1">
      <c r="B21" s="726" t="s">
        <v>1640</v>
      </c>
      <c r="C21" s="727">
        <f ca="1">VLOOKUP($C$2&amp;C$6,INDIRECT(C$4),MATCH($B21,Total!$A$1:$N$1,0),0)</f>
        <v>0.95399999999999996</v>
      </c>
      <c r="D21" s="727">
        <f ca="1">VLOOKUP($C$2&amp;D$6,INDIRECT(D$4),MATCH($B21,Total!$A$1:$N$1,0),0)</f>
        <v>0.76500000000000001</v>
      </c>
      <c r="E21" s="727">
        <f ca="1">VLOOKUP($C$2&amp;E$6,INDIRECT(E$4),MATCH($B21,Total!$A$1:$N$1,0),0)</f>
        <v>0.89500000000000002</v>
      </c>
      <c r="F21" s="727">
        <f ca="1">VLOOKUP($C$2&amp;F$6,INDIRECT(F$4),MATCH($B21,Total!$A$1:$N$1,0),0)</f>
        <v>1.103</v>
      </c>
      <c r="G21" s="727">
        <f ca="1">VLOOKUP($C$2&amp;G$6,INDIRECT(G$4),MATCH($B21,Total!$A$1:$N$1,0),0)</f>
        <v>0.67800000000000005</v>
      </c>
      <c r="H21" s="727">
        <f ca="1">VLOOKUP($C$2&amp;H$6,INDIRECT(H$4),MATCH($B21,Total!$A$1:$N$1,0),0)</f>
        <v>0.94299999999999995</v>
      </c>
      <c r="I21" s="727">
        <f ca="1">VLOOKUP($C$2&amp;I$6,INDIRECT(I$4),MATCH($B21,Total!$A$1:$N$1,0),0)</f>
        <v>0.93899999999999995</v>
      </c>
      <c r="J21" s="727">
        <f ca="1">VLOOKUP($C$2&amp;J$6,INDIRECT(J$4),MATCH($B21,Total!$A$1:$N$1,0),0)</f>
        <v>0.77500000000000002</v>
      </c>
      <c r="K21" s="727">
        <f ca="1">VLOOKUP($C$2&amp;K$6,INDIRECT(K$4),MATCH($B21,Total!$A$1:$N$1,0),0)</f>
        <v>0.90400000000000003</v>
      </c>
      <c r="L21" s="727">
        <f ca="1">VLOOKUP($C$2&amp;L$6,INDIRECT(L$4),MATCH($B21,Total!$A$1:$N$1,0),0)</f>
        <v>1.01</v>
      </c>
      <c r="M21" s="727">
        <f ca="1">VLOOKUP($C$2&amp;M$6,INDIRECT(M$4),MATCH($B21,Total!$A$1:$N$1,0),0)</f>
        <v>0.74</v>
      </c>
      <c r="N21" s="728">
        <f ca="1">VLOOKUP($C$2&amp;N$6,INDIRECT(N$4),MATCH($B21,Total!$A$1:$N$1,0),0)</f>
        <v>0.91400000000000003</v>
      </c>
      <c r="O21" s="689"/>
    </row>
    <row r="22" spans="2:15" s="704" customFormat="1" ht="14.25" customHeight="1">
      <c r="B22" s="729" t="s">
        <v>1626</v>
      </c>
      <c r="C22" s="730">
        <f ca="1">VLOOKUP($C$2&amp;C$6,INDIRECT(C$4),MATCH($B22,Total!$A$1:$N$1,0),0)</f>
        <v>9.81</v>
      </c>
      <c r="D22" s="730">
        <f ca="1">VLOOKUP($C$2&amp;D$6,INDIRECT(D$4),MATCH($B22,Total!$A$1:$N$1,0),0)</f>
        <v>6.92</v>
      </c>
      <c r="E22" s="730">
        <f ca="1">VLOOKUP($C$2&amp;E$6,INDIRECT(E$4),MATCH($B22,Total!$A$1:$N$1,0),0)</f>
        <v>8.26</v>
      </c>
      <c r="F22" s="730">
        <f ca="1">VLOOKUP($C$2&amp;F$6,INDIRECT(F$4),MATCH($B22,Total!$A$1:$N$1,0),0)</f>
        <v>18.21</v>
      </c>
      <c r="G22" s="730">
        <f ca="1">VLOOKUP($C$2&amp;G$6,INDIRECT(G$4),MATCH($B22,Total!$A$1:$N$1,0),0)</f>
        <v>5.18</v>
      </c>
      <c r="H22" s="730">
        <f ca="1">VLOOKUP($C$2&amp;H$6,INDIRECT(H$4),MATCH($B22,Total!$A$1:$N$1,0),0)</f>
        <v>7.64</v>
      </c>
      <c r="I22" s="730">
        <f ca="1">VLOOKUP($C$2&amp;I$6,INDIRECT(I$4),MATCH($B22,Total!$A$1:$N$1,0),0)</f>
        <v>16.899999999999999</v>
      </c>
      <c r="J22" s="730">
        <f ca="1">VLOOKUP($C$2&amp;J$6,INDIRECT(J$4),MATCH($B22,Total!$A$1:$N$1,0),0)</f>
        <v>7.99</v>
      </c>
      <c r="K22" s="730">
        <f ca="1">VLOOKUP($C$2&amp;K$6,INDIRECT(K$4),MATCH($B22,Total!$A$1:$N$1,0),0)</f>
        <v>8.5500000000000007</v>
      </c>
      <c r="L22" s="730">
        <f ca="1">VLOOKUP($C$2&amp;L$6,INDIRECT(L$4),MATCH($B22,Total!$A$1:$N$1,0),0)</f>
        <v>15.61</v>
      </c>
      <c r="M22" s="730">
        <f ca="1">VLOOKUP($C$2&amp;M$6,INDIRECT(M$4),MATCH($B22,Total!$A$1:$N$1,0),0)</f>
        <v>6.59</v>
      </c>
      <c r="N22" s="731">
        <f ca="1">VLOOKUP($C$2&amp;N$6,INDIRECT(N$4),MATCH($B22,Total!$A$1:$N$1,0),0)</f>
        <v>8.1300000000000008</v>
      </c>
      <c r="O22" s="689"/>
    </row>
    <row r="23" spans="2:15" ht="14.25" customHeight="1">
      <c r="B23" s="729" t="s">
        <v>1627</v>
      </c>
      <c r="C23" s="730">
        <f ca="1">VLOOKUP($C$2&amp;C$6,INDIRECT(C$4),MATCH($B23,Total!$A$1:$N$1,0),0)</f>
        <v>5.26</v>
      </c>
      <c r="D23" s="730">
        <f ca="1">VLOOKUP($C$2&amp;D$6,INDIRECT(D$4),MATCH($B23,Total!$A$1:$N$1,0),0)</f>
        <v>5.01</v>
      </c>
      <c r="E23" s="730">
        <f ca="1">VLOOKUP($C$2&amp;E$6,INDIRECT(E$4),MATCH($B23,Total!$A$1:$N$1,0),0)</f>
        <v>5.86</v>
      </c>
      <c r="F23" s="730">
        <f ca="1">VLOOKUP($C$2&amp;F$6,INDIRECT(F$4),MATCH($B23,Total!$A$1:$N$1,0),0)</f>
        <v>7.7</v>
      </c>
      <c r="G23" s="730">
        <f ca="1">VLOOKUP($C$2&amp;G$6,INDIRECT(G$4),MATCH($B23,Total!$A$1:$N$1,0),0)</f>
        <v>4.99</v>
      </c>
      <c r="H23" s="730">
        <f ca="1">VLOOKUP($C$2&amp;H$6,INDIRECT(H$4),MATCH($B23,Total!$A$1:$N$1,0),0)</f>
        <v>6.33</v>
      </c>
      <c r="I23" s="730">
        <f ca="1">VLOOKUP($C$2&amp;I$6,INDIRECT(I$4),MATCH($B23,Total!$A$1:$N$1,0),0)</f>
        <v>7.93</v>
      </c>
      <c r="J23" s="730">
        <f ca="1">VLOOKUP($C$2&amp;J$6,INDIRECT(J$4),MATCH($B23,Total!$A$1:$N$1,0),0)</f>
        <v>6.34</v>
      </c>
      <c r="K23" s="730">
        <f ca="1">VLOOKUP($C$2&amp;K$6,INDIRECT(K$4),MATCH($B23,Total!$A$1:$N$1,0),0)</f>
        <v>6.72</v>
      </c>
      <c r="L23" s="730">
        <f ca="1">VLOOKUP($C$2&amp;L$6,INDIRECT(L$4),MATCH($B23,Total!$A$1:$N$1,0),0)</f>
        <v>7.24</v>
      </c>
      <c r="M23" s="730">
        <f ca="1">VLOOKUP($C$2&amp;M$6,INDIRECT(M$4),MATCH($B23,Total!$A$1:$N$1,0),0)</f>
        <v>5.46</v>
      </c>
      <c r="N23" s="731">
        <f ca="1">VLOOKUP($C$2&amp;N$6,INDIRECT(N$4),MATCH($B23,Total!$A$1:$N$1,0),0)</f>
        <v>6.31</v>
      </c>
    </row>
    <row r="24" spans="2:15" ht="14.25" customHeight="1" thickBot="1">
      <c r="B24" s="719" t="s">
        <v>1628</v>
      </c>
      <c r="C24" s="732">
        <f ca="1">VLOOKUP($C$2&amp;C$6,INDIRECT(C$4),MATCH($B24,Total!$A$1:$N$1,0),0)</f>
        <v>16.18</v>
      </c>
      <c r="D24" s="732">
        <f ca="1">VLOOKUP($C$2&amp;D$6,INDIRECT(D$4),MATCH($B24,Total!$A$1:$N$1,0),0)</f>
        <v>13.81</v>
      </c>
      <c r="E24" s="732">
        <f ca="1">VLOOKUP($C$2&amp;E$6,INDIRECT(E$4),MATCH($B24,Total!$A$1:$N$1,0),0)</f>
        <v>15.15</v>
      </c>
      <c r="F24" s="732">
        <f ca="1">VLOOKUP($C$2&amp;F$6,INDIRECT(F$4),MATCH($B24,Total!$A$1:$N$1,0),0)</f>
        <v>41.03</v>
      </c>
      <c r="G24" s="732">
        <f ca="1">VLOOKUP($C$2&amp;G$6,INDIRECT(G$4),MATCH($B24,Total!$A$1:$N$1,0),0)</f>
        <v>13.58</v>
      </c>
      <c r="H24" s="732">
        <f ca="1">VLOOKUP($C$2&amp;H$6,INDIRECT(H$4),MATCH($B24,Total!$A$1:$N$1,0),0)</f>
        <v>17.64</v>
      </c>
      <c r="I24" s="732">
        <f ca="1">VLOOKUP($C$2&amp;I$6,INDIRECT(I$4),MATCH($B24,Total!$A$1:$N$1,0),0)</f>
        <v>41.39</v>
      </c>
      <c r="J24" s="732">
        <f ca="1">VLOOKUP($C$2&amp;J$6,INDIRECT(J$4),MATCH($B24,Total!$A$1:$N$1,0),0)</f>
        <v>15.14</v>
      </c>
      <c r="K24" s="732">
        <f ca="1">VLOOKUP($C$2&amp;K$6,INDIRECT(K$4),MATCH($B24,Total!$A$1:$N$1,0),0)</f>
        <v>16.809999999999999</v>
      </c>
      <c r="L24" s="732">
        <f ca="1">VLOOKUP($C$2&amp;L$6,INDIRECT(L$4),MATCH($B24,Total!$A$1:$N$1,0),0)</f>
        <v>33.07</v>
      </c>
      <c r="M24" s="732">
        <f ca="1">VLOOKUP($C$2&amp;M$6,INDIRECT(M$4),MATCH($B24,Total!$A$1:$N$1,0),0)</f>
        <v>14.23</v>
      </c>
      <c r="N24" s="733">
        <f ca="1">VLOOKUP($C$2&amp;N$6,INDIRECT(N$4),MATCH($B24,Total!$A$1:$N$1,0),0)</f>
        <v>16.54</v>
      </c>
    </row>
    <row r="26" spans="2:15" ht="12" customHeight="1"/>
    <row r="28" spans="2:15" ht="12" customHeight="1"/>
    <row r="29" spans="2:15" ht="12" customHeight="1"/>
    <row r="31" spans="2:15" ht="12" customHeight="1"/>
    <row r="32" spans="2:15" ht="12" customHeight="1"/>
    <row r="33" ht="12" customHeight="1"/>
    <row r="42" ht="12" customHeight="1"/>
    <row r="43" ht="12" customHeight="1"/>
    <row r="44" ht="12" customHeight="1"/>
    <row r="45" ht="12" customHeight="1"/>
    <row r="51" ht="12" customHeight="1"/>
    <row r="53" ht="12" customHeight="1"/>
    <row r="55" ht="12" customHeight="1"/>
    <row r="56" ht="12" customHeight="1"/>
    <row r="57" ht="12" customHeight="1"/>
  </sheetData>
  <mergeCells count="13">
    <mergeCell ref="I19:K19"/>
    <mergeCell ref="L19:N19"/>
    <mergeCell ref="C19:E19"/>
    <mergeCell ref="F19:H19"/>
    <mergeCell ref="C2:E2"/>
    <mergeCell ref="L5:N5"/>
    <mergeCell ref="I5:K5"/>
    <mergeCell ref="F5:H5"/>
    <mergeCell ref="C5:E5"/>
    <mergeCell ref="L12:N12"/>
    <mergeCell ref="I12:K12"/>
    <mergeCell ref="F12:H12"/>
    <mergeCell ref="C12:E12"/>
  </mergeCells>
  <phoneticPr fontId="11" type="noConversion"/>
  <pageMargins left="0.3" right="0.28000000000000003" top="0.51" bottom="0.49" header="0.46" footer="0.45"/>
  <pageSetup paperSize="9" fitToHeight="2"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theme="1"/>
  </sheetPr>
  <dimension ref="B1:AI122"/>
  <sheetViews>
    <sheetView zoomScaleNormal="100" workbookViewId="0">
      <pane ySplit="8" topLeftCell="A9" activePane="bottomLeft" state="frozen"/>
      <selection activeCell="C26" sqref="C26"/>
      <selection pane="bottomLeft" activeCell="K21" sqref="K21"/>
    </sheetView>
  </sheetViews>
  <sheetFormatPr defaultRowHeight="16.5"/>
  <cols>
    <col min="1" max="1" width="2.5546875" style="222" customWidth="1"/>
    <col min="2" max="2" width="8.88671875" style="734"/>
    <col min="3" max="3" width="8.88671875" style="222" customWidth="1"/>
    <col min="4" max="7" width="12.33203125" style="222" customWidth="1"/>
    <col min="8" max="8" width="27.6640625" style="222" customWidth="1"/>
    <col min="9" max="9" width="10.109375" style="222" customWidth="1"/>
    <col min="10" max="10" width="9" style="222" customWidth="1"/>
    <col min="11" max="11" width="62.21875" style="222" bestFit="1" customWidth="1"/>
    <col min="12" max="12" width="8.88671875" style="222" hidden="1" customWidth="1"/>
    <col min="13" max="13" width="11.6640625" style="222" customWidth="1"/>
    <col min="14" max="15" width="8.88671875" style="222" customWidth="1"/>
    <col min="16" max="16" width="8.88671875" style="518" customWidth="1"/>
    <col min="17" max="18" width="8.88671875" style="222" hidden="1" customWidth="1"/>
    <col min="19" max="19" width="12.6640625" style="222" hidden="1" customWidth="1"/>
    <col min="20" max="20" width="8.88671875" style="222" hidden="1" customWidth="1"/>
    <col min="21" max="21" width="23" style="222" hidden="1" customWidth="1"/>
    <col min="22" max="22" width="18" style="222" hidden="1" customWidth="1"/>
    <col min="23" max="23" width="13.21875" style="222" hidden="1" customWidth="1"/>
    <col min="24" max="33" width="8.88671875" style="222" hidden="1" customWidth="1"/>
    <col min="34" max="34" width="8.88671875" style="222" customWidth="1"/>
    <col min="35" max="16384" width="8.88671875" style="222"/>
  </cols>
  <sheetData>
    <row r="1" spans="2:35" ht="33" customHeight="1">
      <c r="E1" s="735"/>
      <c r="F1" s="735"/>
      <c r="G1" s="735"/>
      <c r="I1" s="735"/>
      <c r="J1" s="735"/>
      <c r="K1" s="735"/>
    </row>
    <row r="2" spans="2:35" ht="33" hidden="1" customHeight="1">
      <c r="D2" s="735" t="s">
        <v>2241</v>
      </c>
      <c r="E2" s="735"/>
      <c r="F2" s="735"/>
      <c r="G2" s="735"/>
      <c r="H2" s="735" t="s">
        <v>2242</v>
      </c>
      <c r="I2" s="735"/>
      <c r="J2" s="735"/>
      <c r="K2" s="735"/>
    </row>
    <row r="3" spans="2:35" ht="33" hidden="1" customHeight="1">
      <c r="D3" s="736" t="s">
        <v>2239</v>
      </c>
      <c r="E3" s="735"/>
      <c r="F3" s="735"/>
      <c r="G3" s="735"/>
      <c r="H3" s="736" t="s">
        <v>2243</v>
      </c>
      <c r="I3" s="735"/>
      <c r="J3" s="735"/>
      <c r="K3" s="735"/>
    </row>
    <row r="4" spans="2:35" ht="33" hidden="1" customHeight="1">
      <c r="D4" s="736" t="s">
        <v>2240</v>
      </c>
      <c r="E4" s="735"/>
      <c r="F4" s="735"/>
      <c r="G4" s="735"/>
      <c r="I4" s="735"/>
      <c r="J4" s="735"/>
      <c r="K4" s="735"/>
    </row>
    <row r="5" spans="2:35" ht="33" customHeight="1">
      <c r="E5" s="735"/>
      <c r="F5" s="735"/>
      <c r="G5" s="735"/>
      <c r="H5" s="736"/>
      <c r="I5" s="735"/>
      <c r="J5" s="735"/>
      <c r="K5" s="735"/>
    </row>
    <row r="6" spans="2:35" ht="20.25">
      <c r="B6" s="292" t="s">
        <v>1523</v>
      </c>
      <c r="C6" s="737"/>
      <c r="D6" s="737"/>
      <c r="E6" s="737"/>
      <c r="F6" s="738"/>
      <c r="G6" s="738"/>
      <c r="H6" s="738"/>
      <c r="I6" s="738"/>
      <c r="J6" s="738"/>
      <c r="K6" s="738"/>
      <c r="L6" s="738"/>
      <c r="M6" s="738"/>
      <c r="N6" s="738"/>
      <c r="O6" s="738"/>
      <c r="P6" s="739"/>
      <c r="Q6" s="213"/>
      <c r="R6" s="213"/>
      <c r="S6" s="213"/>
      <c r="T6" s="213"/>
      <c r="U6" s="213"/>
      <c r="V6" s="213"/>
      <c r="W6" s="213"/>
    </row>
    <row r="7" spans="2:35" ht="16.5" customHeight="1">
      <c r="B7" s="740" t="s">
        <v>1172</v>
      </c>
      <c r="C7" s="741" t="s">
        <v>1173</v>
      </c>
      <c r="D7" s="742" t="s">
        <v>195</v>
      </c>
      <c r="E7" s="743" t="s">
        <v>196</v>
      </c>
      <c r="F7" s="744" t="s">
        <v>7</v>
      </c>
      <c r="G7" s="741" t="s">
        <v>2233</v>
      </c>
      <c r="H7" s="745" t="s">
        <v>2232</v>
      </c>
      <c r="I7" s="746" t="s">
        <v>2691</v>
      </c>
      <c r="J7" s="741" t="s">
        <v>2692</v>
      </c>
      <c r="K7" s="741" t="s">
        <v>1519</v>
      </c>
      <c r="L7" s="741" t="s">
        <v>1520</v>
      </c>
      <c r="M7" s="741" t="s">
        <v>1521</v>
      </c>
      <c r="N7" s="747" t="s">
        <v>1612</v>
      </c>
      <c r="O7" s="747" t="s">
        <v>1612</v>
      </c>
      <c r="P7" s="748"/>
      <c r="Q7" s="213"/>
      <c r="R7" s="1395" t="s">
        <v>1522</v>
      </c>
      <c r="S7" s="1395"/>
      <c r="T7" s="213"/>
      <c r="U7" s="68" t="s">
        <v>1174</v>
      </c>
      <c r="V7" s="213"/>
      <c r="W7" s="213"/>
    </row>
    <row r="8" spans="2:35" ht="38.25" customHeight="1">
      <c r="B8" s="749"/>
      <c r="C8" s="750"/>
      <c r="D8" s="751" t="s">
        <v>1189</v>
      </c>
      <c r="E8" s="751" t="s">
        <v>1190</v>
      </c>
      <c r="F8" s="751" t="s">
        <v>1175</v>
      </c>
      <c r="G8" s="751" t="s">
        <v>3161</v>
      </c>
      <c r="H8" s="752" t="s">
        <v>1782</v>
      </c>
      <c r="I8" s="753" t="s">
        <v>3160</v>
      </c>
      <c r="J8" s="751" t="s">
        <v>2230</v>
      </c>
      <c r="K8" s="750"/>
      <c r="L8" s="750"/>
      <c r="M8" s="751" t="s">
        <v>1764</v>
      </c>
      <c r="N8" s="754" t="s">
        <v>1613</v>
      </c>
      <c r="O8" s="754" t="s">
        <v>1614</v>
      </c>
      <c r="P8" s="755"/>
      <c r="Q8" s="213"/>
      <c r="R8" s="1396"/>
      <c r="S8" s="1396"/>
      <c r="T8" s="213"/>
      <c r="U8" s="756" t="s">
        <v>2984</v>
      </c>
      <c r="V8" s="757" t="s">
        <v>1176</v>
      </c>
      <c r="W8" s="757" t="s">
        <v>1615</v>
      </c>
      <c r="X8" s="757" t="s">
        <v>1616</v>
      </c>
    </row>
    <row r="9" spans="2:35" ht="33">
      <c r="B9" s="758">
        <v>111</v>
      </c>
      <c r="C9" s="759">
        <v>0.82369999999999999</v>
      </c>
      <c r="D9" s="759">
        <f>(1.806+C9*4.756)/100</f>
        <v>5.7235172000000001E-2</v>
      </c>
      <c r="E9" s="759">
        <v>3.4344445191398003E-2</v>
      </c>
      <c r="F9" s="759">
        <v>0.58550000000000002</v>
      </c>
      <c r="G9" s="759">
        <f>D9*F9+(1-0.209)*E9*(1-F9)</f>
        <v>4.4771689278681068E-2</v>
      </c>
      <c r="H9" s="759">
        <f ca="1">D9*F9+E9*(1-F9)*(1-(현금흐름!$X$23/(현금흐름!$X$23+현금흐름!$X$24)))</f>
        <v>4.5207560813718947E-2</v>
      </c>
      <c r="I9" s="759">
        <f>D9*F9+E9*(1-F9)*(1-0.209)</f>
        <v>4.4771689278681068E-2</v>
      </c>
      <c r="J9" s="759">
        <f ca="1">H9</f>
        <v>4.5207560813718947E-2</v>
      </c>
      <c r="K9" s="760" t="s">
        <v>2511</v>
      </c>
      <c r="L9" s="761" t="str">
        <f>'업종분류 검수용'!C3</f>
        <v>2</v>
      </c>
      <c r="M9" s="762">
        <v>0.36</v>
      </c>
      <c r="N9" s="763">
        <f>VLOOKUP(업종분류!B9,'산업기술요소(보조)'!I1:K180,2,0)</f>
        <v>0.92200000000000004</v>
      </c>
      <c r="O9" s="763">
        <f>VLOOKUP(업종분류!B9,'산업기술요소(보조)'!I1:K180,3,0)</f>
        <v>0.67830000000000001</v>
      </c>
      <c r="P9" s="764"/>
      <c r="Q9" s="213"/>
      <c r="R9" s="765" t="s">
        <v>163</v>
      </c>
      <c r="S9" s="765" t="s">
        <v>211</v>
      </c>
      <c r="T9" s="213"/>
      <c r="U9" s="756" t="s">
        <v>1177</v>
      </c>
      <c r="V9" s="757" t="s">
        <v>1178</v>
      </c>
      <c r="W9" s="766" t="s">
        <v>1524</v>
      </c>
      <c r="X9" s="767" t="s">
        <v>1617</v>
      </c>
      <c r="AI9" s="222" t="str">
        <f>IF(AND(B2=Q2,C2=R2,E2=T2,F2=U2),"","x")</f>
        <v/>
      </c>
    </row>
    <row r="10" spans="2:35">
      <c r="B10" s="768">
        <v>112</v>
      </c>
      <c r="C10" s="759">
        <v>0.82369999999999999</v>
      </c>
      <c r="D10" s="759">
        <f t="shared" ref="D10:D73" si="0">(1.806+C10*4.756)/100</f>
        <v>5.7235172000000001E-2</v>
      </c>
      <c r="E10" s="759">
        <v>3.4344445191398003E-2</v>
      </c>
      <c r="F10" s="759">
        <v>0.58550000000000002</v>
      </c>
      <c r="G10" s="759">
        <f t="shared" ref="G10:G73" si="1">D10*F10+(1-0.209)*E10*(1-F10)</f>
        <v>4.4771689278681068E-2</v>
      </c>
      <c r="H10" s="759">
        <f ca="1">D10*F10+E10*(1-F10)*(1-(현금흐름!$X$23/(현금흐름!$X$23+현금흐름!$X$24)))</f>
        <v>4.5207560813718947E-2</v>
      </c>
      <c r="I10" s="759">
        <f t="shared" ref="I10:I73" si="2">D10*F10+E10*(1-F10)*(1-0.209)</f>
        <v>4.4771689278681068E-2</v>
      </c>
      <c r="J10" s="759">
        <f t="shared" ref="J10:J14" ca="1" si="3">H10</f>
        <v>4.5207560813718947E-2</v>
      </c>
      <c r="K10" s="760" t="s">
        <v>1196</v>
      </c>
      <c r="L10" s="761" t="str">
        <f>'업종분류 검수용'!C4</f>
        <v>2</v>
      </c>
      <c r="M10" s="762">
        <v>0.36</v>
      </c>
      <c r="N10" s="763">
        <f>VLOOKUP(업종분류!B10,'산업기술요소(보조)'!I2:K181,2,0)</f>
        <v>0.92200000000000004</v>
      </c>
      <c r="O10" s="763">
        <f>VLOOKUP(업종분류!B10,'산업기술요소(보조)'!I2:K181,3,0)</f>
        <v>0.67830000000000001</v>
      </c>
      <c r="P10" s="764"/>
      <c r="Q10" s="213"/>
      <c r="R10" s="769">
        <v>50</v>
      </c>
      <c r="S10" s="770">
        <v>0</v>
      </c>
      <c r="T10" s="213"/>
      <c r="U10" s="771" t="s">
        <v>1179</v>
      </c>
      <c r="V10" s="771" t="s">
        <v>1180</v>
      </c>
      <c r="W10" s="69">
        <v>0.1</v>
      </c>
      <c r="X10" s="201">
        <v>0.32800000000000001</v>
      </c>
    </row>
    <row r="11" spans="2:35">
      <c r="B11" s="758">
        <v>113</v>
      </c>
      <c r="C11" s="759">
        <v>0.82369999999999999</v>
      </c>
      <c r="D11" s="759">
        <f t="shared" si="0"/>
        <v>5.7235172000000001E-2</v>
      </c>
      <c r="E11" s="759">
        <v>3.4344445191398003E-2</v>
      </c>
      <c r="F11" s="759">
        <v>0.58550000000000002</v>
      </c>
      <c r="G11" s="759">
        <f t="shared" si="1"/>
        <v>4.4771689278681068E-2</v>
      </c>
      <c r="H11" s="759">
        <f ca="1">D11*F11+E11*(1-F11)*(1-(현금흐름!$X$23/(현금흐름!$X$23+현금흐름!$X$24)))</f>
        <v>4.5207560813718947E-2</v>
      </c>
      <c r="I11" s="759">
        <f t="shared" si="2"/>
        <v>4.4771689278681068E-2</v>
      </c>
      <c r="J11" s="759">
        <f t="shared" ca="1" si="3"/>
        <v>4.5207560813718947E-2</v>
      </c>
      <c r="K11" s="760" t="s">
        <v>1197</v>
      </c>
      <c r="L11" s="761" t="str">
        <f>'업종분류 검수용'!C5</f>
        <v>2</v>
      </c>
      <c r="M11" s="762">
        <v>0.36</v>
      </c>
      <c r="N11" s="763">
        <f>VLOOKUP(업종분류!B11,'산업기술요소(보조)'!I3:K182,2,0)</f>
        <v>0.92200000000000004</v>
      </c>
      <c r="O11" s="763">
        <f>VLOOKUP(업종분류!B11,'산업기술요소(보조)'!I3:K182,3,0)</f>
        <v>0.67830000000000001</v>
      </c>
      <c r="P11" s="764"/>
      <c r="Q11" s="213"/>
      <c r="R11" s="769">
        <v>49</v>
      </c>
      <c r="S11" s="770">
        <v>5.9999999999999995E-4</v>
      </c>
      <c r="T11" s="213"/>
      <c r="U11" s="771" t="s">
        <v>1181</v>
      </c>
      <c r="V11" s="771" t="s">
        <v>1182</v>
      </c>
      <c r="W11" s="69">
        <v>0.06</v>
      </c>
      <c r="X11" s="201">
        <v>0.24099999999999999</v>
      </c>
    </row>
    <row r="12" spans="2:35">
      <c r="B12" s="758">
        <v>114</v>
      </c>
      <c r="C12" s="759">
        <v>0.82369999999999999</v>
      </c>
      <c r="D12" s="759">
        <f t="shared" si="0"/>
        <v>5.7235172000000001E-2</v>
      </c>
      <c r="E12" s="759">
        <v>3.4344445191398003E-2</v>
      </c>
      <c r="F12" s="759">
        <v>0.58550000000000002</v>
      </c>
      <c r="G12" s="759">
        <f t="shared" si="1"/>
        <v>4.4771689278681068E-2</v>
      </c>
      <c r="H12" s="759">
        <f ca="1">D12*F12+E12*(1-F12)*(1-(현금흐름!$X$23/(현금흐름!$X$23+현금흐름!$X$24)))</f>
        <v>4.5207560813718947E-2</v>
      </c>
      <c r="I12" s="759">
        <f t="shared" si="2"/>
        <v>4.4771689278681068E-2</v>
      </c>
      <c r="J12" s="759">
        <f t="shared" ca="1" si="3"/>
        <v>4.5207560813718947E-2</v>
      </c>
      <c r="K12" s="760" t="s">
        <v>1198</v>
      </c>
      <c r="L12" s="761" t="str">
        <f>'업종분류 검수용'!C6</f>
        <v>2</v>
      </c>
      <c r="M12" s="762">
        <v>0.36</v>
      </c>
      <c r="N12" s="763">
        <f>VLOOKUP(업종분류!B12,'산업기술요소(보조)'!I4:K183,2,0)</f>
        <v>0.92200000000000004</v>
      </c>
      <c r="O12" s="763">
        <f>VLOOKUP(업종분류!B12,'산업기술요소(보조)'!I4:K183,3,0)</f>
        <v>0.67830000000000001</v>
      </c>
      <c r="P12" s="764"/>
      <c r="Q12" s="213"/>
      <c r="R12" s="769">
        <v>48</v>
      </c>
      <c r="S12" s="770">
        <v>4.8999999999999998E-3</v>
      </c>
      <c r="T12" s="213"/>
      <c r="U12" s="771" t="s">
        <v>1183</v>
      </c>
      <c r="V12" s="771" t="s">
        <v>1184</v>
      </c>
      <c r="W12" s="69">
        <v>0.04</v>
      </c>
      <c r="X12" s="201">
        <v>0.153</v>
      </c>
    </row>
    <row r="13" spans="2:35">
      <c r="B13" s="758">
        <v>115</v>
      </c>
      <c r="C13" s="759">
        <v>0.82369999999999999</v>
      </c>
      <c r="D13" s="759">
        <f t="shared" si="0"/>
        <v>5.7235172000000001E-2</v>
      </c>
      <c r="E13" s="759">
        <v>3.4344445191398003E-2</v>
      </c>
      <c r="F13" s="759">
        <v>0.58550000000000002</v>
      </c>
      <c r="G13" s="759">
        <f t="shared" si="1"/>
        <v>4.4771689278681068E-2</v>
      </c>
      <c r="H13" s="759">
        <f ca="1">D13*F13+E13*(1-F13)*(1-(현금흐름!$X$23/(현금흐름!$X$23+현금흐름!$X$24)))</f>
        <v>4.5207560813718947E-2</v>
      </c>
      <c r="I13" s="759">
        <f t="shared" si="2"/>
        <v>4.4771689278681068E-2</v>
      </c>
      <c r="J13" s="759">
        <f t="shared" ca="1" si="3"/>
        <v>4.5207560813718947E-2</v>
      </c>
      <c r="K13" s="760" t="s">
        <v>1199</v>
      </c>
      <c r="L13" s="761" t="str">
        <f>'업종분류 검수용'!C7</f>
        <v>2</v>
      </c>
      <c r="M13" s="762">
        <v>0.36</v>
      </c>
      <c r="N13" s="763">
        <f>VLOOKUP(업종분류!B13,'산업기술요소(보조)'!I5:K184,2,0)</f>
        <v>0.92200000000000004</v>
      </c>
      <c r="O13" s="763">
        <f>VLOOKUP(업종분류!B13,'산업기술요소(보조)'!I5:K184,3,0)</f>
        <v>0.67830000000000001</v>
      </c>
      <c r="P13" s="764"/>
      <c r="Q13" s="213"/>
      <c r="R13" s="769">
        <v>47</v>
      </c>
      <c r="S13" s="770">
        <v>9.2999999999999992E-3</v>
      </c>
      <c r="T13" s="213"/>
      <c r="U13" s="771" t="s">
        <v>1185</v>
      </c>
      <c r="V13" s="771" t="s">
        <v>1186</v>
      </c>
      <c r="W13" s="69">
        <v>0.02</v>
      </c>
      <c r="X13" s="201">
        <v>6.6000000000000003E-2</v>
      </c>
    </row>
    <row r="14" spans="2:35">
      <c r="B14" s="758">
        <v>119</v>
      </c>
      <c r="C14" s="759">
        <v>0.82369999999999999</v>
      </c>
      <c r="D14" s="759">
        <f t="shared" si="0"/>
        <v>5.7235172000000001E-2</v>
      </c>
      <c r="E14" s="759">
        <v>3.4344445191398003E-2</v>
      </c>
      <c r="F14" s="759">
        <v>0.58550000000000002</v>
      </c>
      <c r="G14" s="759">
        <f t="shared" si="1"/>
        <v>4.4771689278681068E-2</v>
      </c>
      <c r="H14" s="759">
        <f ca="1">D14*F14+E14*(1-F14)*(1-(현금흐름!$X$23/(현금흐름!$X$23+현금흐름!$X$24)))</f>
        <v>4.5207560813718947E-2</v>
      </c>
      <c r="I14" s="759">
        <f t="shared" si="2"/>
        <v>4.4771689278681068E-2</v>
      </c>
      <c r="J14" s="759">
        <f t="shared" ca="1" si="3"/>
        <v>4.5207560813718947E-2</v>
      </c>
      <c r="K14" s="760" t="s">
        <v>1200</v>
      </c>
      <c r="L14" s="761" t="str">
        <f>'업종분류 검수용'!C8</f>
        <v>2</v>
      </c>
      <c r="M14" s="762">
        <v>0.36</v>
      </c>
      <c r="N14" s="763">
        <f>VLOOKUP(업종분류!B14,'산업기술요소(보조)'!I6:K185,2,0)</f>
        <v>0.92200000000000004</v>
      </c>
      <c r="O14" s="763">
        <f>VLOOKUP(업종분류!B14,'산업기술요소(보조)'!I6:K185,3,0)</f>
        <v>0.67830000000000001</v>
      </c>
      <c r="P14" s="764"/>
      <c r="Q14" s="213"/>
      <c r="R14" s="769">
        <v>46</v>
      </c>
      <c r="S14" s="770">
        <v>1.38E-2</v>
      </c>
      <c r="T14" s="213"/>
      <c r="U14" s="771" t="s">
        <v>1187</v>
      </c>
      <c r="V14" s="771" t="s">
        <v>1188</v>
      </c>
      <c r="W14" s="69">
        <v>0</v>
      </c>
      <c r="X14" s="201">
        <v>0</v>
      </c>
    </row>
    <row r="15" spans="2:35">
      <c r="B15" s="758">
        <v>121</v>
      </c>
      <c r="C15" s="759">
        <v>0.82369999999999999</v>
      </c>
      <c r="D15" s="759">
        <f t="shared" si="0"/>
        <v>5.7235172000000001E-2</v>
      </c>
      <c r="E15" s="759">
        <v>3.5836208705370499E-2</v>
      </c>
      <c r="F15" s="759">
        <v>0.58550000000000002</v>
      </c>
      <c r="G15" s="759">
        <f t="shared" si="1"/>
        <v>4.5260793036125478E-2</v>
      </c>
      <c r="H15" s="759">
        <f ca="1">D15*F15+E15*(1-F15)*(1-(현금흐름!$X$23/(현금흐름!$X$23+현금흐름!$X$24)))</f>
        <v>4.5715596810398114E-2</v>
      </c>
      <c r="I15" s="759">
        <f t="shared" si="2"/>
        <v>4.5260793036125478E-2</v>
      </c>
      <c r="J15" s="759">
        <f ca="1">H15</f>
        <v>4.5715596810398114E-2</v>
      </c>
      <c r="K15" s="760" t="s">
        <v>1201</v>
      </c>
      <c r="L15" s="761" t="str">
        <f>'업종분류 검수용'!C9</f>
        <v>2</v>
      </c>
      <c r="M15" s="762">
        <v>0.36</v>
      </c>
      <c r="N15" s="763">
        <f>VLOOKUP(업종분류!B15,'산업기술요소(보조)'!I7:K186,2,0)</f>
        <v>0.26919999999999999</v>
      </c>
      <c r="O15" s="763">
        <f>VLOOKUP(업종분류!B15,'산업기술요소(보조)'!I7:K186,3,0)</f>
        <v>5.91E-2</v>
      </c>
      <c r="P15" s="764"/>
      <c r="Q15" s="213"/>
      <c r="R15" s="769">
        <v>45</v>
      </c>
      <c r="S15" s="770">
        <v>1.83E-2</v>
      </c>
      <c r="T15" s="213"/>
      <c r="U15" s="213"/>
      <c r="V15" s="213"/>
      <c r="W15" s="213"/>
    </row>
    <row r="16" spans="2:35">
      <c r="B16" s="758">
        <v>122</v>
      </c>
      <c r="C16" s="759">
        <v>0.82369999999999999</v>
      </c>
      <c r="D16" s="759">
        <f t="shared" si="0"/>
        <v>5.7235172000000001E-2</v>
      </c>
      <c r="E16" s="759">
        <v>3.5836208705370499E-2</v>
      </c>
      <c r="F16" s="759">
        <v>0.58550000000000002</v>
      </c>
      <c r="G16" s="759">
        <f t="shared" si="1"/>
        <v>4.5260793036125478E-2</v>
      </c>
      <c r="H16" s="759">
        <f ca="1">D16*F16+E16*(1-F16)*(1-(현금흐름!$X$23/(현금흐름!$X$23+현금흐름!$X$24)))</f>
        <v>4.5715596810398114E-2</v>
      </c>
      <c r="I16" s="759">
        <f t="shared" si="2"/>
        <v>4.5260793036125478E-2</v>
      </c>
      <c r="J16" s="759">
        <f t="shared" ref="J16:J79" ca="1" si="4">H16</f>
        <v>4.5715596810398114E-2</v>
      </c>
      <c r="K16" s="760" t="s">
        <v>3</v>
      </c>
      <c r="L16" s="761" t="str">
        <f>'업종분류 검수용'!C10</f>
        <v>2</v>
      </c>
      <c r="M16" s="762">
        <v>0.36</v>
      </c>
      <c r="N16" s="763">
        <f>VLOOKUP(업종분류!B16,'산업기술요소(보조)'!I8:K187,2,0)</f>
        <v>0.26919999999999999</v>
      </c>
      <c r="O16" s="763">
        <f>VLOOKUP(업종분류!B16,'산업기술요소(보조)'!I8:K187,3,0)</f>
        <v>5.91E-2</v>
      </c>
      <c r="P16" s="764"/>
      <c r="Q16" s="213"/>
      <c r="R16" s="769">
        <v>44</v>
      </c>
      <c r="S16" s="770">
        <v>2.3E-2</v>
      </c>
      <c r="T16" s="213"/>
      <c r="U16" s="772" t="s">
        <v>3236</v>
      </c>
      <c r="V16" s="772" t="s">
        <v>3237</v>
      </c>
      <c r="W16" s="772"/>
      <c r="X16" s="773"/>
    </row>
    <row r="17" spans="2:24">
      <c r="B17" s="758">
        <v>123</v>
      </c>
      <c r="C17" s="759">
        <v>0.82369999999999999</v>
      </c>
      <c r="D17" s="759">
        <f t="shared" si="0"/>
        <v>5.7235172000000001E-2</v>
      </c>
      <c r="E17" s="759">
        <v>3.5836208705370499E-2</v>
      </c>
      <c r="F17" s="759">
        <v>0.58550000000000002</v>
      </c>
      <c r="G17" s="759">
        <f t="shared" si="1"/>
        <v>4.5260793036125478E-2</v>
      </c>
      <c r="H17" s="759">
        <f ca="1">D17*F17+E17*(1-F17)*(1-(현금흐름!$X$23/(현금흐름!$X$23+현금흐름!$X$24)))</f>
        <v>4.5715596810398114E-2</v>
      </c>
      <c r="I17" s="759">
        <f t="shared" si="2"/>
        <v>4.5260793036125478E-2</v>
      </c>
      <c r="J17" s="759">
        <f t="shared" ca="1" si="4"/>
        <v>4.5715596810398114E-2</v>
      </c>
      <c r="K17" s="760" t="s">
        <v>1202</v>
      </c>
      <c r="L17" s="761" t="str">
        <f>'업종분류 검수용'!C11</f>
        <v>2</v>
      </c>
      <c r="M17" s="762">
        <v>0.36</v>
      </c>
      <c r="N17" s="763">
        <f>VLOOKUP(업종분류!B17,'산업기술요소(보조)'!I9:K188,2,0)</f>
        <v>0.26919999999999999</v>
      </c>
      <c r="O17" s="763">
        <f>VLOOKUP(업종분류!B17,'산업기술요소(보조)'!I9:K188,3,0)</f>
        <v>5.91E-2</v>
      </c>
      <c r="P17" s="764"/>
      <c r="Q17" s="213"/>
      <c r="R17" s="769">
        <v>43</v>
      </c>
      <c r="S17" s="770">
        <v>2.7799999999999998E-2</v>
      </c>
      <c r="T17" s="213"/>
      <c r="U17" s="772" t="s">
        <v>3238</v>
      </c>
      <c r="V17" s="772" t="s">
        <v>3239</v>
      </c>
      <c r="W17" s="773"/>
      <c r="X17" s="772" t="s">
        <v>3240</v>
      </c>
    </row>
    <row r="18" spans="2:24">
      <c r="B18" s="758">
        <v>124</v>
      </c>
      <c r="C18" s="759">
        <v>0.82369999999999999</v>
      </c>
      <c r="D18" s="759">
        <f t="shared" si="0"/>
        <v>5.7235172000000001E-2</v>
      </c>
      <c r="E18" s="759">
        <v>3.5836208705370499E-2</v>
      </c>
      <c r="F18" s="759">
        <v>0.58550000000000002</v>
      </c>
      <c r="G18" s="759">
        <f t="shared" si="1"/>
        <v>4.5260793036125478E-2</v>
      </c>
      <c r="H18" s="759">
        <f ca="1">D18*F18+E18*(1-F18)*(1-(현금흐름!$X$23/(현금흐름!$X$23+현금흐름!$X$24)))</f>
        <v>4.5715596810398114E-2</v>
      </c>
      <c r="I18" s="759">
        <f t="shared" si="2"/>
        <v>4.5260793036125478E-2</v>
      </c>
      <c r="J18" s="759">
        <f t="shared" ca="1" si="4"/>
        <v>4.5715596810398114E-2</v>
      </c>
      <c r="K18" s="760" t="s">
        <v>1203</v>
      </c>
      <c r="L18" s="761" t="str">
        <f>'업종분류 검수용'!C12</f>
        <v>2</v>
      </c>
      <c r="M18" s="762">
        <v>0.36</v>
      </c>
      <c r="N18" s="763">
        <f>VLOOKUP(업종분류!B18,'산업기술요소(보조)'!I10:K189,2,0)</f>
        <v>0.26919999999999999</v>
      </c>
      <c r="O18" s="763">
        <f>VLOOKUP(업종분류!B18,'산업기술요소(보조)'!I10:K189,3,0)</f>
        <v>5.91E-2</v>
      </c>
      <c r="P18" s="764"/>
      <c r="Q18" s="213"/>
      <c r="R18" s="769">
        <v>42</v>
      </c>
      <c r="S18" s="770">
        <v>3.2800000000000003E-2</v>
      </c>
      <c r="T18" s="213"/>
      <c r="U18" s="213"/>
      <c r="V18" s="213"/>
      <c r="W18" s="213"/>
    </row>
    <row r="19" spans="2:24">
      <c r="B19" s="758">
        <v>129</v>
      </c>
      <c r="C19" s="759">
        <v>0.82369999999999999</v>
      </c>
      <c r="D19" s="759">
        <f t="shared" si="0"/>
        <v>5.7235172000000001E-2</v>
      </c>
      <c r="E19" s="759">
        <v>3.5836208705370499E-2</v>
      </c>
      <c r="F19" s="759">
        <v>0.58550000000000002</v>
      </c>
      <c r="G19" s="759">
        <f t="shared" si="1"/>
        <v>4.5260793036125478E-2</v>
      </c>
      <c r="H19" s="759">
        <f ca="1">D19*F19+E19*(1-F19)*(1-(현금흐름!$X$23/(현금흐름!$X$23+현금흐름!$X$24)))</f>
        <v>4.5715596810398114E-2</v>
      </c>
      <c r="I19" s="759">
        <f t="shared" si="2"/>
        <v>4.5260793036125478E-2</v>
      </c>
      <c r="J19" s="759">
        <f t="shared" ca="1" si="4"/>
        <v>4.5715596810398114E-2</v>
      </c>
      <c r="K19" s="760" t="s">
        <v>1204</v>
      </c>
      <c r="L19" s="761" t="str">
        <f>'업종분류 검수용'!C13</f>
        <v>2</v>
      </c>
      <c r="M19" s="762">
        <v>0.36</v>
      </c>
      <c r="N19" s="763">
        <f>VLOOKUP(업종분류!B19,'산업기술요소(보조)'!I11:K190,2,0)</f>
        <v>0.26919999999999999</v>
      </c>
      <c r="O19" s="763">
        <f>VLOOKUP(업종분류!B19,'산업기술요소(보조)'!I11:K190,3,0)</f>
        <v>5.91E-2</v>
      </c>
      <c r="P19" s="764"/>
      <c r="Q19" s="213"/>
      <c r="R19" s="769">
        <v>41</v>
      </c>
      <c r="S19" s="770">
        <v>3.78E-2</v>
      </c>
      <c r="T19" s="213"/>
      <c r="U19" s="213"/>
      <c r="V19" s="213"/>
      <c r="W19" s="213"/>
    </row>
    <row r="20" spans="2:24">
      <c r="B20" s="758">
        <v>211</v>
      </c>
      <c r="C20" s="759">
        <v>0.49469999999999997</v>
      </c>
      <c r="D20" s="759">
        <f t="shared" si="0"/>
        <v>4.1587932000000001E-2</v>
      </c>
      <c r="E20" s="759">
        <v>3.8825480950885595E-2</v>
      </c>
      <c r="F20" s="759">
        <v>0.629</v>
      </c>
      <c r="G20" s="759">
        <f t="shared" si="1"/>
        <v>3.7552573693327838E-2</v>
      </c>
      <c r="H20" s="759">
        <f ca="1">D20*F20+E20*(1-F20)*(1-(현금흐름!$X$23/(현금흐름!$X$23+현금흐름!$X$24)))</f>
        <v>3.799360378430322E-2</v>
      </c>
      <c r="I20" s="759">
        <f t="shared" si="2"/>
        <v>3.7552573693327838E-2</v>
      </c>
      <c r="J20" s="759">
        <f t="shared" ca="1" si="4"/>
        <v>3.799360378430322E-2</v>
      </c>
      <c r="K20" s="760" t="s">
        <v>1205</v>
      </c>
      <c r="L20" s="761">
        <f>'업종분류 검수용'!C14</f>
        <v>6</v>
      </c>
      <c r="M20" s="762">
        <v>0.80500000000000005</v>
      </c>
      <c r="N20" s="763">
        <f>VLOOKUP(업종분류!B20,'산업기술요소(보조)'!I12:K191,2,0)</f>
        <v>0.92249999999999999</v>
      </c>
      <c r="O20" s="763">
        <f>VLOOKUP(업종분류!B20,'산업기술요소(보조)'!I12:K191,3,0)</f>
        <v>0.67900000000000005</v>
      </c>
      <c r="P20" s="764"/>
      <c r="Q20" s="213"/>
      <c r="R20" s="769">
        <v>40</v>
      </c>
      <c r="S20" s="770">
        <v>4.2900000000000001E-2</v>
      </c>
      <c r="T20" s="213"/>
      <c r="U20" s="213"/>
      <c r="V20" s="213"/>
      <c r="W20" s="213"/>
    </row>
    <row r="21" spans="2:24">
      <c r="B21" s="758">
        <v>212</v>
      </c>
      <c r="C21" s="759">
        <v>0.40279999999999999</v>
      </c>
      <c r="D21" s="759">
        <f t="shared" si="0"/>
        <v>3.7217168000000002E-2</v>
      </c>
      <c r="E21" s="759">
        <v>9.4678879367111404E-2</v>
      </c>
      <c r="F21" s="759">
        <v>0.81789999999999996</v>
      </c>
      <c r="G21" s="759">
        <f t="shared" si="1"/>
        <v>4.4077571638006033E-2</v>
      </c>
      <c r="H21" s="759">
        <f ca="1">D21*F21+E21*(1-F21)*(1-(현금흐름!$X$23/(현금흐름!$X$23+현금흐름!$X$24)))</f>
        <v>4.4605458098005868E-2</v>
      </c>
      <c r="I21" s="759">
        <f t="shared" si="2"/>
        <v>4.4077571638006033E-2</v>
      </c>
      <c r="J21" s="759">
        <f t="shared" ca="1" si="4"/>
        <v>4.4605458098005868E-2</v>
      </c>
      <c r="K21" s="760" t="s">
        <v>1206</v>
      </c>
      <c r="L21" s="761">
        <f>'업종분류 검수용'!C15</f>
        <v>1</v>
      </c>
      <c r="M21" s="762">
        <v>0.23100000000000001</v>
      </c>
      <c r="N21" s="763">
        <f>VLOOKUP(업종분류!B21,'산업기술요소(보조)'!I13:K192,2,0)</f>
        <v>0.92249999999999999</v>
      </c>
      <c r="O21" s="763">
        <f>VLOOKUP(업종분류!B21,'산업기술요소(보조)'!I13:K192,3,0)</f>
        <v>0.67900000000000005</v>
      </c>
      <c r="P21" s="764"/>
      <c r="Q21" s="213"/>
      <c r="R21" s="769">
        <v>39</v>
      </c>
      <c r="S21" s="770">
        <v>4.82E-2</v>
      </c>
      <c r="T21" s="213"/>
      <c r="U21" s="213"/>
      <c r="V21" s="213"/>
      <c r="W21" s="213"/>
    </row>
    <row r="22" spans="2:24">
      <c r="B22" s="768">
        <v>213</v>
      </c>
      <c r="C22" s="759">
        <v>0.83560000000000001</v>
      </c>
      <c r="D22" s="759">
        <f t="shared" si="0"/>
        <v>5.7801136000000003E-2</v>
      </c>
      <c r="E22" s="759">
        <v>5.3928795010772787E-2</v>
      </c>
      <c r="F22" s="759">
        <v>0.74739999999999995</v>
      </c>
      <c r="G22" s="759">
        <f t="shared" si="1"/>
        <v>5.3975898219599472E-2</v>
      </c>
      <c r="H22" s="759">
        <f ca="1">D22*F22+E22*(1-F22)*(1-(현금흐름!$X$23/(현금흐름!$X$23+현금흐름!$X$24)))</f>
        <v>5.4392989903389082E-2</v>
      </c>
      <c r="I22" s="759">
        <f t="shared" si="2"/>
        <v>5.3975898219599472E-2</v>
      </c>
      <c r="J22" s="759">
        <f t="shared" ca="1" si="4"/>
        <v>5.4392989903389082E-2</v>
      </c>
      <c r="K22" s="760" t="s">
        <v>1207</v>
      </c>
      <c r="L22" s="761">
        <f>'업종분류 검수용'!C16</f>
        <v>3</v>
      </c>
      <c r="M22" s="762">
        <v>0.69</v>
      </c>
      <c r="N22" s="763">
        <f>VLOOKUP(업종분류!B22,'산업기술요소(보조)'!I14:K193,2,0)</f>
        <v>0.92249999999999999</v>
      </c>
      <c r="O22" s="763">
        <f>VLOOKUP(업종분류!B22,'산업기술요소(보조)'!I14:K193,3,0)</f>
        <v>0.67900000000000005</v>
      </c>
      <c r="P22" s="764"/>
      <c r="Q22" s="213"/>
      <c r="R22" s="769">
        <v>38</v>
      </c>
      <c r="S22" s="770">
        <v>5.3600000000000002E-2</v>
      </c>
    </row>
    <row r="23" spans="2:24">
      <c r="B23" s="758">
        <v>214</v>
      </c>
      <c r="C23" s="759">
        <v>1.1949000000000001</v>
      </c>
      <c r="D23" s="759">
        <f t="shared" si="0"/>
        <v>7.4889443999999999E-2</v>
      </c>
      <c r="E23" s="759">
        <v>3.9935337366829436E-2</v>
      </c>
      <c r="F23" s="759">
        <v>0.64890000000000003</v>
      </c>
      <c r="G23" s="759">
        <f t="shared" si="1"/>
        <v>5.9686606098649612E-2</v>
      </c>
      <c r="H23" s="759">
        <f ca="1">D23*F23+E23*(1-F23)*(1-(현금흐름!$X$23/(현금흐름!$X$23+현금흐름!$X$24)))</f>
        <v>6.0115910810489524E-2</v>
      </c>
      <c r="I23" s="759">
        <f t="shared" si="2"/>
        <v>5.9686606098649612E-2</v>
      </c>
      <c r="J23" s="759">
        <f t="shared" ca="1" si="4"/>
        <v>6.0115910810489524E-2</v>
      </c>
      <c r="K23" s="760" t="s">
        <v>1208</v>
      </c>
      <c r="L23" s="761">
        <f>'업종분류 검수용'!C17</f>
        <v>163</v>
      </c>
      <c r="M23" s="762">
        <v>0.96299999999999997</v>
      </c>
      <c r="N23" s="763">
        <f>VLOOKUP(업종분류!B23,'산업기술요소(보조)'!I15:K194,2,0)</f>
        <v>0.92710000000000004</v>
      </c>
      <c r="O23" s="763">
        <f>VLOOKUP(업종분류!B23,'산업기술요소(보조)'!I15:K194,3,0)</f>
        <v>0.70879999999999999</v>
      </c>
      <c r="P23" s="764"/>
      <c r="Q23" s="213"/>
      <c r="R23" s="769">
        <v>37</v>
      </c>
      <c r="S23" s="770">
        <v>5.9200000000000003E-2</v>
      </c>
    </row>
    <row r="24" spans="2:24">
      <c r="B24" s="758">
        <v>215</v>
      </c>
      <c r="C24" s="759">
        <v>1.2544999999999999</v>
      </c>
      <c r="D24" s="759">
        <f t="shared" si="0"/>
        <v>7.7724020000000005E-2</v>
      </c>
      <c r="E24" s="759">
        <v>4.0631125611343466E-2</v>
      </c>
      <c r="F24" s="759">
        <v>0.58899999999999997</v>
      </c>
      <c r="G24" s="759">
        <f t="shared" si="1"/>
        <v>5.8988667347373375E-2</v>
      </c>
      <c r="H24" s="759">
        <f ca="1">D24*F24+E24*(1-F24)*(1-(현금흐름!$X$23/(현금흐름!$X$23+현금흐름!$X$24)))</f>
        <v>5.9499970115237361E-2</v>
      </c>
      <c r="I24" s="759">
        <f t="shared" si="2"/>
        <v>5.8988667347373375E-2</v>
      </c>
      <c r="J24" s="759">
        <f t="shared" ca="1" si="4"/>
        <v>5.9499970115237361E-2</v>
      </c>
      <c r="K24" s="760" t="s">
        <v>1209</v>
      </c>
      <c r="L24" s="761">
        <f>'업종분류 검수용'!C18</f>
        <v>51</v>
      </c>
      <c r="M24" s="762">
        <v>0.19</v>
      </c>
      <c r="N24" s="763">
        <f>VLOOKUP(업종분류!B24,'산업기술요소(보조)'!I16:K195,2,0)</f>
        <v>0.90539999999999998</v>
      </c>
      <c r="O24" s="763">
        <f>VLOOKUP(업종분류!B24,'산업기술요소(보조)'!I16:K195,3,0)</f>
        <v>0.51859999999999995</v>
      </c>
      <c r="P24" s="764"/>
      <c r="Q24" s="213"/>
      <c r="R24" s="769">
        <v>36</v>
      </c>
      <c r="S24" s="770">
        <v>6.4899999999999999E-2</v>
      </c>
    </row>
    <row r="25" spans="2:24">
      <c r="B25" s="768">
        <v>219</v>
      </c>
      <c r="C25" s="759">
        <v>1.2052</v>
      </c>
      <c r="D25" s="759">
        <f t="shared" si="0"/>
        <v>7.5379312000000004E-2</v>
      </c>
      <c r="E25" s="759">
        <v>4.7122955267662373E-2</v>
      </c>
      <c r="F25" s="759">
        <v>0.60909999999999997</v>
      </c>
      <c r="G25" s="759">
        <f t="shared" si="1"/>
        <v>6.0484046241576217E-2</v>
      </c>
      <c r="H25" s="759">
        <f ca="1">D25*F25+E25*(1-F25)*(1-(현금흐름!$X$23/(현금흐름!$X$23+현금흐름!$X$24)))</f>
        <v>6.1048041765678837E-2</v>
      </c>
      <c r="I25" s="759">
        <f t="shared" si="2"/>
        <v>6.0484046241576217E-2</v>
      </c>
      <c r="J25" s="759">
        <f t="shared" ca="1" si="4"/>
        <v>6.1048041765678837E-2</v>
      </c>
      <c r="K25" s="760" t="s">
        <v>1210</v>
      </c>
      <c r="L25" s="761">
        <f>'업종분류 검수용'!C19</f>
        <v>31</v>
      </c>
      <c r="M25" s="762">
        <v>0.19</v>
      </c>
      <c r="N25" s="763">
        <f>VLOOKUP(업종분류!B25,'산업기술요소(보조)'!I17:K196,2,0)</f>
        <v>0.93799999999999994</v>
      </c>
      <c r="O25" s="763">
        <f>VLOOKUP(업종분류!B25,'산업기술요소(보조)'!I17:K196,3,0)</f>
        <v>0.81610000000000005</v>
      </c>
      <c r="P25" s="764"/>
      <c r="Q25" s="213"/>
      <c r="R25" s="769">
        <v>35</v>
      </c>
      <c r="S25" s="770">
        <v>7.0800000000000002E-2</v>
      </c>
    </row>
    <row r="26" spans="2:24">
      <c r="B26" s="758">
        <v>221</v>
      </c>
      <c r="C26" s="759">
        <v>0.90910000000000002</v>
      </c>
      <c r="D26" s="759">
        <f t="shared" si="0"/>
        <v>6.1296796000000001E-2</v>
      </c>
      <c r="E26" s="759">
        <v>4.7122955267662373E-2</v>
      </c>
      <c r="F26" s="759">
        <v>0.629</v>
      </c>
      <c r="G26" s="759">
        <f t="shared" si="1"/>
        <v>5.2384434259803471E-2</v>
      </c>
      <c r="H26" s="759">
        <f ca="1">D26*F26+E26*(1-F26)*(1-(현금흐름!$X$23/(현금흐름!$X$23+현금흐름!$X$24)))</f>
        <v>5.2919717809156434E-2</v>
      </c>
      <c r="I26" s="759">
        <f t="shared" si="2"/>
        <v>5.2384434259803471E-2</v>
      </c>
      <c r="J26" s="759">
        <f t="shared" ca="1" si="4"/>
        <v>5.2919717809156434E-2</v>
      </c>
      <c r="K26" s="760" t="s">
        <v>1211</v>
      </c>
      <c r="L26" s="761">
        <f>'업종분류 검수용'!C20</f>
        <v>24</v>
      </c>
      <c r="M26" s="762">
        <v>0.53100000000000003</v>
      </c>
      <c r="N26" s="763">
        <f>VLOOKUP(업종분류!B26,'산업기술요소(보조)'!I18:K197,2,0)</f>
        <v>0.62160000000000004</v>
      </c>
      <c r="O26" s="763">
        <f>VLOOKUP(업종분류!B26,'산업기술요소(보조)'!I18:K197,3,0)</f>
        <v>0.41870000000000002</v>
      </c>
      <c r="P26" s="764"/>
      <c r="Q26" s="213"/>
      <c r="R26" s="769">
        <v>34</v>
      </c>
      <c r="S26" s="770">
        <v>7.6899999999999996E-2</v>
      </c>
    </row>
    <row r="27" spans="2:24">
      <c r="B27" s="758">
        <v>222</v>
      </c>
      <c r="C27" s="759">
        <v>0.91900000000000004</v>
      </c>
      <c r="D27" s="759">
        <f t="shared" si="0"/>
        <v>6.1767640000000006E-2</v>
      </c>
      <c r="E27" s="759">
        <v>3.3102176562030065E-2</v>
      </c>
      <c r="F27" s="759">
        <v>0.63870000000000005</v>
      </c>
      <c r="G27" s="759">
        <f t="shared" si="1"/>
        <v>4.891120643396242E-2</v>
      </c>
      <c r="H27" s="759">
        <f ca="1">D27*F27+E27*(1-F27)*(1-(현금흐름!$X$23/(현금흐름!$X$23+현금흐름!$X$24)))</f>
        <v>4.9277392639722209E-2</v>
      </c>
      <c r="I27" s="759">
        <f t="shared" si="2"/>
        <v>4.891120643396242E-2</v>
      </c>
      <c r="J27" s="759">
        <f t="shared" ca="1" si="4"/>
        <v>4.9277392639722209E-2</v>
      </c>
      <c r="K27" s="760" t="s">
        <v>1212</v>
      </c>
      <c r="L27" s="761" t="str">
        <f>'업종분류 검수용'!C21</f>
        <v>25</v>
      </c>
      <c r="M27" s="762">
        <v>0.19</v>
      </c>
      <c r="N27" s="763">
        <f>VLOOKUP(업종분류!B27,'산업기술요소(보조)'!I19:K198,2,0)</f>
        <v>0.4582</v>
      </c>
      <c r="O27" s="763">
        <f>VLOOKUP(업종분류!B27,'산업기술요소(보조)'!I19:K198,3,0)</f>
        <v>0.31850000000000001</v>
      </c>
      <c r="P27" s="764"/>
      <c r="Q27" s="213"/>
      <c r="R27" s="769">
        <v>33</v>
      </c>
      <c r="S27" s="770">
        <v>8.3099999999999993E-2</v>
      </c>
    </row>
    <row r="28" spans="2:24">
      <c r="B28" s="758">
        <v>223</v>
      </c>
      <c r="C28" s="759">
        <v>0.8397</v>
      </c>
      <c r="D28" s="759">
        <f t="shared" si="0"/>
        <v>5.7996132000000006E-2</v>
      </c>
      <c r="E28" s="759">
        <v>3.1623323552356662E-2</v>
      </c>
      <c r="F28" s="759">
        <v>0.62639999999999996</v>
      </c>
      <c r="G28" s="759">
        <f t="shared" si="1"/>
        <v>4.5674025765015919E-2</v>
      </c>
      <c r="H28" s="759">
        <f ca="1">D28*F28+E28*(1-F28)*(1-(현금흐름!$X$23/(현금흐름!$X$23+현금흐름!$X$24)))</f>
        <v>4.6035761860944997E-2</v>
      </c>
      <c r="I28" s="759">
        <f t="shared" si="2"/>
        <v>4.5674025765015919E-2</v>
      </c>
      <c r="J28" s="759">
        <f t="shared" ca="1" si="4"/>
        <v>4.6035761860944997E-2</v>
      </c>
      <c r="K28" s="760" t="s">
        <v>1213</v>
      </c>
      <c r="L28" s="761">
        <f>'업종분류 검수용'!C22</f>
        <v>42</v>
      </c>
      <c r="M28" s="762">
        <v>0.93</v>
      </c>
      <c r="N28" s="763">
        <f>VLOOKUP(업종분류!B28,'산업기술요소(보조)'!I20:K199,2,0)</f>
        <v>0.75609999999999999</v>
      </c>
      <c r="O28" s="763">
        <f>VLOOKUP(업종분류!B28,'산업기술요소(보조)'!I20:K199,3,0)</f>
        <v>0.6401</v>
      </c>
      <c r="P28" s="764"/>
      <c r="Q28" s="213"/>
      <c r="R28" s="769">
        <v>32</v>
      </c>
      <c r="S28" s="770">
        <v>8.9499999999999996E-2</v>
      </c>
    </row>
    <row r="29" spans="2:24">
      <c r="B29" s="758">
        <v>224</v>
      </c>
      <c r="C29" s="759">
        <v>0.81430000000000002</v>
      </c>
      <c r="D29" s="759">
        <f t="shared" si="0"/>
        <v>5.6788108000000011E-2</v>
      </c>
      <c r="E29" s="759">
        <v>3.7531526615983801E-2</v>
      </c>
      <c r="F29" s="759">
        <v>0.5806</v>
      </c>
      <c r="G29" s="759">
        <f t="shared" si="1"/>
        <v>4.5422086814630197E-2</v>
      </c>
      <c r="H29" s="759">
        <f ca="1">D29*F29+E29*(1-F29)*(1-(현금흐름!$X$23/(현금흐름!$X$23+현금흐름!$X$24)))</f>
        <v>4.5904036969419783E-2</v>
      </c>
      <c r="I29" s="759">
        <f t="shared" si="2"/>
        <v>4.5422086814630197E-2</v>
      </c>
      <c r="J29" s="759">
        <f t="shared" ca="1" si="4"/>
        <v>4.5904036969419783E-2</v>
      </c>
      <c r="K29" s="760" t="s">
        <v>1214</v>
      </c>
      <c r="L29" s="761">
        <f>'업종분류 검수용'!C23</f>
        <v>49</v>
      </c>
      <c r="M29" s="762">
        <v>0.96</v>
      </c>
      <c r="N29" s="763">
        <f>VLOOKUP(업종분류!B29,'산업기술요소(보조)'!I21:K200,2,0)</f>
        <v>0.64159999999999995</v>
      </c>
      <c r="O29" s="763">
        <f>VLOOKUP(업종분류!B29,'산업기술요소(보조)'!I21:K200,3,0)</f>
        <v>0.4788</v>
      </c>
      <c r="P29" s="764"/>
      <c r="Q29" s="213"/>
      <c r="R29" s="769">
        <v>31</v>
      </c>
      <c r="S29" s="770">
        <v>9.6199999999999994E-2</v>
      </c>
    </row>
    <row r="30" spans="2:24">
      <c r="B30" s="758">
        <v>225</v>
      </c>
      <c r="C30" s="759">
        <v>1.0347999999999999</v>
      </c>
      <c r="D30" s="759">
        <f t="shared" si="0"/>
        <v>6.7275087999999997E-2</v>
      </c>
      <c r="E30" s="759">
        <v>3.8973573613121031E-2</v>
      </c>
      <c r="F30" s="759">
        <v>0.35139999999999999</v>
      </c>
      <c r="G30" s="759">
        <f t="shared" si="1"/>
        <v>4.3635569460967014E-2</v>
      </c>
      <c r="H30" s="759">
        <f ca="1">D30*F30+E30*(1-F30)*(1-(현금흐름!$X$23/(현금흐름!$X$23+현금흐름!$X$24)))</f>
        <v>4.4409540378055806E-2</v>
      </c>
      <c r="I30" s="759">
        <f t="shared" si="2"/>
        <v>4.3635569460967014E-2</v>
      </c>
      <c r="J30" s="759">
        <f t="shared" ca="1" si="4"/>
        <v>4.4409540378055806E-2</v>
      </c>
      <c r="K30" s="760" t="s">
        <v>1215</v>
      </c>
      <c r="L30" s="761">
        <f>'업종분류 검수용'!C24</f>
        <v>2</v>
      </c>
      <c r="M30" s="762">
        <v>0.76</v>
      </c>
      <c r="N30" s="763">
        <f>VLOOKUP(업종분류!B30,'산업기술요소(보조)'!I22:K201,2,0)</f>
        <v>0.90790000000000004</v>
      </c>
      <c r="O30" s="763">
        <f>VLOOKUP(업종분류!B30,'산업기술요소(보조)'!I22:K201,3,0)</f>
        <v>0.69610000000000005</v>
      </c>
      <c r="P30" s="764"/>
      <c r="Q30" s="213"/>
      <c r="R30" s="769">
        <v>30</v>
      </c>
      <c r="S30" s="770">
        <v>0.10299999999999999</v>
      </c>
    </row>
    <row r="31" spans="2:24">
      <c r="B31" s="758">
        <v>226</v>
      </c>
      <c r="C31" s="759">
        <v>0.85040000000000004</v>
      </c>
      <c r="D31" s="759">
        <f t="shared" si="0"/>
        <v>5.850502400000001E-2</v>
      </c>
      <c r="E31" s="759">
        <v>3.6587702470567474E-2</v>
      </c>
      <c r="F31" s="759">
        <v>0.62960000000000005</v>
      </c>
      <c r="G31" s="759">
        <f t="shared" si="1"/>
        <v>4.7554462341522677E-2</v>
      </c>
      <c r="H31" s="759">
        <f ca="1">D31*F31+E31*(1-F31)*(1-(현금흐름!$X$23/(현금흐름!$X$23+현금흐름!$X$24)))</f>
        <v>4.796940070026421E-2</v>
      </c>
      <c r="I31" s="759">
        <f t="shared" si="2"/>
        <v>4.7554462341522677E-2</v>
      </c>
      <c r="J31" s="759">
        <f t="shared" ca="1" si="4"/>
        <v>4.796940070026421E-2</v>
      </c>
      <c r="K31" s="760" t="s">
        <v>1216</v>
      </c>
      <c r="L31" s="761">
        <f>'업종분류 검수용'!C25</f>
        <v>25</v>
      </c>
      <c r="M31" s="762">
        <v>0.97</v>
      </c>
      <c r="N31" s="763">
        <f>VLOOKUP(업종분류!B31,'산업기술요소(보조)'!I23:K202,2,0)</f>
        <v>0.84609999999999996</v>
      </c>
      <c r="O31" s="763">
        <f>VLOOKUP(업종분류!B31,'산업기술요소(보조)'!I23:K202,3,0)</f>
        <v>0.73470000000000002</v>
      </c>
      <c r="P31" s="764"/>
      <c r="Q31" s="213"/>
      <c r="R31" s="769">
        <v>29</v>
      </c>
      <c r="S31" s="770">
        <v>0.1101</v>
      </c>
    </row>
    <row r="32" spans="2:24">
      <c r="B32" s="758">
        <v>227</v>
      </c>
      <c r="C32" s="759">
        <v>1.1949000000000001</v>
      </c>
      <c r="D32" s="759">
        <f t="shared" si="0"/>
        <v>7.4889443999999999E-2</v>
      </c>
      <c r="E32" s="759">
        <v>5.0115414830147829E-2</v>
      </c>
      <c r="F32" s="759">
        <v>0.64890000000000003</v>
      </c>
      <c r="G32" s="759">
        <f t="shared" si="1"/>
        <v>6.2513818229770146E-2</v>
      </c>
      <c r="H32" s="759">
        <f ca="1">D32*F32+E32*(1-F32)*(1-(현금흐름!$X$23/(현금흐름!$X$23+현금흐름!$X$24)))</f>
        <v>6.3052558732317257E-2</v>
      </c>
      <c r="I32" s="759">
        <f t="shared" si="2"/>
        <v>6.2513818229770146E-2</v>
      </c>
      <c r="J32" s="759">
        <f t="shared" ca="1" si="4"/>
        <v>6.3052558732317257E-2</v>
      </c>
      <c r="K32" s="760" t="s">
        <v>1217</v>
      </c>
      <c r="L32" s="761">
        <f>'업종분류 검수용'!C26</f>
        <v>163</v>
      </c>
      <c r="M32" s="762">
        <v>0.96299999999999997</v>
      </c>
      <c r="N32" s="763">
        <f>VLOOKUP(업종분류!B32,'산업기술요소(보조)'!I24:K203,2,0)</f>
        <v>0.92710000000000004</v>
      </c>
      <c r="O32" s="763">
        <f>VLOOKUP(업종분류!B32,'산업기술요소(보조)'!I24:K203,3,0)</f>
        <v>0.70879999999999999</v>
      </c>
      <c r="P32" s="764"/>
      <c r="Q32" s="213"/>
      <c r="R32" s="769">
        <v>28</v>
      </c>
      <c r="S32" s="770">
        <v>0.1174</v>
      </c>
    </row>
    <row r="33" spans="2:19">
      <c r="B33" s="758">
        <v>229</v>
      </c>
      <c r="C33" s="759" t="s">
        <v>2551</v>
      </c>
      <c r="D33" s="759">
        <f t="shared" si="0"/>
        <v>5.5304236000000007E-2</v>
      </c>
      <c r="E33" s="759">
        <v>3.9935337366829436E-2</v>
      </c>
      <c r="F33" s="759">
        <v>0.41870000000000002</v>
      </c>
      <c r="G33" s="759">
        <f t="shared" si="1"/>
        <v>4.1518483197768324E-2</v>
      </c>
      <c r="H33" s="759">
        <f ca="1">D33*F33+E33*(1-F33)*(1-(현금흐름!$X$23/(현금흐름!$X$23+현금흐름!$X$24)))</f>
        <v>4.2229263115149532E-2</v>
      </c>
      <c r="I33" s="759">
        <f t="shared" si="2"/>
        <v>4.1518483197768324E-2</v>
      </c>
      <c r="J33" s="759">
        <f t="shared" ca="1" si="4"/>
        <v>4.2229263115149532E-2</v>
      </c>
      <c r="K33" s="760" t="s">
        <v>1218</v>
      </c>
      <c r="L33" s="761" t="str">
        <f>'업종분류 검수용'!C27</f>
        <v>2</v>
      </c>
      <c r="M33" s="762">
        <v>0.80500000000000005</v>
      </c>
      <c r="N33" s="763">
        <f>VLOOKUP(업종분류!B33,'산업기술요소(보조)'!I25:K204,2,0)</f>
        <v>0.90790000000000004</v>
      </c>
      <c r="O33" s="763">
        <f>VLOOKUP(업종분류!B33,'산업기술요소(보조)'!I25:K204,3,0)</f>
        <v>0.69610000000000005</v>
      </c>
      <c r="P33" s="764"/>
      <c r="Q33" s="213"/>
      <c r="R33" s="769">
        <v>27</v>
      </c>
      <c r="S33" s="770">
        <v>0.125</v>
      </c>
    </row>
    <row r="34" spans="2:19">
      <c r="B34" s="758">
        <v>231</v>
      </c>
      <c r="C34" s="759">
        <v>0.96779999999999999</v>
      </c>
      <c r="D34" s="759">
        <f t="shared" si="0"/>
        <v>6.4088568000000012E-2</v>
      </c>
      <c r="E34" s="759">
        <v>3.9297072937795739E-2</v>
      </c>
      <c r="F34" s="759">
        <v>0.58560000000000001</v>
      </c>
      <c r="G34" s="759">
        <f t="shared" si="1"/>
        <v>5.0411468677909244E-2</v>
      </c>
      <c r="H34" s="759">
        <f ca="1">D34*F34+E34*(1-F34)*(1-(현금흐름!$X$23/(현금흐름!$X$23+현금흐름!$X$24)))</f>
        <v>5.0910074583064034E-2</v>
      </c>
      <c r="I34" s="759">
        <f t="shared" si="2"/>
        <v>5.0411468677909251E-2</v>
      </c>
      <c r="J34" s="759">
        <f t="shared" ca="1" si="4"/>
        <v>5.0910074583064034E-2</v>
      </c>
      <c r="K34" s="760" t="s">
        <v>1219</v>
      </c>
      <c r="L34" s="761" t="str">
        <f>'업종분류 검수용'!C28</f>
        <v>220</v>
      </c>
      <c r="M34" s="762">
        <v>0.36</v>
      </c>
      <c r="N34" s="763">
        <f>VLOOKUP(업종분류!B34,'산업기술요소(보조)'!I26:K205,2,0)</f>
        <v>0.89300000000000002</v>
      </c>
      <c r="O34" s="763">
        <f>VLOOKUP(업종분류!B34,'산업기술요소(보조)'!I26:K205,3,0)</f>
        <v>0.67120000000000002</v>
      </c>
      <c r="P34" s="764"/>
      <c r="Q34" s="213"/>
      <c r="R34" s="769">
        <v>26</v>
      </c>
      <c r="S34" s="770">
        <v>0.13289999999999999</v>
      </c>
    </row>
    <row r="35" spans="2:19">
      <c r="B35" s="758">
        <v>232</v>
      </c>
      <c r="C35" s="759">
        <v>0.96779999999999999</v>
      </c>
      <c r="D35" s="759">
        <f t="shared" si="0"/>
        <v>6.4088568000000012E-2</v>
      </c>
      <c r="E35" s="759">
        <v>4.8674263805331998E-2</v>
      </c>
      <c r="F35" s="759">
        <v>0.58560000000000001</v>
      </c>
      <c r="G35" s="759">
        <f t="shared" si="1"/>
        <v>5.3485221823255304E-2</v>
      </c>
      <c r="H35" s="759">
        <f ca="1">D35*F35+E35*(1-F35)*(1-(현금흐름!$X$23/(현금흐름!$X$23+현금흐름!$X$24)))</f>
        <v>5.4102806634236444E-2</v>
      </c>
      <c r="I35" s="759">
        <f t="shared" si="2"/>
        <v>5.3485221823255304E-2</v>
      </c>
      <c r="J35" s="759">
        <f t="shared" ca="1" si="4"/>
        <v>5.4102806634236444E-2</v>
      </c>
      <c r="K35" s="760" t="s">
        <v>70</v>
      </c>
      <c r="L35" s="761" t="str">
        <f>'업종분류 검수용'!C29</f>
        <v>220</v>
      </c>
      <c r="M35" s="762">
        <v>0.14899999999999999</v>
      </c>
      <c r="N35" s="763">
        <f>VLOOKUP(업종분류!B35,'산업기술요소(보조)'!I27:K206,2,0)</f>
        <v>0.89300000000000002</v>
      </c>
      <c r="O35" s="763">
        <f>VLOOKUP(업종분류!B35,'산업기술요소(보조)'!I27:K206,3,0)</f>
        <v>0.67120000000000002</v>
      </c>
      <c r="P35" s="764"/>
      <c r="Q35" s="213"/>
      <c r="R35" s="769">
        <v>25</v>
      </c>
      <c r="S35" s="770">
        <v>0.1411</v>
      </c>
    </row>
    <row r="36" spans="2:19">
      <c r="B36" s="758">
        <v>233</v>
      </c>
      <c r="C36" s="759">
        <v>0.96779999999999999</v>
      </c>
      <c r="D36" s="759">
        <f t="shared" si="0"/>
        <v>6.4088568000000012E-2</v>
      </c>
      <c r="E36" s="759">
        <v>4.8674263805331998E-2</v>
      </c>
      <c r="F36" s="759">
        <v>0.58560000000000001</v>
      </c>
      <c r="G36" s="759">
        <f t="shared" si="1"/>
        <v>5.3485221823255304E-2</v>
      </c>
      <c r="H36" s="759">
        <f ca="1">D36*F36+E36*(1-F36)*(1-(현금흐름!$X$23/(현금흐름!$X$23+현금흐름!$X$24)))</f>
        <v>5.4102806634236444E-2</v>
      </c>
      <c r="I36" s="759">
        <f t="shared" si="2"/>
        <v>5.3485221823255304E-2</v>
      </c>
      <c r="J36" s="759">
        <f t="shared" ca="1" si="4"/>
        <v>5.4102806634236444E-2</v>
      </c>
      <c r="K36" s="760" t="s">
        <v>1220</v>
      </c>
      <c r="L36" s="761" t="str">
        <f>'업종분류 검수용'!C30</f>
        <v>220</v>
      </c>
      <c r="M36" s="762">
        <v>0.98</v>
      </c>
      <c r="N36" s="763">
        <f>VLOOKUP(업종분류!B36,'산업기술요소(보조)'!I28:K207,2,0)</f>
        <v>0.89300000000000002</v>
      </c>
      <c r="O36" s="763">
        <f>VLOOKUP(업종분류!B36,'산업기술요소(보조)'!I28:K207,3,0)</f>
        <v>0.67120000000000002</v>
      </c>
      <c r="P36" s="764"/>
      <c r="Q36" s="213"/>
      <c r="R36" s="769">
        <v>24</v>
      </c>
      <c r="S36" s="770">
        <v>0.14960000000000001</v>
      </c>
    </row>
    <row r="37" spans="2:19">
      <c r="B37" s="758">
        <v>234</v>
      </c>
      <c r="C37" s="759">
        <v>0.97019999999999995</v>
      </c>
      <c r="D37" s="759">
        <f t="shared" si="0"/>
        <v>6.4202711999999995E-2</v>
      </c>
      <c r="E37" s="759">
        <v>5.0107068885577428E-2</v>
      </c>
      <c r="F37" s="759">
        <v>0.58530000000000004</v>
      </c>
      <c r="G37" s="759">
        <f t="shared" si="1"/>
        <v>5.4014353893877529E-2</v>
      </c>
      <c r="H37" s="759">
        <f ca="1">D37*F37+E37*(1-F37)*(1-(현금흐름!$X$23/(현금흐름!$X$23+현금흐름!$X$24)))</f>
        <v>5.4650578559189492E-2</v>
      </c>
      <c r="I37" s="759">
        <f t="shared" si="2"/>
        <v>5.4014353893877529E-2</v>
      </c>
      <c r="J37" s="759">
        <f t="shared" ca="1" si="4"/>
        <v>5.4650578559189492E-2</v>
      </c>
      <c r="K37" s="760" t="s">
        <v>1221</v>
      </c>
      <c r="L37" s="761">
        <f>'업종분류 검수용'!C31</f>
        <v>187</v>
      </c>
      <c r="M37" s="762">
        <v>0.89</v>
      </c>
      <c r="N37" s="763">
        <f>VLOOKUP(업종분류!B37,'산업기술요소(보조)'!I29:K208,2,0)</f>
        <v>0.8972</v>
      </c>
      <c r="O37" s="763">
        <f>VLOOKUP(업종분류!B37,'산업기술요소(보조)'!I29:K208,3,0)</f>
        <v>0.67349999999999999</v>
      </c>
      <c r="P37" s="764"/>
      <c r="Q37" s="213"/>
      <c r="R37" s="769">
        <v>23</v>
      </c>
      <c r="S37" s="770">
        <v>0.1585</v>
      </c>
    </row>
    <row r="38" spans="2:19">
      <c r="B38" s="758">
        <v>235</v>
      </c>
      <c r="C38" s="759">
        <v>0.78069999999999995</v>
      </c>
      <c r="D38" s="759">
        <f t="shared" si="0"/>
        <v>5.5190092000000003E-2</v>
      </c>
      <c r="E38" s="759">
        <v>3.6305931810967598E-2</v>
      </c>
      <c r="F38" s="759">
        <v>0.64239999999999997</v>
      </c>
      <c r="G38" s="759">
        <f t="shared" si="1"/>
        <v>4.5723669062341196E-2</v>
      </c>
      <c r="H38" s="759">
        <f ca="1">D38*F38+E38*(1-F38)*(1-(현금흐름!$X$23/(현금흐름!$X$23+현금흐름!$X$24)))</f>
        <v>4.612118318787168E-2</v>
      </c>
      <c r="I38" s="759">
        <f t="shared" si="2"/>
        <v>4.5723669062341196E-2</v>
      </c>
      <c r="J38" s="759">
        <f t="shared" ca="1" si="4"/>
        <v>4.612118318787168E-2</v>
      </c>
      <c r="K38" s="760" t="s">
        <v>1222</v>
      </c>
      <c r="L38" s="761">
        <f>'업종분류 검수용'!C32</f>
        <v>7</v>
      </c>
      <c r="M38" s="762">
        <v>0.81</v>
      </c>
      <c r="N38" s="763">
        <f>VLOOKUP(업종분류!B38,'산업기술요소(보조)'!I30:K209,2,0)</f>
        <v>0.72040000000000004</v>
      </c>
      <c r="O38" s="763">
        <f>VLOOKUP(업종분류!B38,'산업기술요소(보조)'!I30:K209,3,0)</f>
        <v>0.4541</v>
      </c>
      <c r="P38" s="764"/>
      <c r="Q38" s="213"/>
      <c r="R38" s="769">
        <v>22</v>
      </c>
      <c r="S38" s="770">
        <v>0.1678</v>
      </c>
    </row>
    <row r="39" spans="2:19">
      <c r="B39" s="758">
        <v>236</v>
      </c>
      <c r="C39" s="759">
        <v>1.0702</v>
      </c>
      <c r="D39" s="759">
        <f t="shared" si="0"/>
        <v>6.8958712000000005E-2</v>
      </c>
      <c r="E39" s="759">
        <v>4.4494093716303133E-2</v>
      </c>
      <c r="F39" s="759">
        <v>0.54249999999999998</v>
      </c>
      <c r="G39" s="759">
        <f t="shared" si="1"/>
        <v>5.3511735129290069E-2</v>
      </c>
      <c r="H39" s="759">
        <f ca="1">D39*F39+E39*(1-F39)*(1-(현금흐름!$X$23/(현금흐름!$X$23+현금흐름!$X$24)))</f>
        <v>5.4134997534953724E-2</v>
      </c>
      <c r="I39" s="759">
        <f t="shared" si="2"/>
        <v>5.3511735129290069E-2</v>
      </c>
      <c r="J39" s="759">
        <f t="shared" ca="1" si="4"/>
        <v>5.4134997534953724E-2</v>
      </c>
      <c r="K39" s="760" t="s">
        <v>1223</v>
      </c>
      <c r="L39" s="761">
        <f>'업종분류 검수용'!C33</f>
        <v>8</v>
      </c>
      <c r="M39" s="762">
        <v>0.89</v>
      </c>
      <c r="N39" s="763">
        <f>VLOOKUP(업종분류!B39,'산업기술요소(보조)'!I31:K210,2,0)</f>
        <v>0.87670000000000003</v>
      </c>
      <c r="O39" s="763">
        <f>VLOOKUP(업종분류!B39,'산업기술요소(보조)'!I31:K210,3,0)</f>
        <v>0.6431</v>
      </c>
      <c r="P39" s="764"/>
      <c r="Q39" s="213"/>
      <c r="R39" s="769">
        <v>21</v>
      </c>
      <c r="S39" s="770">
        <v>0.17749999999999999</v>
      </c>
    </row>
    <row r="40" spans="2:19">
      <c r="B40" s="758">
        <v>237</v>
      </c>
      <c r="C40" s="759">
        <v>1.0488999999999999</v>
      </c>
      <c r="D40" s="759">
        <f t="shared" si="0"/>
        <v>6.7945684000000006E-2</v>
      </c>
      <c r="E40" s="759">
        <v>4.211424796879857E-2</v>
      </c>
      <c r="F40" s="759">
        <v>0.50870000000000004</v>
      </c>
      <c r="G40" s="759">
        <f t="shared" si="1"/>
        <v>5.0930336902212964E-2</v>
      </c>
      <c r="H40" s="759">
        <f ca="1">D40*F40+E40*(1-F40)*(1-(현금흐름!$X$23/(현금흐름!$X$23+현금흐름!$X$24)))</f>
        <v>5.1563846621322768E-2</v>
      </c>
      <c r="I40" s="759">
        <f t="shared" si="2"/>
        <v>5.0930336902212964E-2</v>
      </c>
      <c r="J40" s="759">
        <f t="shared" ca="1" si="4"/>
        <v>5.1563846621322768E-2</v>
      </c>
      <c r="K40" s="760" t="s">
        <v>1224</v>
      </c>
      <c r="L40" s="761">
        <f>'업종분류 검수용'!C34</f>
        <v>11</v>
      </c>
      <c r="M40" s="762">
        <v>0.89</v>
      </c>
      <c r="N40" s="763">
        <f>VLOOKUP(업종분류!B40,'산업기술요소(보조)'!I32:K211,2,0)</f>
        <v>0.71589999999999998</v>
      </c>
      <c r="O40" s="763">
        <f>VLOOKUP(업종분류!B40,'산업기술요소(보조)'!I32:K211,3,0)</f>
        <v>0.63449999999999995</v>
      </c>
      <c r="P40" s="764"/>
      <c r="Q40" s="213"/>
      <c r="R40" s="769">
        <v>20</v>
      </c>
      <c r="S40" s="770">
        <v>0.18770000000000001</v>
      </c>
    </row>
    <row r="41" spans="2:19">
      <c r="B41" s="758">
        <v>239</v>
      </c>
      <c r="C41" s="759">
        <v>0.79500000000000004</v>
      </c>
      <c r="D41" s="759">
        <f t="shared" si="0"/>
        <v>5.5870200000000009E-2</v>
      </c>
      <c r="E41" s="759">
        <v>4.7487041646553568E-2</v>
      </c>
      <c r="F41" s="759">
        <v>0.75880000000000003</v>
      </c>
      <c r="G41" s="759">
        <f t="shared" si="1"/>
        <v>5.1454322446112644E-2</v>
      </c>
      <c r="H41" s="759">
        <f ca="1">D41*F41+E41*(1-F41)*(1-(현금흐름!$X$23/(현금흐름!$X$23+현금흐름!$X$24)))</f>
        <v>5.1805017698187926E-2</v>
      </c>
      <c r="I41" s="759">
        <f t="shared" si="2"/>
        <v>5.1454322446112644E-2</v>
      </c>
      <c r="J41" s="759">
        <f t="shared" ca="1" si="4"/>
        <v>5.1805017698187926E-2</v>
      </c>
      <c r="K41" s="760" t="s">
        <v>1225</v>
      </c>
      <c r="L41" s="761">
        <f>'업종분류 검수용'!C35</f>
        <v>7</v>
      </c>
      <c r="M41" s="762">
        <v>0.89</v>
      </c>
      <c r="N41" s="763">
        <f>VLOOKUP(업종분류!B41,'산업기술요소(보조)'!I33:K212,2,0)</f>
        <v>0.88849999999999996</v>
      </c>
      <c r="O41" s="763">
        <f>VLOOKUP(업종분류!B41,'산업기술요소(보조)'!I33:K212,3,0)</f>
        <v>0.59230000000000005</v>
      </c>
      <c r="P41" s="764"/>
      <c r="Q41" s="213"/>
      <c r="R41" s="213"/>
      <c r="S41" s="213"/>
    </row>
    <row r="42" spans="2:19">
      <c r="B42" s="758">
        <v>311</v>
      </c>
      <c r="C42" s="759">
        <v>0.99480000000000002</v>
      </c>
      <c r="D42" s="759">
        <f t="shared" si="0"/>
        <v>6.5372688000000012E-2</v>
      </c>
      <c r="E42" s="759">
        <v>4.7999233809582202E-2</v>
      </c>
      <c r="F42" s="759">
        <v>0.5776</v>
      </c>
      <c r="G42" s="759">
        <f t="shared" si="1"/>
        <v>5.379669179048352E-2</v>
      </c>
      <c r="H42" s="759">
        <f ca="1">D42*F42+E42*(1-F42)*(1-(현금흐름!$X$23/(현금흐름!$X$23+현금흐름!$X$24)))</f>
        <v>5.4417468883014547E-2</v>
      </c>
      <c r="I42" s="759">
        <f t="shared" si="2"/>
        <v>5.379669179048352E-2</v>
      </c>
      <c r="J42" s="759">
        <f t="shared" ca="1" si="4"/>
        <v>5.4417468883014547E-2</v>
      </c>
      <c r="K42" s="760" t="s">
        <v>4</v>
      </c>
      <c r="L42" s="761" t="str">
        <f>'업종분류 검수용'!C36</f>
        <v>384</v>
      </c>
      <c r="M42" s="762">
        <v>0.36</v>
      </c>
      <c r="N42" s="763">
        <f>VLOOKUP(업종분류!B42,'산업기술요소(보조)'!I34:K213,2,0)</f>
        <v>0.94169999999999998</v>
      </c>
      <c r="O42" s="763">
        <f>VLOOKUP(업종분류!B42,'산업기술요소(보조)'!I34:K213,3,0)</f>
        <v>0.70199999999999996</v>
      </c>
      <c r="P42" s="764"/>
      <c r="Q42" s="213"/>
      <c r="R42" s="213"/>
      <c r="S42" s="213"/>
    </row>
    <row r="43" spans="2:19">
      <c r="B43" s="774">
        <v>312</v>
      </c>
      <c r="C43" s="759">
        <v>0.99480000000000002</v>
      </c>
      <c r="D43" s="759">
        <f t="shared" si="0"/>
        <v>6.5372688000000012E-2</v>
      </c>
      <c r="E43" s="759">
        <v>4.7999233809582202E-2</v>
      </c>
      <c r="F43" s="759">
        <v>0.5776</v>
      </c>
      <c r="G43" s="759">
        <f t="shared" si="1"/>
        <v>5.379669179048352E-2</v>
      </c>
      <c r="H43" s="759">
        <f ca="1">D43*F43+E43*(1-F43)*(1-(현금흐름!$X$23/(현금흐름!$X$23+현금흐름!$X$24)))</f>
        <v>5.4417468883014547E-2</v>
      </c>
      <c r="I43" s="759">
        <f t="shared" si="2"/>
        <v>5.379669179048352E-2</v>
      </c>
      <c r="J43" s="759">
        <f t="shared" ca="1" si="4"/>
        <v>5.4417468883014547E-2</v>
      </c>
      <c r="K43" s="760" t="s">
        <v>77</v>
      </c>
      <c r="L43" s="761" t="str">
        <f>'업종분류 검수용'!C37</f>
        <v>384</v>
      </c>
      <c r="M43" s="762">
        <v>0.36</v>
      </c>
      <c r="N43" s="763">
        <f>VLOOKUP(업종분류!B43,'산업기술요소(보조)'!I35:K214,2,0)</f>
        <v>0.94169999999999998</v>
      </c>
      <c r="O43" s="763">
        <f>VLOOKUP(업종분류!B43,'산업기술요소(보조)'!I35:K214,3,0)</f>
        <v>0.70199999999999996</v>
      </c>
      <c r="P43" s="764"/>
      <c r="Q43" s="213"/>
      <c r="R43" s="213"/>
      <c r="S43" s="213"/>
    </row>
    <row r="44" spans="2:19">
      <c r="B44" s="774">
        <v>390</v>
      </c>
      <c r="C44" s="759">
        <v>0.99480000000000002</v>
      </c>
      <c r="D44" s="759">
        <f t="shared" si="0"/>
        <v>6.5372688000000012E-2</v>
      </c>
      <c r="E44" s="759">
        <v>4.7999233809582202E-2</v>
      </c>
      <c r="F44" s="759">
        <v>0.5776</v>
      </c>
      <c r="G44" s="759">
        <f t="shared" si="1"/>
        <v>5.379669179048352E-2</v>
      </c>
      <c r="H44" s="759">
        <f ca="1">D44*F44+E44*(1-F44)*(1-(현금흐름!$X$23/(현금흐름!$X$23+현금흐름!$X$24)))</f>
        <v>5.4417468883014547E-2</v>
      </c>
      <c r="I44" s="759">
        <f t="shared" si="2"/>
        <v>5.379669179048352E-2</v>
      </c>
      <c r="J44" s="759">
        <f t="shared" ca="1" si="4"/>
        <v>5.4417468883014547E-2</v>
      </c>
      <c r="K44" s="760" t="s">
        <v>1226</v>
      </c>
      <c r="L44" s="761" t="str">
        <f>'업종분류 검수용'!C38</f>
        <v>384</v>
      </c>
      <c r="M44" s="762">
        <v>0.36</v>
      </c>
      <c r="N44" s="763">
        <f>VLOOKUP(업종분류!B44,'산업기술요소(보조)'!I36:K215,2,0)</f>
        <v>0.94169999999999998</v>
      </c>
      <c r="O44" s="763">
        <f>VLOOKUP(업종분류!B44,'산업기술요소(보조)'!I36:K215,3,0)</f>
        <v>0.70199999999999996</v>
      </c>
      <c r="P44" s="764"/>
      <c r="Q44" s="213"/>
      <c r="R44" s="213"/>
      <c r="S44" s="213"/>
    </row>
    <row r="45" spans="2:19">
      <c r="B45" s="774">
        <v>411</v>
      </c>
      <c r="C45" s="759">
        <v>0.49640000000000001</v>
      </c>
      <c r="D45" s="759">
        <f t="shared" si="0"/>
        <v>4.1668784E-2</v>
      </c>
      <c r="E45" s="759">
        <v>2.9618957129473E-2</v>
      </c>
      <c r="F45" s="759">
        <v>0.84589999999999999</v>
      </c>
      <c r="G45" s="759">
        <f t="shared" si="1"/>
        <v>3.8857970888878567E-2</v>
      </c>
      <c r="H45" s="759">
        <f ca="1">D45*F45+E45*(1-F45)*(1-(현금흐름!$X$23/(현금흐름!$X$23+현금흐름!$X$24)))</f>
        <v>3.89977202624626E-2</v>
      </c>
      <c r="I45" s="759">
        <f t="shared" si="2"/>
        <v>3.8857970888878567E-2</v>
      </c>
      <c r="J45" s="759">
        <f t="shared" ca="1" si="4"/>
        <v>3.89977202624626E-2</v>
      </c>
      <c r="K45" s="760" t="s">
        <v>1227</v>
      </c>
      <c r="L45" s="761">
        <f>'업종분류 검수용'!C39</f>
        <v>1</v>
      </c>
      <c r="M45" s="762">
        <v>0.14899999999999999</v>
      </c>
      <c r="N45" s="763">
        <f>VLOOKUP(업종분류!B45,'산업기술요소(보조)'!I37:K216,2,0)</f>
        <v>0.35049999999999998</v>
      </c>
      <c r="O45" s="763">
        <f>VLOOKUP(업종분류!B45,'산업기술요소(보조)'!I37:K216,3,0)</f>
        <v>0.17449999999999999</v>
      </c>
      <c r="P45" s="764"/>
      <c r="Q45" s="213"/>
      <c r="R45" s="213"/>
      <c r="S45" s="213"/>
    </row>
    <row r="46" spans="2:19">
      <c r="B46" s="775">
        <v>412</v>
      </c>
      <c r="C46" s="759">
        <v>1.0047999999999999</v>
      </c>
      <c r="D46" s="759">
        <f t="shared" si="0"/>
        <v>6.5848287999999991E-2</v>
      </c>
      <c r="E46" s="759">
        <v>3.3177077237713466E-2</v>
      </c>
      <c r="F46" s="759">
        <v>0.4889</v>
      </c>
      <c r="G46" s="759">
        <f t="shared" si="1"/>
        <v>4.560606010657052E-2</v>
      </c>
      <c r="H46" s="759">
        <f ca="1">D46*F46+E46*(1-F46)*(1-(현금흐름!$X$23/(현금흐름!$X$23+현금흐름!$X$24)))</f>
        <v>4.6125244313053655E-2</v>
      </c>
      <c r="I46" s="759">
        <f t="shared" si="2"/>
        <v>4.560606010657052E-2</v>
      </c>
      <c r="J46" s="759">
        <f t="shared" ca="1" si="4"/>
        <v>4.6125244313053655E-2</v>
      </c>
      <c r="K46" s="760" t="s">
        <v>1228</v>
      </c>
      <c r="L46" s="761">
        <f>'업종분류 검수용'!C40</f>
        <v>4</v>
      </c>
      <c r="M46" s="762">
        <v>0.14899999999999999</v>
      </c>
      <c r="N46" s="763">
        <f>VLOOKUP(업종분류!B46,'산업기술요소(보조)'!I38:K217,2,0)</f>
        <v>0.35049999999999998</v>
      </c>
      <c r="O46" s="763">
        <f>VLOOKUP(업종분류!B46,'산업기술요소(보조)'!I38:K217,3,0)</f>
        <v>0.17449999999999999</v>
      </c>
      <c r="P46" s="764"/>
      <c r="Q46" s="213"/>
      <c r="R46" s="213"/>
      <c r="S46" s="213"/>
    </row>
    <row r="47" spans="2:19">
      <c r="B47" s="758">
        <v>413</v>
      </c>
      <c r="C47" s="759">
        <v>1.0629</v>
      </c>
      <c r="D47" s="759">
        <f t="shared" si="0"/>
        <v>6.8611523999999993E-2</v>
      </c>
      <c r="E47" s="759">
        <v>4.0241216445225131E-2</v>
      </c>
      <c r="F47" s="759">
        <v>0.48799999999999999</v>
      </c>
      <c r="G47" s="759">
        <f t="shared" si="1"/>
        <v>4.9779794442584617E-2</v>
      </c>
      <c r="H47" s="759">
        <f ca="1">D47*F47+E47*(1-F47)*(1-(현금흐름!$X$23/(현금흐름!$X$23+현금흐름!$X$24)))</f>
        <v>5.0410633435074043E-2</v>
      </c>
      <c r="I47" s="759">
        <f t="shared" si="2"/>
        <v>4.977979444258461E-2</v>
      </c>
      <c r="J47" s="759">
        <f t="shared" ca="1" si="4"/>
        <v>5.0410633435074043E-2</v>
      </c>
      <c r="K47" s="760" t="s">
        <v>1229</v>
      </c>
      <c r="L47" s="761" t="str">
        <f>'업종분류 검수용'!C41</f>
        <v>9</v>
      </c>
      <c r="M47" s="762">
        <v>0.14899999999999999</v>
      </c>
      <c r="N47" s="763">
        <f>VLOOKUP(업종분류!B47,'산업기술요소(보조)'!I39:K218,2,0)</f>
        <v>0.35049999999999998</v>
      </c>
      <c r="O47" s="763">
        <f>VLOOKUP(업종분류!B47,'산업기술요소(보조)'!I39:K218,3,0)</f>
        <v>0.17449999999999999</v>
      </c>
      <c r="P47" s="764"/>
      <c r="Q47" s="213"/>
      <c r="R47" s="213"/>
      <c r="S47" s="213"/>
    </row>
    <row r="48" spans="2:19">
      <c r="B48" s="775">
        <v>414</v>
      </c>
      <c r="C48" s="759">
        <v>1.0629</v>
      </c>
      <c r="D48" s="759">
        <f t="shared" si="0"/>
        <v>6.8611523999999993E-2</v>
      </c>
      <c r="E48" s="759">
        <v>4.0241216445225131E-2</v>
      </c>
      <c r="F48" s="759">
        <v>0.48799999999999999</v>
      </c>
      <c r="G48" s="759">
        <f t="shared" si="1"/>
        <v>4.9779794442584617E-2</v>
      </c>
      <c r="H48" s="759">
        <f ca="1">D48*F48+E48*(1-F48)*(1-(현금흐름!$X$23/(현금흐름!$X$23+현금흐름!$X$24)))</f>
        <v>5.0410633435074043E-2</v>
      </c>
      <c r="I48" s="759">
        <f t="shared" si="2"/>
        <v>4.977979444258461E-2</v>
      </c>
      <c r="J48" s="759">
        <f t="shared" ca="1" si="4"/>
        <v>5.0410633435074043E-2</v>
      </c>
      <c r="K48" s="760" t="s">
        <v>1230</v>
      </c>
      <c r="L48" s="761" t="str">
        <f>'업종분류 검수용'!C42</f>
        <v>9</v>
      </c>
      <c r="M48" s="762">
        <v>0.14899999999999999</v>
      </c>
      <c r="N48" s="763">
        <f>VLOOKUP(업종분류!B48,'산업기술요소(보조)'!I40:K219,2,0)</f>
        <v>0.35049999999999998</v>
      </c>
      <c r="O48" s="763">
        <f>VLOOKUP(업종분류!B48,'산업기술요소(보조)'!I40:K219,3,0)</f>
        <v>0.17449999999999999</v>
      </c>
      <c r="P48" s="764"/>
      <c r="Q48" s="213"/>
      <c r="R48" s="213"/>
      <c r="S48" s="213"/>
    </row>
    <row r="49" spans="2:19">
      <c r="B49" s="758">
        <v>415</v>
      </c>
      <c r="C49" s="759">
        <v>1.0629</v>
      </c>
      <c r="D49" s="759">
        <f t="shared" si="0"/>
        <v>6.8611523999999993E-2</v>
      </c>
      <c r="E49" s="759">
        <v>4.0241216445225131E-2</v>
      </c>
      <c r="F49" s="759">
        <v>0.48799999999999999</v>
      </c>
      <c r="G49" s="759">
        <f t="shared" si="1"/>
        <v>4.9779794442584617E-2</v>
      </c>
      <c r="H49" s="759">
        <f ca="1">D49*F49+E49*(1-F49)*(1-(현금흐름!$X$23/(현금흐름!$X$23+현금흐름!$X$24)))</f>
        <v>5.0410633435074043E-2</v>
      </c>
      <c r="I49" s="759">
        <f t="shared" si="2"/>
        <v>4.977979444258461E-2</v>
      </c>
      <c r="J49" s="759">
        <f t="shared" ca="1" si="4"/>
        <v>5.0410633435074043E-2</v>
      </c>
      <c r="K49" s="760" t="s">
        <v>1231</v>
      </c>
      <c r="L49" s="761" t="str">
        <f>'업종분류 검수용'!C43</f>
        <v>9</v>
      </c>
      <c r="M49" s="762">
        <v>0.14899999999999999</v>
      </c>
      <c r="N49" s="763">
        <f>VLOOKUP(업종분류!B49,'산업기술요소(보조)'!I41:K220,2,0)</f>
        <v>0.35049999999999998</v>
      </c>
      <c r="O49" s="763">
        <f>VLOOKUP(업종분류!B49,'산업기술요소(보조)'!I41:K220,3,0)</f>
        <v>0.17449999999999999</v>
      </c>
      <c r="P49" s="764"/>
      <c r="Q49" s="213"/>
      <c r="R49" s="213"/>
      <c r="S49" s="213"/>
    </row>
    <row r="50" spans="2:19">
      <c r="B50" s="774">
        <v>416</v>
      </c>
      <c r="C50" s="759">
        <v>1.1863999999999999</v>
      </c>
      <c r="D50" s="759">
        <f t="shared" si="0"/>
        <v>7.4485183999999996E-2</v>
      </c>
      <c r="E50" s="759">
        <v>5.4096787203947595E-2</v>
      </c>
      <c r="F50" s="759">
        <v>0.4612</v>
      </c>
      <c r="G50" s="759">
        <f t="shared" si="1"/>
        <v>5.740811987668018E-2</v>
      </c>
      <c r="H50" s="759">
        <f ca="1">D50*F50+E50*(1-F50)*(1-(현금흐름!$X$23/(현금흐름!$X$23+현금흐름!$X$24)))</f>
        <v>5.8300554740945101E-2</v>
      </c>
      <c r="I50" s="759">
        <f t="shared" si="2"/>
        <v>5.740811987668018E-2</v>
      </c>
      <c r="J50" s="759">
        <f t="shared" ca="1" si="4"/>
        <v>5.8300554740945101E-2</v>
      </c>
      <c r="K50" s="760" t="s">
        <v>1232</v>
      </c>
      <c r="L50" s="761">
        <f>'업종분류 검수용'!C44</f>
        <v>4</v>
      </c>
      <c r="M50" s="762">
        <v>0.14899999999999999</v>
      </c>
      <c r="N50" s="763">
        <f>VLOOKUP(업종분류!B50,'산업기술요소(보조)'!I42:K221,2,0)</f>
        <v>0.37690000000000001</v>
      </c>
      <c r="O50" s="763">
        <f>VLOOKUP(업종분류!B50,'산업기술요소(보조)'!I42:K221,3,0)</f>
        <v>0.16930000000000001</v>
      </c>
      <c r="P50" s="764"/>
      <c r="Q50" s="213"/>
      <c r="R50" s="213"/>
      <c r="S50" s="213"/>
    </row>
    <row r="51" spans="2:19">
      <c r="B51" s="775">
        <v>419</v>
      </c>
      <c r="C51" s="759">
        <v>1.0629</v>
      </c>
      <c r="D51" s="759">
        <f t="shared" si="0"/>
        <v>6.8611523999999993E-2</v>
      </c>
      <c r="E51" s="759">
        <v>4.0241216445225131E-2</v>
      </c>
      <c r="F51" s="759">
        <v>0.48799999999999999</v>
      </c>
      <c r="G51" s="759">
        <f t="shared" si="1"/>
        <v>4.9779794442584617E-2</v>
      </c>
      <c r="H51" s="759">
        <f ca="1">D51*F51+E51*(1-F51)*(1-(현금흐름!$X$23/(현금흐름!$X$23+현금흐름!$X$24)))</f>
        <v>5.0410633435074043E-2</v>
      </c>
      <c r="I51" s="759">
        <f t="shared" si="2"/>
        <v>4.977979444258461E-2</v>
      </c>
      <c r="J51" s="759">
        <f t="shared" ca="1" si="4"/>
        <v>5.0410633435074043E-2</v>
      </c>
      <c r="K51" s="760" t="s">
        <v>1233</v>
      </c>
      <c r="L51" s="761" t="str">
        <f>'업종분류 검수용'!C45</f>
        <v>9</v>
      </c>
      <c r="M51" s="762">
        <v>0.14899999999999999</v>
      </c>
      <c r="N51" s="763">
        <f>VLOOKUP(업종분류!B51,'산업기술요소(보조)'!I43:K222,2,0)</f>
        <v>0.35049999999999998</v>
      </c>
      <c r="O51" s="763">
        <f>VLOOKUP(업종분류!B51,'산업기술요소(보조)'!I43:K222,3,0)</f>
        <v>0.17449999999999999</v>
      </c>
      <c r="P51" s="764"/>
      <c r="Q51" s="213"/>
      <c r="R51" s="213"/>
      <c r="S51" s="213"/>
    </row>
    <row r="52" spans="2:19">
      <c r="B52" s="758">
        <v>421</v>
      </c>
      <c r="C52" s="759">
        <v>0.84850000000000003</v>
      </c>
      <c r="D52" s="759">
        <f t="shared" si="0"/>
        <v>5.8414660000000007E-2</v>
      </c>
      <c r="E52" s="759">
        <v>3.0928458807669531E-2</v>
      </c>
      <c r="F52" s="759">
        <v>0.50649999999999995</v>
      </c>
      <c r="G52" s="759">
        <f t="shared" si="1"/>
        <v>4.1660212077473668E-2</v>
      </c>
      <c r="H52" s="759">
        <f ca="1">D52*F52+E52*(1-F52)*(1-(현금흐름!$X$23/(현금흐름!$X$23+현금흐름!$X$24)))</f>
        <v>4.2127541262963288E-2</v>
      </c>
      <c r="I52" s="759">
        <f t="shared" si="2"/>
        <v>4.1660212077473668E-2</v>
      </c>
      <c r="J52" s="759">
        <f t="shared" ca="1" si="4"/>
        <v>4.2127541262963288E-2</v>
      </c>
      <c r="K52" s="760" t="s">
        <v>1234</v>
      </c>
      <c r="L52" s="761">
        <f>'업종분류 검수용'!C46</f>
        <v>1</v>
      </c>
      <c r="M52" s="762">
        <v>0.66900000000000004</v>
      </c>
      <c r="N52" s="763">
        <f>VLOOKUP(업종분류!B52,'산업기술요소(보조)'!I44:K223,2,0)</f>
        <v>0.91359999999999997</v>
      </c>
      <c r="O52" s="763">
        <f>VLOOKUP(업종분류!B52,'산업기술요소(보조)'!I44:K223,3,0)</f>
        <v>0.46460000000000001</v>
      </c>
      <c r="P52" s="764"/>
      <c r="Q52" s="213"/>
      <c r="R52" s="213"/>
      <c r="S52" s="213"/>
    </row>
    <row r="53" spans="2:19">
      <c r="B53" s="774">
        <v>422</v>
      </c>
      <c r="C53" s="759">
        <v>1.0397000000000001</v>
      </c>
      <c r="D53" s="759">
        <f t="shared" si="0"/>
        <v>6.7508131999999998E-2</v>
      </c>
      <c r="E53" s="759">
        <v>4.4583434230372899E-2</v>
      </c>
      <c r="F53" s="759">
        <v>0.51139999999999997</v>
      </c>
      <c r="G53" s="759">
        <f t="shared" si="1"/>
        <v>5.1754380283083518E-2</v>
      </c>
      <c r="H53" s="759">
        <f ca="1">D53*F53+E53*(1-F53)*(1-(현금흐름!$X$23/(현금흐름!$X$23+현금흐름!$X$24)))</f>
        <v>5.2421347441160809E-2</v>
      </c>
      <c r="I53" s="759">
        <f t="shared" si="2"/>
        <v>5.1754380283083518E-2</v>
      </c>
      <c r="J53" s="759">
        <f t="shared" ca="1" si="4"/>
        <v>5.2421347441160809E-2</v>
      </c>
      <c r="K53" s="760" t="s">
        <v>1235</v>
      </c>
      <c r="L53" s="761" t="str">
        <f>'업종분류 검수용'!C47</f>
        <v>49</v>
      </c>
      <c r="M53" s="762">
        <v>0.86</v>
      </c>
      <c r="N53" s="763">
        <f>VLOOKUP(업종분류!B53,'산업기술요소(보조)'!I45:K224,2,0)</f>
        <v>0.91359999999999997</v>
      </c>
      <c r="O53" s="763">
        <f>VLOOKUP(업종분류!B53,'산업기술요소(보조)'!I45:K224,3,0)</f>
        <v>0.46460000000000001</v>
      </c>
      <c r="P53" s="764"/>
      <c r="Q53" s="213"/>
      <c r="R53" s="213"/>
      <c r="S53" s="213"/>
    </row>
    <row r="54" spans="2:19">
      <c r="B54" s="774">
        <v>423</v>
      </c>
      <c r="C54" s="759">
        <v>0.68789999999999996</v>
      </c>
      <c r="D54" s="759">
        <f t="shared" si="0"/>
        <v>5.0776523999999996E-2</v>
      </c>
      <c r="E54" s="759">
        <v>4.4253898058347806E-2</v>
      </c>
      <c r="F54" s="759">
        <v>0.42849999999999999</v>
      </c>
      <c r="G54" s="759">
        <f t="shared" si="1"/>
        <v>4.1763002801613505E-2</v>
      </c>
      <c r="H54" s="759">
        <f ca="1">D54*F54+E54*(1-F54)*(1-(현금흐름!$X$23/(현금흐름!$X$23+현금흐름!$X$24)))</f>
        <v>4.2537366943045496E-2</v>
      </c>
      <c r="I54" s="759">
        <f t="shared" si="2"/>
        <v>4.1763002801613505E-2</v>
      </c>
      <c r="J54" s="759">
        <f t="shared" ca="1" si="4"/>
        <v>4.2537366943045496E-2</v>
      </c>
      <c r="K54" s="760" t="s">
        <v>1236</v>
      </c>
      <c r="L54" s="761">
        <f>'업종분류 검수용'!C48</f>
        <v>13</v>
      </c>
      <c r="M54" s="762">
        <v>0.66900000000000004</v>
      </c>
      <c r="N54" s="763">
        <f>VLOOKUP(업종분류!B54,'산업기술요소(보조)'!I46:K225,2,0)</f>
        <v>0.73470000000000002</v>
      </c>
      <c r="O54" s="763">
        <f>VLOOKUP(업종분류!B54,'산업기술요소(보조)'!I46:K225,3,0)</f>
        <v>0.3024</v>
      </c>
      <c r="P54" s="764"/>
      <c r="Q54" s="213"/>
    </row>
    <row r="55" spans="2:19">
      <c r="B55" s="774">
        <v>429</v>
      </c>
      <c r="C55" s="759">
        <v>1.4012</v>
      </c>
      <c r="D55" s="759">
        <f t="shared" si="0"/>
        <v>8.4701072000000016E-2</v>
      </c>
      <c r="E55" s="759">
        <v>5.4387780177881373E-2</v>
      </c>
      <c r="F55" s="759">
        <v>0.5907</v>
      </c>
      <c r="G55" s="759">
        <f t="shared" si="1"/>
        <v>6.7641309706004224E-2</v>
      </c>
      <c r="H55" s="759">
        <f ca="1">D55*F55+E55*(1-F55)*(1-(현금흐름!$X$23/(현금흐름!$X$23+현금흐름!$X$24)))</f>
        <v>6.8322895525414262E-2</v>
      </c>
      <c r="I55" s="759">
        <f t="shared" si="2"/>
        <v>6.7641309706004224E-2</v>
      </c>
      <c r="J55" s="759">
        <f t="shared" ca="1" si="4"/>
        <v>6.8322895525414262E-2</v>
      </c>
      <c r="K55" s="760" t="s">
        <v>1237</v>
      </c>
      <c r="L55" s="761">
        <f>'업종분류 검수용'!C49</f>
        <v>35</v>
      </c>
      <c r="M55" s="762">
        <v>0.19</v>
      </c>
      <c r="N55" s="763">
        <f>VLOOKUP(업종분류!B55,'산업기술요소(보조)'!I47:K226,2,0)</f>
        <v>0.91679999999999995</v>
      </c>
      <c r="O55" s="763">
        <f>VLOOKUP(업종분류!B55,'산업기술요소(보조)'!I47:K226,3,0)</f>
        <v>0.50490000000000002</v>
      </c>
      <c r="P55" s="764"/>
      <c r="Q55" s="213"/>
    </row>
    <row r="56" spans="2:19">
      <c r="B56" s="774">
        <v>431</v>
      </c>
      <c r="C56" s="759">
        <v>1.1342000000000001</v>
      </c>
      <c r="D56" s="759">
        <f t="shared" si="0"/>
        <v>7.2002552000000011E-2</v>
      </c>
      <c r="E56" s="759">
        <v>3.9222024009390802E-2</v>
      </c>
      <c r="F56" s="759">
        <v>0.34460000000000002</v>
      </c>
      <c r="G56" s="759">
        <f t="shared" si="1"/>
        <v>4.5145616016981999E-2</v>
      </c>
      <c r="H56" s="759">
        <f ca="1">D56*F56+E56*(1-F56)*(1-(현금흐름!$X$23/(현금흐름!$X$23+현금흐름!$X$24)))</f>
        <v>4.5932687008563441E-2</v>
      </c>
      <c r="I56" s="759">
        <f t="shared" si="2"/>
        <v>4.5145616016981999E-2</v>
      </c>
      <c r="J56" s="759">
        <f t="shared" ca="1" si="4"/>
        <v>4.5932687008563441E-2</v>
      </c>
      <c r="K56" s="760" t="s">
        <v>1238</v>
      </c>
      <c r="L56" s="761">
        <f>'업종분류 검수용'!C50</f>
        <v>2</v>
      </c>
      <c r="M56" s="762">
        <v>0.96</v>
      </c>
      <c r="N56" s="763">
        <f>VLOOKUP(업종분류!B56,'산업기술요소(보조)'!I48:K227,2,0)</f>
        <v>0.75660000000000005</v>
      </c>
      <c r="O56" s="763">
        <f>VLOOKUP(업종분류!B56,'산업기술요소(보조)'!I48:K227,3,0)</f>
        <v>0.64700000000000002</v>
      </c>
      <c r="P56" s="764"/>
      <c r="Q56" s="213"/>
    </row>
    <row r="57" spans="2:19">
      <c r="B57" s="774">
        <v>432</v>
      </c>
      <c r="C57" s="759">
        <v>0.85140000000000005</v>
      </c>
      <c r="D57" s="759">
        <f t="shared" si="0"/>
        <v>5.8552584000000005E-2</v>
      </c>
      <c r="E57" s="759">
        <v>3.7291932260826902E-2</v>
      </c>
      <c r="F57" s="759">
        <v>0.61970000000000003</v>
      </c>
      <c r="G57" s="759">
        <f t="shared" si="1"/>
        <v>4.7503094679284846E-2</v>
      </c>
      <c r="H57" s="759">
        <f ca="1">D57*F57+E57*(1-F57)*(1-(현금흐름!$X$23/(현금흐름!$X$23+현금흐름!$X$24)))</f>
        <v>4.7937323534947243E-2</v>
      </c>
      <c r="I57" s="759">
        <f t="shared" si="2"/>
        <v>4.7503094679284846E-2</v>
      </c>
      <c r="J57" s="759">
        <f t="shared" ca="1" si="4"/>
        <v>4.7937323534947243E-2</v>
      </c>
      <c r="K57" s="760" t="s">
        <v>1239</v>
      </c>
      <c r="L57" s="761">
        <f>'업종분류 검수용'!C51</f>
        <v>14</v>
      </c>
      <c r="M57" s="762">
        <v>0.96</v>
      </c>
      <c r="N57" s="763">
        <f>VLOOKUP(업종분류!B57,'산업기술요소(보조)'!I49:K228,2,0)</f>
        <v>0.49530000000000002</v>
      </c>
      <c r="O57" s="763">
        <f>VLOOKUP(업종분류!B57,'산업기술요소(보조)'!I49:K228,3,0)</f>
        <v>0.39290000000000003</v>
      </c>
      <c r="P57" s="764"/>
      <c r="Q57" s="213"/>
    </row>
    <row r="58" spans="2:19">
      <c r="B58" s="775">
        <v>433</v>
      </c>
      <c r="C58" s="759">
        <v>0.89019999999999999</v>
      </c>
      <c r="D58" s="759">
        <f t="shared" si="0"/>
        <v>6.0397911999999998E-2</v>
      </c>
      <c r="E58" s="759">
        <v>2.9858771124975099E-2</v>
      </c>
      <c r="F58" s="759">
        <v>0.47189999999999999</v>
      </c>
      <c r="G58" s="759">
        <f t="shared" si="1"/>
        <v>4.0974592544399585E-2</v>
      </c>
      <c r="H58" s="759">
        <f ca="1">D58*F58+E58*(1-F58)*(1-(현금흐름!$X$23/(현금흐름!$X$23+현금흐름!$X$24)))</f>
        <v>4.1457390658874438E-2</v>
      </c>
      <c r="I58" s="759">
        <f t="shared" si="2"/>
        <v>4.0974592544399585E-2</v>
      </c>
      <c r="J58" s="759">
        <f t="shared" ca="1" si="4"/>
        <v>4.1457390658874438E-2</v>
      </c>
      <c r="K58" s="760" t="s">
        <v>1240</v>
      </c>
      <c r="L58" s="761" t="str">
        <f>'업종분류 검수용'!C52</f>
        <v>5</v>
      </c>
      <c r="M58" s="762">
        <v>0.76</v>
      </c>
      <c r="N58" s="763">
        <f>VLOOKUP(업종분류!B58,'산업기술요소(보조)'!I50:K229,2,0)</f>
        <v>0.33929999999999999</v>
      </c>
      <c r="O58" s="763">
        <f>VLOOKUP(업종분류!B58,'산업기술요소(보조)'!I50:K229,3,0)</f>
        <v>0.24340000000000001</v>
      </c>
      <c r="P58" s="764"/>
      <c r="Q58" s="213"/>
    </row>
    <row r="59" spans="2:19">
      <c r="B59" s="776">
        <v>439</v>
      </c>
      <c r="C59" s="759">
        <v>0.96740000000000004</v>
      </c>
      <c r="D59" s="759">
        <f t="shared" si="0"/>
        <v>6.4069544000000006E-2</v>
      </c>
      <c r="E59" s="759">
        <v>4.6948445258540097E-2</v>
      </c>
      <c r="F59" s="759">
        <v>0.57869999999999999</v>
      </c>
      <c r="G59" s="759">
        <f t="shared" si="1"/>
        <v>5.2722534682851548E-2</v>
      </c>
      <c r="H59" s="759">
        <f ca="1">D59*F59+E59*(1-F59)*(1-(현금흐름!$X$23/(현금흐름!$X$23+현금흐름!$X$24)))</f>
        <v>5.3328140644729363E-2</v>
      </c>
      <c r="I59" s="759">
        <f t="shared" si="2"/>
        <v>5.2722534682851548E-2</v>
      </c>
      <c r="J59" s="759">
        <f t="shared" ca="1" si="4"/>
        <v>5.3328140644729363E-2</v>
      </c>
      <c r="K59" s="760" t="s">
        <v>1241</v>
      </c>
      <c r="L59" s="761">
        <f>'업종분류 검수용'!C53</f>
        <v>56</v>
      </c>
      <c r="M59" s="762">
        <v>0.19</v>
      </c>
      <c r="N59" s="763">
        <f>VLOOKUP(업종분류!B59,'산업기술요소(보조)'!I51:K230,2,0)</f>
        <v>0.77070000000000005</v>
      </c>
      <c r="O59" s="763">
        <f>VLOOKUP(업종분류!B59,'산업기술요소(보조)'!I51:K230,3,0)</f>
        <v>0.70750000000000002</v>
      </c>
      <c r="P59" s="764"/>
      <c r="Q59" s="213"/>
    </row>
    <row r="60" spans="2:19">
      <c r="B60" s="758">
        <v>441</v>
      </c>
      <c r="C60" s="759">
        <v>1.0045999999999999</v>
      </c>
      <c r="D60" s="759">
        <f t="shared" si="0"/>
        <v>6.5838776000000002E-2</v>
      </c>
      <c r="E60" s="759">
        <v>5.0788686937061477E-2</v>
      </c>
      <c r="F60" s="759">
        <v>0.59340000000000004</v>
      </c>
      <c r="G60" s="759">
        <f t="shared" si="1"/>
        <v>5.540341764430988E-2</v>
      </c>
      <c r="H60" s="759">
        <f ca="1">D60*F60+E60*(1-F60)*(1-(현금흐름!$X$23/(현금흐름!$X$23+현금흐름!$X$24)))</f>
        <v>5.6035701113182901E-2</v>
      </c>
      <c r="I60" s="759">
        <f t="shared" si="2"/>
        <v>5.540341764430988E-2</v>
      </c>
      <c r="J60" s="759">
        <f t="shared" ca="1" si="4"/>
        <v>5.6035701113182901E-2</v>
      </c>
      <c r="K60" s="760" t="s">
        <v>5</v>
      </c>
      <c r="L60" s="761" t="str">
        <f>'업종분류 검수용'!C54</f>
        <v>250</v>
      </c>
      <c r="M60" s="762">
        <v>0.36</v>
      </c>
      <c r="N60" s="763">
        <f>VLOOKUP(업종분류!B60,'산업기술요소(보조)'!I52:K231,2,0)</f>
        <v>0.95779999999999998</v>
      </c>
      <c r="O60" s="763">
        <f>VLOOKUP(업종분류!B60,'산업기술요소(보조)'!I52:K231,3,0)</f>
        <v>0.74670000000000003</v>
      </c>
      <c r="P60" s="764"/>
      <c r="Q60" s="213"/>
    </row>
    <row r="61" spans="2:19">
      <c r="B61" s="775">
        <v>442</v>
      </c>
      <c r="C61" s="759">
        <v>0.97019999999999995</v>
      </c>
      <c r="D61" s="759">
        <f t="shared" si="0"/>
        <v>6.4202711999999995E-2</v>
      </c>
      <c r="E61" s="759">
        <v>5.0107068885577428E-2</v>
      </c>
      <c r="F61" s="759">
        <v>0.58530000000000004</v>
      </c>
      <c r="G61" s="759">
        <f t="shared" si="1"/>
        <v>5.4014353893877529E-2</v>
      </c>
      <c r="H61" s="759">
        <f ca="1">D61*F61+E61*(1-F61)*(1-(현금흐름!$X$23/(현금흐름!$X$23+현금흐름!$X$24)))</f>
        <v>5.4650578559189492E-2</v>
      </c>
      <c r="I61" s="759">
        <f t="shared" si="2"/>
        <v>5.4014353893877529E-2</v>
      </c>
      <c r="J61" s="759">
        <f t="shared" ca="1" si="4"/>
        <v>5.4650578559189492E-2</v>
      </c>
      <c r="K61" s="760" t="s">
        <v>1242</v>
      </c>
      <c r="L61" s="761">
        <f>'업종분류 검수용'!C55</f>
        <v>187</v>
      </c>
      <c r="M61" s="762">
        <v>0.89</v>
      </c>
      <c r="N61" s="763">
        <f>VLOOKUP(업종분류!B61,'산업기술요소(보조)'!I53:K232,2,0)</f>
        <v>0.8972</v>
      </c>
      <c r="O61" s="763">
        <f>VLOOKUP(업종분류!B61,'산업기술요소(보조)'!I53:K232,3,0)</f>
        <v>0.67349999999999999</v>
      </c>
      <c r="P61" s="764"/>
      <c r="Q61" s="213"/>
    </row>
    <row r="62" spans="2:19">
      <c r="B62" s="758">
        <v>443</v>
      </c>
      <c r="C62" s="759">
        <v>1.0045999999999999</v>
      </c>
      <c r="D62" s="759">
        <f t="shared" si="0"/>
        <v>6.5838776000000002E-2</v>
      </c>
      <c r="E62" s="759">
        <v>5.0788686937061477E-2</v>
      </c>
      <c r="F62" s="759">
        <v>0.59340000000000004</v>
      </c>
      <c r="G62" s="759">
        <f t="shared" si="1"/>
        <v>5.540341764430988E-2</v>
      </c>
      <c r="H62" s="759">
        <f ca="1">D62*F62+E62*(1-F62)*(1-(현금흐름!$X$23/(현금흐름!$X$23+현금흐름!$X$24)))</f>
        <v>5.6035701113182901E-2</v>
      </c>
      <c r="I62" s="759">
        <f t="shared" si="2"/>
        <v>5.540341764430988E-2</v>
      </c>
      <c r="J62" s="759">
        <f t="shared" ca="1" si="4"/>
        <v>5.6035701113182901E-2</v>
      </c>
      <c r="K62" s="760" t="s">
        <v>1243</v>
      </c>
      <c r="L62" s="761" t="str">
        <f>'업종분류 검수용'!C56</f>
        <v>250</v>
      </c>
      <c r="M62" s="762">
        <v>0.81</v>
      </c>
      <c r="N62" s="763">
        <f>VLOOKUP(업종분류!B62,'산업기술요소(보조)'!I55:K233,2,0)</f>
        <v>0.95779999999999998</v>
      </c>
      <c r="O62" s="763">
        <f>VLOOKUP(업종분류!B62,'산업기술요소(보조)'!I55:K233,3,0)</f>
        <v>0.74670000000000003</v>
      </c>
      <c r="P62" s="764"/>
      <c r="Q62" s="213"/>
    </row>
    <row r="63" spans="2:19">
      <c r="B63" s="774">
        <v>444</v>
      </c>
      <c r="C63" s="759">
        <v>1.0045999999999999</v>
      </c>
      <c r="D63" s="759">
        <f t="shared" si="0"/>
        <v>6.5838776000000002E-2</v>
      </c>
      <c r="E63" s="759">
        <v>5.0788686937061477E-2</v>
      </c>
      <c r="F63" s="759">
        <v>0.59340000000000004</v>
      </c>
      <c r="G63" s="759">
        <f t="shared" si="1"/>
        <v>5.540341764430988E-2</v>
      </c>
      <c r="H63" s="759">
        <f ca="1">D63*F63+E63*(1-F63)*(1-(현금흐름!$X$23/(현금흐름!$X$23+현금흐름!$X$24)))</f>
        <v>5.6035701113182901E-2</v>
      </c>
      <c r="I63" s="759">
        <f t="shared" si="2"/>
        <v>5.540341764430988E-2</v>
      </c>
      <c r="J63" s="759">
        <f t="shared" ca="1" si="4"/>
        <v>5.6035701113182901E-2</v>
      </c>
      <c r="K63" s="760" t="s">
        <v>1244</v>
      </c>
      <c r="L63" s="761" t="str">
        <f>'업종분류 검수용'!C57</f>
        <v>250</v>
      </c>
      <c r="M63" s="762">
        <v>0.14899999999999999</v>
      </c>
      <c r="N63" s="763">
        <f>VLOOKUP(업종분류!B63,'산업기술요소(보조)'!I56:K234,2,0)</f>
        <v>0.95779999999999998</v>
      </c>
      <c r="O63" s="763">
        <f>VLOOKUP(업종분류!B63,'산업기술요소(보조)'!I56:K234,3,0)</f>
        <v>0.74670000000000003</v>
      </c>
      <c r="P63" s="764"/>
      <c r="Q63" s="213"/>
    </row>
    <row r="64" spans="2:19">
      <c r="B64" s="774">
        <v>445</v>
      </c>
      <c r="C64" s="759">
        <v>1.0045999999999999</v>
      </c>
      <c r="D64" s="759">
        <f t="shared" si="0"/>
        <v>6.5838776000000002E-2</v>
      </c>
      <c r="E64" s="759">
        <v>5.0788686937061477E-2</v>
      </c>
      <c r="F64" s="759">
        <v>0.59340000000000004</v>
      </c>
      <c r="G64" s="759">
        <f t="shared" si="1"/>
        <v>5.540341764430988E-2</v>
      </c>
      <c r="H64" s="759">
        <f ca="1">D64*F64+E64*(1-F64)*(1-(현금흐름!$X$23/(현금흐름!$X$23+현금흐름!$X$24)))</f>
        <v>5.6035701113182901E-2</v>
      </c>
      <c r="I64" s="759">
        <f t="shared" si="2"/>
        <v>5.540341764430988E-2</v>
      </c>
      <c r="J64" s="759">
        <f t="shared" ca="1" si="4"/>
        <v>5.6035701113182901E-2</v>
      </c>
      <c r="K64" s="760" t="s">
        <v>1245</v>
      </c>
      <c r="L64" s="761" t="str">
        <f>'업종분류 검수용'!C58</f>
        <v>250</v>
      </c>
      <c r="M64" s="762">
        <v>0.89</v>
      </c>
      <c r="N64" s="763">
        <f>VLOOKUP(업종분류!B64,'산업기술요소(보조)'!I54:K235,2,0)</f>
        <v>0.95779999999999998</v>
      </c>
      <c r="O64" s="763">
        <f>VLOOKUP(업종분류!B64,'산업기술요소(보조)'!I54:K235,3,0)</f>
        <v>0.74670000000000003</v>
      </c>
      <c r="P64" s="764"/>
      <c r="Q64" s="213"/>
    </row>
    <row r="65" spans="2:17">
      <c r="B65" s="775">
        <v>446</v>
      </c>
      <c r="C65" s="759">
        <v>0.78069999999999995</v>
      </c>
      <c r="D65" s="759">
        <f t="shared" si="0"/>
        <v>5.5190092000000003E-2</v>
      </c>
      <c r="E65" s="759">
        <v>3.6305931810967598E-2</v>
      </c>
      <c r="F65" s="759">
        <v>0.64239999999999997</v>
      </c>
      <c r="G65" s="759">
        <f t="shared" si="1"/>
        <v>4.5723669062341196E-2</v>
      </c>
      <c r="H65" s="759">
        <f ca="1">D65*F65+E65*(1-F65)*(1-(현금흐름!$X$23/(현금흐름!$X$23+현금흐름!$X$24)))</f>
        <v>4.612118318787168E-2</v>
      </c>
      <c r="I65" s="759">
        <f t="shared" si="2"/>
        <v>4.5723669062341196E-2</v>
      </c>
      <c r="J65" s="759">
        <f t="shared" ca="1" si="4"/>
        <v>4.612118318787168E-2</v>
      </c>
      <c r="K65" s="760" t="s">
        <v>1246</v>
      </c>
      <c r="L65" s="761">
        <f>'업종분류 검수용'!C59</f>
        <v>7</v>
      </c>
      <c r="M65" s="762">
        <v>0.81</v>
      </c>
      <c r="N65" s="763">
        <f>VLOOKUP(업종분류!B65,'산업기술요소(보조)'!I57:K236,2,0)</f>
        <v>0.72040000000000004</v>
      </c>
      <c r="O65" s="763">
        <f>VLOOKUP(업종분류!B65,'산업기술요소(보조)'!I57:K236,3,0)</f>
        <v>0.4541</v>
      </c>
      <c r="P65" s="764"/>
      <c r="Q65" s="213"/>
    </row>
    <row r="66" spans="2:17">
      <c r="B66" s="777">
        <v>447</v>
      </c>
      <c r="C66" s="759">
        <v>1.1856</v>
      </c>
      <c r="D66" s="759">
        <f t="shared" si="0"/>
        <v>7.4447135999999997E-2</v>
      </c>
      <c r="E66" s="759">
        <v>5.7124861070515898E-2</v>
      </c>
      <c r="F66" s="759">
        <v>0.61529999999999996</v>
      </c>
      <c r="G66" s="759">
        <f t="shared" si="1"/>
        <v>6.3190286617377522E-2</v>
      </c>
      <c r="H66" s="778">
        <f ca="1">D66*F66+E66*(1-F66)*(1-(현금흐름!$X$23/(현금흐름!$X$23+현금흐름!$X$24)))</f>
        <v>6.3863146772210194E-2</v>
      </c>
      <c r="I66" s="759">
        <f t="shared" si="2"/>
        <v>6.3190286617377522E-2</v>
      </c>
      <c r="J66" s="759">
        <f t="shared" ca="1" si="4"/>
        <v>6.3863146772210194E-2</v>
      </c>
      <c r="K66" s="779" t="s">
        <v>2802</v>
      </c>
      <c r="L66" s="780">
        <f>'업종분류 검수용'!C60</f>
        <v>56</v>
      </c>
      <c r="M66" s="781">
        <v>0.98</v>
      </c>
      <c r="N66" s="782">
        <f>VLOOKUP(업종분류!B66,'산업기술요소(보조)'!I58:K237,2,0)</f>
        <v>0.9637</v>
      </c>
      <c r="O66" s="782">
        <f>VLOOKUP(업종분류!B66,'산업기술요소(보조)'!I58:K237,3,0)</f>
        <v>0.88500000000000001</v>
      </c>
      <c r="P66" s="764"/>
      <c r="Q66" s="213"/>
    </row>
    <row r="67" spans="2:17">
      <c r="B67" s="774">
        <v>449</v>
      </c>
      <c r="C67" s="759">
        <v>1.0045999999999999</v>
      </c>
      <c r="D67" s="759">
        <f t="shared" si="0"/>
        <v>6.5838776000000002E-2</v>
      </c>
      <c r="E67" s="759">
        <v>5.0788686937061477E-2</v>
      </c>
      <c r="F67" s="759">
        <v>0.59340000000000004</v>
      </c>
      <c r="G67" s="759">
        <f t="shared" si="1"/>
        <v>5.540341764430988E-2</v>
      </c>
      <c r="H67" s="759">
        <f ca="1">D67*F67+E67*(1-F67)*(1-(현금흐름!$X$23/(현금흐름!$X$23+현금흐름!$X$24)))</f>
        <v>5.6035701113182901E-2</v>
      </c>
      <c r="I67" s="759">
        <f t="shared" si="2"/>
        <v>5.540341764430988E-2</v>
      </c>
      <c r="J67" s="759">
        <f t="shared" ca="1" si="4"/>
        <v>5.6035701113182901E-2</v>
      </c>
      <c r="K67" s="760" t="s">
        <v>1248</v>
      </c>
      <c r="L67" s="761" t="str">
        <f>'업종분류 검수용'!C61</f>
        <v>250</v>
      </c>
      <c r="M67" s="762">
        <v>0.36</v>
      </c>
      <c r="N67" s="763">
        <f>VLOOKUP(업종분류!B67,'산업기술요소(보조)'!I59:K238,2,0)</f>
        <v>0.95779999999999998</v>
      </c>
      <c r="O67" s="763">
        <f>VLOOKUP(업종분류!B67,'산업기술요소(보조)'!I59:K238,3,0)</f>
        <v>0.74670000000000003</v>
      </c>
      <c r="P67" s="764"/>
      <c r="Q67" s="213"/>
    </row>
    <row r="68" spans="2:17">
      <c r="B68" s="758">
        <v>511</v>
      </c>
      <c r="C68" s="759">
        <v>0.57889999999999997</v>
      </c>
      <c r="D68" s="759">
        <f t="shared" si="0"/>
        <v>4.5592483999999996E-2</v>
      </c>
      <c r="E68" s="759">
        <v>3.1945328515561769E-2</v>
      </c>
      <c r="F68" s="759">
        <v>0.56920000000000004</v>
      </c>
      <c r="G68" s="759">
        <f t="shared" si="1"/>
        <v>3.6837021484682674E-2</v>
      </c>
      <c r="H68" s="759">
        <f ca="1">D68*F68+E68*(1-F68)*(1-(현금흐름!$X$23/(현금흐름!$X$23+현금흐름!$X$24)))</f>
        <v>3.7258388485760817E-2</v>
      </c>
      <c r="I68" s="759">
        <f t="shared" si="2"/>
        <v>3.6837021484682674E-2</v>
      </c>
      <c r="J68" s="759">
        <f t="shared" ca="1" si="4"/>
        <v>3.7258388485760817E-2</v>
      </c>
      <c r="K68" s="760" t="s">
        <v>1249</v>
      </c>
      <c r="L68" s="761">
        <f>'업종분류 검수용'!C62</f>
        <v>4</v>
      </c>
      <c r="M68" s="762">
        <v>0.14899999999999999</v>
      </c>
      <c r="N68" s="763">
        <f>VLOOKUP(업종분류!B68,'산업기술요소(보조)'!I60:K239,2,0)</f>
        <v>0.89929999999999999</v>
      </c>
      <c r="O68" s="763">
        <f>VLOOKUP(업종분류!B68,'산업기술요소(보조)'!I60:K239,3,0)</f>
        <v>0.71050000000000002</v>
      </c>
      <c r="P68" s="764"/>
      <c r="Q68" s="213"/>
    </row>
    <row r="69" spans="2:17">
      <c r="B69" s="758">
        <v>512</v>
      </c>
      <c r="C69" s="759">
        <v>0.57889999999999997</v>
      </c>
      <c r="D69" s="759">
        <f t="shared" si="0"/>
        <v>4.5592483999999996E-2</v>
      </c>
      <c r="E69" s="759">
        <v>3.1945328515561769E-2</v>
      </c>
      <c r="F69" s="759">
        <v>0.56920000000000004</v>
      </c>
      <c r="G69" s="759">
        <f t="shared" si="1"/>
        <v>3.6837021484682674E-2</v>
      </c>
      <c r="H69" s="759">
        <f ca="1">D69*F69+E69*(1-F69)*(1-(현금흐름!$X$23/(현금흐름!$X$23+현금흐름!$X$24)))</f>
        <v>3.7258388485760817E-2</v>
      </c>
      <c r="I69" s="759">
        <f t="shared" si="2"/>
        <v>3.6837021484682674E-2</v>
      </c>
      <c r="J69" s="759">
        <f t="shared" ca="1" si="4"/>
        <v>3.7258388485760817E-2</v>
      </c>
      <c r="K69" s="760" t="s">
        <v>1250</v>
      </c>
      <c r="L69" s="761">
        <f>'업종분류 검수용'!C63</f>
        <v>4</v>
      </c>
      <c r="M69" s="762">
        <v>0.14899999999999999</v>
      </c>
      <c r="N69" s="763">
        <f>VLOOKUP(업종분류!B69,'산업기술요소(보조)'!I61:K240,2,0)</f>
        <v>0.89929999999999999</v>
      </c>
      <c r="O69" s="763">
        <f>VLOOKUP(업종분류!B69,'산업기술요소(보조)'!I61:K240,3,0)</f>
        <v>0.71050000000000002</v>
      </c>
      <c r="P69" s="764"/>
      <c r="Q69" s="213"/>
    </row>
    <row r="70" spans="2:17">
      <c r="B70" s="758">
        <v>520</v>
      </c>
      <c r="C70" s="759">
        <v>0.57889999999999997</v>
      </c>
      <c r="D70" s="759">
        <f t="shared" si="0"/>
        <v>4.5592483999999996E-2</v>
      </c>
      <c r="E70" s="759">
        <v>3.1945328515561769E-2</v>
      </c>
      <c r="F70" s="759">
        <v>0.56920000000000004</v>
      </c>
      <c r="G70" s="759">
        <f t="shared" si="1"/>
        <v>3.6837021484682674E-2</v>
      </c>
      <c r="H70" s="759">
        <f ca="1">D70*F70+E70*(1-F70)*(1-(현금흐름!$X$23/(현금흐름!$X$23+현금흐름!$X$24)))</f>
        <v>3.7258388485760817E-2</v>
      </c>
      <c r="I70" s="759">
        <f t="shared" si="2"/>
        <v>3.6837021484682674E-2</v>
      </c>
      <c r="J70" s="759">
        <f t="shared" ca="1" si="4"/>
        <v>3.7258388485760817E-2</v>
      </c>
      <c r="K70" s="760" t="s">
        <v>1251</v>
      </c>
      <c r="L70" s="761">
        <f>'업종분류 검수용'!C64</f>
        <v>4</v>
      </c>
      <c r="M70" s="762">
        <v>0.14899999999999999</v>
      </c>
      <c r="N70" s="763">
        <f>VLOOKUP(업종분류!B70,'산업기술요소(보조)'!I62:K241,2,0)</f>
        <v>0.89929999999999999</v>
      </c>
      <c r="O70" s="763">
        <f>VLOOKUP(업종분류!B70,'산업기술요소(보조)'!I62:K241,3,0)</f>
        <v>0.71050000000000002</v>
      </c>
      <c r="P70" s="764"/>
      <c r="Q70" s="213"/>
    </row>
    <row r="71" spans="2:17">
      <c r="B71" s="758">
        <v>611</v>
      </c>
      <c r="C71" s="759">
        <v>1.0748</v>
      </c>
      <c r="D71" s="759">
        <f t="shared" si="0"/>
        <v>6.9177487999999995E-2</v>
      </c>
      <c r="E71" s="759">
        <v>1.6805364507222597E-2</v>
      </c>
      <c r="F71" s="759">
        <v>0.62549999999999994</v>
      </c>
      <c r="G71" s="759">
        <f t="shared" si="1"/>
        <v>4.8248763469292293E-2</v>
      </c>
      <c r="H71" s="759">
        <f ca="1">D71*F71+E71*(1-F71)*(1-(현금흐름!$X$23/(현금흐름!$X$23+현금흐름!$X$24)))</f>
        <v>4.8441461477994739E-2</v>
      </c>
      <c r="I71" s="759">
        <f t="shared" si="2"/>
        <v>4.8248763469292293E-2</v>
      </c>
      <c r="J71" s="759">
        <f t="shared" ca="1" si="4"/>
        <v>4.8441461477994739E-2</v>
      </c>
      <c r="K71" s="760" t="s">
        <v>1252</v>
      </c>
      <c r="L71" s="761" t="str">
        <f>'업종분류 검수용'!C65</f>
        <v>1</v>
      </c>
      <c r="M71" s="762">
        <v>0.14899999999999999</v>
      </c>
      <c r="N71" s="763">
        <f>VLOOKUP(업종분류!B71,'산업기술요소(보조)'!I64:K242,2,0)</f>
        <v>0.89739999999999998</v>
      </c>
      <c r="O71" s="763">
        <f>VLOOKUP(업종분류!B71,'산업기술요소(보조)'!I64:K242,3,0)</f>
        <v>0.47360000000000002</v>
      </c>
      <c r="P71" s="764"/>
      <c r="Q71" s="213"/>
    </row>
    <row r="72" spans="2:17">
      <c r="B72" s="758">
        <v>612</v>
      </c>
      <c r="C72" s="759" t="s">
        <v>1883</v>
      </c>
      <c r="D72" s="759">
        <f t="shared" si="0"/>
        <v>7.0433071999999999E-2</v>
      </c>
      <c r="E72" s="759">
        <v>6.2139059132810842E-2</v>
      </c>
      <c r="F72" s="759">
        <v>0.44669999999999999</v>
      </c>
      <c r="G72" s="759">
        <f t="shared" si="1"/>
        <v>5.8658252524183732E-2</v>
      </c>
      <c r="H72" s="759">
        <f ca="1">D72*F72+E72*(1-F72)*(1-(현금흐름!$X$23/(현금흐름!$X$23+현금흐름!$X$24)))</f>
        <v>5.9710948133178621E-2</v>
      </c>
      <c r="I72" s="759">
        <f t="shared" si="2"/>
        <v>5.8658252524183732E-2</v>
      </c>
      <c r="J72" s="759">
        <f t="shared" ca="1" si="4"/>
        <v>5.9710948133178621E-2</v>
      </c>
      <c r="K72" s="760" t="s">
        <v>1253</v>
      </c>
      <c r="L72" s="761" t="str">
        <f>'업종분류 검수용'!C66</f>
        <v>3</v>
      </c>
      <c r="M72" s="762">
        <v>0.14899999999999999</v>
      </c>
      <c r="N72" s="763">
        <f>VLOOKUP(업종분류!B72,'산업기술요소(보조)'!I63:K243,2,0)</f>
        <v>0.89739999999999998</v>
      </c>
      <c r="O72" s="763">
        <f>VLOOKUP(업종분류!B72,'산업기술요소(보조)'!I63:K243,3,0)</f>
        <v>0.47360000000000002</v>
      </c>
      <c r="P72" s="764"/>
      <c r="Q72" s="213"/>
    </row>
    <row r="73" spans="2:17">
      <c r="B73" s="758">
        <v>619</v>
      </c>
      <c r="C73" s="759">
        <v>1.2146999999999999</v>
      </c>
      <c r="D73" s="759">
        <f t="shared" si="0"/>
        <v>7.5831131999999996E-2</v>
      </c>
      <c r="E73" s="759">
        <v>4.1149789452648369E-2</v>
      </c>
      <c r="F73" s="759">
        <v>0.61160000000000003</v>
      </c>
      <c r="G73" s="759">
        <f t="shared" si="1"/>
        <v>5.9020539705916225E-2</v>
      </c>
      <c r="H73" s="759">
        <f ca="1">D73*F73+E73*(1-F73)*(1-(현금흐름!$X$23/(현금흐름!$X$23+현금흐름!$X$24)))</f>
        <v>5.9509895017580666E-2</v>
      </c>
      <c r="I73" s="759">
        <f t="shared" si="2"/>
        <v>5.9020539705916225E-2</v>
      </c>
      <c r="J73" s="759">
        <f t="shared" ca="1" si="4"/>
        <v>5.9509895017580666E-2</v>
      </c>
      <c r="K73" s="760" t="s">
        <v>1254</v>
      </c>
      <c r="L73" s="761">
        <f>'업종분류 검수용'!C67</f>
        <v>51</v>
      </c>
      <c r="M73" s="762">
        <v>0.19</v>
      </c>
      <c r="N73" s="763">
        <f>VLOOKUP(업종분류!B73,'산업기술요소(보조)'!I67:K244,2,0)</f>
        <v>0.90880000000000005</v>
      </c>
      <c r="O73" s="763">
        <f>VLOOKUP(업종분류!B73,'산업기술요소(보조)'!I67:K244,3,0)</f>
        <v>0.53520000000000001</v>
      </c>
      <c r="P73" s="764"/>
      <c r="Q73" s="213"/>
    </row>
    <row r="74" spans="2:17">
      <c r="B74" s="758">
        <v>621</v>
      </c>
      <c r="C74" s="759">
        <v>1.0471999999999999</v>
      </c>
      <c r="D74" s="759">
        <f t="shared" ref="D74:D121" si="5">(1.806+C74*4.756)/100</f>
        <v>6.7864832E-2</v>
      </c>
      <c r="E74" s="759">
        <v>3.7263138170977768E-2</v>
      </c>
      <c r="F74" s="759">
        <v>0.52839999999999998</v>
      </c>
      <c r="G74" s="759">
        <f t="shared" ref="G74:G121" si="6">D74*F74+(1-0.209)*E74*(1-F74)</f>
        <v>4.976025433429359E-2</v>
      </c>
      <c r="H74" s="759">
        <f ca="1">D74*F74+E74*(1-F74)*(1-(현금흐름!$X$23/(현금흐름!$X$23+현금흐름!$X$24)))</f>
        <v>5.0298314314477725E-2</v>
      </c>
      <c r="I74" s="759">
        <f t="shared" ref="I74:I121" si="7">D74*F74+E74*(1-F74)*(1-0.209)</f>
        <v>4.976025433429359E-2</v>
      </c>
      <c r="J74" s="759">
        <f t="shared" ca="1" si="4"/>
        <v>5.0298314314477725E-2</v>
      </c>
      <c r="K74" s="760" t="s">
        <v>1255</v>
      </c>
      <c r="L74" s="761">
        <f>'업종분류 검수용'!C68</f>
        <v>13</v>
      </c>
      <c r="M74" s="762">
        <v>0.92</v>
      </c>
      <c r="N74" s="763">
        <f>VLOOKUP(업종분류!B74,'산업기술요소(보조)'!I65:K245,2,0)</f>
        <v>0.86129999999999995</v>
      </c>
      <c r="O74" s="763">
        <f>VLOOKUP(업종분류!B74,'산업기술요소(보조)'!I65:K245,3,0)</f>
        <v>0.73660000000000003</v>
      </c>
      <c r="P74" s="764"/>
      <c r="Q74" s="213"/>
    </row>
    <row r="75" spans="2:17">
      <c r="B75" s="758">
        <v>622</v>
      </c>
      <c r="C75" s="759">
        <v>0.95089999999999997</v>
      </c>
      <c r="D75" s="759">
        <f t="shared" si="5"/>
        <v>6.3284804E-2</v>
      </c>
      <c r="E75" s="759">
        <v>4.2556672823414424E-2</v>
      </c>
      <c r="F75" s="759">
        <v>0.56940000000000002</v>
      </c>
      <c r="G75" s="759">
        <f t="shared" si="6"/>
        <v>5.052936592194994E-2</v>
      </c>
      <c r="H75" s="759">
        <f ca="1">D75*F75+E75*(1-F75)*(1-(현금흐름!$X$23/(현금흐름!$X$23+현금흐름!$X$24)))</f>
        <v>5.1090438650575817E-2</v>
      </c>
      <c r="I75" s="759">
        <f t="shared" si="7"/>
        <v>5.052936592194994E-2</v>
      </c>
      <c r="J75" s="759">
        <f t="shared" ca="1" si="4"/>
        <v>5.1090438650575817E-2</v>
      </c>
      <c r="K75" s="760" t="s">
        <v>1256</v>
      </c>
      <c r="L75" s="761" t="str">
        <f>'업종분류 검수용'!C69</f>
        <v>423</v>
      </c>
      <c r="M75" s="762">
        <v>0.92</v>
      </c>
      <c r="N75" s="763">
        <f>VLOOKUP(업종분류!B75,'산업기술요소(보조)'!I66:K246,2,0)</f>
        <v>0.80900000000000005</v>
      </c>
      <c r="O75" s="763">
        <f>VLOOKUP(업종분류!B75,'산업기술요소(보조)'!I66:K246,3,0)</f>
        <v>0.67579999999999996</v>
      </c>
      <c r="P75" s="764"/>
      <c r="Q75" s="213"/>
    </row>
    <row r="76" spans="2:17">
      <c r="B76" s="758">
        <v>623</v>
      </c>
      <c r="C76" s="759">
        <v>0.69</v>
      </c>
      <c r="D76" s="759">
        <f t="shared" si="5"/>
        <v>5.0876400000000002E-2</v>
      </c>
      <c r="E76" s="759">
        <v>3.2814391811705937E-2</v>
      </c>
      <c r="F76" s="759">
        <v>0.55659999999999998</v>
      </c>
      <c r="G76" s="759">
        <f t="shared" si="6"/>
        <v>3.9826776191484538E-2</v>
      </c>
      <c r="H76" s="759">
        <f ca="1">D76*F76+E76*(1-F76)*(1-(현금흐름!$X$23/(현금흐름!$X$23+현금흐름!$X$24)))</f>
        <v>4.0272265736423118E-2</v>
      </c>
      <c r="I76" s="759">
        <f t="shared" si="7"/>
        <v>3.9826776191484538E-2</v>
      </c>
      <c r="J76" s="759">
        <f t="shared" ca="1" si="4"/>
        <v>4.0272265736423118E-2</v>
      </c>
      <c r="K76" s="760" t="s">
        <v>1257</v>
      </c>
      <c r="L76" s="761">
        <f>'업종분류 검수용'!C70</f>
        <v>8</v>
      </c>
      <c r="M76" s="762">
        <v>0.92</v>
      </c>
      <c r="N76" s="763">
        <f>VLOOKUP(업종분류!B76,'산업기술요소(보조)'!I68:K247,2,0)</f>
        <v>0.69230000000000003</v>
      </c>
      <c r="O76" s="763">
        <f>VLOOKUP(업종분류!B76,'산업기술요소(보조)'!I68:K247,3,0)</f>
        <v>0.56759999999999999</v>
      </c>
      <c r="P76" s="764"/>
      <c r="Q76" s="213"/>
    </row>
    <row r="77" spans="2:17">
      <c r="B77" s="758">
        <v>624</v>
      </c>
      <c r="C77" s="759">
        <v>0.85040000000000004</v>
      </c>
      <c r="D77" s="759">
        <f t="shared" si="5"/>
        <v>5.850502400000001E-2</v>
      </c>
      <c r="E77" s="759">
        <v>5.0115414830147829E-2</v>
      </c>
      <c r="F77" s="759">
        <v>0.62960000000000005</v>
      </c>
      <c r="G77" s="759">
        <f t="shared" si="6"/>
        <v>5.151789808599163E-2</v>
      </c>
      <c r="H77" s="759">
        <f ca="1">D77*F77+E77*(1-F77)*(1-(현금흐름!$X$23/(현금흐름!$X$23+현금흐름!$X$24)))</f>
        <v>5.2086253204600155E-2</v>
      </c>
      <c r="I77" s="759">
        <f t="shared" si="7"/>
        <v>5.151789808599163E-2</v>
      </c>
      <c r="J77" s="759">
        <f t="shared" ca="1" si="4"/>
        <v>5.2086253204600155E-2</v>
      </c>
      <c r="K77" s="760" t="s">
        <v>1258</v>
      </c>
      <c r="L77" s="761">
        <f>'업종분류 검수용'!C71</f>
        <v>25</v>
      </c>
      <c r="M77" s="762">
        <v>0.97</v>
      </c>
      <c r="N77" s="763">
        <f>VLOOKUP(업종분류!B77,'산업기술요소(보조)'!I69:K248,2,0)</f>
        <v>0.84609999999999996</v>
      </c>
      <c r="O77" s="763">
        <f>VLOOKUP(업종분류!B77,'산업기술요소(보조)'!I69:K248,3,0)</f>
        <v>0.73470000000000002</v>
      </c>
      <c r="P77" s="764"/>
      <c r="Q77" s="213"/>
    </row>
    <row r="78" spans="2:17">
      <c r="B78" s="758">
        <v>625</v>
      </c>
      <c r="C78" s="759">
        <v>0.95089999999999997</v>
      </c>
      <c r="D78" s="759">
        <f t="shared" si="5"/>
        <v>6.3284804E-2</v>
      </c>
      <c r="E78" s="759">
        <v>4.2556672823414424E-2</v>
      </c>
      <c r="F78" s="759">
        <v>0.56940000000000002</v>
      </c>
      <c r="G78" s="759">
        <f t="shared" si="6"/>
        <v>5.052936592194994E-2</v>
      </c>
      <c r="H78" s="759">
        <f ca="1">D78*F78+E78*(1-F78)*(1-(현금흐름!$X$23/(현금흐름!$X$23+현금흐름!$X$24)))</f>
        <v>5.1090438650575817E-2</v>
      </c>
      <c r="I78" s="759">
        <f t="shared" si="7"/>
        <v>5.052936592194994E-2</v>
      </c>
      <c r="J78" s="759">
        <f t="shared" ca="1" si="4"/>
        <v>5.1090438650575817E-2</v>
      </c>
      <c r="K78" s="760" t="s">
        <v>1259</v>
      </c>
      <c r="L78" s="761" t="str">
        <f>'업종분류 검수용'!C72</f>
        <v>423</v>
      </c>
      <c r="M78" s="762">
        <v>0.69</v>
      </c>
      <c r="N78" s="763">
        <f>VLOOKUP(업종분류!B78,'산업기술요소(보조)'!I70:K249,2,0)</f>
        <v>0.80900000000000005</v>
      </c>
      <c r="O78" s="763">
        <f>VLOOKUP(업종분류!B78,'산업기술요소(보조)'!I70:K249,3,0)</f>
        <v>0.67579999999999996</v>
      </c>
      <c r="P78" s="764"/>
      <c r="Q78" s="213"/>
    </row>
    <row r="79" spans="2:17">
      <c r="B79" s="758">
        <v>626</v>
      </c>
      <c r="C79" s="759">
        <v>0.85140000000000005</v>
      </c>
      <c r="D79" s="759">
        <f t="shared" si="5"/>
        <v>5.8552584000000005E-2</v>
      </c>
      <c r="E79" s="759">
        <v>3.7291932260826902E-2</v>
      </c>
      <c r="F79" s="759">
        <v>0.61970000000000003</v>
      </c>
      <c r="G79" s="759">
        <f t="shared" si="6"/>
        <v>4.7503094679284846E-2</v>
      </c>
      <c r="H79" s="759">
        <f ca="1">D79*F79+E79*(1-F79)*(1-(현금흐름!$X$23/(현금흐름!$X$23+현금흐름!$X$24)))</f>
        <v>4.7937323534947243E-2</v>
      </c>
      <c r="I79" s="759">
        <f t="shared" si="7"/>
        <v>4.7503094679284846E-2</v>
      </c>
      <c r="J79" s="759">
        <f t="shared" ca="1" si="4"/>
        <v>4.7937323534947243E-2</v>
      </c>
      <c r="K79" s="760" t="s">
        <v>1260</v>
      </c>
      <c r="L79" s="761">
        <f>'업종분류 검수용'!C73</f>
        <v>14</v>
      </c>
      <c r="M79" s="762">
        <v>0.96</v>
      </c>
      <c r="N79" s="763">
        <f>VLOOKUP(업종분류!B79,'산업기술요소(보조)'!I71:K250,2,0)</f>
        <v>0.49530000000000002</v>
      </c>
      <c r="O79" s="763">
        <f>VLOOKUP(업종분류!B79,'산업기술요소(보조)'!I71:K250,3,0)</f>
        <v>0.39290000000000003</v>
      </c>
      <c r="P79" s="764"/>
      <c r="Q79" s="213"/>
    </row>
    <row r="80" spans="2:17">
      <c r="B80" s="758">
        <v>627</v>
      </c>
      <c r="C80" s="759">
        <v>0.95089999999999997</v>
      </c>
      <c r="D80" s="759">
        <f t="shared" si="5"/>
        <v>6.3284804E-2</v>
      </c>
      <c r="E80" s="759">
        <v>4.2556672823414424E-2</v>
      </c>
      <c r="F80" s="759">
        <v>0.56940000000000002</v>
      </c>
      <c r="G80" s="759">
        <f t="shared" si="6"/>
        <v>5.052936592194994E-2</v>
      </c>
      <c r="H80" s="759">
        <f ca="1">D80*F80+E80*(1-F80)*(1-(현금흐름!$X$23/(현금흐름!$X$23+현금흐름!$X$24)))</f>
        <v>5.1090438650575817E-2</v>
      </c>
      <c r="I80" s="759">
        <f t="shared" si="7"/>
        <v>5.052936592194994E-2</v>
      </c>
      <c r="J80" s="759">
        <f t="shared" ref="J80:J121" ca="1" si="8">H80</f>
        <v>5.1090438650575817E-2</v>
      </c>
      <c r="K80" s="760" t="s">
        <v>1261</v>
      </c>
      <c r="L80" s="761" t="str">
        <f>'업종분류 검수용'!C74</f>
        <v>423</v>
      </c>
      <c r="M80" s="762">
        <v>0.28000000000000003</v>
      </c>
      <c r="N80" s="763">
        <f>VLOOKUP(업종분류!B80,'산업기술요소(보조)'!I72:K251,2,0)</f>
        <v>0.80900000000000005</v>
      </c>
      <c r="O80" s="763">
        <f>VLOOKUP(업종분류!B80,'산업기술요소(보조)'!I72:K251,3,0)</f>
        <v>0.67579999999999996</v>
      </c>
      <c r="P80" s="764"/>
      <c r="Q80" s="213"/>
    </row>
    <row r="81" spans="2:17">
      <c r="B81" s="758">
        <v>628</v>
      </c>
      <c r="C81" s="759">
        <v>0.98650000000000004</v>
      </c>
      <c r="D81" s="759">
        <f t="shared" si="5"/>
        <v>6.4977940000000012E-2</v>
      </c>
      <c r="E81" s="759">
        <v>3.8349143190658241E-2</v>
      </c>
      <c r="F81" s="759">
        <v>0.58879999999999999</v>
      </c>
      <c r="G81" s="759">
        <f t="shared" si="6"/>
        <v>5.0732422706878957E-2</v>
      </c>
      <c r="H81" s="759">
        <f ca="1">D81*F81+E81*(1-F81)*(1-(현금흐름!$X$23/(현금흐름!$X$23+현금흐름!$X$24)))</f>
        <v>5.1215243804756172E-2</v>
      </c>
      <c r="I81" s="759">
        <f t="shared" si="7"/>
        <v>5.0732422706878957E-2</v>
      </c>
      <c r="J81" s="759">
        <f t="shared" ca="1" si="8"/>
        <v>5.1215243804756172E-2</v>
      </c>
      <c r="K81" s="760" t="s">
        <v>1262</v>
      </c>
      <c r="L81" s="761">
        <f>'업종분류 검수용'!C75</f>
        <v>14</v>
      </c>
      <c r="M81" s="762">
        <v>0.63700000000000001</v>
      </c>
      <c r="N81" s="763">
        <f>VLOOKUP(업종분류!B81,'산업기술요소(보조)'!I73:K252,2,0)</f>
        <v>0.77239999999999998</v>
      </c>
      <c r="O81" s="763">
        <f>VLOOKUP(업종분류!B81,'산업기술요소(보조)'!I73:K252,3,0)</f>
        <v>0.4834</v>
      </c>
      <c r="P81" s="764"/>
      <c r="Q81" s="213"/>
    </row>
    <row r="82" spans="2:17">
      <c r="B82" s="758">
        <v>629</v>
      </c>
      <c r="C82" s="759">
        <v>0.9627</v>
      </c>
      <c r="D82" s="759">
        <f t="shared" si="5"/>
        <v>6.3846012000000008E-2</v>
      </c>
      <c r="E82" s="759">
        <v>4.2939944146313733E-2</v>
      </c>
      <c r="F82" s="759">
        <v>0.56479999999999997</v>
      </c>
      <c r="G82" s="759">
        <f t="shared" si="6"/>
        <v>5.0842011358348309E-2</v>
      </c>
      <c r="H82" s="759">
        <f ca="1">D82*F82+E82*(1-F82)*(1-(현금흐름!$X$23/(현금흐름!$X$23+현금흐름!$X$24)))</f>
        <v>5.1414184977123766E-2</v>
      </c>
      <c r="I82" s="759">
        <f t="shared" si="7"/>
        <v>5.0842011358348316E-2</v>
      </c>
      <c r="J82" s="759">
        <f t="shared" ca="1" si="8"/>
        <v>5.1414184977123766E-2</v>
      </c>
      <c r="K82" s="760" t="s">
        <v>1263</v>
      </c>
      <c r="L82" s="761">
        <f>'업종분류 검수용'!C76</f>
        <v>359</v>
      </c>
      <c r="M82" s="762">
        <v>0.76</v>
      </c>
      <c r="N82" s="763">
        <f>VLOOKUP(업종분류!B82,'산업기술요소(보조)'!I74:K253,2,0)</f>
        <v>0.80249999999999999</v>
      </c>
      <c r="O82" s="763">
        <f>VLOOKUP(업종분류!B82,'산업기술요소(보조)'!I74:K253,3,0)</f>
        <v>0.68010000000000004</v>
      </c>
      <c r="P82" s="764"/>
      <c r="Q82" s="213"/>
    </row>
    <row r="83" spans="2:17">
      <c r="B83" s="758">
        <v>631</v>
      </c>
      <c r="C83" s="759">
        <v>1.0042</v>
      </c>
      <c r="D83" s="759">
        <f t="shared" si="5"/>
        <v>6.5819752000000009E-2</v>
      </c>
      <c r="E83" s="759">
        <v>5.0155822989407274E-2</v>
      </c>
      <c r="F83" s="759">
        <v>0.58930000000000005</v>
      </c>
      <c r="G83" s="759">
        <f t="shared" si="6"/>
        <v>5.5081386086483913E-2</v>
      </c>
      <c r="H83" s="759">
        <f ca="1">D83*F83+E83*(1-F83)*(1-(현금흐름!$X$23/(현금흐름!$X$23+현금흐름!$X$24)))</f>
        <v>5.571208710431623E-2</v>
      </c>
      <c r="I83" s="759">
        <f t="shared" si="7"/>
        <v>5.5081386086483913E-2</v>
      </c>
      <c r="J83" s="759">
        <f t="shared" ca="1" si="8"/>
        <v>5.571208710431623E-2</v>
      </c>
      <c r="K83" s="760" t="s">
        <v>1264</v>
      </c>
      <c r="L83" s="761" t="str">
        <f>'업종분류 검수용'!C77</f>
        <v>279</v>
      </c>
      <c r="M83" s="762">
        <v>0.80400000000000005</v>
      </c>
      <c r="N83" s="763">
        <f>VLOOKUP(업종분류!B83,'산업기술요소(보조)'!I75:K254,2,0)</f>
        <v>0.95709999999999995</v>
      </c>
      <c r="O83" s="763">
        <f>VLOOKUP(업종분류!B83,'산업기술요소(보조)'!I75:K254,3,0)</f>
        <v>0.74809999999999999</v>
      </c>
      <c r="P83" s="764"/>
      <c r="Q83" s="213"/>
    </row>
    <row r="84" spans="2:17">
      <c r="B84" s="758">
        <v>632</v>
      </c>
      <c r="C84" s="759">
        <v>0.97019999999999995</v>
      </c>
      <c r="D84" s="759">
        <f t="shared" si="5"/>
        <v>6.4202711999999995E-2</v>
      </c>
      <c r="E84" s="759">
        <v>5.0107068885577428E-2</v>
      </c>
      <c r="F84" s="759">
        <v>0.58530000000000004</v>
      </c>
      <c r="G84" s="759">
        <f t="shared" si="6"/>
        <v>5.4014353893877529E-2</v>
      </c>
      <c r="H84" s="759">
        <f ca="1">D84*F84+E84*(1-F84)*(1-(현금흐름!$X$23/(현금흐름!$X$23+현금흐름!$X$24)))</f>
        <v>5.4650578559189492E-2</v>
      </c>
      <c r="I84" s="759">
        <f t="shared" si="7"/>
        <v>5.4014353893877529E-2</v>
      </c>
      <c r="J84" s="759">
        <f t="shared" ca="1" si="8"/>
        <v>5.4650578559189492E-2</v>
      </c>
      <c r="K84" s="760" t="s">
        <v>1265</v>
      </c>
      <c r="L84" s="761">
        <f>'업종분류 검수용'!C78</f>
        <v>187</v>
      </c>
      <c r="M84" s="762">
        <v>0.89</v>
      </c>
      <c r="N84" s="763">
        <f>VLOOKUP(업종분류!B84,'산업기술요소(보조)'!I76:K255,2,0)</f>
        <v>0.8972</v>
      </c>
      <c r="O84" s="763">
        <f>VLOOKUP(업종분류!B84,'산업기술요소(보조)'!I76:K255,3,0)</f>
        <v>0.67349999999999999</v>
      </c>
      <c r="P84" s="764"/>
      <c r="Q84" s="213"/>
    </row>
    <row r="85" spans="2:17">
      <c r="B85" s="777">
        <v>633</v>
      </c>
      <c r="C85" s="759">
        <v>1.1856</v>
      </c>
      <c r="D85" s="759">
        <f t="shared" si="5"/>
        <v>7.4447135999999997E-2</v>
      </c>
      <c r="E85" s="759">
        <v>5.7393046632463675E-2</v>
      </c>
      <c r="F85" s="759">
        <v>0.61699999999999999</v>
      </c>
      <c r="G85" s="759">
        <f t="shared" si="6"/>
        <v>6.3321278568444772E-2</v>
      </c>
      <c r="H85" s="778">
        <f ca="1">D85*F85+E85*(1-F85)*(1-(현금흐름!$X$23/(현금흐름!$X$23+현금흐름!$X$24)))</f>
        <v>6.3994310270260452E-2</v>
      </c>
      <c r="I85" s="759">
        <f t="shared" si="7"/>
        <v>6.3321278568444772E-2</v>
      </c>
      <c r="J85" s="759">
        <f t="shared" ca="1" si="8"/>
        <v>6.3994310270260452E-2</v>
      </c>
      <c r="K85" s="779" t="s">
        <v>1266</v>
      </c>
      <c r="L85" s="780">
        <f>'업종분류 검수용'!C79</f>
        <v>57</v>
      </c>
      <c r="M85" s="781">
        <v>0.98</v>
      </c>
      <c r="N85" s="782">
        <f>VLOOKUP(업종분류!B85,'산업기술요소(보조)'!I77:K256,2,0)</f>
        <v>0.9637</v>
      </c>
      <c r="O85" s="782">
        <f>VLOOKUP(업종분류!B85,'산업기술요소(보조)'!I77:K256,3,0)</f>
        <v>0.88500000000000001</v>
      </c>
      <c r="P85" s="764"/>
      <c r="Q85" s="213"/>
    </row>
    <row r="86" spans="2:17">
      <c r="B86" s="758">
        <v>634</v>
      </c>
      <c r="C86" s="759">
        <v>1.0702</v>
      </c>
      <c r="D86" s="759">
        <f t="shared" si="5"/>
        <v>6.8958712000000005E-2</v>
      </c>
      <c r="E86" s="759">
        <v>4.4494093716303133E-2</v>
      </c>
      <c r="F86" s="759">
        <v>0.54249999999999998</v>
      </c>
      <c r="G86" s="759">
        <f t="shared" si="6"/>
        <v>5.3511735129290069E-2</v>
      </c>
      <c r="H86" s="759">
        <f ca="1">D86*F86+E86*(1-F86)*(1-(현금흐름!$X$23/(현금흐름!$X$23+현금흐름!$X$24)))</f>
        <v>5.4134997534953724E-2</v>
      </c>
      <c r="I86" s="759">
        <f t="shared" si="7"/>
        <v>5.3511735129290069E-2</v>
      </c>
      <c r="J86" s="759">
        <f t="shared" ca="1" si="8"/>
        <v>5.4134997534953724E-2</v>
      </c>
      <c r="K86" s="760" t="s">
        <v>1267</v>
      </c>
      <c r="L86" s="761">
        <f>'업종분류 검수용'!C80</f>
        <v>8</v>
      </c>
      <c r="M86" s="762">
        <v>0.89</v>
      </c>
      <c r="N86" s="763">
        <f>VLOOKUP(업종분류!B86,'산업기술요소(보조)'!I78:K257,2,0)</f>
        <v>0.87670000000000003</v>
      </c>
      <c r="O86" s="763">
        <f>VLOOKUP(업종분류!B86,'산업기술요소(보조)'!I78:K257,3,0)</f>
        <v>0.6431</v>
      </c>
      <c r="P86" s="764"/>
      <c r="Q86" s="213"/>
    </row>
    <row r="87" spans="2:17">
      <c r="B87" s="758">
        <v>635</v>
      </c>
      <c r="C87" s="759">
        <v>1.0488999999999999</v>
      </c>
      <c r="D87" s="759">
        <f t="shared" si="5"/>
        <v>6.7945684000000006E-2</v>
      </c>
      <c r="E87" s="759">
        <v>4.211424796879857E-2</v>
      </c>
      <c r="F87" s="759">
        <v>0.50870000000000004</v>
      </c>
      <c r="G87" s="759">
        <f t="shared" si="6"/>
        <v>5.0930336902212964E-2</v>
      </c>
      <c r="H87" s="759">
        <f ca="1">D87*F87+E87*(1-F87)*(1-(현금흐름!$X$23/(현금흐름!$X$23+현금흐름!$X$24)))</f>
        <v>5.1563846621322768E-2</v>
      </c>
      <c r="I87" s="759">
        <f t="shared" si="7"/>
        <v>5.0930336902212964E-2</v>
      </c>
      <c r="J87" s="759">
        <f t="shared" ca="1" si="8"/>
        <v>5.1563846621322768E-2</v>
      </c>
      <c r="K87" s="760" t="s">
        <v>1268</v>
      </c>
      <c r="L87" s="761">
        <f>'업종분류 검수용'!C81</f>
        <v>11</v>
      </c>
      <c r="M87" s="762">
        <v>0.89</v>
      </c>
      <c r="N87" s="763">
        <f>VLOOKUP(업종분류!B87,'산업기술요소(보조)'!I79:K258,2,0)</f>
        <v>0.71589999999999998</v>
      </c>
      <c r="O87" s="763">
        <f>VLOOKUP(업종분류!B87,'산업기술요소(보조)'!I79:K258,3,0)</f>
        <v>0.63449999999999995</v>
      </c>
      <c r="P87" s="764"/>
      <c r="Q87" s="213"/>
    </row>
    <row r="88" spans="2:17">
      <c r="B88" s="758">
        <v>636</v>
      </c>
      <c r="C88" s="759">
        <v>1.0042</v>
      </c>
      <c r="D88" s="759">
        <f t="shared" si="5"/>
        <v>6.5819752000000009E-2</v>
      </c>
      <c r="E88" s="759">
        <v>5.0155822989407274E-2</v>
      </c>
      <c r="F88" s="759">
        <v>0.58930000000000005</v>
      </c>
      <c r="G88" s="759">
        <f t="shared" si="6"/>
        <v>5.5081386086483913E-2</v>
      </c>
      <c r="H88" s="759">
        <f ca="1">D88*F88+E88*(1-F88)*(1-(현금흐름!$X$23/(현금흐름!$X$23+현금흐름!$X$24)))</f>
        <v>5.571208710431623E-2</v>
      </c>
      <c r="I88" s="759">
        <f t="shared" si="7"/>
        <v>5.5081386086483913E-2</v>
      </c>
      <c r="J88" s="759">
        <f t="shared" ca="1" si="8"/>
        <v>5.571208710431623E-2</v>
      </c>
      <c r="K88" s="760" t="s">
        <v>1269</v>
      </c>
      <c r="L88" s="761" t="str">
        <f>'업종분류 검수용'!C82</f>
        <v>279</v>
      </c>
      <c r="M88" s="762">
        <v>0.14899999999999999</v>
      </c>
      <c r="N88" s="763">
        <f>VLOOKUP(업종분류!B88,'산업기술요소(보조)'!I80:K259,2,0)</f>
        <v>0.95709999999999995</v>
      </c>
      <c r="O88" s="763">
        <f>VLOOKUP(업종분류!B88,'산업기술요소(보조)'!I80:K259,3,0)</f>
        <v>0.74809999999999999</v>
      </c>
      <c r="P88" s="764"/>
      <c r="Q88" s="213"/>
    </row>
    <row r="89" spans="2:17">
      <c r="B89" s="758">
        <v>637</v>
      </c>
      <c r="C89" s="759">
        <v>0.78069999999999995</v>
      </c>
      <c r="D89" s="759">
        <f t="shared" si="5"/>
        <v>5.5190092000000003E-2</v>
      </c>
      <c r="E89" s="759">
        <v>3.6305931810967598E-2</v>
      </c>
      <c r="F89" s="759">
        <v>0.64239999999999997</v>
      </c>
      <c r="G89" s="759">
        <f t="shared" si="6"/>
        <v>4.5723669062341196E-2</v>
      </c>
      <c r="H89" s="759">
        <f ca="1">D89*F89+E89*(1-F89)*(1-(현금흐름!$X$23/(현금흐름!$X$23+현금흐름!$X$24)))</f>
        <v>4.612118318787168E-2</v>
      </c>
      <c r="I89" s="759">
        <f t="shared" si="7"/>
        <v>4.5723669062341196E-2</v>
      </c>
      <c r="J89" s="759">
        <f t="shared" ca="1" si="8"/>
        <v>4.612118318787168E-2</v>
      </c>
      <c r="K89" s="760" t="s">
        <v>1270</v>
      </c>
      <c r="L89" s="761">
        <f>'업종분류 검수용'!C83</f>
        <v>7</v>
      </c>
      <c r="M89" s="762">
        <v>0.81</v>
      </c>
      <c r="N89" s="763">
        <f>VLOOKUP(업종분류!B89,'산업기술요소(보조)'!I81:K260,2,0)</f>
        <v>0.72040000000000004</v>
      </c>
      <c r="O89" s="763">
        <f>VLOOKUP(업종분류!B89,'산업기술요소(보조)'!I81:K260,3,0)</f>
        <v>0.4541</v>
      </c>
      <c r="P89" s="764"/>
      <c r="Q89" s="213"/>
    </row>
    <row r="90" spans="2:17">
      <c r="B90" s="758">
        <v>639</v>
      </c>
      <c r="C90" s="759">
        <v>0.80059999999999998</v>
      </c>
      <c r="D90" s="759">
        <f t="shared" si="5"/>
        <v>5.6136536000000001E-2</v>
      </c>
      <c r="E90" s="759">
        <v>5.1439268024628303E-2</v>
      </c>
      <c r="F90" s="759">
        <v>0.66900000000000004</v>
      </c>
      <c r="G90" s="759">
        <f t="shared" si="6"/>
        <v>5.1023223177476207E-2</v>
      </c>
      <c r="H90" s="759">
        <f ca="1">D90*F90+E90*(1-F90)*(1-(현금흐름!$X$23/(현금흐름!$X$23+현금흐름!$X$24)))</f>
        <v>5.1544538202151456E-2</v>
      </c>
      <c r="I90" s="759">
        <f t="shared" si="7"/>
        <v>5.1023223177476207E-2</v>
      </c>
      <c r="J90" s="759">
        <f t="shared" ca="1" si="8"/>
        <v>5.1544538202151456E-2</v>
      </c>
      <c r="K90" s="760" t="s">
        <v>1271</v>
      </c>
      <c r="L90" s="761">
        <f>'업종분류 검수용'!C84</f>
        <v>9</v>
      </c>
      <c r="M90" s="762">
        <v>0.89</v>
      </c>
      <c r="N90" s="763">
        <f>VLOOKUP(업종분류!B90,'산업기술요소(보조)'!I82:K261,2,0)</f>
        <v>0.88280000000000003</v>
      </c>
      <c r="O90" s="763">
        <f>VLOOKUP(업종분류!B90,'산업기술요소(보조)'!I82:K261,3,0)</f>
        <v>0.58850000000000002</v>
      </c>
      <c r="P90" s="764"/>
      <c r="Q90" s="213"/>
    </row>
    <row r="91" spans="2:17">
      <c r="B91" s="758">
        <v>711</v>
      </c>
      <c r="C91" s="759">
        <v>0.68289999999999995</v>
      </c>
      <c r="D91" s="759">
        <f t="shared" si="5"/>
        <v>5.0538723999999993E-2</v>
      </c>
      <c r="E91" s="759">
        <v>2.4576849266530931E-2</v>
      </c>
      <c r="F91" s="759">
        <v>0.64590000000000003</v>
      </c>
      <c r="G91" s="759">
        <f t="shared" si="6"/>
        <v>3.9526767730895369E-2</v>
      </c>
      <c r="H91" s="759">
        <f ca="1">D91*F91+E91*(1-F91)*(1-(현금흐름!$X$23/(현금흐름!$X$23+현금흐름!$X$24)))</f>
        <v>3.9793226244344705E-2</v>
      </c>
      <c r="I91" s="759">
        <f t="shared" si="7"/>
        <v>3.9526767730895369E-2</v>
      </c>
      <c r="J91" s="759">
        <f t="shared" ca="1" si="8"/>
        <v>3.9793226244344705E-2</v>
      </c>
      <c r="K91" s="760" t="s">
        <v>6</v>
      </c>
      <c r="L91" s="761">
        <f>'업종분류 검수용'!C85</f>
        <v>3</v>
      </c>
      <c r="M91" s="762">
        <v>0.26</v>
      </c>
      <c r="N91" s="763">
        <f>VLOOKUP(업종분류!B91,'산업기술요소(보조)'!I83:K262,2,0)</f>
        <v>0.26919999999999999</v>
      </c>
      <c r="O91" s="763">
        <f>VLOOKUP(업종분류!B91,'산업기술요소(보조)'!I83:K262,3,0)</f>
        <v>5.91E-2</v>
      </c>
      <c r="P91" s="764"/>
      <c r="Q91" s="213"/>
    </row>
    <row r="92" spans="2:17">
      <c r="B92" s="774">
        <v>712</v>
      </c>
      <c r="C92" s="759">
        <v>0.83320000000000005</v>
      </c>
      <c r="D92" s="759">
        <f t="shared" si="5"/>
        <v>5.7686992000000006E-2</v>
      </c>
      <c r="E92" s="759">
        <v>4.5062598054447706E-2</v>
      </c>
      <c r="F92" s="759">
        <v>0.46339999999999998</v>
      </c>
      <c r="G92" s="759">
        <f t="shared" si="6"/>
        <v>4.5858998874569165E-2</v>
      </c>
      <c r="H92" s="759">
        <f ca="1">D92*F92+E92*(1-F92)*(1-(현금흐름!$X$23/(현금흐름!$X$23+현금흐름!$X$24)))</f>
        <v>4.6599361289634503E-2</v>
      </c>
      <c r="I92" s="759">
        <f t="shared" si="7"/>
        <v>4.5858998874569165E-2</v>
      </c>
      <c r="J92" s="759">
        <f t="shared" ca="1" si="8"/>
        <v>4.6599361289634503E-2</v>
      </c>
      <c r="K92" s="760" t="s">
        <v>1272</v>
      </c>
      <c r="L92" s="761">
        <f>'업종분류 검수용'!C86</f>
        <v>4</v>
      </c>
      <c r="M92" s="762">
        <v>0.26</v>
      </c>
      <c r="N92" s="763">
        <f>VLOOKUP(업종분류!B92,'산업기술요소(보조)'!I85:K263,2,0)</f>
        <v>0.26919999999999999</v>
      </c>
      <c r="O92" s="763">
        <f>VLOOKUP(업종분류!B92,'산업기술요소(보조)'!I85:K263,3,0)</f>
        <v>5.91E-2</v>
      </c>
      <c r="P92" s="764"/>
      <c r="Q92" s="213"/>
    </row>
    <row r="93" spans="2:17">
      <c r="B93" s="774">
        <v>721</v>
      </c>
      <c r="C93" s="759">
        <v>0.79690000000000005</v>
      </c>
      <c r="D93" s="759">
        <f t="shared" si="5"/>
        <v>5.5960564000000004E-2</v>
      </c>
      <c r="E93" s="759">
        <v>3.6441772919583636E-2</v>
      </c>
      <c r="F93" s="759">
        <v>0.4834</v>
      </c>
      <c r="G93" s="759">
        <f t="shared" si="6"/>
        <v>4.1942560170793217E-2</v>
      </c>
      <c r="H93" s="759">
        <f ca="1">D93*F93+E93*(1-F93)*(1-(현금흐름!$X$23/(현금흐름!$X$23+현금흐름!$X$24)))</f>
        <v>4.2518969985965743E-2</v>
      </c>
      <c r="I93" s="759">
        <f t="shared" si="7"/>
        <v>4.1942560170793217E-2</v>
      </c>
      <c r="J93" s="759">
        <f t="shared" ca="1" si="8"/>
        <v>4.2518969985965743E-2</v>
      </c>
      <c r="K93" s="783" t="s">
        <v>1273</v>
      </c>
      <c r="L93" s="761">
        <f>'업종분류 검수용'!C87</f>
        <v>6</v>
      </c>
      <c r="M93" s="762">
        <v>0.60699999999999998</v>
      </c>
      <c r="N93" s="763">
        <f>VLOOKUP(업종분류!B93,'산업기술요소(보조)'!I84:K264,2,0)</f>
        <v>0.26919999999999999</v>
      </c>
      <c r="O93" s="763">
        <f>VLOOKUP(업종분류!B93,'산업기술요소(보조)'!I84:K264,3,0)</f>
        <v>5.91E-2</v>
      </c>
      <c r="P93" s="764"/>
      <c r="Q93" s="213"/>
    </row>
    <row r="94" spans="2:17">
      <c r="B94" s="774">
        <v>722</v>
      </c>
      <c r="C94" s="759">
        <v>0.79690000000000005</v>
      </c>
      <c r="D94" s="759">
        <f t="shared" si="5"/>
        <v>5.5960564000000004E-2</v>
      </c>
      <c r="E94" s="759">
        <v>3.6441772919583636E-2</v>
      </c>
      <c r="F94" s="759">
        <v>0.4834</v>
      </c>
      <c r="G94" s="759">
        <f t="shared" si="6"/>
        <v>4.1942560170793217E-2</v>
      </c>
      <c r="H94" s="759">
        <f ca="1">D94*F94+E94*(1-F94)*(1-(현금흐름!$X$23/(현금흐름!$X$23+현금흐름!$X$24)))</f>
        <v>4.2518969985965743E-2</v>
      </c>
      <c r="I94" s="759">
        <f t="shared" si="7"/>
        <v>4.1942560170793217E-2</v>
      </c>
      <c r="J94" s="759">
        <f t="shared" ca="1" si="8"/>
        <v>4.2518969985965743E-2</v>
      </c>
      <c r="K94" s="783" t="s">
        <v>1274</v>
      </c>
      <c r="L94" s="761" t="str">
        <f>'업종분류 검수용'!C88</f>
        <v>6</v>
      </c>
      <c r="M94" s="762">
        <v>0.60699999999999998</v>
      </c>
      <c r="N94" s="763">
        <f>VLOOKUP(업종분류!B94,'산업기술요소(보조)'!I86:K265,2,0)</f>
        <v>0.26919999999999999</v>
      </c>
      <c r="O94" s="763">
        <f>VLOOKUP(업종분류!B94,'산업기술요소(보조)'!I86:K265,3,0)</f>
        <v>5.91E-2</v>
      </c>
      <c r="P94" s="764"/>
      <c r="Q94" s="213"/>
    </row>
    <row r="95" spans="2:17">
      <c r="B95" s="774">
        <v>730</v>
      </c>
      <c r="C95" s="759">
        <v>0.86199999999999999</v>
      </c>
      <c r="D95" s="759">
        <f t="shared" si="5"/>
        <v>5.905672E-2</v>
      </c>
      <c r="E95" s="759">
        <v>2.8150601475059898E-2</v>
      </c>
      <c r="F95" s="759">
        <v>0.4501</v>
      </c>
      <c r="G95" s="759">
        <f t="shared" si="6"/>
        <v>3.8826122131148132E-2</v>
      </c>
      <c r="H95" s="784">
        <f ca="1">D95*F95+E95*(1-F95)*(1-(현금흐름!$X$23/(현금흐름!$X$23+현금흐름!$X$24)))</f>
        <v>3.9300089962031173E-2</v>
      </c>
      <c r="I95" s="759">
        <f t="shared" si="7"/>
        <v>3.8826122131148139E-2</v>
      </c>
      <c r="J95" s="759">
        <f t="shared" ca="1" si="8"/>
        <v>3.9300089962031173E-2</v>
      </c>
      <c r="K95" s="785" t="s">
        <v>1275</v>
      </c>
      <c r="L95" s="761">
        <f>'업종분류 검수용'!C89</f>
        <v>2</v>
      </c>
      <c r="M95" s="762">
        <v>0.60699999999999998</v>
      </c>
      <c r="N95" s="763">
        <f>VLOOKUP(업종분류!B95,'산업기술요소(보조)'!I87:K266,2,0)</f>
        <v>0.92200000000000004</v>
      </c>
      <c r="O95" s="763">
        <f>VLOOKUP(업종분류!B95,'산업기술요소(보조)'!I87:K266,3,0)</f>
        <v>0.67830000000000001</v>
      </c>
      <c r="P95" s="764"/>
      <c r="Q95" s="213"/>
    </row>
    <row r="96" spans="2:17">
      <c r="B96" s="774">
        <v>740</v>
      </c>
      <c r="C96" s="759">
        <v>1.0144</v>
      </c>
      <c r="D96" s="759">
        <f t="shared" si="5"/>
        <v>6.6304864000000005E-2</v>
      </c>
      <c r="E96" s="759">
        <v>3.5841300425140998E-2</v>
      </c>
      <c r="F96" s="759">
        <v>0.37659999999999999</v>
      </c>
      <c r="G96" s="759">
        <f t="shared" si="6"/>
        <v>4.2644093930261022E-2</v>
      </c>
      <c r="H96" s="784">
        <f ca="1">D96*F96+E96*(1-F96)*(1-(현금흐름!$X$23/(현금흐름!$X$23+현금흐름!$X$24)))</f>
        <v>4.3328207216020154E-2</v>
      </c>
      <c r="I96" s="759">
        <f t="shared" si="7"/>
        <v>4.2644093930261022E-2</v>
      </c>
      <c r="J96" s="759">
        <f t="shared" ca="1" si="8"/>
        <v>4.3328207216020154E-2</v>
      </c>
      <c r="K96" s="785" t="s">
        <v>1276</v>
      </c>
      <c r="L96" s="761">
        <f>'업종분류 검수용'!C90</f>
        <v>1</v>
      </c>
      <c r="M96" s="762">
        <v>0.27600000000000002</v>
      </c>
      <c r="N96" s="763">
        <f>VLOOKUP(업종분류!B96,'산업기술요소(보조)'!I88:K267,2,0)</f>
        <v>0.87439999999999996</v>
      </c>
      <c r="O96" s="763">
        <f>VLOOKUP(업종분류!B96,'산업기술요소(보조)'!I88:K267,3,0)</f>
        <v>0.56459999999999999</v>
      </c>
      <c r="P96" s="764"/>
      <c r="Q96" s="213"/>
    </row>
    <row r="97" spans="2:17">
      <c r="B97" s="774">
        <v>750</v>
      </c>
      <c r="C97" s="759">
        <v>0.49270000000000003</v>
      </c>
      <c r="D97" s="759">
        <f t="shared" si="5"/>
        <v>4.1492812000000011E-2</v>
      </c>
      <c r="E97" s="759">
        <v>2.5551533100724534E-2</v>
      </c>
      <c r="F97" s="759">
        <v>0.67620000000000002</v>
      </c>
      <c r="G97" s="759">
        <f t="shared" si="6"/>
        <v>3.4601846331049561E-2</v>
      </c>
      <c r="H97" s="784">
        <f ca="1">D97*F97+E97*(1-F97)*(1-(현금흐름!$X$23/(현금흐름!$X$23+현금흐름!$X$24)))</f>
        <v>3.485516737872886E-2</v>
      </c>
      <c r="I97" s="759">
        <f t="shared" si="7"/>
        <v>3.4601846331049561E-2</v>
      </c>
      <c r="J97" s="759">
        <f t="shared" ca="1" si="8"/>
        <v>3.485516737872886E-2</v>
      </c>
      <c r="K97" s="785" t="s">
        <v>1277</v>
      </c>
      <c r="L97" s="761">
        <f>'업종분류 검수용'!C91</f>
        <v>5</v>
      </c>
      <c r="M97" s="762">
        <v>0.158</v>
      </c>
      <c r="N97" s="763">
        <f>VLOOKUP(업종분류!B97,'산업기술요소(보조)'!I89:K268,2,0)</f>
        <v>0.87439999999999996</v>
      </c>
      <c r="O97" s="763">
        <f>VLOOKUP(업종분류!B97,'산업기술요소(보조)'!I89:K268,3,0)</f>
        <v>0.56459999999999999</v>
      </c>
      <c r="P97" s="764"/>
      <c r="Q97" s="213"/>
    </row>
    <row r="98" spans="2:17">
      <c r="B98" s="774">
        <v>761</v>
      </c>
      <c r="C98" s="759">
        <v>0.71509999999999996</v>
      </c>
      <c r="D98" s="759">
        <f t="shared" si="5"/>
        <v>5.2070155999999999E-2</v>
      </c>
      <c r="E98" s="759">
        <v>3.181223071465613E-2</v>
      </c>
      <c r="F98" s="759">
        <v>0.52249999999999996</v>
      </c>
      <c r="G98" s="759">
        <f t="shared" si="6"/>
        <v>3.9222215581502407E-2</v>
      </c>
      <c r="H98" s="784">
        <f ca="1">D98*F98+E98*(1-F98)*(1-(현금흐름!$X$23/(현금흐름!$X$23+현금흐름!$X$24)))</f>
        <v>3.9687314112067149E-2</v>
      </c>
      <c r="I98" s="759">
        <f t="shared" si="7"/>
        <v>3.9222215581502407E-2</v>
      </c>
      <c r="J98" s="759">
        <f t="shared" ca="1" si="8"/>
        <v>3.9687314112067149E-2</v>
      </c>
      <c r="K98" s="785" t="s">
        <v>1278</v>
      </c>
      <c r="L98" s="761">
        <f>'업종분류 검수용'!C92</f>
        <v>3</v>
      </c>
      <c r="M98" s="762">
        <v>6.2E-2</v>
      </c>
      <c r="N98" s="763">
        <f>VLOOKUP(업종분류!B98,'산업기술요소(보조)'!I90:K269,2,0)</f>
        <v>0.71279999999999999</v>
      </c>
      <c r="O98" s="763">
        <f>VLOOKUP(업종분류!B98,'산업기술요소(보조)'!I90:K269,3,0)</f>
        <v>0.4597</v>
      </c>
      <c r="P98" s="764"/>
      <c r="Q98" s="213"/>
    </row>
    <row r="99" spans="2:17">
      <c r="B99" s="774">
        <v>762</v>
      </c>
      <c r="C99" s="759">
        <v>0.95050000000000001</v>
      </c>
      <c r="D99" s="759">
        <f t="shared" si="5"/>
        <v>6.3265780000000008E-2</v>
      </c>
      <c r="E99" s="759">
        <v>2.8901605776566069E-2</v>
      </c>
      <c r="F99" s="759">
        <v>0.47260000000000002</v>
      </c>
      <c r="G99" s="759">
        <f t="shared" si="6"/>
        <v>4.1956388775269714E-2</v>
      </c>
      <c r="H99" s="784">
        <f ca="1">D99*F99+E99*(1-F99)*(1-(현금흐름!$X$23/(현금흐름!$X$23+현금흐름!$X$24)))</f>
        <v>4.2423090672474129E-2</v>
      </c>
      <c r="I99" s="759">
        <f t="shared" si="7"/>
        <v>4.1956388775269714E-2</v>
      </c>
      <c r="J99" s="759">
        <f t="shared" ca="1" si="8"/>
        <v>4.2423090672474129E-2</v>
      </c>
      <c r="K99" s="785" t="s">
        <v>1279</v>
      </c>
      <c r="L99" s="761">
        <f>'업종분류 검수용'!C93</f>
        <v>2</v>
      </c>
      <c r="M99" s="762">
        <v>6.2E-2</v>
      </c>
      <c r="N99" s="763">
        <f>VLOOKUP(업종분류!B99,'산업기술요소(보조)'!I91:K270,2,0)</f>
        <v>0.71279999999999999</v>
      </c>
      <c r="O99" s="763">
        <f>VLOOKUP(업종분류!B99,'산업기술요소(보조)'!I91:K270,3,0)</f>
        <v>0.4597</v>
      </c>
      <c r="P99" s="764"/>
      <c r="Q99" s="213"/>
    </row>
    <row r="100" spans="2:17">
      <c r="B100" s="774">
        <v>770</v>
      </c>
      <c r="C100" s="759">
        <v>0.83779999999999999</v>
      </c>
      <c r="D100" s="759">
        <f t="shared" si="5"/>
        <v>5.7905768000000003E-2</v>
      </c>
      <c r="E100" s="759">
        <v>3.5407936663061801E-2</v>
      </c>
      <c r="F100" s="759">
        <v>0.5454</v>
      </c>
      <c r="G100" s="759">
        <f t="shared" si="6"/>
        <v>4.431409624075907E-2</v>
      </c>
      <c r="H100" s="784">
        <f ca="1">D100*F100+E100*(1-F100)*(1-(현금흐름!$X$23/(현금흐름!$X$23+현금흐름!$X$24)))</f>
        <v>4.4806938022670884E-2</v>
      </c>
      <c r="I100" s="759">
        <f t="shared" si="7"/>
        <v>4.431409624075907E-2</v>
      </c>
      <c r="J100" s="759">
        <f t="shared" ca="1" si="8"/>
        <v>4.4806938022670884E-2</v>
      </c>
      <c r="K100" s="785" t="s">
        <v>1280</v>
      </c>
      <c r="L100" s="761">
        <f>'업종분류 검수용'!C94</f>
        <v>12</v>
      </c>
      <c r="M100" s="762">
        <v>0.73</v>
      </c>
      <c r="N100" s="763">
        <f>VLOOKUP(업종분류!B100,'산업기술요소(보조)'!I92:K271,2,0)</f>
        <v>0.53029999999999999</v>
      </c>
      <c r="O100" s="763">
        <f>VLOOKUP(업종분류!B100,'산업기술요소(보조)'!I92:K271,3,0)</f>
        <v>0.32579999999999998</v>
      </c>
      <c r="P100" s="764"/>
      <c r="Q100" s="213"/>
    </row>
    <row r="101" spans="2:17">
      <c r="B101" s="774">
        <v>791</v>
      </c>
      <c r="C101" s="759">
        <v>0.76190000000000002</v>
      </c>
      <c r="D101" s="759">
        <f t="shared" si="5"/>
        <v>5.4295964000000002E-2</v>
      </c>
      <c r="E101" s="759">
        <v>2.6809912853121832E-2</v>
      </c>
      <c r="F101" s="759">
        <v>0.43030000000000002</v>
      </c>
      <c r="G101" s="759">
        <f t="shared" si="6"/>
        <v>3.5444976724966992E-2</v>
      </c>
      <c r="H101" s="784">
        <f ca="1">D101*F101+E101*(1-F101)*(1-(현금흐름!$X$23/(현금흐름!$X$23+현금흐름!$X$24)))</f>
        <v>3.59126247340497E-2</v>
      </c>
      <c r="I101" s="759">
        <f t="shared" si="7"/>
        <v>3.5444976724966992E-2</v>
      </c>
      <c r="J101" s="759">
        <f t="shared" ca="1" si="8"/>
        <v>3.59126247340497E-2</v>
      </c>
      <c r="K101" s="785" t="s">
        <v>1281</v>
      </c>
      <c r="L101" s="761" t="str">
        <f>'업종분류 검수용'!C95</f>
        <v>6</v>
      </c>
      <c r="M101" s="762">
        <v>0.92</v>
      </c>
      <c r="N101" s="763">
        <f>VLOOKUP(업종분류!B101,'산업기술요소(보조)'!I93:K272,2,0)</f>
        <v>0.49559999999999998</v>
      </c>
      <c r="O101" s="763">
        <f>VLOOKUP(업종분류!B101,'산업기술요소(보조)'!I93:K272,3,0)</f>
        <v>0.1739</v>
      </c>
      <c r="P101" s="764"/>
      <c r="Q101" s="213"/>
    </row>
    <row r="102" spans="2:17">
      <c r="B102" s="774">
        <v>792</v>
      </c>
      <c r="C102" s="759">
        <v>0.54590000000000005</v>
      </c>
      <c r="D102" s="759">
        <f t="shared" si="5"/>
        <v>4.4023004000000004E-2</v>
      </c>
      <c r="E102" s="759">
        <v>2.8030923608360469E-2</v>
      </c>
      <c r="F102" s="759">
        <v>0.5141</v>
      </c>
      <c r="G102" s="759">
        <f t="shared" si="6"/>
        <v>3.3405824949410162E-2</v>
      </c>
      <c r="H102" s="784">
        <f ca="1">D102*F102+E102*(1-F102)*(1-(현금흐름!$X$23/(현금흐름!$X$23+현금흐름!$X$24)))</f>
        <v>3.3822849645862914E-2</v>
      </c>
      <c r="I102" s="759">
        <f t="shared" si="7"/>
        <v>3.3405824949410162E-2</v>
      </c>
      <c r="J102" s="759">
        <f t="shared" ca="1" si="8"/>
        <v>3.3822849645862914E-2</v>
      </c>
      <c r="K102" s="785" t="s">
        <v>1282</v>
      </c>
      <c r="L102" s="761">
        <f>'업종분류 검수용'!C96</f>
        <v>3</v>
      </c>
      <c r="M102" s="762">
        <v>0.92</v>
      </c>
      <c r="N102" s="763">
        <f>VLOOKUP(업종분류!B102,'산업기술요소(보조)'!I94:K273,2,0)</f>
        <v>0.49559999999999998</v>
      </c>
      <c r="O102" s="763">
        <f>VLOOKUP(업종분류!B102,'산업기술요소(보조)'!I94:K273,3,0)</f>
        <v>0.1739</v>
      </c>
      <c r="P102" s="764"/>
      <c r="Q102" s="213"/>
    </row>
    <row r="103" spans="2:17">
      <c r="B103" s="774">
        <v>793</v>
      </c>
      <c r="C103" s="759">
        <v>0.63070000000000004</v>
      </c>
      <c r="D103" s="759">
        <f t="shared" si="5"/>
        <v>4.8056092000000009E-2</v>
      </c>
      <c r="E103" s="759">
        <v>4.2208197080515139E-2</v>
      </c>
      <c r="F103" s="759">
        <v>0.66390000000000005</v>
      </c>
      <c r="G103" s="759">
        <f t="shared" si="6"/>
        <v>4.3125703934460066E-2</v>
      </c>
      <c r="H103" s="784">
        <f ca="1">D103*F103+E103*(1-F103)*(1-(현금흐름!$X$23/(현금흐름!$X$23+현금흐름!$X$24)))</f>
        <v>4.356005689118464E-2</v>
      </c>
      <c r="I103" s="759">
        <f t="shared" si="7"/>
        <v>4.3125703934460066E-2</v>
      </c>
      <c r="J103" s="759">
        <f t="shared" ca="1" si="8"/>
        <v>4.356005689118464E-2</v>
      </c>
      <c r="K103" s="785" t="s">
        <v>1807</v>
      </c>
      <c r="L103" s="761">
        <f>'업종분류 검수용'!C97</f>
        <v>3</v>
      </c>
      <c r="M103" s="762">
        <v>0.92</v>
      </c>
      <c r="N103" s="763">
        <f>VLOOKUP(업종분류!B103,'산업기술요소(보조)'!I95:K274,2,0)</f>
        <v>0.49559999999999998</v>
      </c>
      <c r="O103" s="763">
        <f>VLOOKUP(업종분류!B103,'산업기술요소(보조)'!I95:K274,3,0)</f>
        <v>0.1739</v>
      </c>
      <c r="P103" s="764"/>
      <c r="Q103" s="213"/>
    </row>
    <row r="104" spans="2:17">
      <c r="B104" s="774">
        <v>794</v>
      </c>
      <c r="C104" s="759">
        <v>0.77080000000000004</v>
      </c>
      <c r="D104" s="759">
        <f t="shared" si="5"/>
        <v>5.4719247999999998E-2</v>
      </c>
      <c r="E104" s="759">
        <v>2.9701772777517798E-2</v>
      </c>
      <c r="F104" s="759">
        <v>0.63390000000000002</v>
      </c>
      <c r="G104" s="759">
        <f t="shared" si="6"/>
        <v>4.3287722147154768E-2</v>
      </c>
      <c r="H104" s="759">
        <f ca="1">D104*F104+E104*(1-F104)*(1-(현금흐름!$X$23/(현금흐름!$X$23+현금흐름!$X$24)))</f>
        <v>4.3620657235481849E-2</v>
      </c>
      <c r="I104" s="759">
        <f t="shared" si="7"/>
        <v>4.3287722147154768E-2</v>
      </c>
      <c r="J104" s="759">
        <f t="shared" ca="1" si="8"/>
        <v>4.3620657235481849E-2</v>
      </c>
      <c r="K104" s="760" t="s">
        <v>1283</v>
      </c>
      <c r="L104" s="761">
        <f>'업종분류 검수용'!C98</f>
        <v>7</v>
      </c>
      <c r="M104" s="762">
        <v>0.92</v>
      </c>
      <c r="N104" s="763">
        <f>VLOOKUP(업종분류!B104,'산업기술요소(보조)'!I96:K275,2,0)</f>
        <v>0.81659999999999999</v>
      </c>
      <c r="O104" s="763">
        <f>VLOOKUP(업종분류!B104,'산업기술요소(보조)'!I96:K275,3,0)</f>
        <v>0.41770000000000002</v>
      </c>
      <c r="P104" s="764"/>
      <c r="Q104" s="213"/>
    </row>
    <row r="105" spans="2:17">
      <c r="B105" s="774">
        <v>795</v>
      </c>
      <c r="C105" s="759">
        <v>0.93049999999999999</v>
      </c>
      <c r="D105" s="759">
        <f t="shared" si="5"/>
        <v>6.2314580000000001E-2</v>
      </c>
      <c r="E105" s="759">
        <v>4.3111481512163034E-2</v>
      </c>
      <c r="F105" s="759">
        <v>0.53580000000000005</v>
      </c>
      <c r="G105" s="759">
        <f t="shared" si="6"/>
        <v>4.9217920590895352E-2</v>
      </c>
      <c r="H105" s="784">
        <f ca="1">D105*F105+E105*(1-F105)*(1-(현금흐름!$X$23/(현금흐름!$X$23+현금흐름!$X$24)))</f>
        <v>4.983065963064677E-2</v>
      </c>
      <c r="I105" s="759">
        <f t="shared" si="7"/>
        <v>4.9217920590895352E-2</v>
      </c>
      <c r="J105" s="784">
        <f t="shared" ca="1" si="8"/>
        <v>4.983065963064677E-2</v>
      </c>
      <c r="K105" s="785" t="s">
        <v>1284</v>
      </c>
      <c r="L105" s="761">
        <f>'업종분류 검수용'!C99</f>
        <v>17</v>
      </c>
      <c r="M105" s="762">
        <v>0.92</v>
      </c>
      <c r="N105" s="763">
        <f>VLOOKUP(업종분류!B105,'산업기술요소(보조)'!I97:K276,2,0)</f>
        <v>0.85319999999999996</v>
      </c>
      <c r="O105" s="763">
        <f>VLOOKUP(업종분류!B105,'산업기술요소(보조)'!I97:K276,3,0)</f>
        <v>0.35820000000000002</v>
      </c>
      <c r="P105" s="764"/>
      <c r="Q105" s="213"/>
    </row>
    <row r="106" spans="2:17">
      <c r="B106" s="774">
        <v>799</v>
      </c>
      <c r="C106" s="759">
        <v>0.93049999999999999</v>
      </c>
      <c r="D106" s="759">
        <f t="shared" si="5"/>
        <v>6.2314580000000001E-2</v>
      </c>
      <c r="E106" s="759">
        <v>4.3111481512163034E-2</v>
      </c>
      <c r="F106" s="759">
        <v>0.53580000000000005</v>
      </c>
      <c r="G106" s="759">
        <f t="shared" si="6"/>
        <v>4.9217920590895352E-2</v>
      </c>
      <c r="H106" s="784">
        <f ca="1">D106*F106+E106*(1-F106)*(1-(현금흐름!$X$23/(현금흐름!$X$23+현금흐름!$X$24)))</f>
        <v>4.983065963064677E-2</v>
      </c>
      <c r="I106" s="759">
        <f t="shared" si="7"/>
        <v>4.9217920590895352E-2</v>
      </c>
      <c r="J106" s="784">
        <f t="shared" ca="1" si="8"/>
        <v>4.983065963064677E-2</v>
      </c>
      <c r="K106" s="785" t="s">
        <v>1285</v>
      </c>
      <c r="L106" s="761">
        <f>'업종분류 검수용'!C100</f>
        <v>17</v>
      </c>
      <c r="M106" s="762">
        <v>0.92</v>
      </c>
      <c r="N106" s="763">
        <f>VLOOKUP(업종분류!B106,'산업기술요소(보조)'!I98:K277,2,0)</f>
        <v>0.85319999999999996</v>
      </c>
      <c r="O106" s="763">
        <f>VLOOKUP(업종분류!B106,'산업기술요소(보조)'!I98:K277,3,0)</f>
        <v>0.35820000000000002</v>
      </c>
      <c r="P106" s="764"/>
      <c r="Q106" s="213"/>
    </row>
    <row r="107" spans="2:17">
      <c r="B107" s="774">
        <v>811</v>
      </c>
      <c r="C107" s="759">
        <v>0.51449999999999996</v>
      </c>
      <c r="D107" s="759">
        <f t="shared" si="5"/>
        <v>4.2529620000000004E-2</v>
      </c>
      <c r="E107" s="759">
        <v>3.0395646898254202E-2</v>
      </c>
      <c r="F107" s="759">
        <v>0.56089999999999995</v>
      </c>
      <c r="G107" s="759">
        <f t="shared" si="6"/>
        <v>3.4412126143441531E-2</v>
      </c>
      <c r="H107" s="759">
        <f ca="1">D107*F107+E107*(1-F107)*(1-(현금흐름!$X$23/(현금흐름!$X$23+현금흐름!$X$24)))</f>
        <v>3.4820776889239201E-2</v>
      </c>
      <c r="I107" s="759">
        <f t="shared" si="7"/>
        <v>3.4412126143441524E-2</v>
      </c>
      <c r="J107" s="759">
        <f t="shared" ca="1" si="8"/>
        <v>3.4820776889239201E-2</v>
      </c>
      <c r="K107" s="760" t="s">
        <v>1286</v>
      </c>
      <c r="L107" s="761">
        <f>'업종분류 검수용'!C101</f>
        <v>1</v>
      </c>
      <c r="M107" s="762">
        <v>0.17399999999999999</v>
      </c>
      <c r="N107" s="763">
        <f>VLOOKUP(업종분류!B107,'산업기술요소(보조)'!I99:K278,2,0)</f>
        <v>0.66180000000000005</v>
      </c>
      <c r="O107" s="763">
        <f>VLOOKUP(업종분류!B107,'산업기술요소(보조)'!I99:K278,3,0)</f>
        <v>0.23980000000000001</v>
      </c>
      <c r="P107" s="764"/>
      <c r="Q107" s="213"/>
    </row>
    <row r="108" spans="2:17">
      <c r="B108" s="774">
        <v>812</v>
      </c>
      <c r="C108" s="759">
        <v>0.55810000000000004</v>
      </c>
      <c r="D108" s="759">
        <f t="shared" si="5"/>
        <v>4.4603236000000004E-2</v>
      </c>
      <c r="E108" s="759">
        <v>3.1284780442501367E-2</v>
      </c>
      <c r="F108" s="759">
        <v>0.64490000000000003</v>
      </c>
      <c r="G108" s="759">
        <f t="shared" si="6"/>
        <v>3.7552024294689602E-2</v>
      </c>
      <c r="H108" s="759">
        <f ca="1">D108*F108+E108*(1-F108)*(1-(현금흐름!$X$23/(현금흐름!$X$23+현금흐름!$X$24)))</f>
        <v>3.7892167070661315E-2</v>
      </c>
      <c r="I108" s="759">
        <f t="shared" si="7"/>
        <v>3.7552024294689602E-2</v>
      </c>
      <c r="J108" s="759">
        <f t="shared" ca="1" si="8"/>
        <v>3.7892167070661315E-2</v>
      </c>
      <c r="K108" s="760" t="s">
        <v>1287</v>
      </c>
      <c r="L108" s="761" t="str">
        <f>'업종분류 검수용'!C102</f>
        <v>7</v>
      </c>
      <c r="M108" s="762">
        <v>0</v>
      </c>
      <c r="N108" s="763">
        <f>VLOOKUP(업종분류!B108,'산업기술요소(보조)'!I100:K279,2,0)</f>
        <v>0.66180000000000005</v>
      </c>
      <c r="O108" s="763">
        <f>VLOOKUP(업종분류!B108,'산업기술요소(보조)'!I100:K279,3,0)</f>
        <v>0.23980000000000001</v>
      </c>
      <c r="P108" s="764"/>
      <c r="Q108" s="213"/>
    </row>
    <row r="109" spans="2:17">
      <c r="B109" s="775">
        <v>821</v>
      </c>
      <c r="C109" s="759">
        <v>0.73939999999999995</v>
      </c>
      <c r="D109" s="759">
        <f t="shared" si="5"/>
        <v>5.3225864000000005E-2</v>
      </c>
      <c r="E109" s="759">
        <v>3.2659192150120565E-2</v>
      </c>
      <c r="F109" s="759">
        <v>0.59919999999999995</v>
      </c>
      <c r="G109" s="759">
        <f t="shared" si="6"/>
        <v>4.2246972841890745E-2</v>
      </c>
      <c r="H109" s="759">
        <f ca="1">D109*F109+E109*(1-F109)*(1-(현금흐름!$X$23/(현금흐름!$X$23+현금흐름!$X$24)))</f>
        <v>4.2647757066508113E-2</v>
      </c>
      <c r="I109" s="759">
        <f t="shared" si="7"/>
        <v>4.2246972841890745E-2</v>
      </c>
      <c r="J109" s="759">
        <f t="shared" ca="1" si="8"/>
        <v>4.2647757066508113E-2</v>
      </c>
      <c r="K109" s="760" t="s">
        <v>1288</v>
      </c>
      <c r="L109" s="761">
        <f>'업종분류 검수용'!C103</f>
        <v>4</v>
      </c>
      <c r="M109" s="762">
        <v>0.69399999999999995</v>
      </c>
      <c r="N109" s="763">
        <f>VLOOKUP(업종분류!B109,'산업기술요소(보조)'!I101:K280,2,0)</f>
        <v>0.66180000000000005</v>
      </c>
      <c r="O109" s="763">
        <f>VLOOKUP(업종분류!B109,'산업기술요소(보조)'!I101:K280,3,0)</f>
        <v>0.23980000000000001</v>
      </c>
      <c r="P109" s="764"/>
      <c r="Q109" s="213"/>
    </row>
    <row r="110" spans="2:17">
      <c r="B110" s="758">
        <v>822</v>
      </c>
      <c r="C110" s="759">
        <v>0.73939999999999995</v>
      </c>
      <c r="D110" s="759">
        <f t="shared" si="5"/>
        <v>5.3225864000000005E-2</v>
      </c>
      <c r="E110" s="759">
        <v>3.2659192150120565E-2</v>
      </c>
      <c r="F110" s="759">
        <v>0.59919999999999995</v>
      </c>
      <c r="G110" s="759">
        <f t="shared" si="6"/>
        <v>4.2246972841890745E-2</v>
      </c>
      <c r="H110" s="759">
        <f ca="1">D110*F110+E110*(1-F110)*(1-(현금흐름!$X$23/(현금흐름!$X$23+현금흐름!$X$24)))</f>
        <v>4.2647757066508113E-2</v>
      </c>
      <c r="I110" s="759">
        <f t="shared" si="7"/>
        <v>4.2246972841890745E-2</v>
      </c>
      <c r="J110" s="759">
        <f t="shared" ca="1" si="8"/>
        <v>4.2647757066508113E-2</v>
      </c>
      <c r="K110" s="760" t="s">
        <v>1289</v>
      </c>
      <c r="L110" s="761" t="str">
        <f>'업종분류 검수용'!C104</f>
        <v>4</v>
      </c>
      <c r="M110" s="762">
        <v>0.69399999999999995</v>
      </c>
      <c r="N110" s="763">
        <f>VLOOKUP(업종분류!B110,'산업기술요소(보조)'!I102:K281,2,0)</f>
        <v>0.4239</v>
      </c>
      <c r="O110" s="763">
        <f>VLOOKUP(업종분류!B110,'산업기술요소(보조)'!I102:K281,3,0)</f>
        <v>0.39789999999999998</v>
      </c>
      <c r="P110" s="764"/>
      <c r="Q110" s="213"/>
    </row>
    <row r="111" spans="2:17">
      <c r="B111" s="775">
        <v>911</v>
      </c>
      <c r="C111" s="759">
        <v>0.74550000000000005</v>
      </c>
      <c r="D111" s="759">
        <f t="shared" si="5"/>
        <v>5.3515980000000012E-2</v>
      </c>
      <c r="E111" s="759">
        <v>3.908830948870573E-2</v>
      </c>
      <c r="F111" s="759">
        <v>0.64400000000000002</v>
      </c>
      <c r="G111" s="759">
        <f t="shared" si="6"/>
        <v>4.5471402718781591E-2</v>
      </c>
      <c r="H111" s="759">
        <f ca="1">D111*F111+E111*(1-F111)*(1-(현금흐름!$X$23/(현금흐름!$X$23+현금흐름!$X$24)))</f>
        <v>4.5897466241909469E-2</v>
      </c>
      <c r="I111" s="759">
        <f t="shared" si="7"/>
        <v>4.5471402718781591E-2</v>
      </c>
      <c r="J111" s="759">
        <f t="shared" ca="1" si="8"/>
        <v>4.5897466241909469E-2</v>
      </c>
      <c r="K111" s="760" t="s">
        <v>1290</v>
      </c>
      <c r="L111" s="761" t="str">
        <f>'업종분류 검수용'!C105</f>
        <v>2</v>
      </c>
      <c r="M111" s="762">
        <v>0.14899999999999999</v>
      </c>
      <c r="N111" s="763">
        <f>VLOOKUP(업종분류!B111,'산업기술요소(보조)'!I103:K282,2,0)</f>
        <v>0.2374</v>
      </c>
      <c r="O111" s="763">
        <f>VLOOKUP(업종분류!B111,'산업기술요소(보조)'!I103:K282,3,0)</f>
        <v>0.2039</v>
      </c>
      <c r="P111" s="764"/>
      <c r="Q111" s="213"/>
    </row>
    <row r="112" spans="2:17">
      <c r="B112" s="758">
        <v>912</v>
      </c>
      <c r="C112" s="759">
        <v>0.7792</v>
      </c>
      <c r="D112" s="759">
        <f t="shared" si="5"/>
        <v>5.5118752000000007E-2</v>
      </c>
      <c r="E112" s="759">
        <v>6.3541380258838279E-2</v>
      </c>
      <c r="F112" s="759">
        <v>0.49220000000000003</v>
      </c>
      <c r="G112" s="759">
        <f t="shared" si="6"/>
        <v>5.2652103234691529E-2</v>
      </c>
      <c r="H112" s="759">
        <f ca="1">D112*F112+E112*(1-F112)*(1-(현금흐름!$X$23/(현금흐름!$X$23+현금흐름!$X$24)))</f>
        <v>5.3640034679950065E-2</v>
      </c>
      <c r="I112" s="759">
        <f t="shared" si="7"/>
        <v>5.2652103234691536E-2</v>
      </c>
      <c r="J112" s="759">
        <f t="shared" ca="1" si="8"/>
        <v>5.3640034679950065E-2</v>
      </c>
      <c r="K112" s="760" t="s">
        <v>1291</v>
      </c>
      <c r="L112" s="761">
        <f>'업종분류 검수용'!C106</f>
        <v>3</v>
      </c>
      <c r="M112" s="762">
        <v>0.14899999999999999</v>
      </c>
      <c r="N112" s="763">
        <f>VLOOKUP(업종분류!B112,'산업기술요소(보조)'!I104:K283,2,0)</f>
        <v>0.2374</v>
      </c>
      <c r="O112" s="763">
        <f>VLOOKUP(업종분류!B112,'산업기술요소(보조)'!I104:K283,3,0)</f>
        <v>0.2039</v>
      </c>
      <c r="P112" s="764"/>
      <c r="Q112" s="213"/>
    </row>
    <row r="113" spans="2:17">
      <c r="B113" s="774">
        <v>913</v>
      </c>
      <c r="C113" s="759">
        <v>0.81430000000000002</v>
      </c>
      <c r="D113" s="759">
        <f t="shared" si="5"/>
        <v>5.6788108000000011E-2</v>
      </c>
      <c r="E113" s="759">
        <v>3.8973573613121031E-2</v>
      </c>
      <c r="F113" s="759">
        <v>0.5806</v>
      </c>
      <c r="G113" s="759">
        <f t="shared" si="6"/>
        <v>4.590047927251429E-2</v>
      </c>
      <c r="H113" s="759">
        <f ca="1">D113*F113+E113*(1-F113)*(1-(현금흐름!$X$23/(현금흐름!$X$23+현금흐름!$X$24)))</f>
        <v>4.6400947053314531E-2</v>
      </c>
      <c r="I113" s="759">
        <f t="shared" si="7"/>
        <v>4.590047927251429E-2</v>
      </c>
      <c r="J113" s="759">
        <f t="shared" ca="1" si="8"/>
        <v>4.6400947053314531E-2</v>
      </c>
      <c r="K113" s="760" t="s">
        <v>1292</v>
      </c>
      <c r="L113" s="761">
        <f>'업종분류 검수용'!C107</f>
        <v>49</v>
      </c>
      <c r="M113" s="762">
        <v>0.96</v>
      </c>
      <c r="N113" s="763">
        <f>VLOOKUP(업종분류!B113,'산업기술요소(보조)'!I105:K284,2,0)</f>
        <v>0.64159999999999995</v>
      </c>
      <c r="O113" s="763">
        <f>VLOOKUP(업종분류!B113,'산업기술요소(보조)'!I105:K284,3,0)</f>
        <v>0.4788</v>
      </c>
      <c r="P113" s="764"/>
      <c r="Q113" s="213"/>
    </row>
    <row r="114" spans="2:17">
      <c r="B114" s="775">
        <v>914</v>
      </c>
      <c r="C114" s="759">
        <v>0.92420000000000002</v>
      </c>
      <c r="D114" s="759">
        <f t="shared" si="5"/>
        <v>6.2014951999999998E-2</v>
      </c>
      <c r="E114" s="759">
        <v>3.3948597242217868E-2</v>
      </c>
      <c r="F114" s="759">
        <v>0.58830000000000005</v>
      </c>
      <c r="G114" s="759">
        <f t="shared" si="6"/>
        <v>4.7538916511935286E-2</v>
      </c>
      <c r="H114" s="759">
        <f ca="1">D114*F114+E114*(1-F114)*(1-(현금흐름!$X$23/(현금흐름!$X$23+현금흐름!$X$24)))</f>
        <v>4.7966853838235388E-2</v>
      </c>
      <c r="I114" s="759">
        <f t="shared" si="7"/>
        <v>4.7538916511935286E-2</v>
      </c>
      <c r="J114" s="759">
        <f t="shared" ca="1" si="8"/>
        <v>4.7966853838235388E-2</v>
      </c>
      <c r="K114" s="760" t="s">
        <v>1293</v>
      </c>
      <c r="L114" s="761">
        <f>'업종분류 검수용'!C108</f>
        <v>11</v>
      </c>
      <c r="M114" s="762">
        <v>0.442</v>
      </c>
      <c r="N114" s="763">
        <f>VLOOKUP(업종분류!B114,'산업기술요소(보조)'!I106:K285,2,0)</f>
        <v>0.68220000000000003</v>
      </c>
      <c r="O114" s="763">
        <f>VLOOKUP(업종분류!B114,'산업기술요소(보조)'!I106:K285,3,0)</f>
        <v>0.30130000000000001</v>
      </c>
      <c r="P114" s="764"/>
      <c r="Q114" s="213"/>
    </row>
    <row r="115" spans="2:17">
      <c r="B115" s="776">
        <v>915</v>
      </c>
      <c r="C115" s="759">
        <v>0.72560000000000002</v>
      </c>
      <c r="D115" s="759">
        <f t="shared" si="5"/>
        <v>5.2569536E-2</v>
      </c>
      <c r="E115" s="759">
        <v>2.9163725758170233E-2</v>
      </c>
      <c r="F115" s="759">
        <v>0.62990000000000002</v>
      </c>
      <c r="G115" s="759">
        <f t="shared" si="6"/>
        <v>4.1651205194751156E-2</v>
      </c>
      <c r="H115" s="759">
        <f ca="1">D115*F115+E115*(1-F115)*(1-(현금흐름!$X$23/(현금흐름!$X$23+현금흐름!$X$24)))</f>
        <v>4.1981680915778349E-2</v>
      </c>
      <c r="I115" s="759">
        <f t="shared" si="7"/>
        <v>4.1651205194751156E-2</v>
      </c>
      <c r="J115" s="759">
        <f t="shared" ca="1" si="8"/>
        <v>4.1981680915778349E-2</v>
      </c>
      <c r="K115" s="760" t="s">
        <v>1294</v>
      </c>
      <c r="L115" s="761" t="str">
        <f>'업종분류 검수용'!C109</f>
        <v>30</v>
      </c>
      <c r="M115" s="762">
        <v>0.28199999999999997</v>
      </c>
      <c r="N115" s="763">
        <f>VLOOKUP(업종분류!B115,'산업기술요소(보조)'!I107:K286,2,0)</f>
        <v>0.70740000000000003</v>
      </c>
      <c r="O115" s="763">
        <f>VLOOKUP(업종분류!B115,'산업기술요소(보조)'!I107:K286,3,0)</f>
        <v>0.50460000000000005</v>
      </c>
      <c r="P115" s="764"/>
      <c r="Q115" s="213"/>
    </row>
    <row r="116" spans="2:17">
      <c r="B116" s="776">
        <v>919</v>
      </c>
      <c r="C116" s="759">
        <v>1.3566</v>
      </c>
      <c r="D116" s="759">
        <f t="shared" si="5"/>
        <v>8.2579896E-2</v>
      </c>
      <c r="E116" s="759">
        <v>4.7371904888133497E-2</v>
      </c>
      <c r="F116" s="759">
        <v>0.64249999999999996</v>
      </c>
      <c r="G116" s="759">
        <f t="shared" si="6"/>
        <v>6.6453528874028611E-2</v>
      </c>
      <c r="H116" s="759">
        <f ca="1">D116*F116+E116*(1-F116)*(1-(현금흐름!$X$23/(현금흐름!$X$23+현금흐름!$X$24)))</f>
        <v>6.697205944099946E-2</v>
      </c>
      <c r="I116" s="759">
        <f t="shared" si="7"/>
        <v>6.6453528874028611E-2</v>
      </c>
      <c r="J116" s="759">
        <f t="shared" ca="1" si="8"/>
        <v>6.697205944099946E-2</v>
      </c>
      <c r="K116" s="760" t="s">
        <v>1295</v>
      </c>
      <c r="L116" s="761">
        <f>'업종분류 검수용'!C110</f>
        <v>33</v>
      </c>
      <c r="M116" s="762">
        <v>0.14899999999999999</v>
      </c>
      <c r="N116" s="763">
        <f>VLOOKUP(업종분류!B116,'산업기술요소(보조)'!I108:K287,2,0)</f>
        <v>0.92249999999999999</v>
      </c>
      <c r="O116" s="763">
        <f>VLOOKUP(업종분류!B116,'산업기술요소(보조)'!I108:K287,3,0)</f>
        <v>0.80379999999999996</v>
      </c>
      <c r="P116" s="764"/>
      <c r="Q116" s="213"/>
    </row>
    <row r="117" spans="2:17">
      <c r="B117" s="786">
        <v>921</v>
      </c>
      <c r="C117" s="759">
        <v>1.1856</v>
      </c>
      <c r="D117" s="759">
        <f t="shared" si="5"/>
        <v>7.4447135999999997E-2</v>
      </c>
      <c r="E117" s="759">
        <v>5.7393046632463675E-2</v>
      </c>
      <c r="F117" s="759">
        <v>0.61699999999999999</v>
      </c>
      <c r="G117" s="759">
        <f t="shared" si="6"/>
        <v>6.3321278568444772E-2</v>
      </c>
      <c r="H117" s="787">
        <f ca="1">D117*F117+E117*(1-F117)*(1-(현금흐름!$X$23/(현금흐름!$X$23+현금흐름!$X$24)))</f>
        <v>6.3994310270260452E-2</v>
      </c>
      <c r="I117" s="759">
        <f t="shared" si="7"/>
        <v>6.3321278568444772E-2</v>
      </c>
      <c r="J117" s="787">
        <f t="shared" ca="1" si="8"/>
        <v>6.3994310270260452E-2</v>
      </c>
      <c r="K117" s="783" t="s">
        <v>1296</v>
      </c>
      <c r="L117" s="780">
        <f>'업종분류 검수용'!C111</f>
        <v>57</v>
      </c>
      <c r="M117" s="788">
        <v>0.98</v>
      </c>
      <c r="N117" s="789">
        <f>VLOOKUP(업종분류!B117,'산업기술요소(보조)'!I109:K288,2,0)</f>
        <v>0.9637</v>
      </c>
      <c r="O117" s="789">
        <f>VLOOKUP(업종분류!B117,'산업기술요소(보조)'!I109:K288,3,0)</f>
        <v>0.88500000000000001</v>
      </c>
      <c r="P117" s="764"/>
      <c r="Q117" s="213"/>
    </row>
    <row r="118" spans="2:17">
      <c r="B118" s="775">
        <v>922</v>
      </c>
      <c r="C118" s="759">
        <v>0.97019999999999995</v>
      </c>
      <c r="D118" s="759">
        <f t="shared" si="5"/>
        <v>6.4202711999999995E-2</v>
      </c>
      <c r="E118" s="759">
        <v>5.0107068885577428E-2</v>
      </c>
      <c r="F118" s="759">
        <v>0.58530000000000004</v>
      </c>
      <c r="G118" s="759">
        <f t="shared" si="6"/>
        <v>5.4014353893877529E-2</v>
      </c>
      <c r="H118" s="759">
        <f ca="1">D118*F118+E118*(1-F118)*(1-(현금흐름!$X$23/(현금흐름!$X$23+현금흐름!$X$24)))</f>
        <v>5.4650578559189492E-2</v>
      </c>
      <c r="I118" s="759">
        <f t="shared" si="7"/>
        <v>5.4014353893877529E-2</v>
      </c>
      <c r="J118" s="759">
        <f t="shared" ca="1" si="8"/>
        <v>5.4650578559189492E-2</v>
      </c>
      <c r="K118" s="760" t="s">
        <v>1297</v>
      </c>
      <c r="L118" s="761">
        <f>'업종분류 검수용'!C112</f>
        <v>187</v>
      </c>
      <c r="M118" s="762">
        <v>0.89</v>
      </c>
      <c r="N118" s="763">
        <f>VLOOKUP(업종분류!B118,'산업기술요소(보조)'!I110:K289,2,0)</f>
        <v>0.8972</v>
      </c>
      <c r="O118" s="763">
        <f>VLOOKUP(업종분류!B118,'산업기술요소(보조)'!I110:K289,3,0)</f>
        <v>0.67349999999999999</v>
      </c>
      <c r="P118" s="764"/>
      <c r="Q118" s="213"/>
    </row>
    <row r="119" spans="2:17">
      <c r="B119" s="758">
        <v>923</v>
      </c>
      <c r="C119" s="759">
        <v>1.0702</v>
      </c>
      <c r="D119" s="759">
        <f t="shared" si="5"/>
        <v>6.8958712000000005E-2</v>
      </c>
      <c r="E119" s="759">
        <v>4.4494093716303133E-2</v>
      </c>
      <c r="F119" s="759">
        <v>0.54249999999999998</v>
      </c>
      <c r="G119" s="759">
        <f t="shared" si="6"/>
        <v>5.3511735129290069E-2</v>
      </c>
      <c r="H119" s="759">
        <f ca="1">D119*F119+E119*(1-F119)*(1-(현금흐름!$X$23/(현금흐름!$X$23+현금흐름!$X$24)))</f>
        <v>5.4134997534953724E-2</v>
      </c>
      <c r="I119" s="759">
        <f t="shared" si="7"/>
        <v>5.3511735129290069E-2</v>
      </c>
      <c r="J119" s="759">
        <f t="shared" ca="1" si="8"/>
        <v>5.4134997534953724E-2</v>
      </c>
      <c r="K119" s="760" t="s">
        <v>1298</v>
      </c>
      <c r="L119" s="761">
        <f>'업종분류 검수용'!C113</f>
        <v>8</v>
      </c>
      <c r="M119" s="762">
        <v>0.89</v>
      </c>
      <c r="N119" s="763">
        <f>VLOOKUP(업종분류!B119,'산업기술요소(보조)'!I111:K290,2,0)</f>
        <v>0.87670000000000003</v>
      </c>
      <c r="O119" s="763">
        <f>VLOOKUP(업종분류!B119,'산업기술요소(보조)'!I111:K290,3,0)</f>
        <v>0.6431</v>
      </c>
      <c r="P119" s="764"/>
      <c r="Q119" s="213"/>
    </row>
    <row r="120" spans="2:17">
      <c r="B120" s="775">
        <v>924</v>
      </c>
      <c r="C120" s="759">
        <v>0.78069999999999995</v>
      </c>
      <c r="D120" s="759">
        <f t="shared" si="5"/>
        <v>5.5190092000000003E-2</v>
      </c>
      <c r="E120" s="759">
        <v>3.6305931810967598E-2</v>
      </c>
      <c r="F120" s="759">
        <v>0.64239999999999997</v>
      </c>
      <c r="G120" s="759">
        <f t="shared" si="6"/>
        <v>4.5723669062341196E-2</v>
      </c>
      <c r="H120" s="759">
        <f ca="1">D120*F120+E120*(1-F120)*(1-(현금흐름!$X$23/(현금흐름!$X$23+현금흐름!$X$24)))</f>
        <v>4.612118318787168E-2</v>
      </c>
      <c r="I120" s="759">
        <f t="shared" si="7"/>
        <v>4.5723669062341196E-2</v>
      </c>
      <c r="J120" s="759">
        <f t="shared" ca="1" si="8"/>
        <v>4.612118318787168E-2</v>
      </c>
      <c r="K120" s="760" t="s">
        <v>1299</v>
      </c>
      <c r="L120" s="761">
        <f>'업종분류 검수용'!C114</f>
        <v>7</v>
      </c>
      <c r="M120" s="762">
        <v>0.81</v>
      </c>
      <c r="N120" s="763">
        <f>VLOOKUP(업종분류!B120,'산업기술요소(보조)'!I112:K291,2,0)</f>
        <v>0.72040000000000004</v>
      </c>
      <c r="O120" s="763">
        <f>VLOOKUP(업종분류!B120,'산업기술요소(보조)'!I112:K291,3,0)</f>
        <v>0.4541</v>
      </c>
      <c r="P120" s="764"/>
      <c r="Q120" s="213"/>
    </row>
    <row r="121" spans="2:17">
      <c r="B121" s="758">
        <v>929</v>
      </c>
      <c r="C121" s="759">
        <v>0.78349999999999997</v>
      </c>
      <c r="D121" s="759">
        <f t="shared" si="5"/>
        <v>5.5323260000000006E-2</v>
      </c>
      <c r="E121" s="759">
        <v>4.7163903237691762E-2</v>
      </c>
      <c r="F121" s="759">
        <v>0.79669999999999996</v>
      </c>
      <c r="G121" s="759">
        <f t="shared" si="6"/>
        <v>5.1660482670824182E-2</v>
      </c>
      <c r="H121" s="759">
        <f ca="1">D121*F121+E121*(1-F121)*(1-(현금흐름!$X$23/(현금흐름!$X$23+현금흐름!$X$24)))</f>
        <v>5.1954061400095862E-2</v>
      </c>
      <c r="I121" s="759">
        <f t="shared" si="7"/>
        <v>5.1660482670824182E-2</v>
      </c>
      <c r="J121" s="759">
        <f t="shared" ca="1" si="8"/>
        <v>5.1954061400095862E-2</v>
      </c>
      <c r="K121" s="760" t="s">
        <v>1300</v>
      </c>
      <c r="L121" s="761">
        <f>'업종분류 검수용'!C115</f>
        <v>6</v>
      </c>
      <c r="M121" s="762">
        <v>0.89</v>
      </c>
      <c r="N121" s="763">
        <f>VLOOKUP(업종분류!B121,'산업기술요소(보조)'!I113:K292,2,0)</f>
        <v>0.89410000000000001</v>
      </c>
      <c r="O121" s="763">
        <f>VLOOKUP(업종분류!B121,'산업기술요소(보조)'!I113:K292,3,0)</f>
        <v>0.89400000000000002</v>
      </c>
      <c r="P121" s="764"/>
      <c r="Q121" s="213"/>
    </row>
    <row r="122" spans="2:17">
      <c r="Q122" s="213"/>
    </row>
  </sheetData>
  <sheetProtection formatCells="0" formatColumns="0" formatRows="0" insertColumns="0" insertRows="0" insertHyperlinks="0" deleteColumns="0" deleteRows="0"/>
  <mergeCells count="1">
    <mergeCell ref="R7:S8"/>
  </mergeCells>
  <phoneticPr fontId="11" type="noConversion"/>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M2255"/>
  <sheetViews>
    <sheetView workbookViewId="0">
      <selection activeCell="N8" sqref="N8"/>
    </sheetView>
  </sheetViews>
  <sheetFormatPr defaultRowHeight="13.5"/>
  <sheetData>
    <row r="1" spans="1:13">
      <c r="A1" t="s">
        <v>2805</v>
      </c>
    </row>
    <row r="3" spans="1:13">
      <c r="A3" t="s">
        <v>158</v>
      </c>
      <c r="B3" t="s">
        <v>2806</v>
      </c>
      <c r="E3">
        <v>2017</v>
      </c>
      <c r="H3">
        <v>2018</v>
      </c>
      <c r="K3">
        <v>2019</v>
      </c>
    </row>
    <row r="4" spans="1:13">
      <c r="B4" t="s">
        <v>1623</v>
      </c>
      <c r="C4" t="s">
        <v>1624</v>
      </c>
      <c r="D4" t="s">
        <v>1622</v>
      </c>
      <c r="E4" t="s">
        <v>1623</v>
      </c>
      <c r="F4" t="s">
        <v>1624</v>
      </c>
      <c r="G4" t="s">
        <v>1622</v>
      </c>
      <c r="H4" t="s">
        <v>1623</v>
      </c>
      <c r="I4" t="s">
        <v>1624</v>
      </c>
      <c r="J4" t="s">
        <v>1622</v>
      </c>
      <c r="K4" t="s">
        <v>1623</v>
      </c>
      <c r="L4" t="s">
        <v>1624</v>
      </c>
      <c r="M4" t="s">
        <v>1622</v>
      </c>
    </row>
    <row r="5" spans="1:13">
      <c r="A5" t="s">
        <v>2807</v>
      </c>
      <c r="B5" s="342">
        <v>0.47899999999999998</v>
      </c>
      <c r="C5" s="342">
        <v>0.82699999999999996</v>
      </c>
      <c r="D5" s="342">
        <v>0.75800000000000001</v>
      </c>
      <c r="E5" s="342">
        <v>0.41199999999999998</v>
      </c>
      <c r="F5" s="342">
        <v>0.82799999999999996</v>
      </c>
      <c r="G5" s="342">
        <v>0.71199999999999997</v>
      </c>
      <c r="H5" s="342">
        <v>0.51600000000000001</v>
      </c>
      <c r="I5" s="342">
        <v>0.85499999999999998</v>
      </c>
      <c r="J5" s="342">
        <v>0.76800000000000002</v>
      </c>
      <c r="K5" s="342">
        <v>0.48399999999999999</v>
      </c>
      <c r="L5" s="342">
        <v>0.79700000000000004</v>
      </c>
      <c r="M5" s="342">
        <v>0.77300000000000002</v>
      </c>
    </row>
    <row r="6" spans="1:13">
      <c r="A6" t="s">
        <v>1618</v>
      </c>
      <c r="B6" s="342">
        <v>0.253</v>
      </c>
      <c r="C6" s="342">
        <v>0.154</v>
      </c>
      <c r="D6" s="342">
        <v>0.17399999999999999</v>
      </c>
      <c r="E6" s="342">
        <v>0.27200000000000002</v>
      </c>
      <c r="F6" s="342">
        <v>0.15</v>
      </c>
      <c r="G6" s="342">
        <v>0.2</v>
      </c>
      <c r="H6" s="342">
        <v>0.24399999999999999</v>
      </c>
      <c r="I6" s="342">
        <v>0.125</v>
      </c>
      <c r="J6" s="342">
        <v>0.16900000000000001</v>
      </c>
      <c r="K6" s="342">
        <v>0.252</v>
      </c>
      <c r="L6" s="342">
        <v>0.185</v>
      </c>
      <c r="M6" s="342">
        <v>0.16600000000000001</v>
      </c>
    </row>
    <row r="7" spans="1:13">
      <c r="A7" t="s">
        <v>1619</v>
      </c>
      <c r="B7" s="342">
        <v>3.7999999999999999E-2</v>
      </c>
      <c r="C7" s="342">
        <v>1.4E-2</v>
      </c>
      <c r="D7" s="342">
        <v>2.1999999999999999E-2</v>
      </c>
      <c r="E7" s="342">
        <v>1.6E-2</v>
      </c>
      <c r="F7" s="342">
        <v>8.9999999999999993E-3</v>
      </c>
      <c r="G7" s="342">
        <v>0.01</v>
      </c>
      <c r="H7" s="342">
        <v>4.7E-2</v>
      </c>
      <c r="I7" s="342">
        <v>1.4999999999999999E-2</v>
      </c>
      <c r="J7" s="342">
        <v>2.5000000000000001E-2</v>
      </c>
      <c r="K7" s="342">
        <v>4.2999999999999997E-2</v>
      </c>
      <c r="L7" s="342">
        <v>1.6E-2</v>
      </c>
      <c r="M7" s="342">
        <v>2.4E-2</v>
      </c>
    </row>
    <row r="8" spans="1:13">
      <c r="A8" t="s">
        <v>1620</v>
      </c>
      <c r="B8" s="342">
        <v>0.35699999999999998</v>
      </c>
      <c r="C8" s="342">
        <v>1.1279999999999999</v>
      </c>
      <c r="D8" s="342">
        <v>0.76800000000000002</v>
      </c>
      <c r="E8" s="342">
        <v>0.46100000000000002</v>
      </c>
      <c r="F8" s="342">
        <v>1.1379999999999999</v>
      </c>
      <c r="G8" s="342">
        <v>0.71099999999999997</v>
      </c>
      <c r="H8" s="342">
        <v>0.35</v>
      </c>
      <c r="I8" s="342">
        <v>1.371</v>
      </c>
      <c r="J8" s="342">
        <v>0.78800000000000003</v>
      </c>
      <c r="K8" s="342">
        <v>0.314</v>
      </c>
      <c r="L8" s="342">
        <v>0.95599999999999996</v>
      </c>
      <c r="M8" s="342">
        <v>0.78100000000000003</v>
      </c>
    </row>
    <row r="9" spans="1:13">
      <c r="A9" t="s">
        <v>2808</v>
      </c>
      <c r="B9" s="342">
        <v>0.63300000000000001</v>
      </c>
      <c r="C9" s="342">
        <v>0.35799999999999998</v>
      </c>
      <c r="D9" s="342">
        <v>0.46600000000000003</v>
      </c>
      <c r="E9" s="342">
        <v>0.55700000000000005</v>
      </c>
      <c r="F9" s="342">
        <v>0.36</v>
      </c>
      <c r="G9" s="342">
        <v>0.436</v>
      </c>
      <c r="H9" s="342">
        <v>0.64900000000000002</v>
      </c>
      <c r="I9" s="342">
        <v>0.35599999999999998</v>
      </c>
      <c r="J9" s="342">
        <v>0.46400000000000002</v>
      </c>
      <c r="K9" s="342">
        <v>0.65300000000000002</v>
      </c>
      <c r="L9" s="342">
        <v>0.35799999999999998</v>
      </c>
      <c r="M9" s="342">
        <v>0.48599999999999999</v>
      </c>
    </row>
    <row r="10" spans="1:13">
      <c r="A10" t="s">
        <v>2809</v>
      </c>
      <c r="B10" s="342">
        <v>5.0000000000000001E-3</v>
      </c>
      <c r="C10" s="342">
        <v>8.9999999999999993E-3</v>
      </c>
      <c r="D10" s="342">
        <v>8.0000000000000002E-3</v>
      </c>
      <c r="E10" s="342">
        <v>8.9999999999999993E-3</v>
      </c>
      <c r="F10" s="342">
        <v>1.6E-2</v>
      </c>
      <c r="G10" s="342">
        <v>8.9999999999999993E-3</v>
      </c>
      <c r="H10" s="342">
        <v>7.0000000000000001E-3</v>
      </c>
      <c r="I10" s="342">
        <v>1.0999999999999999E-2</v>
      </c>
      <c r="J10" s="342">
        <v>7.0000000000000001E-3</v>
      </c>
      <c r="K10" s="342">
        <v>1E-3</v>
      </c>
      <c r="L10" s="342">
        <v>6.0000000000000001E-3</v>
      </c>
      <c r="M10" s="342">
        <v>7.0000000000000001E-3</v>
      </c>
    </row>
    <row r="11" spans="1:13">
      <c r="A11" t="s">
        <v>2810</v>
      </c>
      <c r="B11" s="342">
        <v>1.7849999999999999</v>
      </c>
      <c r="C11" s="342">
        <v>0.32500000000000001</v>
      </c>
      <c r="D11" s="342">
        <v>0.61699999999999999</v>
      </c>
      <c r="E11" s="342">
        <v>1.2290000000000001</v>
      </c>
      <c r="F11" s="342">
        <v>0.33</v>
      </c>
      <c r="G11" s="342">
        <v>0.625</v>
      </c>
      <c r="H11" s="342">
        <v>1.8720000000000001</v>
      </c>
      <c r="I11" s="342">
        <v>0.26800000000000002</v>
      </c>
      <c r="J11" s="342">
        <v>0.59799999999999998</v>
      </c>
      <c r="K11" s="342">
        <v>2.0859999999999999</v>
      </c>
      <c r="L11" s="342">
        <v>0.38</v>
      </c>
      <c r="M11" s="342">
        <v>0.63100000000000001</v>
      </c>
    </row>
    <row r="12" spans="1:13">
      <c r="A12" t="s">
        <v>9</v>
      </c>
      <c r="B12">
        <v>4.95</v>
      </c>
      <c r="C12">
        <v>7.97</v>
      </c>
      <c r="D12">
        <v>6.03</v>
      </c>
      <c r="E12">
        <v>6.55</v>
      </c>
      <c r="F12">
        <v>9.2799999999999994</v>
      </c>
      <c r="G12">
        <v>5.82</v>
      </c>
      <c r="H12">
        <v>4.8</v>
      </c>
      <c r="I12">
        <v>10.97</v>
      </c>
      <c r="J12">
        <v>6.19</v>
      </c>
      <c r="K12">
        <v>4.34</v>
      </c>
      <c r="L12">
        <v>5.95</v>
      </c>
      <c r="M12">
        <v>5.99</v>
      </c>
    </row>
    <row r="13" spans="1:13">
      <c r="A13" t="s">
        <v>8</v>
      </c>
      <c r="B13">
        <v>4.3899999999999997</v>
      </c>
      <c r="C13">
        <v>4.97</v>
      </c>
      <c r="D13">
        <v>4.95</v>
      </c>
      <c r="E13">
        <v>4.83</v>
      </c>
      <c r="F13">
        <v>5.61</v>
      </c>
      <c r="G13">
        <v>4.6900000000000004</v>
      </c>
      <c r="H13">
        <v>4.55</v>
      </c>
      <c r="I13">
        <v>5.23</v>
      </c>
      <c r="J13">
        <v>4.8</v>
      </c>
      <c r="K13">
        <v>3.96</v>
      </c>
      <c r="L13">
        <v>4.5</v>
      </c>
      <c r="M13">
        <v>5.27</v>
      </c>
    </row>
    <row r="14" spans="1:13">
      <c r="A14" t="s">
        <v>10</v>
      </c>
      <c r="B14">
        <v>22.81</v>
      </c>
      <c r="C14">
        <v>21.37</v>
      </c>
      <c r="D14">
        <v>20.260000000000002</v>
      </c>
      <c r="E14">
        <v>27.71</v>
      </c>
      <c r="F14">
        <v>20.97</v>
      </c>
      <c r="G14">
        <v>19.850000000000001</v>
      </c>
      <c r="H14">
        <v>17.329999999999998</v>
      </c>
      <c r="I14">
        <v>23.75</v>
      </c>
      <c r="J14">
        <v>19.14</v>
      </c>
      <c r="K14">
        <v>30.12</v>
      </c>
      <c r="L14">
        <v>19.59</v>
      </c>
      <c r="M14">
        <v>21.8</v>
      </c>
    </row>
    <row r="15" spans="1:13">
      <c r="A15" t="s">
        <v>1621</v>
      </c>
      <c r="B15" s="342">
        <v>0.38600000000000001</v>
      </c>
      <c r="C15" s="342">
        <v>0.28000000000000003</v>
      </c>
      <c r="D15" s="342">
        <v>0.31900000000000001</v>
      </c>
      <c r="E15" s="342">
        <v>0.32400000000000001</v>
      </c>
      <c r="F15" s="342">
        <v>0.23799999999999999</v>
      </c>
      <c r="G15" s="342">
        <v>0.33500000000000002</v>
      </c>
      <c r="H15" s="342">
        <v>0.371</v>
      </c>
      <c r="I15" s="342">
        <v>0.24</v>
      </c>
      <c r="J15" s="342">
        <v>0.318</v>
      </c>
      <c r="K15" s="342">
        <v>0.45</v>
      </c>
      <c r="L15" s="342">
        <v>0.33900000000000002</v>
      </c>
      <c r="M15" s="342">
        <v>0.311</v>
      </c>
    </row>
    <row r="17" spans="1:13">
      <c r="A17" t="s">
        <v>2811</v>
      </c>
    </row>
    <row r="19" spans="1:13">
      <c r="A19" t="s">
        <v>158</v>
      </c>
      <c r="B19" t="s">
        <v>2806</v>
      </c>
      <c r="E19">
        <v>2017</v>
      </c>
      <c r="H19">
        <v>2018</v>
      </c>
      <c r="K19">
        <v>2019</v>
      </c>
    </row>
    <row r="20" spans="1:13">
      <c r="B20" t="s">
        <v>1623</v>
      </c>
      <c r="C20" t="s">
        <v>1624</v>
      </c>
      <c r="D20" t="s">
        <v>1622</v>
      </c>
      <c r="E20" t="s">
        <v>1623</v>
      </c>
      <c r="F20" t="s">
        <v>1624</v>
      </c>
      <c r="G20" t="s">
        <v>1622</v>
      </c>
      <c r="H20" t="s">
        <v>1623</v>
      </c>
      <c r="I20" t="s">
        <v>1624</v>
      </c>
      <c r="J20" t="s">
        <v>1622</v>
      </c>
      <c r="K20" t="s">
        <v>1623</v>
      </c>
      <c r="L20" t="s">
        <v>1624</v>
      </c>
      <c r="M20" t="s">
        <v>1622</v>
      </c>
    </row>
    <row r="21" spans="1:13">
      <c r="A21" t="s">
        <v>2807</v>
      </c>
      <c r="B21" s="342">
        <v>0.69099999999999995</v>
      </c>
      <c r="C21" s="342">
        <v>0.91100000000000003</v>
      </c>
      <c r="D21" s="342">
        <v>0.82899999999999996</v>
      </c>
      <c r="E21" s="342">
        <v>0.61699999999999999</v>
      </c>
      <c r="F21" s="342">
        <v>0.91</v>
      </c>
      <c r="G21" s="342">
        <v>0.79700000000000004</v>
      </c>
      <c r="H21" s="342">
        <v>0.72499999999999998</v>
      </c>
      <c r="I21" s="342">
        <v>0.91100000000000003</v>
      </c>
      <c r="J21" s="342">
        <v>0.83899999999999997</v>
      </c>
      <c r="K21" s="342">
        <v>0.74199999999999999</v>
      </c>
      <c r="L21" s="342">
        <v>0.91300000000000003</v>
      </c>
      <c r="M21" s="342">
        <v>0.85599999999999998</v>
      </c>
    </row>
    <row r="22" spans="1:13">
      <c r="A22" t="s">
        <v>1618</v>
      </c>
      <c r="B22" s="342">
        <v>5.8999999999999997E-2</v>
      </c>
      <c r="C22" s="342">
        <v>6.6000000000000003E-2</v>
      </c>
      <c r="D22" s="342">
        <v>7.0999999999999994E-2</v>
      </c>
      <c r="E22" s="342">
        <v>4.9000000000000002E-2</v>
      </c>
      <c r="F22" s="342">
        <v>5.8999999999999997E-2</v>
      </c>
      <c r="G22" s="342">
        <v>6.4000000000000001E-2</v>
      </c>
      <c r="H22" s="342">
        <v>5.6000000000000001E-2</v>
      </c>
      <c r="I22" s="342">
        <v>6.8000000000000005E-2</v>
      </c>
      <c r="J22" s="342">
        <v>7.3999999999999996E-2</v>
      </c>
      <c r="K22" s="342">
        <v>7.4999999999999997E-2</v>
      </c>
      <c r="L22" s="342">
        <v>7.0000000000000007E-2</v>
      </c>
      <c r="M22" s="342">
        <v>7.6999999999999999E-2</v>
      </c>
    </row>
    <row r="23" spans="1:13">
      <c r="A23" t="s">
        <v>1619</v>
      </c>
      <c r="B23" s="342">
        <v>3.2000000000000001E-2</v>
      </c>
      <c r="C23" s="342">
        <v>2.4E-2</v>
      </c>
      <c r="D23" s="342">
        <v>2.8000000000000001E-2</v>
      </c>
      <c r="E23" s="342">
        <v>3.0000000000000001E-3</v>
      </c>
      <c r="F23" s="342">
        <v>4.0000000000000001E-3</v>
      </c>
      <c r="G23" s="342">
        <v>4.0000000000000001E-3</v>
      </c>
      <c r="H23" s="342">
        <v>4.7E-2</v>
      </c>
      <c r="I23" s="342">
        <v>2.3E-2</v>
      </c>
      <c r="J23" s="342">
        <v>3.6999999999999998E-2</v>
      </c>
      <c r="K23" s="342">
        <v>4.9000000000000002E-2</v>
      </c>
      <c r="L23" s="342">
        <v>4.9000000000000002E-2</v>
      </c>
      <c r="M23" s="342">
        <v>4.7E-2</v>
      </c>
    </row>
    <row r="24" spans="1:13">
      <c r="A24" t="s">
        <v>1620</v>
      </c>
      <c r="B24" s="342">
        <v>0.70399999999999996</v>
      </c>
      <c r="C24" s="342">
        <v>1.089</v>
      </c>
      <c r="D24" s="342">
        <v>0.80800000000000005</v>
      </c>
      <c r="E24" s="342">
        <v>0.90500000000000003</v>
      </c>
      <c r="F24" s="342">
        <v>1.3620000000000001</v>
      </c>
      <c r="G24" s="342">
        <v>0.90100000000000002</v>
      </c>
      <c r="H24" s="342">
        <v>0.65200000000000002</v>
      </c>
      <c r="I24" s="342">
        <v>1.1259999999999999</v>
      </c>
      <c r="J24" s="342">
        <v>0.81100000000000005</v>
      </c>
      <c r="K24" s="342">
        <v>0.59799999999999998</v>
      </c>
      <c r="L24" s="342">
        <v>0.86199999999999999</v>
      </c>
      <c r="M24" s="342">
        <v>0.70799999999999996</v>
      </c>
    </row>
    <row r="25" spans="1:13">
      <c r="A25" t="s">
        <v>2808</v>
      </c>
      <c r="B25" s="342">
        <v>0.54</v>
      </c>
      <c r="C25" s="342">
        <v>0.48099999999999998</v>
      </c>
      <c r="D25" s="342">
        <v>0</v>
      </c>
      <c r="E25" s="342">
        <v>0.60399999999999998</v>
      </c>
      <c r="F25" s="342">
        <v>0.432</v>
      </c>
      <c r="G25" s="342">
        <v>0.54800000000000004</v>
      </c>
      <c r="H25" s="342">
        <v>0.51900000000000002</v>
      </c>
      <c r="I25" s="342">
        <v>0.48699999999999999</v>
      </c>
      <c r="J25" s="342">
        <v>0.53</v>
      </c>
      <c r="K25" s="342">
        <v>0.51200000000000001</v>
      </c>
      <c r="L25" s="342">
        <v>0.51</v>
      </c>
      <c r="M25" s="342">
        <v>0.54800000000000004</v>
      </c>
    </row>
    <row r="26" spans="1:13">
      <c r="A26" t="s">
        <v>2809</v>
      </c>
      <c r="B26" s="342">
        <v>2E-3</v>
      </c>
      <c r="C26" s="342">
        <v>5.0000000000000001E-3</v>
      </c>
      <c r="D26" s="342">
        <v>4.0000000000000001E-3</v>
      </c>
      <c r="E26" s="342">
        <v>2E-3</v>
      </c>
      <c r="F26" s="342">
        <v>2E-3</v>
      </c>
      <c r="G26" s="342">
        <v>5.0000000000000001E-3</v>
      </c>
      <c r="H26" s="342">
        <v>2E-3</v>
      </c>
      <c r="I26" s="342">
        <v>7.0000000000000001E-3</v>
      </c>
      <c r="J26" s="342">
        <v>4.0000000000000001E-3</v>
      </c>
      <c r="K26" s="342">
        <v>3.0000000000000001E-3</v>
      </c>
      <c r="L26" s="342">
        <v>5.0000000000000001E-3</v>
      </c>
      <c r="M26" s="342">
        <v>4.0000000000000001E-3</v>
      </c>
    </row>
    <row r="27" spans="1:13">
      <c r="A27" t="s">
        <v>2810</v>
      </c>
      <c r="B27" s="342">
        <v>0.77</v>
      </c>
      <c r="C27" s="342">
        <v>0.44600000000000001</v>
      </c>
      <c r="D27" s="342">
        <v>0.67600000000000005</v>
      </c>
      <c r="E27" s="342">
        <v>0.67</v>
      </c>
      <c r="F27" s="342">
        <v>0.318</v>
      </c>
      <c r="G27" s="342">
        <v>0.61399999999999999</v>
      </c>
      <c r="H27" s="342">
        <v>0.79900000000000004</v>
      </c>
      <c r="I27" s="342">
        <v>0.439</v>
      </c>
      <c r="J27" s="342">
        <v>0.65900000000000003</v>
      </c>
      <c r="K27" s="342">
        <v>0.86099999999999999</v>
      </c>
      <c r="L27" s="342">
        <v>0.59699999999999998</v>
      </c>
      <c r="M27" s="342">
        <v>0.77900000000000003</v>
      </c>
    </row>
    <row r="28" spans="1:13">
      <c r="A28" t="s">
        <v>9</v>
      </c>
      <c r="B28">
        <v>15.56</v>
      </c>
      <c r="C28">
        <v>9.76</v>
      </c>
      <c r="D28">
        <v>11.22</v>
      </c>
      <c r="E28">
        <v>11.39</v>
      </c>
      <c r="F28">
        <v>10.050000000000001</v>
      </c>
      <c r="G28">
        <v>11.63</v>
      </c>
      <c r="H28">
        <v>22.97</v>
      </c>
      <c r="I28">
        <v>10.45</v>
      </c>
      <c r="J28">
        <v>11.22</v>
      </c>
      <c r="K28">
        <v>15.84</v>
      </c>
      <c r="L28">
        <v>8.7899999999999991</v>
      </c>
      <c r="M28">
        <v>10.72</v>
      </c>
    </row>
    <row r="29" spans="1:13">
      <c r="A29" t="s">
        <v>8</v>
      </c>
      <c r="B29">
        <v>3.77</v>
      </c>
      <c r="C29">
        <v>7.95</v>
      </c>
      <c r="D29">
        <v>5.39</v>
      </c>
      <c r="E29">
        <v>7.66</v>
      </c>
      <c r="F29">
        <v>7.92</v>
      </c>
      <c r="G29">
        <v>6.17</v>
      </c>
      <c r="H29">
        <v>3.12</v>
      </c>
      <c r="I29">
        <v>8.1300000000000008</v>
      </c>
      <c r="J29">
        <v>5.34</v>
      </c>
      <c r="K29">
        <v>2.75</v>
      </c>
      <c r="L29">
        <v>7.77</v>
      </c>
      <c r="M29">
        <v>4.6900000000000004</v>
      </c>
    </row>
    <row r="30" spans="1:13">
      <c r="A30" t="s">
        <v>10</v>
      </c>
      <c r="B30">
        <v>18.87</v>
      </c>
      <c r="C30">
        <v>12.33</v>
      </c>
      <c r="D30">
        <v>12.58</v>
      </c>
      <c r="E30">
        <v>24.39</v>
      </c>
      <c r="F30">
        <v>11.35</v>
      </c>
      <c r="G30">
        <v>11.69</v>
      </c>
      <c r="H30">
        <v>17.84</v>
      </c>
      <c r="I30">
        <v>11.49</v>
      </c>
      <c r="J30">
        <v>12.57</v>
      </c>
      <c r="K30">
        <v>15.54</v>
      </c>
      <c r="L30">
        <v>15.1</v>
      </c>
      <c r="M30">
        <v>13.99</v>
      </c>
    </row>
    <row r="31" spans="1:13">
      <c r="A31" t="s">
        <v>1621</v>
      </c>
      <c r="B31" s="342">
        <v>0.27700000000000002</v>
      </c>
      <c r="C31" s="342">
        <v>0.14699999999999999</v>
      </c>
      <c r="D31" s="342">
        <v>0.19500000000000001</v>
      </c>
      <c r="E31" s="342">
        <v>0.17699999999999999</v>
      </c>
      <c r="F31" s="342">
        <v>0.13800000000000001</v>
      </c>
      <c r="G31" s="342">
        <v>0.16300000000000001</v>
      </c>
      <c r="H31" s="342">
        <v>0.308</v>
      </c>
      <c r="I31" s="342">
        <v>0.13200000000000001</v>
      </c>
      <c r="J31" s="342">
        <v>0.19700000000000001</v>
      </c>
      <c r="K31" s="342">
        <v>0.36199999999999999</v>
      </c>
      <c r="L31" s="342">
        <v>0.17599999999999999</v>
      </c>
      <c r="M31" s="342">
        <v>0.23499999999999999</v>
      </c>
    </row>
    <row r="33" spans="1:13">
      <c r="A33" t="s">
        <v>2812</v>
      </c>
    </row>
    <row r="35" spans="1:13">
      <c r="A35" t="s">
        <v>158</v>
      </c>
      <c r="B35" t="s">
        <v>2806</v>
      </c>
      <c r="E35">
        <v>2017</v>
      </c>
      <c r="H35">
        <v>2018</v>
      </c>
      <c r="K35">
        <v>2019</v>
      </c>
    </row>
    <row r="36" spans="1:13">
      <c r="B36" t="s">
        <v>1623</v>
      </c>
      <c r="C36" t="s">
        <v>1624</v>
      </c>
      <c r="D36" t="s">
        <v>1622</v>
      </c>
      <c r="E36" t="s">
        <v>1623</v>
      </c>
      <c r="F36" t="s">
        <v>1624</v>
      </c>
      <c r="G36" t="s">
        <v>1622</v>
      </c>
      <c r="H36" t="s">
        <v>1623</v>
      </c>
      <c r="I36" t="s">
        <v>1624</v>
      </c>
      <c r="J36" t="s">
        <v>1622</v>
      </c>
      <c r="K36" t="s">
        <v>1623</v>
      </c>
      <c r="L36" t="s">
        <v>1624</v>
      </c>
      <c r="M36" t="s">
        <v>1622</v>
      </c>
    </row>
    <row r="37" spans="1:13">
      <c r="A37" t="s">
        <v>2807</v>
      </c>
      <c r="B37" s="342">
        <v>0.47099999999999997</v>
      </c>
      <c r="C37" s="342">
        <v>0.754</v>
      </c>
      <c r="D37" s="342">
        <v>0.60599999999999998</v>
      </c>
      <c r="E37" s="342">
        <v>0.45100000000000001</v>
      </c>
      <c r="F37" s="342">
        <v>0.755</v>
      </c>
      <c r="G37" s="342">
        <v>0.6</v>
      </c>
      <c r="H37" s="342">
        <v>0.48</v>
      </c>
      <c r="I37" s="342">
        <v>0.78100000000000003</v>
      </c>
      <c r="J37" s="342">
        <v>0.61599999999999999</v>
      </c>
      <c r="K37" s="342">
        <v>0.48299999999999998</v>
      </c>
      <c r="L37" s="342">
        <v>0.72599999999999998</v>
      </c>
      <c r="M37" s="342">
        <v>0.60199999999999998</v>
      </c>
    </row>
    <row r="38" spans="1:13">
      <c r="A38" t="s">
        <v>1618</v>
      </c>
      <c r="B38" s="342">
        <v>0.29899999999999999</v>
      </c>
      <c r="C38" s="342">
        <v>0.224</v>
      </c>
      <c r="D38" s="342">
        <v>0.27200000000000002</v>
      </c>
      <c r="E38" s="342">
        <v>0.314</v>
      </c>
      <c r="F38" s="342">
        <v>0.22500000000000001</v>
      </c>
      <c r="G38" s="342">
        <v>0.27</v>
      </c>
      <c r="H38" s="342">
        <v>0.28999999999999998</v>
      </c>
      <c r="I38" s="342">
        <v>0.19400000000000001</v>
      </c>
      <c r="J38" s="342">
        <v>0.27</v>
      </c>
      <c r="K38" s="342">
        <v>0.29299999999999998</v>
      </c>
      <c r="L38" s="342">
        <v>0.252</v>
      </c>
      <c r="M38" s="342">
        <v>0.27700000000000002</v>
      </c>
    </row>
    <row r="39" spans="1:13">
      <c r="A39" t="s">
        <v>1619</v>
      </c>
      <c r="B39" s="342">
        <v>0.01</v>
      </c>
      <c r="C39" s="342">
        <v>8.0000000000000002E-3</v>
      </c>
      <c r="D39" s="342">
        <v>0.01</v>
      </c>
      <c r="E39" s="342">
        <v>8.9999999999999993E-3</v>
      </c>
      <c r="F39" s="342">
        <v>7.0000000000000001E-3</v>
      </c>
      <c r="G39" s="342">
        <v>7.0000000000000001E-3</v>
      </c>
      <c r="H39" s="342">
        <v>0.01</v>
      </c>
      <c r="I39" s="342">
        <v>7.0000000000000001E-3</v>
      </c>
      <c r="J39" s="342">
        <v>0.01</v>
      </c>
      <c r="K39" s="342">
        <v>1.2E-2</v>
      </c>
      <c r="L39" s="342">
        <v>0.01</v>
      </c>
      <c r="M39" s="342">
        <v>1.2E-2</v>
      </c>
    </row>
    <row r="40" spans="1:13">
      <c r="A40" t="s">
        <v>1620</v>
      </c>
      <c r="B40" s="342">
        <v>0.54500000000000004</v>
      </c>
      <c r="C40" s="342">
        <v>0.91100000000000003</v>
      </c>
      <c r="D40" s="342">
        <v>0.70599999999999996</v>
      </c>
      <c r="E40" s="342">
        <v>0.53200000000000003</v>
      </c>
      <c r="F40" s="342">
        <v>0.87</v>
      </c>
      <c r="G40" s="342">
        <v>0.70099999999999996</v>
      </c>
      <c r="H40" s="342">
        <v>0.58099999999999996</v>
      </c>
      <c r="I40" s="342">
        <v>0.95499999999999996</v>
      </c>
      <c r="J40" s="342">
        <v>0.71499999999999997</v>
      </c>
      <c r="K40" s="342">
        <v>0.53</v>
      </c>
      <c r="L40" s="342">
        <v>0.9</v>
      </c>
      <c r="M40" s="342">
        <v>0.70199999999999996</v>
      </c>
    </row>
    <row r="41" spans="1:13">
      <c r="A41" t="s">
        <v>2808</v>
      </c>
      <c r="B41" s="342">
        <v>0.22800000000000001</v>
      </c>
      <c r="C41" s="342">
        <v>0.316</v>
      </c>
      <c r="D41" s="342">
        <v>0.29699999999999999</v>
      </c>
      <c r="E41" s="342">
        <v>0.24</v>
      </c>
      <c r="F41" s="342">
        <v>0.32500000000000001</v>
      </c>
      <c r="G41" s="342">
        <v>0.29299999999999998</v>
      </c>
      <c r="H41" s="342">
        <v>0.21199999999999999</v>
      </c>
      <c r="I41" s="342">
        <v>0.314</v>
      </c>
      <c r="J41" s="342">
        <v>0.29599999999999999</v>
      </c>
      <c r="K41" s="342">
        <v>0.22900000000000001</v>
      </c>
      <c r="L41" s="342">
        <v>0.311</v>
      </c>
      <c r="M41" s="342">
        <v>0.30199999999999999</v>
      </c>
    </row>
    <row r="42" spans="1:13">
      <c r="A42" t="s">
        <v>2809</v>
      </c>
      <c r="B42" s="342">
        <v>4.2999999999999997E-2</v>
      </c>
      <c r="C42" s="342">
        <v>2.5999999999999999E-2</v>
      </c>
      <c r="D42" s="342">
        <v>3.4000000000000002E-2</v>
      </c>
      <c r="E42" s="342">
        <v>4.2000000000000003E-2</v>
      </c>
      <c r="F42" s="342">
        <v>3.3000000000000002E-2</v>
      </c>
      <c r="G42" s="342">
        <v>3.5000000000000003E-2</v>
      </c>
      <c r="H42" s="342">
        <v>4.9000000000000002E-2</v>
      </c>
      <c r="I42" s="342">
        <v>0.02</v>
      </c>
      <c r="J42" s="342">
        <v>3.3000000000000002E-2</v>
      </c>
      <c r="K42" s="342">
        <v>3.9E-2</v>
      </c>
      <c r="L42" s="342">
        <v>2.7E-2</v>
      </c>
      <c r="M42" s="342">
        <v>3.3000000000000002E-2</v>
      </c>
    </row>
    <row r="43" spans="1:13">
      <c r="A43" t="s">
        <v>2810</v>
      </c>
      <c r="B43" s="342">
        <v>0.497</v>
      </c>
      <c r="C43" s="342">
        <v>0.376</v>
      </c>
      <c r="D43" s="342">
        <v>0.46800000000000003</v>
      </c>
      <c r="E43" s="342">
        <v>0.53</v>
      </c>
      <c r="F43" s="342">
        <v>0.41199999999999998</v>
      </c>
      <c r="G43" s="342">
        <v>0.46700000000000003</v>
      </c>
      <c r="H43" s="342">
        <v>0.45</v>
      </c>
      <c r="I43" s="342">
        <v>0.35</v>
      </c>
      <c r="J43" s="342">
        <v>0.46</v>
      </c>
      <c r="K43" s="342">
        <v>0.505</v>
      </c>
      <c r="L43" s="342">
        <v>0.376</v>
      </c>
      <c r="M43" s="342">
        <v>0.47599999999999998</v>
      </c>
    </row>
    <row r="44" spans="1:13">
      <c r="A44" t="s">
        <v>9</v>
      </c>
      <c r="B44">
        <v>5.17</v>
      </c>
      <c r="C44">
        <v>4.82</v>
      </c>
      <c r="D44">
        <v>5.18</v>
      </c>
      <c r="E44">
        <v>5.07</v>
      </c>
      <c r="F44">
        <v>4.4000000000000004</v>
      </c>
      <c r="G44">
        <v>4.91</v>
      </c>
      <c r="H44">
        <v>4.99</v>
      </c>
      <c r="I44">
        <v>5.12</v>
      </c>
      <c r="J44">
        <v>5.23</v>
      </c>
      <c r="K44">
        <v>5.44</v>
      </c>
      <c r="L44">
        <v>4.8600000000000003</v>
      </c>
      <c r="M44">
        <v>5.42</v>
      </c>
    </row>
    <row r="45" spans="1:13">
      <c r="A45" t="s">
        <v>8</v>
      </c>
      <c r="B45">
        <v>6.52</v>
      </c>
      <c r="C45">
        <v>6.01</v>
      </c>
      <c r="D45">
        <v>6.52</v>
      </c>
      <c r="E45">
        <v>7.28</v>
      </c>
      <c r="F45">
        <v>6.14</v>
      </c>
      <c r="G45">
        <v>6.78</v>
      </c>
      <c r="H45">
        <v>6.47</v>
      </c>
      <c r="I45">
        <v>5.9</v>
      </c>
      <c r="J45">
        <v>6.5</v>
      </c>
      <c r="K45">
        <v>5.92</v>
      </c>
      <c r="L45">
        <v>6.02</v>
      </c>
      <c r="M45">
        <v>6.32</v>
      </c>
    </row>
    <row r="46" spans="1:13">
      <c r="A46" t="s">
        <v>10</v>
      </c>
      <c r="B46">
        <v>22.12</v>
      </c>
      <c r="C46">
        <v>9.98</v>
      </c>
      <c r="D46">
        <v>15.02</v>
      </c>
      <c r="E46">
        <v>21.83</v>
      </c>
      <c r="F46">
        <v>8.7799999999999994</v>
      </c>
      <c r="G46">
        <v>14.36</v>
      </c>
      <c r="H46">
        <v>22.48</v>
      </c>
      <c r="I46">
        <v>10.9</v>
      </c>
      <c r="J46">
        <v>15.59</v>
      </c>
      <c r="K46">
        <v>22.12</v>
      </c>
      <c r="L46">
        <v>10.11</v>
      </c>
      <c r="M46">
        <v>15.13</v>
      </c>
    </row>
    <row r="47" spans="1:13">
      <c r="A47" t="s">
        <v>1621</v>
      </c>
      <c r="B47" s="342">
        <v>0.30199999999999999</v>
      </c>
      <c r="C47" s="342">
        <v>0.27400000000000002</v>
      </c>
      <c r="D47" s="342">
        <v>0.28000000000000003</v>
      </c>
      <c r="E47" s="342">
        <v>0.28899999999999998</v>
      </c>
      <c r="F47" s="342">
        <v>0.27600000000000002</v>
      </c>
      <c r="G47" s="342">
        <v>0.28199999999999997</v>
      </c>
      <c r="H47" s="342">
        <v>0.31</v>
      </c>
      <c r="I47" s="342">
        <v>0.27300000000000002</v>
      </c>
      <c r="J47" s="342">
        <v>0.28100000000000003</v>
      </c>
      <c r="K47" s="342">
        <v>0.307</v>
      </c>
      <c r="L47" s="342">
        <v>0.27300000000000002</v>
      </c>
      <c r="M47" s="342">
        <v>0.27700000000000002</v>
      </c>
    </row>
    <row r="49" spans="1:13">
      <c r="A49" t="s">
        <v>2813</v>
      </c>
    </row>
    <row r="51" spans="1:13">
      <c r="A51" t="s">
        <v>158</v>
      </c>
      <c r="B51" t="s">
        <v>2806</v>
      </c>
      <c r="E51">
        <v>2017</v>
      </c>
      <c r="H51">
        <v>2018</v>
      </c>
      <c r="K51">
        <v>2019</v>
      </c>
    </row>
    <row r="52" spans="1:13">
      <c r="B52" t="s">
        <v>1623</v>
      </c>
      <c r="C52" t="s">
        <v>1624</v>
      </c>
      <c r="D52" t="s">
        <v>1622</v>
      </c>
      <c r="E52" t="s">
        <v>1623</v>
      </c>
      <c r="F52" t="s">
        <v>1624</v>
      </c>
      <c r="G52" t="s">
        <v>1622</v>
      </c>
      <c r="H52" t="s">
        <v>1623</v>
      </c>
      <c r="I52" t="s">
        <v>1624</v>
      </c>
      <c r="J52" t="s">
        <v>1622</v>
      </c>
      <c r="K52" t="s">
        <v>1623</v>
      </c>
      <c r="L52" t="s">
        <v>1624</v>
      </c>
      <c r="M52" t="s">
        <v>1622</v>
      </c>
    </row>
    <row r="53" spans="1:13">
      <c r="A53" t="s">
        <v>2807</v>
      </c>
      <c r="B53" s="342">
        <v>0.66300000000000003</v>
      </c>
      <c r="C53" s="342">
        <v>0.85099999999999998</v>
      </c>
      <c r="D53" s="342">
        <v>0.78700000000000003</v>
      </c>
      <c r="E53" s="342">
        <v>0.70099999999999996</v>
      </c>
      <c r="F53" s="342">
        <v>0.86</v>
      </c>
      <c r="G53" s="342">
        <v>0.78200000000000003</v>
      </c>
      <c r="H53" s="342">
        <v>0.64</v>
      </c>
      <c r="I53" s="342">
        <v>0.86</v>
      </c>
      <c r="J53" s="342">
        <v>0.79</v>
      </c>
      <c r="K53" s="342">
        <v>0.61</v>
      </c>
      <c r="L53" s="342">
        <v>0.83899999999999997</v>
      </c>
      <c r="M53" s="342">
        <v>0.78900000000000003</v>
      </c>
    </row>
    <row r="54" spans="1:13">
      <c r="A54" t="s">
        <v>1618</v>
      </c>
      <c r="B54" s="342">
        <v>0.16400000000000001</v>
      </c>
      <c r="C54" s="342">
        <v>0.126</v>
      </c>
      <c r="D54" s="342">
        <v>0.13900000000000001</v>
      </c>
      <c r="E54" s="342">
        <v>0.14000000000000001</v>
      </c>
      <c r="F54" s="342">
        <v>0.11700000000000001</v>
      </c>
      <c r="G54" s="342">
        <v>0.13500000000000001</v>
      </c>
      <c r="H54" s="342">
        <v>0.17599999999999999</v>
      </c>
      <c r="I54" s="342">
        <v>0.11799999999999999</v>
      </c>
      <c r="J54" s="342">
        <v>0.13600000000000001</v>
      </c>
      <c r="K54" s="342">
        <v>0.20100000000000001</v>
      </c>
      <c r="L54" s="342">
        <v>0.13700000000000001</v>
      </c>
      <c r="M54" s="342">
        <v>0.14599999999999999</v>
      </c>
    </row>
    <row r="55" spans="1:13">
      <c r="A55" t="s">
        <v>1619</v>
      </c>
      <c r="B55" s="342">
        <v>0.01</v>
      </c>
      <c r="C55" s="342">
        <v>1.0999999999999999E-2</v>
      </c>
      <c r="D55" s="342">
        <v>1.0999999999999999E-2</v>
      </c>
      <c r="E55" s="342">
        <v>6.0000000000000001E-3</v>
      </c>
      <c r="F55" s="342">
        <v>5.0000000000000001E-3</v>
      </c>
      <c r="G55" s="342">
        <v>5.0000000000000001E-3</v>
      </c>
      <c r="H55" s="342">
        <v>1.2999999999999999E-2</v>
      </c>
      <c r="I55" s="342">
        <v>1.2999999999999999E-2</v>
      </c>
      <c r="J55" s="342">
        <v>1.2999999999999999E-2</v>
      </c>
      <c r="K55" s="342">
        <v>1.4999999999999999E-2</v>
      </c>
      <c r="L55" s="342">
        <v>1.2999999999999999E-2</v>
      </c>
      <c r="M55" s="342">
        <v>1.4E-2</v>
      </c>
    </row>
    <row r="56" spans="1:13">
      <c r="A56" t="s">
        <v>1620</v>
      </c>
      <c r="B56" s="342">
        <v>0.68899999999999995</v>
      </c>
      <c r="C56" s="342">
        <v>1.0189999999999999</v>
      </c>
      <c r="D56" s="342">
        <v>0.88600000000000001</v>
      </c>
      <c r="E56" s="342">
        <v>0.751</v>
      </c>
      <c r="F56" s="342">
        <v>1.071</v>
      </c>
      <c r="G56" s="342">
        <v>0.90100000000000002</v>
      </c>
      <c r="H56" s="342">
        <v>0.71</v>
      </c>
      <c r="I56" s="342">
        <v>1.0629999999999999</v>
      </c>
      <c r="J56" s="342">
        <v>0.90500000000000003</v>
      </c>
      <c r="K56" s="342">
        <v>0.57199999999999995</v>
      </c>
      <c r="L56" s="342">
        <v>0.96199999999999997</v>
      </c>
      <c r="M56" s="342">
        <v>0.85399999999999998</v>
      </c>
    </row>
    <row r="57" spans="1:13">
      <c r="A57" t="s">
        <v>2808</v>
      </c>
      <c r="B57" s="342">
        <v>0.35099999999999998</v>
      </c>
      <c r="C57" s="342">
        <v>0.38500000000000001</v>
      </c>
      <c r="D57" s="342">
        <v>0.379</v>
      </c>
      <c r="E57" s="342">
        <v>0.35799999999999998</v>
      </c>
      <c r="F57" s="342">
        <v>0.376</v>
      </c>
      <c r="G57" s="342">
        <v>0.375</v>
      </c>
      <c r="H57" s="342">
        <v>0.36</v>
      </c>
      <c r="I57" s="342">
        <v>0.38400000000000001</v>
      </c>
      <c r="J57" s="342">
        <v>0.378</v>
      </c>
      <c r="K57" s="342">
        <v>0.33</v>
      </c>
      <c r="L57" s="342">
        <v>0.39</v>
      </c>
      <c r="M57" s="342">
        <v>0.38500000000000001</v>
      </c>
    </row>
    <row r="58" spans="1:13">
      <c r="A58" t="s">
        <v>2809</v>
      </c>
      <c r="B58" s="342">
        <v>4.1000000000000002E-2</v>
      </c>
      <c r="C58" s="342">
        <v>2.5999999999999999E-2</v>
      </c>
      <c r="D58" s="342">
        <v>0.03</v>
      </c>
      <c r="E58" s="342">
        <v>4.5999999999999999E-2</v>
      </c>
      <c r="F58" s="342">
        <v>2.1000000000000001E-2</v>
      </c>
      <c r="G58" s="342">
        <v>0.03</v>
      </c>
      <c r="H58" s="342">
        <v>3.7999999999999999E-2</v>
      </c>
      <c r="I58" s="342">
        <v>1.7999999999999999E-2</v>
      </c>
      <c r="J58" s="342">
        <v>2.9000000000000001E-2</v>
      </c>
      <c r="K58" s="342">
        <v>3.4000000000000002E-2</v>
      </c>
      <c r="L58" s="342">
        <v>3.4000000000000002E-2</v>
      </c>
      <c r="M58" s="342">
        <v>3.1E-2</v>
      </c>
    </row>
    <row r="59" spans="1:13">
      <c r="A59" t="s">
        <v>2810</v>
      </c>
      <c r="B59" s="342">
        <v>0.56799999999999995</v>
      </c>
      <c r="C59" s="342">
        <v>0.40300000000000002</v>
      </c>
      <c r="D59" s="342">
        <v>0.46200000000000002</v>
      </c>
      <c r="E59" s="342">
        <v>0.53900000000000003</v>
      </c>
      <c r="F59" s="342">
        <v>0.371</v>
      </c>
      <c r="G59" s="342">
        <v>0.44900000000000001</v>
      </c>
      <c r="H59" s="342">
        <v>0.56000000000000005</v>
      </c>
      <c r="I59" s="342">
        <v>0.378</v>
      </c>
      <c r="J59" s="342">
        <v>0.44900000000000001</v>
      </c>
      <c r="K59" s="342">
        <v>0.63700000000000001</v>
      </c>
      <c r="L59" s="342">
        <v>0.441</v>
      </c>
      <c r="M59" s="342">
        <v>0.48699999999999999</v>
      </c>
    </row>
    <row r="60" spans="1:13">
      <c r="A60" t="s">
        <v>9</v>
      </c>
      <c r="B60">
        <v>4.93</v>
      </c>
      <c r="C60">
        <v>5.51</v>
      </c>
      <c r="D60">
        <v>5.36</v>
      </c>
      <c r="E60">
        <v>5.0199999999999996</v>
      </c>
      <c r="F60">
        <v>5.49</v>
      </c>
      <c r="G60">
        <v>5.25</v>
      </c>
      <c r="H60">
        <v>4.88</v>
      </c>
      <c r="I60">
        <v>5.45</v>
      </c>
      <c r="J60">
        <v>5.38</v>
      </c>
      <c r="K60">
        <v>4.8099999999999996</v>
      </c>
      <c r="L60">
        <v>5.58</v>
      </c>
      <c r="M60">
        <v>5.45</v>
      </c>
    </row>
    <row r="61" spans="1:13">
      <c r="A61" t="s">
        <v>8</v>
      </c>
      <c r="B61">
        <v>8.35</v>
      </c>
      <c r="C61">
        <v>8</v>
      </c>
      <c r="D61">
        <v>7.89</v>
      </c>
      <c r="E61">
        <v>9.2899999999999991</v>
      </c>
      <c r="F61">
        <v>8.1</v>
      </c>
      <c r="G61">
        <v>8.25</v>
      </c>
      <c r="H61">
        <v>8.7200000000000006</v>
      </c>
      <c r="I61">
        <v>8.26</v>
      </c>
      <c r="J61">
        <v>8.08</v>
      </c>
      <c r="K61">
        <v>6.63</v>
      </c>
      <c r="L61">
        <v>7.78</v>
      </c>
      <c r="M61">
        <v>7.4</v>
      </c>
    </row>
    <row r="62" spans="1:13">
      <c r="A62" t="s">
        <v>10</v>
      </c>
      <c r="B62">
        <v>15.95</v>
      </c>
      <c r="C62">
        <v>9.7899999999999991</v>
      </c>
      <c r="D62">
        <v>11.51</v>
      </c>
      <c r="E62">
        <v>14.99</v>
      </c>
      <c r="F62">
        <v>9.08</v>
      </c>
      <c r="G62">
        <v>11.18</v>
      </c>
      <c r="H62">
        <v>16.71</v>
      </c>
      <c r="I62">
        <v>9.6199999999999992</v>
      </c>
      <c r="J62">
        <v>11.6</v>
      </c>
      <c r="K62">
        <v>17.34</v>
      </c>
      <c r="L62">
        <v>10.45</v>
      </c>
      <c r="M62">
        <v>11.73</v>
      </c>
    </row>
    <row r="63" spans="1:13">
      <c r="A63" t="s">
        <v>1621</v>
      </c>
      <c r="B63" s="342">
        <v>0.26</v>
      </c>
      <c r="C63" s="342">
        <v>0.20399999999999999</v>
      </c>
      <c r="D63" s="342">
        <v>0.22600000000000001</v>
      </c>
      <c r="E63" s="342">
        <v>0.24</v>
      </c>
      <c r="F63" s="342">
        <v>0.19500000000000001</v>
      </c>
      <c r="G63" s="342">
        <v>0.222</v>
      </c>
      <c r="H63" s="342">
        <v>0.26</v>
      </c>
      <c r="I63" s="342">
        <v>0.20100000000000001</v>
      </c>
      <c r="J63" s="342">
        <v>0.223</v>
      </c>
      <c r="K63" s="342">
        <v>0.30099999999999999</v>
      </c>
      <c r="L63" s="342">
        <v>0.21199999999999999</v>
      </c>
      <c r="M63" s="342">
        <v>0.23400000000000001</v>
      </c>
    </row>
    <row r="65" spans="1:13">
      <c r="A65" t="s">
        <v>2814</v>
      </c>
    </row>
    <row r="67" spans="1:13">
      <c r="A67" t="s">
        <v>158</v>
      </c>
      <c r="B67" t="s">
        <v>2806</v>
      </c>
      <c r="E67">
        <v>2017</v>
      </c>
      <c r="H67">
        <v>2018</v>
      </c>
      <c r="K67">
        <v>2019</v>
      </c>
    </row>
    <row r="68" spans="1:13">
      <c r="B68" t="s">
        <v>1623</v>
      </c>
      <c r="C68" t="s">
        <v>1624</v>
      </c>
      <c r="D68" t="s">
        <v>1622</v>
      </c>
      <c r="E68" t="s">
        <v>1623</v>
      </c>
      <c r="F68" t="s">
        <v>1624</v>
      </c>
      <c r="G68" t="s">
        <v>1622</v>
      </c>
      <c r="H68" t="s">
        <v>1623</v>
      </c>
      <c r="I68" t="s">
        <v>1624</v>
      </c>
      <c r="J68" t="s">
        <v>1622</v>
      </c>
      <c r="K68" t="s">
        <v>1623</v>
      </c>
      <c r="L68" t="s">
        <v>1624</v>
      </c>
      <c r="M68" t="s">
        <v>1622</v>
      </c>
    </row>
    <row r="69" spans="1:13">
      <c r="A69" t="s">
        <v>2807</v>
      </c>
      <c r="B69" s="342">
        <v>0.36199999999999999</v>
      </c>
      <c r="C69" s="342">
        <v>0.71</v>
      </c>
      <c r="D69" s="342">
        <v>0.60499999999999998</v>
      </c>
      <c r="E69" s="342">
        <v>0.29599999999999999</v>
      </c>
      <c r="F69" s="342">
        <v>0.72799999999999998</v>
      </c>
      <c r="G69" s="342">
        <v>0.61</v>
      </c>
      <c r="H69" s="342">
        <v>0.38900000000000001</v>
      </c>
      <c r="I69" s="342">
        <v>0.72</v>
      </c>
      <c r="J69" s="342">
        <v>0.61</v>
      </c>
      <c r="K69" s="342">
        <v>0.38200000000000001</v>
      </c>
      <c r="L69" s="342">
        <v>0.67600000000000005</v>
      </c>
      <c r="M69" s="342">
        <v>0.59499999999999997</v>
      </c>
    </row>
    <row r="70" spans="1:13">
      <c r="A70" t="s">
        <v>1618</v>
      </c>
      <c r="B70" s="342">
        <v>0.38900000000000001</v>
      </c>
      <c r="C70" s="342">
        <v>0.27300000000000002</v>
      </c>
      <c r="D70" s="342">
        <v>0.30499999999999999</v>
      </c>
      <c r="E70" s="342">
        <v>0.44</v>
      </c>
      <c r="F70" s="342">
        <v>0.253</v>
      </c>
      <c r="G70" s="342">
        <v>0.30299999999999999</v>
      </c>
      <c r="H70" s="342">
        <v>0.36899999999999999</v>
      </c>
      <c r="I70" s="342">
        <v>0.26500000000000001</v>
      </c>
      <c r="J70" s="342">
        <v>0.30099999999999999</v>
      </c>
      <c r="K70" s="342">
        <v>0.374</v>
      </c>
      <c r="L70" s="342">
        <v>0.30599999999999999</v>
      </c>
      <c r="M70" s="342">
        <v>0.312</v>
      </c>
    </row>
    <row r="71" spans="1:13">
      <c r="A71" t="s">
        <v>1619</v>
      </c>
      <c r="B71" s="342">
        <v>2.5999999999999999E-2</v>
      </c>
      <c r="C71" s="342">
        <v>1.0999999999999999E-2</v>
      </c>
      <c r="D71" s="342">
        <v>1.7999999999999999E-2</v>
      </c>
      <c r="E71" s="342">
        <v>1.7000000000000001E-2</v>
      </c>
      <c r="F71" s="342">
        <v>8.0000000000000002E-3</v>
      </c>
      <c r="G71" s="342">
        <v>1.2999999999999999E-2</v>
      </c>
      <c r="H71" s="342">
        <v>2.8000000000000001E-2</v>
      </c>
      <c r="I71" s="342">
        <v>1.0999999999999999E-2</v>
      </c>
      <c r="J71" s="342">
        <v>1.9E-2</v>
      </c>
      <c r="K71" s="342">
        <v>0.03</v>
      </c>
      <c r="L71" s="342">
        <v>1.4E-2</v>
      </c>
      <c r="M71" s="342">
        <v>2.1999999999999999E-2</v>
      </c>
    </row>
    <row r="72" spans="1:13">
      <c r="A72" t="s">
        <v>1620</v>
      </c>
      <c r="B72" s="342">
        <v>0.59799999999999998</v>
      </c>
      <c r="C72" s="342">
        <v>1.504</v>
      </c>
      <c r="D72" s="342">
        <v>0.94399999999999995</v>
      </c>
      <c r="E72" s="342">
        <v>0.58199999999999996</v>
      </c>
      <c r="F72" s="342">
        <v>1.5569999999999999</v>
      </c>
      <c r="G72" s="342">
        <v>0.96899999999999997</v>
      </c>
      <c r="H72" s="342">
        <v>0.624</v>
      </c>
      <c r="I72" s="342">
        <v>1.5129999999999999</v>
      </c>
      <c r="J72" s="342">
        <v>0.97199999999999998</v>
      </c>
      <c r="K72" s="342">
        <v>0.58499999999999996</v>
      </c>
      <c r="L72" s="342">
        <v>1.4339999999999999</v>
      </c>
      <c r="M72" s="342">
        <v>0.89700000000000002</v>
      </c>
    </row>
    <row r="73" spans="1:13">
      <c r="A73" t="s">
        <v>2808</v>
      </c>
      <c r="B73" s="342">
        <v>0.222</v>
      </c>
      <c r="C73" s="342">
        <v>0.20599999999999999</v>
      </c>
      <c r="D73" s="342">
        <v>0.20399999999999999</v>
      </c>
      <c r="E73" s="342">
        <v>0.22900000000000001</v>
      </c>
      <c r="F73" s="342">
        <v>0.20100000000000001</v>
      </c>
      <c r="G73" s="342">
        <v>0.20100000000000001</v>
      </c>
      <c r="H73" s="342">
        <v>0.219</v>
      </c>
      <c r="I73" s="342">
        <v>0.17599999999999999</v>
      </c>
      <c r="J73" s="342">
        <v>0.2</v>
      </c>
      <c r="K73" s="342">
        <v>0.219</v>
      </c>
      <c r="L73" s="342">
        <v>0.246</v>
      </c>
      <c r="M73" s="342">
        <v>0.21</v>
      </c>
    </row>
    <row r="74" spans="1:13">
      <c r="A74" t="s">
        <v>2809</v>
      </c>
      <c r="B74" s="342">
        <v>4.9000000000000002E-2</v>
      </c>
      <c r="C74" s="342">
        <v>4.9000000000000002E-2</v>
      </c>
      <c r="D74" s="342">
        <v>7.2999999999999995E-2</v>
      </c>
      <c r="E74" s="342">
        <v>4.8000000000000001E-2</v>
      </c>
      <c r="F74" s="342">
        <v>4.7E-2</v>
      </c>
      <c r="G74" s="342">
        <v>7.2999999999999995E-2</v>
      </c>
      <c r="H74" s="342">
        <v>5.6000000000000001E-2</v>
      </c>
      <c r="I74" s="342">
        <v>3.7999999999999999E-2</v>
      </c>
      <c r="J74" s="342">
        <v>7.8E-2</v>
      </c>
      <c r="K74" s="342">
        <v>4.2000000000000003E-2</v>
      </c>
      <c r="L74" s="342">
        <v>6.4000000000000001E-2</v>
      </c>
      <c r="M74" s="342">
        <v>6.9000000000000006E-2</v>
      </c>
    </row>
    <row r="75" spans="1:13">
      <c r="A75" t="s">
        <v>2810</v>
      </c>
      <c r="B75" s="342">
        <v>0.45200000000000001</v>
      </c>
      <c r="C75" s="342">
        <v>0.16900000000000001</v>
      </c>
      <c r="D75" s="342">
        <v>0.29399999999999998</v>
      </c>
      <c r="E75" s="342">
        <v>0.47699999999999998</v>
      </c>
      <c r="F75" s="342">
        <v>0.159</v>
      </c>
      <c r="G75" s="342">
        <v>0.28299999999999997</v>
      </c>
      <c r="H75" s="342">
        <v>0.441</v>
      </c>
      <c r="I75" s="342">
        <v>0.14099999999999999</v>
      </c>
      <c r="J75" s="342">
        <v>0.28599999999999998</v>
      </c>
      <c r="K75" s="342">
        <v>0.44700000000000001</v>
      </c>
      <c r="L75" s="342">
        <v>0.216</v>
      </c>
      <c r="M75" s="342">
        <v>0.311</v>
      </c>
    </row>
    <row r="76" spans="1:13">
      <c r="A76" t="s">
        <v>9</v>
      </c>
      <c r="B76">
        <v>7.35</v>
      </c>
      <c r="C76">
        <v>6.22</v>
      </c>
      <c r="D76">
        <v>6.44</v>
      </c>
      <c r="E76">
        <v>7.29</v>
      </c>
      <c r="F76">
        <v>5.56</v>
      </c>
      <c r="G76">
        <v>6</v>
      </c>
      <c r="H76">
        <v>7.47</v>
      </c>
      <c r="I76">
        <v>6.38</v>
      </c>
      <c r="J76">
        <v>6.67</v>
      </c>
      <c r="K76">
        <v>7.27</v>
      </c>
      <c r="L76">
        <v>7.01</v>
      </c>
      <c r="M76">
        <v>6.64</v>
      </c>
    </row>
    <row r="77" spans="1:13">
      <c r="A77" t="s">
        <v>8</v>
      </c>
      <c r="B77">
        <v>61.37</v>
      </c>
      <c r="C77">
        <v>35.590000000000003</v>
      </c>
      <c r="D77">
        <v>39.93</v>
      </c>
      <c r="E77">
        <v>55.6</v>
      </c>
      <c r="F77">
        <v>36.229999999999997</v>
      </c>
      <c r="G77">
        <v>38.32</v>
      </c>
      <c r="H77">
        <v>64.91</v>
      </c>
      <c r="I77">
        <v>39.32</v>
      </c>
      <c r="J77">
        <v>40.82</v>
      </c>
      <c r="K77">
        <v>62.45</v>
      </c>
      <c r="L77">
        <v>31.33</v>
      </c>
      <c r="M77">
        <v>40.6</v>
      </c>
    </row>
    <row r="78" spans="1:13">
      <c r="A78" t="s">
        <v>10</v>
      </c>
      <c r="B78">
        <v>39.71</v>
      </c>
      <c r="C78">
        <v>11.48</v>
      </c>
      <c r="D78">
        <v>15.09</v>
      </c>
      <c r="E78">
        <v>45.52</v>
      </c>
      <c r="F78">
        <v>8.98</v>
      </c>
      <c r="G78">
        <v>13.07</v>
      </c>
      <c r="H78">
        <v>38.07</v>
      </c>
      <c r="I78">
        <v>12.86</v>
      </c>
      <c r="J78">
        <v>15.96</v>
      </c>
      <c r="K78">
        <v>38</v>
      </c>
      <c r="L78">
        <v>14.32</v>
      </c>
      <c r="M78">
        <v>16.510000000000002</v>
      </c>
    </row>
    <row r="79" spans="1:13">
      <c r="A79" t="s">
        <v>1621</v>
      </c>
      <c r="B79" s="342">
        <v>0.127</v>
      </c>
      <c r="C79" s="342">
        <v>0.10199999999999999</v>
      </c>
      <c r="D79" s="342">
        <v>0.114</v>
      </c>
      <c r="E79" s="342">
        <v>0.13300000000000001</v>
      </c>
      <c r="F79" s="342">
        <v>9.6000000000000002E-2</v>
      </c>
      <c r="G79" s="342">
        <v>0.11600000000000001</v>
      </c>
      <c r="H79" s="342">
        <v>0.123</v>
      </c>
      <c r="I79" s="342">
        <v>0.104</v>
      </c>
      <c r="J79" s="342">
        <v>0.112</v>
      </c>
      <c r="K79" s="342">
        <v>0.127</v>
      </c>
      <c r="L79" s="342">
        <v>0.105</v>
      </c>
      <c r="M79" s="342">
        <v>0.115</v>
      </c>
    </row>
    <row r="81" spans="1:13">
      <c r="A81" t="s">
        <v>2815</v>
      </c>
    </row>
    <row r="83" spans="1:13">
      <c r="A83" t="s">
        <v>158</v>
      </c>
      <c r="B83" t="s">
        <v>2806</v>
      </c>
      <c r="E83">
        <v>2017</v>
      </c>
      <c r="H83">
        <v>2018</v>
      </c>
      <c r="K83">
        <v>2019</v>
      </c>
    </row>
    <row r="84" spans="1:13">
      <c r="B84" t="s">
        <v>1623</v>
      </c>
      <c r="C84" t="s">
        <v>1624</v>
      </c>
      <c r="D84" t="s">
        <v>1622</v>
      </c>
      <c r="E84" t="s">
        <v>1623</v>
      </c>
      <c r="F84" t="s">
        <v>1624</v>
      </c>
      <c r="G84" t="s">
        <v>1622</v>
      </c>
      <c r="H84" t="s">
        <v>1623</v>
      </c>
      <c r="I84" t="s">
        <v>1624</v>
      </c>
      <c r="J84" t="s">
        <v>1622</v>
      </c>
      <c r="K84" t="s">
        <v>1623</v>
      </c>
      <c r="L84" t="s">
        <v>1624</v>
      </c>
      <c r="M84" t="s">
        <v>1622</v>
      </c>
    </row>
    <row r="85" spans="1:13">
      <c r="A85" t="s">
        <v>2807</v>
      </c>
      <c r="B85" s="342">
        <v>0.51900000000000002</v>
      </c>
      <c r="C85" s="342">
        <v>0.48799999999999999</v>
      </c>
      <c r="D85" s="342">
        <v>0.48799999999999999</v>
      </c>
      <c r="E85" s="342">
        <v>0.47899999999999998</v>
      </c>
      <c r="F85" s="342">
        <v>0.87</v>
      </c>
      <c r="G85" s="342">
        <v>0.745</v>
      </c>
      <c r="H85" s="342">
        <v>0.47899999999999998</v>
      </c>
      <c r="I85" s="342">
        <v>0.42699999999999999</v>
      </c>
      <c r="J85" s="342">
        <v>0.53800000000000003</v>
      </c>
      <c r="K85" s="342">
        <v>0.59799999999999998</v>
      </c>
      <c r="L85" s="342">
        <v>0.35199999999999998</v>
      </c>
      <c r="M85" s="342">
        <v>0.33700000000000002</v>
      </c>
    </row>
    <row r="86" spans="1:13">
      <c r="A86" t="s">
        <v>1618</v>
      </c>
      <c r="B86" s="342">
        <v>0.26500000000000001</v>
      </c>
      <c r="C86" s="342">
        <v>0.13500000000000001</v>
      </c>
      <c r="D86" s="342">
        <v>0.17399999999999999</v>
      </c>
      <c r="E86" s="342">
        <v>0.30399999999999999</v>
      </c>
      <c r="F86" s="342">
        <v>0.11</v>
      </c>
      <c r="G86" s="342">
        <v>0.17699999999999999</v>
      </c>
      <c r="H86" s="342">
        <v>0.28399999999999997</v>
      </c>
      <c r="I86" s="342">
        <v>0.121</v>
      </c>
      <c r="J86" s="342">
        <v>0.17</v>
      </c>
      <c r="K86" s="342">
        <v>0.20799999999999999</v>
      </c>
      <c r="L86" s="342">
        <v>0.161</v>
      </c>
      <c r="M86" s="342">
        <v>0.17599999999999999</v>
      </c>
    </row>
    <row r="87" spans="1:13">
      <c r="A87" t="s">
        <v>1619</v>
      </c>
      <c r="B87" s="342">
        <v>1.2E-2</v>
      </c>
      <c r="C87" s="342">
        <v>6.0000000000000001E-3</v>
      </c>
      <c r="D87" s="342">
        <v>8.9999999999999993E-3</v>
      </c>
      <c r="E87" s="342">
        <v>6.0000000000000001E-3</v>
      </c>
      <c r="F87" s="342">
        <v>5.0000000000000001E-3</v>
      </c>
      <c r="G87" s="342">
        <v>5.0000000000000001E-3</v>
      </c>
      <c r="H87" s="342">
        <v>1.7999999999999999E-2</v>
      </c>
      <c r="I87" s="342">
        <v>8.9999999999999993E-3</v>
      </c>
      <c r="J87" s="342">
        <v>1.4999999999999999E-2</v>
      </c>
      <c r="K87" s="342">
        <v>1.2E-2</v>
      </c>
      <c r="L87" s="342">
        <v>5.0000000000000001E-3</v>
      </c>
      <c r="M87" s="342">
        <v>7.0000000000000001E-3</v>
      </c>
    </row>
    <row r="88" spans="1:13">
      <c r="A88" t="s">
        <v>1620</v>
      </c>
      <c r="B88" s="342">
        <v>0.70299999999999996</v>
      </c>
      <c r="C88" s="342">
        <v>0.36199999999999999</v>
      </c>
      <c r="D88" s="342">
        <v>0.375</v>
      </c>
      <c r="E88" s="342">
        <v>1.119</v>
      </c>
      <c r="F88" s="342">
        <v>2.66</v>
      </c>
      <c r="G88" s="342">
        <v>1.4159999999999999</v>
      </c>
      <c r="H88" s="342">
        <v>0.58599999999999997</v>
      </c>
      <c r="I88" s="342">
        <v>0.39600000000000002</v>
      </c>
      <c r="J88" s="342">
        <v>0.498</v>
      </c>
      <c r="K88" s="342">
        <v>0.59499999999999997</v>
      </c>
      <c r="L88" s="342">
        <v>0.23799999999999999</v>
      </c>
      <c r="M88" s="342">
        <v>0.249</v>
      </c>
    </row>
    <row r="89" spans="1:13">
      <c r="A89" t="s">
        <v>2808</v>
      </c>
      <c r="B89" s="342">
        <v>0.35599999999999998</v>
      </c>
      <c r="C89" s="342">
        <v>0.13100000000000001</v>
      </c>
      <c r="D89" s="342">
        <v>0.159</v>
      </c>
      <c r="E89" s="342">
        <v>0.17499999999999999</v>
      </c>
      <c r="F89" s="342">
        <v>0.14899999999999999</v>
      </c>
      <c r="G89" s="342">
        <v>0.20300000000000001</v>
      </c>
      <c r="H89" s="342">
        <v>0.35899999999999999</v>
      </c>
      <c r="I89" s="342">
        <v>0.187</v>
      </c>
      <c r="J89" s="342">
        <v>0.24199999999999999</v>
      </c>
      <c r="K89" s="342">
        <v>0.45100000000000001</v>
      </c>
      <c r="L89" s="342">
        <v>9.8000000000000004E-2</v>
      </c>
      <c r="M89" s="342">
        <v>0.126</v>
      </c>
    </row>
    <row r="90" spans="1:13">
      <c r="A90" t="s">
        <v>2809</v>
      </c>
      <c r="B90" s="342">
        <v>5.3999999999999999E-2</v>
      </c>
      <c r="C90" s="342">
        <v>1E-3</v>
      </c>
      <c r="D90" s="342">
        <v>4.0000000000000001E-3</v>
      </c>
      <c r="E90" s="342">
        <v>8.3000000000000004E-2</v>
      </c>
      <c r="F90" s="342">
        <v>0</v>
      </c>
      <c r="G90" s="342">
        <v>2.1000000000000001E-2</v>
      </c>
      <c r="H90" s="342">
        <v>6.3E-2</v>
      </c>
      <c r="I90" s="342">
        <v>1E-3</v>
      </c>
      <c r="J90" s="342">
        <v>7.0000000000000001E-3</v>
      </c>
      <c r="K90" s="342">
        <v>2.8000000000000001E-2</v>
      </c>
      <c r="L90" s="342">
        <v>1E-3</v>
      </c>
      <c r="M90" s="342">
        <v>2E-3</v>
      </c>
    </row>
    <row r="91" spans="1:13">
      <c r="A91" t="s">
        <v>2810</v>
      </c>
      <c r="B91" s="342">
        <v>0.58299999999999996</v>
      </c>
      <c r="C91" s="342">
        <v>0.36199999999999999</v>
      </c>
      <c r="D91" s="342">
        <v>0.435</v>
      </c>
      <c r="E91" s="342">
        <v>0.23</v>
      </c>
      <c r="F91" s="342">
        <v>5.6000000000000001E-2</v>
      </c>
      <c r="G91" s="342">
        <v>0.158</v>
      </c>
      <c r="H91" s="342">
        <v>0.72099999999999997</v>
      </c>
      <c r="I91" s="342">
        <v>0.47299999999999998</v>
      </c>
      <c r="J91" s="342">
        <v>0.5</v>
      </c>
      <c r="K91" s="342">
        <v>0.80500000000000005</v>
      </c>
      <c r="L91" s="342">
        <v>0.41199999999999998</v>
      </c>
      <c r="M91" s="342">
        <v>0.51400000000000001</v>
      </c>
    </row>
    <row r="92" spans="1:13">
      <c r="A92" t="s">
        <v>9</v>
      </c>
      <c r="B92">
        <v>12.69</v>
      </c>
      <c r="C92">
        <v>23.46</v>
      </c>
      <c r="D92">
        <v>18.97</v>
      </c>
      <c r="E92">
        <v>24.77</v>
      </c>
      <c r="F92">
        <v>14.93</v>
      </c>
      <c r="G92">
        <v>17.86</v>
      </c>
      <c r="H92">
        <v>8.98</v>
      </c>
      <c r="I92">
        <v>23.88</v>
      </c>
      <c r="J92">
        <v>14.57</v>
      </c>
      <c r="K92">
        <v>11.64</v>
      </c>
      <c r="L92">
        <v>32.28</v>
      </c>
      <c r="M92">
        <v>25.02</v>
      </c>
    </row>
    <row r="93" spans="1:13">
      <c r="A93" t="s">
        <v>8</v>
      </c>
      <c r="B93">
        <v>12.58</v>
      </c>
      <c r="C93">
        <v>28.95</v>
      </c>
      <c r="D93">
        <v>14.41</v>
      </c>
      <c r="E93">
        <v>13.17</v>
      </c>
      <c r="F93">
        <v>39.69</v>
      </c>
      <c r="G93">
        <v>13.7</v>
      </c>
      <c r="H93">
        <v>12.3</v>
      </c>
      <c r="I93">
        <v>21.43</v>
      </c>
      <c r="J93">
        <v>9.66</v>
      </c>
      <c r="K93">
        <v>12.29</v>
      </c>
      <c r="L93">
        <v>36.020000000000003</v>
      </c>
      <c r="M93">
        <v>22.97</v>
      </c>
    </row>
    <row r="94" spans="1:13">
      <c r="A94" t="s">
        <v>10</v>
      </c>
      <c r="B94">
        <v>55.28</v>
      </c>
      <c r="C94">
        <v>58.31</v>
      </c>
      <c r="D94">
        <v>50.17</v>
      </c>
      <c r="E94">
        <v>30.01</v>
      </c>
      <c r="F94">
        <v>29.1</v>
      </c>
      <c r="G94">
        <v>31.76</v>
      </c>
      <c r="H94">
        <v>117.94</v>
      </c>
      <c r="I94">
        <v>90.36</v>
      </c>
      <c r="J94">
        <v>43.94</v>
      </c>
      <c r="K94">
        <v>82.8</v>
      </c>
      <c r="L94">
        <v>70.45</v>
      </c>
      <c r="M94">
        <v>78.75</v>
      </c>
    </row>
    <row r="95" spans="1:13">
      <c r="A95" t="s">
        <v>1621</v>
      </c>
      <c r="B95" s="342">
        <v>0.14000000000000001</v>
      </c>
      <c r="C95" s="342">
        <v>0.06</v>
      </c>
      <c r="D95" s="342">
        <v>0.10199999999999999</v>
      </c>
      <c r="E95" s="342">
        <v>8.3000000000000004E-2</v>
      </c>
      <c r="F95" s="342">
        <v>5.8000000000000003E-2</v>
      </c>
      <c r="G95" s="342">
        <v>9.7000000000000003E-2</v>
      </c>
      <c r="H95" s="342">
        <v>0.184</v>
      </c>
      <c r="I95" s="342">
        <v>7.6999999999999999E-2</v>
      </c>
      <c r="J95" s="342">
        <v>0.14899999999999999</v>
      </c>
      <c r="K95" s="342">
        <v>0.155</v>
      </c>
      <c r="L95" s="342">
        <v>4.4999999999999998E-2</v>
      </c>
      <c r="M95" s="342">
        <v>7.0999999999999994E-2</v>
      </c>
    </row>
    <row r="97" spans="1:13">
      <c r="A97" t="s">
        <v>2816</v>
      </c>
    </row>
    <row r="99" spans="1:13">
      <c r="A99" t="s">
        <v>158</v>
      </c>
      <c r="B99" t="s">
        <v>2806</v>
      </c>
      <c r="E99">
        <v>2017</v>
      </c>
      <c r="H99">
        <v>2018</v>
      </c>
      <c r="K99">
        <v>2019</v>
      </c>
    </row>
    <row r="100" spans="1:13">
      <c r="B100" t="s">
        <v>1623</v>
      </c>
      <c r="C100" t="s">
        <v>1624</v>
      </c>
      <c r="D100" t="s">
        <v>1622</v>
      </c>
      <c r="E100" t="s">
        <v>1623</v>
      </c>
      <c r="F100" t="s">
        <v>1624</v>
      </c>
      <c r="G100" t="s">
        <v>1622</v>
      </c>
      <c r="H100" t="s">
        <v>1623</v>
      </c>
      <c r="I100" t="s">
        <v>1624</v>
      </c>
      <c r="J100" t="s">
        <v>1622</v>
      </c>
      <c r="K100" t="s">
        <v>1623</v>
      </c>
      <c r="L100" t="s">
        <v>1624</v>
      </c>
      <c r="M100" t="s">
        <v>1622</v>
      </c>
    </row>
    <row r="101" spans="1:13">
      <c r="A101" t="s">
        <v>2807</v>
      </c>
      <c r="B101" s="342">
        <v>0.22900000000000001</v>
      </c>
      <c r="C101" s="342">
        <v>0.74399999999999999</v>
      </c>
      <c r="D101" s="342">
        <v>0.61599999999999999</v>
      </c>
      <c r="E101" s="342">
        <v>0</v>
      </c>
      <c r="F101" s="342">
        <v>0.64800000000000002</v>
      </c>
      <c r="G101" s="342">
        <v>0.62</v>
      </c>
      <c r="H101" s="342">
        <v>0.26800000000000002</v>
      </c>
      <c r="I101" s="342">
        <v>0.78200000000000003</v>
      </c>
      <c r="J101" s="342">
        <v>0.58399999999999996</v>
      </c>
      <c r="K101" s="342">
        <v>0</v>
      </c>
      <c r="L101" s="342">
        <v>0.75900000000000001</v>
      </c>
      <c r="M101" s="342">
        <v>0.64300000000000002</v>
      </c>
    </row>
    <row r="102" spans="1:13">
      <c r="A102" t="s">
        <v>1618</v>
      </c>
      <c r="B102" s="342">
        <v>0.24299999999999999</v>
      </c>
      <c r="C102" s="342">
        <v>0.23799999999999999</v>
      </c>
      <c r="D102" s="342">
        <v>0.24</v>
      </c>
      <c r="E102" s="342">
        <v>0.23899999999999999</v>
      </c>
      <c r="F102" s="342">
        <v>0.33900000000000002</v>
      </c>
      <c r="G102" s="342">
        <v>0.33500000000000002</v>
      </c>
      <c r="H102" s="342">
        <v>0.27200000000000002</v>
      </c>
      <c r="I102" s="342">
        <v>0.20300000000000001</v>
      </c>
      <c r="J102" s="342">
        <v>0.23</v>
      </c>
      <c r="K102" s="342">
        <v>1.4999999999999999E-2</v>
      </c>
      <c r="L102" s="342">
        <v>0.216</v>
      </c>
      <c r="M102" s="342">
        <v>0.217</v>
      </c>
    </row>
    <row r="103" spans="1:13">
      <c r="A103" t="s">
        <v>1619</v>
      </c>
      <c r="B103" s="342">
        <v>0</v>
      </c>
      <c r="C103" s="342">
        <v>5.0000000000000001E-3</v>
      </c>
      <c r="D103" s="342">
        <v>3.0000000000000001E-3</v>
      </c>
      <c r="E103" s="342">
        <v>0</v>
      </c>
      <c r="F103" s="342">
        <v>0</v>
      </c>
      <c r="G103" s="342">
        <v>0</v>
      </c>
      <c r="H103" s="342">
        <v>0</v>
      </c>
      <c r="I103" s="342">
        <v>8.0000000000000002E-3</v>
      </c>
      <c r="J103" s="342">
        <v>5.0000000000000001E-3</v>
      </c>
      <c r="K103" s="342">
        <v>0</v>
      </c>
      <c r="L103" s="342">
        <v>4.0000000000000001E-3</v>
      </c>
      <c r="M103" s="342">
        <v>2E-3</v>
      </c>
    </row>
    <row r="104" spans="1:13">
      <c r="A104" t="s">
        <v>1620</v>
      </c>
      <c r="B104" s="342">
        <v>6.3E-2</v>
      </c>
      <c r="C104" s="342">
        <v>0.82199999999999995</v>
      </c>
      <c r="D104" s="342">
        <v>0.17</v>
      </c>
      <c r="E104" s="342">
        <v>2.1999999999999999E-2</v>
      </c>
      <c r="F104" s="342">
        <v>0.51800000000000002</v>
      </c>
      <c r="G104" s="342">
        <v>0.26300000000000001</v>
      </c>
      <c r="H104" s="342">
        <v>6.9000000000000006E-2</v>
      </c>
      <c r="I104" s="342">
        <v>0.90500000000000003</v>
      </c>
      <c r="J104" s="342">
        <v>0.16</v>
      </c>
      <c r="K104" s="342">
        <v>6.0999999999999999E-2</v>
      </c>
      <c r="L104" s="342">
        <v>1.048</v>
      </c>
      <c r="M104" s="342">
        <v>0.161</v>
      </c>
    </row>
    <row r="105" spans="1:13">
      <c r="A105" t="s">
        <v>2808</v>
      </c>
      <c r="B105" s="342">
        <v>0.61799999999999999</v>
      </c>
      <c r="C105" s="342">
        <v>1.2999999999999999E-2</v>
      </c>
      <c r="D105" s="342">
        <v>0.55000000000000004</v>
      </c>
      <c r="E105" s="342">
        <v>8.8999999999999996E-2</v>
      </c>
      <c r="F105" s="342">
        <v>1.7999999999999999E-2</v>
      </c>
      <c r="G105" s="342">
        <v>5.3999999999999999E-2</v>
      </c>
      <c r="H105" s="342">
        <v>0.66</v>
      </c>
      <c r="I105" s="342">
        <v>1.0999999999999999E-2</v>
      </c>
      <c r="J105" s="342">
        <v>0.58899999999999997</v>
      </c>
      <c r="K105" s="342">
        <v>0.8</v>
      </c>
      <c r="L105" s="342">
        <v>1.2E-2</v>
      </c>
      <c r="M105" s="342">
        <v>0.61199999999999999</v>
      </c>
    </row>
    <row r="106" spans="1:13">
      <c r="A106" t="s">
        <v>2809</v>
      </c>
      <c r="B106" s="342">
        <v>0</v>
      </c>
      <c r="C106" s="342">
        <v>0</v>
      </c>
      <c r="D106" s="342">
        <v>0</v>
      </c>
      <c r="E106" s="342">
        <v>0</v>
      </c>
      <c r="F106" s="342">
        <v>0</v>
      </c>
      <c r="G106" s="342">
        <v>0</v>
      </c>
      <c r="H106" s="342">
        <v>0</v>
      </c>
      <c r="I106" s="342">
        <v>0</v>
      </c>
      <c r="J106" s="342">
        <v>0</v>
      </c>
      <c r="K106" s="342">
        <v>0</v>
      </c>
      <c r="L106" s="342">
        <v>0</v>
      </c>
      <c r="M106" s="342">
        <v>0</v>
      </c>
    </row>
    <row r="107" spans="1:13">
      <c r="A107" t="s">
        <v>2810</v>
      </c>
      <c r="B107" s="342">
        <v>9.7449999999999992</v>
      </c>
      <c r="C107" s="342">
        <v>1.6E-2</v>
      </c>
      <c r="D107" s="342">
        <v>3.2330000000000001</v>
      </c>
      <c r="E107" s="342">
        <v>3.9929999999999999</v>
      </c>
      <c r="F107" s="342">
        <v>3.4000000000000002E-2</v>
      </c>
      <c r="G107" s="342">
        <v>0.20699999999999999</v>
      </c>
      <c r="H107" s="342">
        <v>9.5549999999999997</v>
      </c>
      <c r="I107" s="342">
        <v>1.2E-2</v>
      </c>
      <c r="J107" s="342">
        <v>3.6880000000000002</v>
      </c>
      <c r="K107" s="342">
        <v>13.112</v>
      </c>
      <c r="L107" s="342">
        <v>1.0999999999999999E-2</v>
      </c>
      <c r="M107" s="342">
        <v>3.81</v>
      </c>
    </row>
    <row r="108" spans="1:13">
      <c r="A108" t="s">
        <v>9</v>
      </c>
      <c r="B108">
        <v>6.93</v>
      </c>
      <c r="C108" t="s">
        <v>1468</v>
      </c>
      <c r="D108">
        <v>38.54</v>
      </c>
      <c r="E108">
        <v>1</v>
      </c>
      <c r="F108" t="s">
        <v>1468</v>
      </c>
      <c r="G108">
        <v>22.99</v>
      </c>
      <c r="H108" t="s">
        <v>1468</v>
      </c>
      <c r="I108" t="s">
        <v>1468</v>
      </c>
      <c r="J108" t="s">
        <v>1468</v>
      </c>
      <c r="K108">
        <v>1</v>
      </c>
      <c r="L108" t="s">
        <v>1468</v>
      </c>
      <c r="M108">
        <v>23.2</v>
      </c>
    </row>
    <row r="109" spans="1:13">
      <c r="A109" t="s">
        <v>8</v>
      </c>
      <c r="B109">
        <v>1.28</v>
      </c>
      <c r="C109" t="s">
        <v>1468</v>
      </c>
      <c r="D109">
        <v>3.38</v>
      </c>
      <c r="E109" t="s">
        <v>1468</v>
      </c>
      <c r="F109" t="s">
        <v>1468</v>
      </c>
      <c r="G109" t="s">
        <v>1468</v>
      </c>
      <c r="H109">
        <v>1.0900000000000001</v>
      </c>
      <c r="I109" t="s">
        <v>1468</v>
      </c>
      <c r="J109">
        <v>2.83</v>
      </c>
      <c r="K109" t="s">
        <v>1468</v>
      </c>
      <c r="L109" t="s">
        <v>1468</v>
      </c>
      <c r="M109">
        <v>2.93</v>
      </c>
    </row>
    <row r="110" spans="1:13">
      <c r="A110" t="s">
        <v>10</v>
      </c>
      <c r="B110">
        <v>36.64</v>
      </c>
      <c r="C110" t="s">
        <v>1468</v>
      </c>
      <c r="D110">
        <v>101.86</v>
      </c>
      <c r="E110" t="s">
        <v>1468</v>
      </c>
      <c r="F110" t="s">
        <v>1468</v>
      </c>
      <c r="G110" t="s">
        <v>1468</v>
      </c>
      <c r="H110">
        <v>31.35</v>
      </c>
      <c r="I110" t="s">
        <v>1468</v>
      </c>
      <c r="J110">
        <v>81.37</v>
      </c>
      <c r="K110" t="s">
        <v>1468</v>
      </c>
      <c r="L110" t="s">
        <v>1468</v>
      </c>
      <c r="M110">
        <v>92.5</v>
      </c>
    </row>
    <row r="111" spans="1:13">
      <c r="A111" t="s">
        <v>1621</v>
      </c>
      <c r="B111" s="342">
        <v>0.90100000000000002</v>
      </c>
      <c r="C111" t="s">
        <v>1468</v>
      </c>
      <c r="D111" s="342">
        <v>0.312</v>
      </c>
      <c r="E111" t="s">
        <v>1468</v>
      </c>
      <c r="F111" t="s">
        <v>1468</v>
      </c>
      <c r="G111" t="s">
        <v>1468</v>
      </c>
      <c r="H111" t="s">
        <v>1468</v>
      </c>
      <c r="I111" t="s">
        <v>1468</v>
      </c>
      <c r="J111" t="s">
        <v>1468</v>
      </c>
      <c r="K111" t="s">
        <v>1468</v>
      </c>
      <c r="L111" t="s">
        <v>1468</v>
      </c>
      <c r="M111" s="342">
        <v>0.374</v>
      </c>
    </row>
    <row r="113" spans="1:13">
      <c r="A113" t="s">
        <v>2817</v>
      </c>
    </row>
    <row r="115" spans="1:13">
      <c r="A115" t="s">
        <v>158</v>
      </c>
      <c r="B115" t="s">
        <v>2806</v>
      </c>
      <c r="E115">
        <v>2017</v>
      </c>
      <c r="H115">
        <v>2018</v>
      </c>
      <c r="K115">
        <v>2019</v>
      </c>
    </row>
    <row r="116" spans="1:13">
      <c r="B116" t="s">
        <v>1623</v>
      </c>
      <c r="C116" t="s">
        <v>1624</v>
      </c>
      <c r="D116" t="s">
        <v>1622</v>
      </c>
      <c r="E116" t="s">
        <v>1623</v>
      </c>
      <c r="F116" t="s">
        <v>1624</v>
      </c>
      <c r="G116" t="s">
        <v>1622</v>
      </c>
      <c r="H116" t="s">
        <v>1623</v>
      </c>
      <c r="I116" t="s">
        <v>1624</v>
      </c>
      <c r="J116" t="s">
        <v>1622</v>
      </c>
      <c r="K116" t="s">
        <v>1623</v>
      </c>
      <c r="L116" t="s">
        <v>1624</v>
      </c>
      <c r="M116" t="s">
        <v>1622</v>
      </c>
    </row>
    <row r="117" spans="1:13">
      <c r="A117" t="s">
        <v>2807</v>
      </c>
      <c r="B117" s="342">
        <v>0.72499999999999998</v>
      </c>
      <c r="C117" s="342">
        <v>0.85799999999999998</v>
      </c>
      <c r="D117" s="342">
        <v>0.82699999999999996</v>
      </c>
      <c r="E117" s="342">
        <v>0.73599999999999999</v>
      </c>
      <c r="F117" s="342">
        <v>0.85899999999999999</v>
      </c>
      <c r="G117" s="342">
        <v>0.82299999999999995</v>
      </c>
      <c r="H117" s="342">
        <v>0.72599999999999998</v>
      </c>
      <c r="I117" s="342">
        <v>0.86599999999999999</v>
      </c>
      <c r="J117" s="342">
        <v>0.83599999999999997</v>
      </c>
      <c r="K117" s="342">
        <v>0.69199999999999995</v>
      </c>
      <c r="L117" s="342">
        <v>0.84599999999999997</v>
      </c>
      <c r="M117" s="342">
        <v>0.82099999999999995</v>
      </c>
    </row>
    <row r="118" spans="1:13">
      <c r="A118" t="s">
        <v>1618</v>
      </c>
      <c r="B118" s="342">
        <v>0.13700000000000001</v>
      </c>
      <c r="C118" s="342">
        <v>0.12</v>
      </c>
      <c r="D118" s="342">
        <v>0.121</v>
      </c>
      <c r="E118" s="342">
        <v>0.13400000000000001</v>
      </c>
      <c r="F118" s="342">
        <v>0.12</v>
      </c>
      <c r="G118" s="342">
        <v>0.121</v>
      </c>
      <c r="H118" s="342">
        <v>0.13400000000000001</v>
      </c>
      <c r="I118" s="342">
        <v>0.111</v>
      </c>
      <c r="J118" s="342">
        <v>0.113</v>
      </c>
      <c r="K118" s="342">
        <v>0.155</v>
      </c>
      <c r="L118" s="342">
        <v>0.13300000000000001</v>
      </c>
      <c r="M118" s="342">
        <v>0.13100000000000001</v>
      </c>
    </row>
    <row r="119" spans="1:13">
      <c r="A119" t="s">
        <v>1619</v>
      </c>
      <c r="B119" s="342">
        <v>1.7999999999999999E-2</v>
      </c>
      <c r="C119" s="342">
        <v>0.01</v>
      </c>
      <c r="D119" s="342">
        <v>1.2E-2</v>
      </c>
      <c r="E119" s="342">
        <v>5.0000000000000001E-3</v>
      </c>
      <c r="F119" s="342">
        <v>4.0000000000000001E-3</v>
      </c>
      <c r="G119" s="342">
        <v>5.0000000000000001E-3</v>
      </c>
      <c r="H119" s="342">
        <v>2.7E-2</v>
      </c>
      <c r="I119" s="342">
        <v>0.01</v>
      </c>
      <c r="J119" s="342">
        <v>1.4E-2</v>
      </c>
      <c r="K119" s="342">
        <v>2.7E-2</v>
      </c>
      <c r="L119" s="342">
        <v>1.4999999999999999E-2</v>
      </c>
      <c r="M119" s="342">
        <v>1.7000000000000001E-2</v>
      </c>
    </row>
    <row r="120" spans="1:13">
      <c r="A120" t="s">
        <v>1620</v>
      </c>
      <c r="B120" s="342">
        <v>0.60499999999999998</v>
      </c>
      <c r="C120" s="342">
        <v>1.375</v>
      </c>
      <c r="D120" s="342">
        <v>1.05</v>
      </c>
      <c r="E120" s="342">
        <v>0.63</v>
      </c>
      <c r="F120" s="342">
        <v>1.444</v>
      </c>
      <c r="G120" s="342">
        <v>1.0740000000000001</v>
      </c>
      <c r="H120" s="342">
        <v>0.59199999999999997</v>
      </c>
      <c r="I120" s="342">
        <v>1.4630000000000001</v>
      </c>
      <c r="J120" s="342">
        <v>1.123</v>
      </c>
      <c r="K120" s="342">
        <v>0.57999999999999996</v>
      </c>
      <c r="L120" s="342">
        <v>1.222</v>
      </c>
      <c r="M120" s="342">
        <v>0.94899999999999995</v>
      </c>
    </row>
    <row r="121" spans="1:13">
      <c r="A121" t="s">
        <v>2808</v>
      </c>
      <c r="B121" s="342">
        <v>0.47599999999999998</v>
      </c>
      <c r="C121" s="342">
        <v>0.41599999999999998</v>
      </c>
      <c r="D121" s="342">
        <v>0.435</v>
      </c>
      <c r="E121" s="342">
        <v>0.49199999999999999</v>
      </c>
      <c r="F121" s="342">
        <v>0.40100000000000002</v>
      </c>
      <c r="G121" s="342">
        <v>0.43</v>
      </c>
      <c r="H121" s="342">
        <v>0.46300000000000002</v>
      </c>
      <c r="I121" s="342">
        <v>0.40699999999999997</v>
      </c>
      <c r="J121" s="342">
        <v>0.43099999999999999</v>
      </c>
      <c r="K121" s="342">
        <v>0.46800000000000003</v>
      </c>
      <c r="L121" s="342">
        <v>0.438</v>
      </c>
      <c r="M121" s="342">
        <v>0.44500000000000001</v>
      </c>
    </row>
    <row r="122" spans="1:13">
      <c r="A122" t="s">
        <v>2809</v>
      </c>
      <c r="B122" s="342">
        <v>1.2E-2</v>
      </c>
      <c r="C122" s="342">
        <v>1.2999999999999999E-2</v>
      </c>
      <c r="D122" s="342">
        <v>1.2999999999999999E-2</v>
      </c>
      <c r="E122" s="342">
        <v>1.2999999999999999E-2</v>
      </c>
      <c r="F122" s="342">
        <v>8.9999999999999993E-3</v>
      </c>
      <c r="G122" s="342">
        <v>1.2999999999999999E-2</v>
      </c>
      <c r="H122" s="342">
        <v>1.4E-2</v>
      </c>
      <c r="I122" s="342">
        <v>1.4999999999999999E-2</v>
      </c>
      <c r="J122" s="342">
        <v>1.2999999999999999E-2</v>
      </c>
      <c r="K122" s="342">
        <v>7.0000000000000001E-3</v>
      </c>
      <c r="L122" s="342">
        <v>1.4999999999999999E-2</v>
      </c>
      <c r="M122" s="342">
        <v>1.2E-2</v>
      </c>
    </row>
    <row r="123" spans="1:13">
      <c r="A123" t="s">
        <v>2810</v>
      </c>
      <c r="B123" s="342">
        <v>0.80700000000000005</v>
      </c>
      <c r="C123" s="342">
        <v>0.312</v>
      </c>
      <c r="D123" s="342">
        <v>0.42599999999999999</v>
      </c>
      <c r="E123" s="342">
        <v>0.80200000000000005</v>
      </c>
      <c r="F123" s="342">
        <v>0.28399999999999997</v>
      </c>
      <c r="G123" s="342">
        <v>0.41199999999999998</v>
      </c>
      <c r="H123" s="342">
        <v>0.80700000000000005</v>
      </c>
      <c r="I123" s="342">
        <v>0.28799999999999998</v>
      </c>
      <c r="J123" s="342">
        <v>0.39500000000000002</v>
      </c>
      <c r="K123" s="342">
        <v>0.81799999999999995</v>
      </c>
      <c r="L123" s="342">
        <v>0.371</v>
      </c>
      <c r="M123" s="342">
        <v>0.48199999999999998</v>
      </c>
    </row>
    <row r="124" spans="1:13">
      <c r="A124" t="s">
        <v>9</v>
      </c>
      <c r="B124">
        <v>6.36</v>
      </c>
      <c r="C124">
        <v>6.88</v>
      </c>
      <c r="D124">
        <v>6.62</v>
      </c>
      <c r="E124">
        <v>6.35</v>
      </c>
      <c r="F124">
        <v>7.35</v>
      </c>
      <c r="G124">
        <v>6.2</v>
      </c>
      <c r="H124">
        <v>6.42</v>
      </c>
      <c r="I124">
        <v>7.01</v>
      </c>
      <c r="J124">
        <v>6.92</v>
      </c>
      <c r="K124">
        <v>6.25</v>
      </c>
      <c r="L124">
        <v>6.36</v>
      </c>
      <c r="M124">
        <v>6.76</v>
      </c>
    </row>
    <row r="125" spans="1:13">
      <c r="A125" t="s">
        <v>8</v>
      </c>
      <c r="B125">
        <v>13.15</v>
      </c>
      <c r="C125">
        <v>8.3000000000000007</v>
      </c>
      <c r="D125">
        <v>9.32</v>
      </c>
      <c r="E125">
        <v>14.85</v>
      </c>
      <c r="F125">
        <v>8.17</v>
      </c>
      <c r="G125">
        <v>9.81</v>
      </c>
      <c r="H125">
        <v>12.42</v>
      </c>
      <c r="I125">
        <v>8.68</v>
      </c>
      <c r="J125">
        <v>9.5399999999999991</v>
      </c>
      <c r="K125">
        <v>11.45</v>
      </c>
      <c r="L125">
        <v>7.91</v>
      </c>
      <c r="M125">
        <v>8.58</v>
      </c>
    </row>
    <row r="126" spans="1:13">
      <c r="A126" t="s">
        <v>10</v>
      </c>
      <c r="B126">
        <v>15.05</v>
      </c>
      <c r="C126">
        <v>8.94</v>
      </c>
      <c r="D126">
        <v>10.210000000000001</v>
      </c>
      <c r="E126">
        <v>14.83</v>
      </c>
      <c r="F126">
        <v>9.02</v>
      </c>
      <c r="G126">
        <v>9.1999999999999993</v>
      </c>
      <c r="H126">
        <v>14.7</v>
      </c>
      <c r="I126">
        <v>9.1300000000000008</v>
      </c>
      <c r="J126">
        <v>10.77</v>
      </c>
      <c r="K126">
        <v>16.649999999999999</v>
      </c>
      <c r="L126">
        <v>8.64</v>
      </c>
      <c r="M126">
        <v>10.82</v>
      </c>
    </row>
    <row r="127" spans="1:13">
      <c r="A127" t="s">
        <v>1621</v>
      </c>
      <c r="B127" s="342">
        <v>0.16700000000000001</v>
      </c>
      <c r="C127" s="342">
        <v>0.154</v>
      </c>
      <c r="D127" s="342">
        <v>0.16</v>
      </c>
      <c r="E127" s="342">
        <v>0.157</v>
      </c>
      <c r="F127" s="342">
        <v>0.14799999999999999</v>
      </c>
      <c r="G127" s="342">
        <v>0.155</v>
      </c>
      <c r="H127" s="342">
        <v>0.16800000000000001</v>
      </c>
      <c r="I127" s="342">
        <v>0.14799999999999999</v>
      </c>
      <c r="J127" s="342">
        <v>0.157</v>
      </c>
      <c r="K127" s="342">
        <v>0.187</v>
      </c>
      <c r="L127" s="342">
        <v>0.16800000000000001</v>
      </c>
      <c r="M127" s="342">
        <v>0.17199999999999999</v>
      </c>
    </row>
    <row r="129" spans="1:13">
      <c r="A129" t="s">
        <v>2818</v>
      </c>
    </row>
    <row r="131" spans="1:13">
      <c r="A131" t="s">
        <v>158</v>
      </c>
      <c r="B131" t="s">
        <v>2806</v>
      </c>
      <c r="E131">
        <v>2017</v>
      </c>
      <c r="H131">
        <v>2018</v>
      </c>
      <c r="K131">
        <v>2019</v>
      </c>
    </row>
    <row r="132" spans="1:13">
      <c r="B132" t="s">
        <v>1623</v>
      </c>
      <c r="C132" t="s">
        <v>1624</v>
      </c>
      <c r="D132" t="s">
        <v>1622</v>
      </c>
      <c r="E132" t="s">
        <v>1623</v>
      </c>
      <c r="F132" t="s">
        <v>1624</v>
      </c>
      <c r="G132" t="s">
        <v>1622</v>
      </c>
      <c r="H132" t="s">
        <v>1623</v>
      </c>
      <c r="I132" t="s">
        <v>1624</v>
      </c>
      <c r="J132" t="s">
        <v>1622</v>
      </c>
      <c r="K132" t="s">
        <v>1623</v>
      </c>
      <c r="L132" t="s">
        <v>1624</v>
      </c>
      <c r="M132" t="s">
        <v>1622</v>
      </c>
    </row>
    <row r="133" spans="1:13">
      <c r="A133" t="s">
        <v>2807</v>
      </c>
      <c r="B133" s="342">
        <v>0.432</v>
      </c>
      <c r="C133" s="342">
        <v>0.77300000000000002</v>
      </c>
      <c r="D133" s="342">
        <v>0.57899999999999996</v>
      </c>
      <c r="E133" s="342">
        <v>0.376</v>
      </c>
      <c r="F133" s="342">
        <v>0.754</v>
      </c>
      <c r="G133" s="342">
        <v>0.57299999999999995</v>
      </c>
      <c r="H133" s="342">
        <v>0.48499999999999999</v>
      </c>
      <c r="I133" s="342">
        <v>0.78700000000000003</v>
      </c>
      <c r="J133" s="342">
        <v>0.58499999999999996</v>
      </c>
      <c r="K133" s="342">
        <v>0.442</v>
      </c>
      <c r="L133" s="342">
        <v>0.77800000000000002</v>
      </c>
      <c r="M133" s="342">
        <v>0.57799999999999996</v>
      </c>
    </row>
    <row r="134" spans="1:13">
      <c r="A134" t="s">
        <v>1618</v>
      </c>
      <c r="B134" s="342">
        <v>0.373</v>
      </c>
      <c r="C134" s="342">
        <v>0.20799999999999999</v>
      </c>
      <c r="D134" s="342">
        <v>0.30599999999999999</v>
      </c>
      <c r="E134" s="342">
        <v>0.438</v>
      </c>
      <c r="F134" s="342">
        <v>0.22500000000000001</v>
      </c>
      <c r="G134" s="342">
        <v>0.312</v>
      </c>
      <c r="H134" s="342">
        <v>0.312</v>
      </c>
      <c r="I134" s="342">
        <v>0.19400000000000001</v>
      </c>
      <c r="J134" s="342">
        <v>0.29799999999999999</v>
      </c>
      <c r="K134" s="342">
        <v>0.36099999999999999</v>
      </c>
      <c r="L134" s="342">
        <v>0.20599999999999999</v>
      </c>
      <c r="M134" s="342">
        <v>0.309</v>
      </c>
    </row>
    <row r="135" spans="1:13">
      <c r="A135" t="s">
        <v>1619</v>
      </c>
      <c r="B135" s="342">
        <v>1.0999999999999999E-2</v>
      </c>
      <c r="C135" s="342">
        <v>8.0000000000000002E-3</v>
      </c>
      <c r="D135" s="342">
        <v>1.2E-2</v>
      </c>
      <c r="E135" s="342">
        <v>1.2999999999999999E-2</v>
      </c>
      <c r="F135" s="342">
        <v>6.0000000000000001E-3</v>
      </c>
      <c r="G135" s="342">
        <v>8.9999999999999993E-3</v>
      </c>
      <c r="H135" s="342">
        <v>7.0000000000000001E-3</v>
      </c>
      <c r="I135" s="342">
        <v>8.0000000000000002E-3</v>
      </c>
      <c r="J135" s="342">
        <v>1.2E-2</v>
      </c>
      <c r="K135" s="342">
        <v>1.2E-2</v>
      </c>
      <c r="L135" s="342">
        <v>0.01</v>
      </c>
      <c r="M135" s="342">
        <v>1.6E-2</v>
      </c>
    </row>
    <row r="136" spans="1:13">
      <c r="A136" t="s">
        <v>1620</v>
      </c>
      <c r="B136" s="342">
        <v>1.028</v>
      </c>
      <c r="C136" s="342">
        <v>0.88600000000000001</v>
      </c>
      <c r="D136" s="342">
        <v>0.95</v>
      </c>
      <c r="E136" s="342">
        <v>0.95799999999999996</v>
      </c>
      <c r="F136" s="342">
        <v>0.93899999999999995</v>
      </c>
      <c r="G136" s="342">
        <v>0.94799999999999995</v>
      </c>
      <c r="H136" s="342">
        <v>1.0680000000000001</v>
      </c>
      <c r="I136" s="342">
        <v>0.83599999999999997</v>
      </c>
      <c r="J136" s="342">
        <v>0.96799999999999997</v>
      </c>
      <c r="K136" s="342">
        <v>1.075</v>
      </c>
      <c r="L136" s="342">
        <v>0.89300000000000002</v>
      </c>
      <c r="M136" s="342">
        <v>0.93500000000000005</v>
      </c>
    </row>
    <row r="137" spans="1:13">
      <c r="A137" t="s">
        <v>2808</v>
      </c>
      <c r="B137" s="342">
        <v>0.32100000000000001</v>
      </c>
      <c r="C137" s="342">
        <v>0.32800000000000001</v>
      </c>
      <c r="D137" s="342">
        <v>0.38400000000000001</v>
      </c>
      <c r="E137" s="342">
        <v>0.34499999999999997</v>
      </c>
      <c r="F137" s="342">
        <v>0.32700000000000001</v>
      </c>
      <c r="G137" s="342">
        <v>0.38100000000000001</v>
      </c>
      <c r="H137" s="342">
        <v>0.32900000000000001</v>
      </c>
      <c r="I137" s="342">
        <v>0.28299999999999997</v>
      </c>
      <c r="J137" s="342">
        <v>0.38300000000000001</v>
      </c>
      <c r="K137" s="342">
        <v>0.28199999999999997</v>
      </c>
      <c r="L137" s="342">
        <v>0.379</v>
      </c>
      <c r="M137" s="342">
        <v>0.38700000000000001</v>
      </c>
    </row>
    <row r="138" spans="1:13">
      <c r="A138" t="s">
        <v>2809</v>
      </c>
      <c r="B138" s="342">
        <v>2.8000000000000001E-2</v>
      </c>
      <c r="C138" s="342">
        <v>8.9999999999999993E-3</v>
      </c>
      <c r="D138" s="342">
        <v>2.1999999999999999E-2</v>
      </c>
      <c r="E138" s="342">
        <v>3.5000000000000003E-2</v>
      </c>
      <c r="F138" s="342">
        <v>1.0999999999999999E-2</v>
      </c>
      <c r="G138" s="342">
        <v>2.4E-2</v>
      </c>
      <c r="H138" s="342">
        <v>2.3E-2</v>
      </c>
      <c r="I138" s="342">
        <v>8.0000000000000002E-3</v>
      </c>
      <c r="J138" s="342">
        <v>2.3E-2</v>
      </c>
      <c r="K138" s="342">
        <v>2.4E-2</v>
      </c>
      <c r="L138" s="342">
        <v>8.9999999999999993E-3</v>
      </c>
      <c r="M138" s="342">
        <v>2.1000000000000001E-2</v>
      </c>
    </row>
    <row r="139" spans="1:13">
      <c r="A139" t="s">
        <v>2810</v>
      </c>
      <c r="B139" s="342">
        <v>0.34</v>
      </c>
      <c r="C139" s="342">
        <v>0.38</v>
      </c>
      <c r="D139" s="342">
        <v>0.42799999999999999</v>
      </c>
      <c r="E139" s="342">
        <v>0.39600000000000002</v>
      </c>
      <c r="F139" s="342">
        <v>0.36</v>
      </c>
      <c r="G139" s="342">
        <v>0.42699999999999999</v>
      </c>
      <c r="H139" s="342">
        <v>0.33</v>
      </c>
      <c r="I139" s="342">
        <v>0.34699999999999998</v>
      </c>
      <c r="J139" s="342">
        <v>0.41899999999999998</v>
      </c>
      <c r="K139" s="342">
        <v>0.28499999999999998</v>
      </c>
      <c r="L139" s="342">
        <v>0.434</v>
      </c>
      <c r="M139" s="342">
        <v>0.437</v>
      </c>
    </row>
    <row r="140" spans="1:13">
      <c r="A140" t="s">
        <v>9</v>
      </c>
      <c r="B140">
        <v>9.6300000000000008</v>
      </c>
      <c r="C140">
        <v>5.67</v>
      </c>
      <c r="D140">
        <v>7.58</v>
      </c>
      <c r="E140">
        <v>9.68</v>
      </c>
      <c r="F140">
        <v>5.45</v>
      </c>
      <c r="G140">
        <v>7.32</v>
      </c>
      <c r="H140">
        <v>9.44</v>
      </c>
      <c r="I140">
        <v>5.23</v>
      </c>
      <c r="J140">
        <v>7.68</v>
      </c>
      <c r="K140">
        <v>9.77</v>
      </c>
      <c r="L140">
        <v>6.49</v>
      </c>
      <c r="M140">
        <v>7.73</v>
      </c>
    </row>
    <row r="141" spans="1:13">
      <c r="A141" t="s">
        <v>8</v>
      </c>
      <c r="B141">
        <v>13.13</v>
      </c>
      <c r="C141">
        <v>7.02</v>
      </c>
      <c r="D141">
        <v>9.9700000000000006</v>
      </c>
      <c r="E141">
        <v>13.92</v>
      </c>
      <c r="F141">
        <v>7.4</v>
      </c>
      <c r="G141">
        <v>10.130000000000001</v>
      </c>
      <c r="H141">
        <v>12.35</v>
      </c>
      <c r="I141">
        <v>6.25</v>
      </c>
      <c r="J141">
        <v>9.6199999999999992</v>
      </c>
      <c r="K141">
        <v>13.11</v>
      </c>
      <c r="L141">
        <v>7.6</v>
      </c>
      <c r="M141">
        <v>10.18</v>
      </c>
    </row>
    <row r="142" spans="1:13">
      <c r="A142" t="s">
        <v>10</v>
      </c>
      <c r="B142">
        <v>25.69</v>
      </c>
      <c r="C142">
        <v>10.82</v>
      </c>
      <c r="D142">
        <v>17.54</v>
      </c>
      <c r="E142">
        <v>24.25</v>
      </c>
      <c r="F142">
        <v>9.11</v>
      </c>
      <c r="G142">
        <v>15.46</v>
      </c>
      <c r="H142">
        <v>27.94</v>
      </c>
      <c r="I142">
        <v>10.69</v>
      </c>
      <c r="J142">
        <v>19.05</v>
      </c>
      <c r="K142">
        <v>25.37</v>
      </c>
      <c r="L142">
        <v>13.51</v>
      </c>
      <c r="M142">
        <v>18.309999999999999</v>
      </c>
    </row>
    <row r="143" spans="1:13">
      <c r="A143" t="s">
        <v>1621</v>
      </c>
      <c r="B143" s="342">
        <v>0.14099999999999999</v>
      </c>
      <c r="C143" s="342">
        <v>0.22700000000000001</v>
      </c>
      <c r="D143" s="342">
        <v>0.17499999999999999</v>
      </c>
      <c r="E143" s="342">
        <v>0.13400000000000001</v>
      </c>
      <c r="F143" s="342">
        <v>0.20899999999999999</v>
      </c>
      <c r="G143" s="342">
        <v>0.17100000000000001</v>
      </c>
      <c r="H143" s="342">
        <v>0.151</v>
      </c>
      <c r="I143" s="342">
        <v>0.25800000000000001</v>
      </c>
      <c r="J143" s="342">
        <v>0.182</v>
      </c>
      <c r="K143" s="342">
        <v>0.13900000000000001</v>
      </c>
      <c r="L143" s="342">
        <v>0.21199999999999999</v>
      </c>
      <c r="M143" s="342">
        <v>0.17299999999999999</v>
      </c>
    </row>
    <row r="145" spans="1:13">
      <c r="A145" t="s">
        <v>2819</v>
      </c>
    </row>
    <row r="147" spans="1:13">
      <c r="A147" t="s">
        <v>158</v>
      </c>
      <c r="B147" t="s">
        <v>2806</v>
      </c>
      <c r="E147">
        <v>2017</v>
      </c>
      <c r="H147">
        <v>2018</v>
      </c>
      <c r="K147">
        <v>2019</v>
      </c>
    </row>
    <row r="148" spans="1:13">
      <c r="B148" t="s">
        <v>1623</v>
      </c>
      <c r="C148" t="s">
        <v>1624</v>
      </c>
      <c r="D148" t="s">
        <v>1622</v>
      </c>
      <c r="E148" t="s">
        <v>1623</v>
      </c>
      <c r="F148" t="s">
        <v>1624</v>
      </c>
      <c r="G148" t="s">
        <v>1622</v>
      </c>
      <c r="H148" t="s">
        <v>1623</v>
      </c>
      <c r="I148" t="s">
        <v>1624</v>
      </c>
      <c r="J148" t="s">
        <v>1622</v>
      </c>
      <c r="K148" t="s">
        <v>1623</v>
      </c>
      <c r="L148" t="s">
        <v>1624</v>
      </c>
      <c r="M148" t="s">
        <v>1622</v>
      </c>
    </row>
    <row r="149" spans="1:13">
      <c r="A149" t="s">
        <v>2807</v>
      </c>
      <c r="B149" s="342">
        <v>0.71899999999999997</v>
      </c>
      <c r="C149" s="342">
        <v>0.86599999999999999</v>
      </c>
      <c r="D149" s="342">
        <v>0.81200000000000006</v>
      </c>
      <c r="E149" s="342">
        <v>0.74299999999999999</v>
      </c>
      <c r="F149" s="342">
        <v>0.86599999999999999</v>
      </c>
      <c r="G149" s="342">
        <v>0.81399999999999995</v>
      </c>
      <c r="H149" s="342">
        <v>0.70699999999999996</v>
      </c>
      <c r="I149" s="342">
        <v>0.872</v>
      </c>
      <c r="J149" s="342">
        <v>0.81599999999999995</v>
      </c>
      <c r="K149" s="342">
        <v>0.70199999999999996</v>
      </c>
      <c r="L149" s="342">
        <v>0.86</v>
      </c>
      <c r="M149" s="342">
        <v>0.80600000000000005</v>
      </c>
    </row>
    <row r="150" spans="1:13">
      <c r="A150" t="s">
        <v>1618</v>
      </c>
      <c r="B150" s="342">
        <v>0.12</v>
      </c>
      <c r="C150" s="342">
        <v>0.112</v>
      </c>
      <c r="D150" s="342">
        <v>0.115</v>
      </c>
      <c r="E150" s="342">
        <v>0.111</v>
      </c>
      <c r="F150" s="342">
        <v>0.112</v>
      </c>
      <c r="G150" s="342">
        <v>0.114</v>
      </c>
      <c r="H150" s="342">
        <v>0.129</v>
      </c>
      <c r="I150" s="342">
        <v>0.106</v>
      </c>
      <c r="J150" s="342">
        <v>0.113</v>
      </c>
      <c r="K150" s="342">
        <v>0.123</v>
      </c>
      <c r="L150" s="342">
        <v>0.11799999999999999</v>
      </c>
      <c r="M150" s="342">
        <v>0.11899999999999999</v>
      </c>
    </row>
    <row r="151" spans="1:13">
      <c r="A151" t="s">
        <v>1619</v>
      </c>
      <c r="B151" s="342">
        <v>1.4E-2</v>
      </c>
      <c r="C151" s="342">
        <v>1.0999999999999999E-2</v>
      </c>
      <c r="D151" s="342">
        <v>1.2999999999999999E-2</v>
      </c>
      <c r="E151" s="342">
        <v>4.0000000000000001E-3</v>
      </c>
      <c r="F151" s="342">
        <v>6.0000000000000001E-3</v>
      </c>
      <c r="G151" s="342">
        <v>6.0000000000000001E-3</v>
      </c>
      <c r="H151" s="342">
        <v>2.1999999999999999E-2</v>
      </c>
      <c r="I151" s="342">
        <v>1.4E-2</v>
      </c>
      <c r="J151" s="342">
        <v>1.7000000000000001E-2</v>
      </c>
      <c r="K151" s="342">
        <v>1.9E-2</v>
      </c>
      <c r="L151" s="342">
        <v>1.4E-2</v>
      </c>
      <c r="M151" s="342">
        <v>1.7000000000000001E-2</v>
      </c>
    </row>
    <row r="152" spans="1:13">
      <c r="A152" t="s">
        <v>1620</v>
      </c>
      <c r="B152" s="342">
        <v>0.67</v>
      </c>
      <c r="C152" s="342">
        <v>1.07</v>
      </c>
      <c r="D152" s="342">
        <v>0.85499999999999998</v>
      </c>
      <c r="E152" s="342">
        <v>0.65700000000000003</v>
      </c>
      <c r="F152" s="342">
        <v>1.0569999999999999</v>
      </c>
      <c r="G152" s="342">
        <v>0.85699999999999998</v>
      </c>
      <c r="H152" s="342">
        <v>0.65900000000000003</v>
      </c>
      <c r="I152" s="342">
        <v>1.1200000000000001</v>
      </c>
      <c r="J152" s="342">
        <v>0.84799999999999998</v>
      </c>
      <c r="K152" s="342">
        <v>0.69699999999999995</v>
      </c>
      <c r="L152" s="342">
        <v>1.04</v>
      </c>
      <c r="M152" s="342">
        <v>0.85899999999999999</v>
      </c>
    </row>
    <row r="153" spans="1:13">
      <c r="A153" t="s">
        <v>2808</v>
      </c>
      <c r="B153" s="342">
        <v>0.40100000000000002</v>
      </c>
      <c r="C153" s="342">
        <v>0.33500000000000002</v>
      </c>
      <c r="D153" s="342">
        <v>0.38300000000000001</v>
      </c>
      <c r="E153" s="342">
        <v>0.39800000000000002</v>
      </c>
      <c r="F153" s="342">
        <v>0.307</v>
      </c>
      <c r="G153" s="342">
        <v>0.38100000000000001</v>
      </c>
      <c r="H153" s="342">
        <v>0.41299999999999998</v>
      </c>
      <c r="I153" s="342">
        <v>0.34300000000000003</v>
      </c>
      <c r="J153" s="342">
        <v>0.38800000000000001</v>
      </c>
      <c r="K153" s="342">
        <v>0.39300000000000002</v>
      </c>
      <c r="L153" s="342">
        <v>0.35499999999999998</v>
      </c>
      <c r="M153" s="342">
        <v>0.38</v>
      </c>
    </row>
    <row r="154" spans="1:13">
      <c r="A154" t="s">
        <v>2809</v>
      </c>
      <c r="B154" s="342">
        <v>3.5999999999999997E-2</v>
      </c>
      <c r="C154" s="342">
        <v>0.02</v>
      </c>
      <c r="D154" s="342">
        <v>2.4E-2</v>
      </c>
      <c r="E154" s="342">
        <v>3.1E-2</v>
      </c>
      <c r="F154" s="342">
        <v>2.4E-2</v>
      </c>
      <c r="G154" s="342">
        <v>2.4E-2</v>
      </c>
      <c r="H154" s="342">
        <v>0.04</v>
      </c>
      <c r="I154" s="342">
        <v>1.7999999999999999E-2</v>
      </c>
      <c r="J154" s="342">
        <v>2.3E-2</v>
      </c>
      <c r="K154" s="342">
        <v>0.04</v>
      </c>
      <c r="L154" s="342">
        <v>1.9E-2</v>
      </c>
      <c r="M154" s="342">
        <v>2.4E-2</v>
      </c>
    </row>
    <row r="155" spans="1:13">
      <c r="A155" t="s">
        <v>2810</v>
      </c>
      <c r="B155" s="342">
        <v>0.65300000000000002</v>
      </c>
      <c r="C155" s="342">
        <v>0.33200000000000002</v>
      </c>
      <c r="D155" s="342">
        <v>0.47599999999999998</v>
      </c>
      <c r="E155" s="342">
        <v>0.65200000000000002</v>
      </c>
      <c r="F155" s="342">
        <v>0.313</v>
      </c>
      <c r="G155" s="342">
        <v>0.47199999999999998</v>
      </c>
      <c r="H155" s="342">
        <v>0.68799999999999994</v>
      </c>
      <c r="I155" s="342">
        <v>0.32200000000000001</v>
      </c>
      <c r="J155" s="342">
        <v>0.48499999999999999</v>
      </c>
      <c r="K155" s="342">
        <v>0.62</v>
      </c>
      <c r="L155" s="342">
        <v>0.35899999999999999</v>
      </c>
      <c r="M155" s="342">
        <v>0.47</v>
      </c>
    </row>
    <row r="156" spans="1:13">
      <c r="A156" t="s">
        <v>9</v>
      </c>
      <c r="B156">
        <v>5.22</v>
      </c>
      <c r="C156">
        <v>5.07</v>
      </c>
      <c r="D156">
        <v>5.25</v>
      </c>
      <c r="E156">
        <v>5.22</v>
      </c>
      <c r="F156">
        <v>4.84</v>
      </c>
      <c r="G156">
        <v>5.09</v>
      </c>
      <c r="H156">
        <v>4.8899999999999997</v>
      </c>
      <c r="I156">
        <v>5.32</v>
      </c>
      <c r="J156">
        <v>5.36</v>
      </c>
      <c r="K156">
        <v>5.57</v>
      </c>
      <c r="L156">
        <v>5.08</v>
      </c>
      <c r="M156">
        <v>5.33</v>
      </c>
    </row>
    <row r="157" spans="1:13">
      <c r="A157" t="s">
        <v>8</v>
      </c>
      <c r="B157">
        <v>7.22</v>
      </c>
      <c r="C157">
        <v>7.78</v>
      </c>
      <c r="D157">
        <v>7.4</v>
      </c>
      <c r="E157">
        <v>9.11</v>
      </c>
      <c r="F157">
        <v>7.45</v>
      </c>
      <c r="G157">
        <v>7.74</v>
      </c>
      <c r="H157">
        <v>5.85</v>
      </c>
      <c r="I157">
        <v>7.9</v>
      </c>
      <c r="J157">
        <v>7.17</v>
      </c>
      <c r="K157">
        <v>6.94</v>
      </c>
      <c r="L157">
        <v>8.02</v>
      </c>
      <c r="M157">
        <v>7.3</v>
      </c>
    </row>
    <row r="158" spans="1:13">
      <c r="A158" t="s">
        <v>10</v>
      </c>
      <c r="B158">
        <v>12.64</v>
      </c>
      <c r="C158">
        <v>8.43</v>
      </c>
      <c r="D158">
        <v>10.49</v>
      </c>
      <c r="E158">
        <v>12.44</v>
      </c>
      <c r="F158">
        <v>7.56</v>
      </c>
      <c r="G158">
        <v>10.01</v>
      </c>
      <c r="H158">
        <v>11.78</v>
      </c>
      <c r="I158">
        <v>8.73</v>
      </c>
      <c r="J158">
        <v>10.59</v>
      </c>
      <c r="K158">
        <v>13.9</v>
      </c>
      <c r="L158">
        <v>9.15</v>
      </c>
      <c r="M158">
        <v>10.96</v>
      </c>
    </row>
    <row r="159" spans="1:13">
      <c r="A159" t="s">
        <v>1621</v>
      </c>
      <c r="B159" s="342">
        <v>0.251</v>
      </c>
      <c r="C159" s="342">
        <v>0.20699999999999999</v>
      </c>
      <c r="D159" s="342">
        <v>0.23</v>
      </c>
      <c r="E159" s="342">
        <v>0.221</v>
      </c>
      <c r="F159" s="342">
        <v>0.20799999999999999</v>
      </c>
      <c r="G159" s="342">
        <v>0.22600000000000001</v>
      </c>
      <c r="H159" s="342">
        <v>0.28999999999999998</v>
      </c>
      <c r="I159" s="342">
        <v>0.2</v>
      </c>
      <c r="J159" s="342">
        <v>0.23200000000000001</v>
      </c>
      <c r="K159" s="342">
        <v>0.252</v>
      </c>
      <c r="L159" s="342">
        <v>0.21199999999999999</v>
      </c>
      <c r="M159" s="342">
        <v>0.23300000000000001</v>
      </c>
    </row>
    <row r="161" spans="1:13">
      <c r="A161" t="s">
        <v>2820</v>
      </c>
    </row>
    <row r="163" spans="1:13">
      <c r="A163" t="s">
        <v>158</v>
      </c>
      <c r="B163" t="s">
        <v>2806</v>
      </c>
      <c r="E163">
        <v>2017</v>
      </c>
      <c r="H163">
        <v>2018</v>
      </c>
      <c r="K163">
        <v>2019</v>
      </c>
    </row>
    <row r="164" spans="1:13">
      <c r="B164" t="s">
        <v>1623</v>
      </c>
      <c r="C164" t="s">
        <v>1624</v>
      </c>
      <c r="D164" t="s">
        <v>1622</v>
      </c>
      <c r="E164" t="s">
        <v>1623</v>
      </c>
      <c r="F164" t="s">
        <v>1624</v>
      </c>
      <c r="G164" t="s">
        <v>1622</v>
      </c>
      <c r="H164" t="s">
        <v>1623</v>
      </c>
      <c r="I164" t="s">
        <v>1624</v>
      </c>
      <c r="J164" t="s">
        <v>1622</v>
      </c>
      <c r="K164" t="s">
        <v>1623</v>
      </c>
      <c r="L164" t="s">
        <v>1624</v>
      </c>
      <c r="M164" t="s">
        <v>1622</v>
      </c>
    </row>
    <row r="165" spans="1:13">
      <c r="A165" t="s">
        <v>2807</v>
      </c>
      <c r="B165" s="342">
        <v>0.34899999999999998</v>
      </c>
      <c r="C165" s="342">
        <v>0.71399999999999997</v>
      </c>
      <c r="D165" s="342">
        <v>0.57599999999999996</v>
      </c>
      <c r="E165" s="342">
        <v>0.27900000000000003</v>
      </c>
      <c r="F165" s="342">
        <v>0.7</v>
      </c>
      <c r="G165" s="342">
        <v>0.58599999999999997</v>
      </c>
      <c r="H165" s="342">
        <v>0.38800000000000001</v>
      </c>
      <c r="I165" s="342">
        <v>0.72299999999999998</v>
      </c>
      <c r="J165" s="342">
        <v>0.57899999999999996</v>
      </c>
      <c r="K165" s="342">
        <v>0.35699999999999998</v>
      </c>
      <c r="L165" s="342">
        <v>0.71799999999999997</v>
      </c>
      <c r="M165" s="342">
        <v>0.56299999999999994</v>
      </c>
    </row>
    <row r="166" spans="1:13">
      <c r="A166" t="s">
        <v>1618</v>
      </c>
      <c r="B166" s="342">
        <v>0.40799999999999997</v>
      </c>
      <c r="C166" s="342">
        <v>0.26900000000000002</v>
      </c>
      <c r="D166" s="342">
        <v>0.32300000000000001</v>
      </c>
      <c r="E166" s="342">
        <v>0.45300000000000001</v>
      </c>
      <c r="F166" s="342">
        <v>0.28399999999999997</v>
      </c>
      <c r="G166" s="342">
        <v>0.317</v>
      </c>
      <c r="H166" s="342">
        <v>0.374</v>
      </c>
      <c r="I166" s="342">
        <v>0.26100000000000001</v>
      </c>
      <c r="J166" s="342">
        <v>0.32100000000000001</v>
      </c>
      <c r="K166" s="342">
        <v>0.41099999999999998</v>
      </c>
      <c r="L166" s="342">
        <v>0.26300000000000001</v>
      </c>
      <c r="M166" s="342">
        <v>0.32900000000000001</v>
      </c>
    </row>
    <row r="167" spans="1:13">
      <c r="A167" t="s">
        <v>1619</v>
      </c>
      <c r="B167" s="342">
        <v>2.9000000000000001E-2</v>
      </c>
      <c r="C167" s="342">
        <v>0.01</v>
      </c>
      <c r="D167" s="342">
        <v>2.1000000000000001E-2</v>
      </c>
      <c r="E167" s="342">
        <v>2.3E-2</v>
      </c>
      <c r="F167" s="342">
        <v>8.0000000000000002E-3</v>
      </c>
      <c r="G167" s="342">
        <v>1.4E-2</v>
      </c>
      <c r="H167" s="342">
        <v>2.8000000000000001E-2</v>
      </c>
      <c r="I167" s="342">
        <v>0.01</v>
      </c>
      <c r="J167" s="342">
        <v>2.1000000000000001E-2</v>
      </c>
      <c r="K167" s="342">
        <v>3.4000000000000002E-2</v>
      </c>
      <c r="L167" s="342">
        <v>1.2999999999999999E-2</v>
      </c>
      <c r="M167" s="342">
        <v>2.5999999999999999E-2</v>
      </c>
    </row>
    <row r="168" spans="1:13">
      <c r="A168" t="s">
        <v>1620</v>
      </c>
      <c r="B168" s="342">
        <v>0.54800000000000004</v>
      </c>
      <c r="C168" s="342">
        <v>1.5349999999999999</v>
      </c>
      <c r="D168" s="342">
        <v>0.85799999999999998</v>
      </c>
      <c r="E168" s="342">
        <v>0.54700000000000004</v>
      </c>
      <c r="F168" s="342">
        <v>1.6910000000000001</v>
      </c>
      <c r="G168" s="342">
        <v>0.91100000000000003</v>
      </c>
      <c r="H168" s="342">
        <v>0.59899999999999998</v>
      </c>
      <c r="I168" s="342">
        <v>1.58</v>
      </c>
      <c r="J168" s="342">
        <v>0.90300000000000002</v>
      </c>
      <c r="K168" s="342">
        <v>0.50700000000000001</v>
      </c>
      <c r="L168" s="342">
        <v>1.369</v>
      </c>
      <c r="M168" s="342">
        <v>0.78</v>
      </c>
    </row>
    <row r="169" spans="1:13">
      <c r="A169" t="s">
        <v>2808</v>
      </c>
      <c r="B169" s="342">
        <v>0.193</v>
      </c>
      <c r="C169" s="342">
        <v>0.20300000000000001</v>
      </c>
      <c r="D169" s="342">
        <v>0.193</v>
      </c>
      <c r="E169" s="342">
        <v>0.21199999999999999</v>
      </c>
      <c r="F169" s="342">
        <v>0.155</v>
      </c>
      <c r="G169" s="342">
        <v>0.19</v>
      </c>
      <c r="H169" s="342">
        <v>0.192</v>
      </c>
      <c r="I169" s="342">
        <v>0.21199999999999999</v>
      </c>
      <c r="J169" s="342">
        <v>0.19600000000000001</v>
      </c>
      <c r="K169" s="342">
        <v>0.18099999999999999</v>
      </c>
      <c r="L169" s="342">
        <v>0.23200000000000001</v>
      </c>
      <c r="M169" s="342">
        <v>0.193</v>
      </c>
    </row>
    <row r="170" spans="1:13">
      <c r="A170" t="s">
        <v>2809</v>
      </c>
      <c r="B170" s="342">
        <v>7.0999999999999994E-2</v>
      </c>
      <c r="C170" s="342">
        <v>0.06</v>
      </c>
      <c r="D170" s="342">
        <v>0.08</v>
      </c>
      <c r="E170" s="342">
        <v>4.8000000000000001E-2</v>
      </c>
      <c r="F170" s="342">
        <v>6.4000000000000001E-2</v>
      </c>
      <c r="G170" s="342">
        <v>0.08</v>
      </c>
      <c r="H170" s="342">
        <v>5.5E-2</v>
      </c>
      <c r="I170" s="342">
        <v>5.0999999999999997E-2</v>
      </c>
      <c r="J170" s="342">
        <v>8.7999999999999995E-2</v>
      </c>
      <c r="K170" s="342">
        <v>9.8000000000000004E-2</v>
      </c>
      <c r="L170" s="342">
        <v>6.7000000000000004E-2</v>
      </c>
      <c r="M170" s="342">
        <v>7.1999999999999995E-2</v>
      </c>
    </row>
    <row r="171" spans="1:13">
      <c r="A171" t="s">
        <v>2810</v>
      </c>
      <c r="B171" s="342">
        <v>0.48199999999999998</v>
      </c>
      <c r="C171" s="342">
        <v>0.17199999999999999</v>
      </c>
      <c r="D171" s="342">
        <v>0.318</v>
      </c>
      <c r="E171" s="342">
        <v>0.47599999999999998</v>
      </c>
      <c r="F171" s="342">
        <v>0.13</v>
      </c>
      <c r="G171" s="342">
        <v>0.29699999999999999</v>
      </c>
      <c r="H171" s="342">
        <v>0.41299999999999998</v>
      </c>
      <c r="I171" s="342">
        <v>0.16700000000000001</v>
      </c>
      <c r="J171" s="342">
        <v>0.315</v>
      </c>
      <c r="K171" s="342">
        <v>0.55000000000000004</v>
      </c>
      <c r="L171" s="342">
        <v>0.218</v>
      </c>
      <c r="M171" s="342">
        <v>0.33900000000000002</v>
      </c>
    </row>
    <row r="172" spans="1:13">
      <c r="A172" t="s">
        <v>9</v>
      </c>
      <c r="B172">
        <v>7.2</v>
      </c>
      <c r="C172">
        <v>7.85</v>
      </c>
      <c r="D172">
        <v>6.88</v>
      </c>
      <c r="E172">
        <v>7.24</v>
      </c>
      <c r="F172">
        <v>7.53</v>
      </c>
      <c r="G172">
        <v>6.67</v>
      </c>
      <c r="H172">
        <v>7.06</v>
      </c>
      <c r="I172">
        <v>8.77</v>
      </c>
      <c r="J172">
        <v>7.12</v>
      </c>
      <c r="K172">
        <v>7.31</v>
      </c>
      <c r="L172">
        <v>7.27</v>
      </c>
      <c r="M172">
        <v>6.85</v>
      </c>
    </row>
    <row r="173" spans="1:13">
      <c r="A173" t="s">
        <v>8</v>
      </c>
      <c r="B173">
        <v>18.510000000000002</v>
      </c>
      <c r="C173">
        <v>26.92</v>
      </c>
      <c r="D173">
        <v>26.24</v>
      </c>
      <c r="E173">
        <v>17.32</v>
      </c>
      <c r="F173">
        <v>24.88</v>
      </c>
      <c r="G173">
        <v>26.89</v>
      </c>
      <c r="H173">
        <v>22.32</v>
      </c>
      <c r="I173">
        <v>29.92</v>
      </c>
      <c r="J173">
        <v>27.7</v>
      </c>
      <c r="K173">
        <v>16.61</v>
      </c>
      <c r="L173">
        <v>25.95</v>
      </c>
      <c r="M173">
        <v>24.45</v>
      </c>
    </row>
    <row r="174" spans="1:13">
      <c r="A174" t="s">
        <v>10</v>
      </c>
      <c r="B174">
        <v>41.01</v>
      </c>
      <c r="C174">
        <v>13.06</v>
      </c>
      <c r="D174">
        <v>17</v>
      </c>
      <c r="E174">
        <v>37.51</v>
      </c>
      <c r="F174">
        <v>13.14</v>
      </c>
      <c r="G174">
        <v>15.99</v>
      </c>
      <c r="H174">
        <v>38.85</v>
      </c>
      <c r="I174">
        <v>13.51</v>
      </c>
      <c r="J174">
        <v>17.059999999999999</v>
      </c>
      <c r="K174">
        <v>46.21</v>
      </c>
      <c r="L174">
        <v>12.51</v>
      </c>
      <c r="M174">
        <v>17.96</v>
      </c>
    </row>
    <row r="175" spans="1:13">
      <c r="A175" t="s">
        <v>1621</v>
      </c>
      <c r="B175" s="342">
        <v>0.16800000000000001</v>
      </c>
      <c r="C175" s="342">
        <v>8.7999999999999995E-2</v>
      </c>
      <c r="D175" s="342">
        <v>0.125</v>
      </c>
      <c r="E175" s="342">
        <v>0.16900000000000001</v>
      </c>
      <c r="F175" s="342">
        <v>9.7000000000000003E-2</v>
      </c>
      <c r="G175" s="342">
        <v>0.125</v>
      </c>
      <c r="H175" s="342">
        <v>0.161</v>
      </c>
      <c r="I175" s="342">
        <v>7.2999999999999995E-2</v>
      </c>
      <c r="J175" s="342">
        <v>0.11799999999999999</v>
      </c>
      <c r="K175" s="342">
        <v>0.17499999999999999</v>
      </c>
      <c r="L175" s="342">
        <v>9.6000000000000002E-2</v>
      </c>
      <c r="M175" s="342">
        <v>0.13100000000000001</v>
      </c>
    </row>
    <row r="177" spans="1:13">
      <c r="A177" t="s">
        <v>2821</v>
      </c>
    </row>
    <row r="179" spans="1:13">
      <c r="A179" t="s">
        <v>158</v>
      </c>
      <c r="B179" t="s">
        <v>2806</v>
      </c>
      <c r="E179">
        <v>2017</v>
      </c>
      <c r="H179">
        <v>2018</v>
      </c>
      <c r="K179">
        <v>2019</v>
      </c>
    </row>
    <row r="180" spans="1:13">
      <c r="B180" t="s">
        <v>1623</v>
      </c>
      <c r="C180" t="s">
        <v>1624</v>
      </c>
      <c r="D180" t="s">
        <v>1622</v>
      </c>
      <c r="E180" t="s">
        <v>1623</v>
      </c>
      <c r="F180" t="s">
        <v>1624</v>
      </c>
      <c r="G180" t="s">
        <v>1622</v>
      </c>
      <c r="H180" t="s">
        <v>1623</v>
      </c>
      <c r="I180" t="s">
        <v>1624</v>
      </c>
      <c r="J180" t="s">
        <v>1622</v>
      </c>
      <c r="K180" t="s">
        <v>1623</v>
      </c>
      <c r="L180" t="s">
        <v>1624</v>
      </c>
      <c r="M180" t="s">
        <v>1622</v>
      </c>
    </row>
    <row r="181" spans="1:13">
      <c r="A181" t="s">
        <v>2807</v>
      </c>
      <c r="B181" s="342">
        <v>0.69299999999999995</v>
      </c>
      <c r="C181" s="342">
        <v>0.90900000000000003</v>
      </c>
      <c r="D181" s="342">
        <v>0.872</v>
      </c>
      <c r="E181" s="342">
        <v>0.64500000000000002</v>
      </c>
      <c r="F181" s="342">
        <v>0.90200000000000002</v>
      </c>
      <c r="G181" s="342">
        <v>0.84199999999999997</v>
      </c>
      <c r="H181" s="342">
        <v>0.73399999999999999</v>
      </c>
      <c r="I181" s="342">
        <v>0.90400000000000003</v>
      </c>
      <c r="J181" s="342">
        <v>0.88400000000000001</v>
      </c>
      <c r="K181" s="342">
        <v>0.70799999999999996</v>
      </c>
      <c r="L181" s="342">
        <v>0.91300000000000003</v>
      </c>
      <c r="M181" s="342">
        <v>0.90400000000000003</v>
      </c>
    </row>
    <row r="182" spans="1:13">
      <c r="A182" t="s">
        <v>1618</v>
      </c>
      <c r="B182" s="342">
        <v>8.8999999999999996E-2</v>
      </c>
      <c r="C182" s="342">
        <v>7.1999999999999995E-2</v>
      </c>
      <c r="D182" s="342">
        <v>6.3E-2</v>
      </c>
      <c r="E182" s="342">
        <v>9.4E-2</v>
      </c>
      <c r="F182" s="342">
        <v>7.5999999999999998E-2</v>
      </c>
      <c r="G182" s="342">
        <v>7.0000000000000007E-2</v>
      </c>
      <c r="H182" s="342">
        <v>7.6999999999999999E-2</v>
      </c>
      <c r="I182" s="342">
        <v>7.9000000000000001E-2</v>
      </c>
      <c r="J182" s="342">
        <v>5.7000000000000002E-2</v>
      </c>
      <c r="K182" s="342">
        <v>0.115</v>
      </c>
      <c r="L182" s="342">
        <v>6.7000000000000004E-2</v>
      </c>
      <c r="M182" s="342">
        <v>6.0999999999999999E-2</v>
      </c>
    </row>
    <row r="183" spans="1:13">
      <c r="A183" t="s">
        <v>1619</v>
      </c>
      <c r="B183" s="342">
        <v>8.9999999999999993E-3</v>
      </c>
      <c r="C183" s="342">
        <v>4.0000000000000001E-3</v>
      </c>
      <c r="D183" s="342">
        <v>3.0000000000000001E-3</v>
      </c>
      <c r="E183" s="342">
        <v>3.0000000000000001E-3</v>
      </c>
      <c r="F183" s="342">
        <v>2E-3</v>
      </c>
      <c r="G183" s="342">
        <v>1E-3</v>
      </c>
      <c r="H183" s="342">
        <v>1.4999999999999999E-2</v>
      </c>
      <c r="I183" s="342">
        <v>8.0000000000000002E-3</v>
      </c>
      <c r="J183" s="342">
        <v>5.0000000000000001E-3</v>
      </c>
      <c r="K183" s="342">
        <v>8.0000000000000002E-3</v>
      </c>
      <c r="L183" s="342">
        <v>1E-3</v>
      </c>
      <c r="M183" s="342">
        <v>3.0000000000000001E-3</v>
      </c>
    </row>
    <row r="184" spans="1:13">
      <c r="A184" t="s">
        <v>1620</v>
      </c>
      <c r="B184" s="342">
        <v>1.042</v>
      </c>
      <c r="C184" s="342">
        <v>0.57799999999999996</v>
      </c>
      <c r="D184" s="342">
        <v>0.68</v>
      </c>
      <c r="E184" s="342">
        <v>1.1140000000000001</v>
      </c>
      <c r="F184" s="342">
        <v>1.1299999999999999</v>
      </c>
      <c r="G184" s="342">
        <v>0.77700000000000002</v>
      </c>
      <c r="H184" s="342">
        <v>0.96799999999999997</v>
      </c>
      <c r="I184" s="342">
        <v>0.60599999999999998</v>
      </c>
      <c r="J184" s="342">
        <v>0.66400000000000003</v>
      </c>
      <c r="K184" s="342">
        <v>1.1200000000000001</v>
      </c>
      <c r="L184" s="342">
        <v>0.50700000000000001</v>
      </c>
      <c r="M184" s="342">
        <v>0.57699999999999996</v>
      </c>
    </row>
    <row r="185" spans="1:13">
      <c r="A185" t="s">
        <v>2808</v>
      </c>
      <c r="B185" s="342">
        <v>0.34300000000000003</v>
      </c>
      <c r="C185" s="342">
        <v>0.28599999999999998</v>
      </c>
      <c r="D185" s="342">
        <v>0.29499999999999998</v>
      </c>
      <c r="E185" s="342">
        <v>0.34100000000000003</v>
      </c>
      <c r="F185" s="342">
        <v>0.17399999999999999</v>
      </c>
      <c r="G185" s="342">
        <v>0.27900000000000003</v>
      </c>
      <c r="H185" s="342">
        <v>0.377</v>
      </c>
      <c r="I185" s="342">
        <v>0.21099999999999999</v>
      </c>
      <c r="J185" s="342">
        <v>0.28599999999999998</v>
      </c>
      <c r="K185" s="342">
        <v>0.2</v>
      </c>
      <c r="L185" s="342">
        <v>0.33500000000000002</v>
      </c>
      <c r="M185" s="342">
        <v>0.32600000000000001</v>
      </c>
    </row>
    <row r="186" spans="1:13">
      <c r="A186" t="s">
        <v>2809</v>
      </c>
      <c r="B186" s="342">
        <v>5.0000000000000001E-3</v>
      </c>
      <c r="C186" s="342">
        <v>7.0000000000000001E-3</v>
      </c>
      <c r="D186" s="342">
        <v>6.0000000000000001E-3</v>
      </c>
      <c r="E186" s="342">
        <v>1.0999999999999999E-2</v>
      </c>
      <c r="F186" s="342">
        <v>0</v>
      </c>
      <c r="G186" s="342">
        <v>7.0000000000000001E-3</v>
      </c>
      <c r="H186" s="342">
        <v>0</v>
      </c>
      <c r="I186" s="342">
        <v>1.2E-2</v>
      </c>
      <c r="J186" s="342">
        <v>7.0000000000000001E-3</v>
      </c>
      <c r="K186" s="342">
        <v>3.0000000000000001E-3</v>
      </c>
      <c r="L186" s="342">
        <v>5.0000000000000001E-3</v>
      </c>
      <c r="M186" s="342">
        <v>5.0000000000000001E-3</v>
      </c>
    </row>
    <row r="187" spans="1:13">
      <c r="A187" t="s">
        <v>2810</v>
      </c>
      <c r="B187" s="342">
        <v>0.33400000000000002</v>
      </c>
      <c r="C187" s="342">
        <v>0.50700000000000001</v>
      </c>
      <c r="D187" s="342">
        <v>0.443</v>
      </c>
      <c r="E187" s="342">
        <v>0.316</v>
      </c>
      <c r="F187" s="342">
        <v>0.154</v>
      </c>
      <c r="G187" s="342">
        <v>0.36799999999999999</v>
      </c>
      <c r="H187" s="342">
        <v>0.38900000000000001</v>
      </c>
      <c r="I187" s="342">
        <v>0.36899999999999999</v>
      </c>
      <c r="J187" s="342">
        <v>0.441</v>
      </c>
      <c r="K187" s="342">
        <v>0.182</v>
      </c>
      <c r="L187" s="342">
        <v>0.67200000000000004</v>
      </c>
      <c r="M187" s="342">
        <v>0.57399999999999995</v>
      </c>
    </row>
    <row r="188" spans="1:13">
      <c r="A188" t="s">
        <v>9</v>
      </c>
      <c r="B188">
        <v>26.23</v>
      </c>
      <c r="C188">
        <v>11.37</v>
      </c>
      <c r="D188">
        <v>10.49</v>
      </c>
      <c r="E188">
        <v>28.22</v>
      </c>
      <c r="F188">
        <v>15.69</v>
      </c>
      <c r="G188">
        <v>9.7100000000000009</v>
      </c>
      <c r="H188">
        <v>34.33</v>
      </c>
      <c r="I188">
        <v>8.74</v>
      </c>
      <c r="J188">
        <v>10.46</v>
      </c>
      <c r="K188">
        <v>12.16</v>
      </c>
      <c r="L188">
        <v>12.86</v>
      </c>
      <c r="M188">
        <v>12.25</v>
      </c>
    </row>
    <row r="189" spans="1:13">
      <c r="A189" t="s">
        <v>8</v>
      </c>
      <c r="B189">
        <v>4.45</v>
      </c>
      <c r="C189">
        <v>5.61</v>
      </c>
      <c r="D189">
        <v>6.45</v>
      </c>
      <c r="E189">
        <v>6.21</v>
      </c>
      <c r="F189">
        <v>4.72</v>
      </c>
      <c r="G189">
        <v>8.08</v>
      </c>
      <c r="H189">
        <v>3.05</v>
      </c>
      <c r="I189">
        <v>7.3</v>
      </c>
      <c r="J189">
        <v>5.81</v>
      </c>
      <c r="K189">
        <v>19.18</v>
      </c>
      <c r="L189">
        <v>5.13</v>
      </c>
      <c r="M189">
        <v>5.49</v>
      </c>
    </row>
    <row r="190" spans="1:13">
      <c r="A190" t="s">
        <v>10</v>
      </c>
      <c r="B190">
        <v>253.47</v>
      </c>
      <c r="C190">
        <v>18.28</v>
      </c>
      <c r="D190">
        <v>19.66</v>
      </c>
      <c r="E190">
        <v>271.92</v>
      </c>
      <c r="F190">
        <v>22.64</v>
      </c>
      <c r="G190">
        <v>17.72</v>
      </c>
      <c r="H190">
        <v>555.08000000000004</v>
      </c>
      <c r="I190">
        <v>13.97</v>
      </c>
      <c r="J190">
        <v>19.440000000000001</v>
      </c>
      <c r="K190">
        <v>76.05</v>
      </c>
      <c r="L190">
        <v>21.26</v>
      </c>
      <c r="M190">
        <v>24.74</v>
      </c>
    </row>
    <row r="191" spans="1:13">
      <c r="A191" t="s">
        <v>1621</v>
      </c>
      <c r="B191" s="342">
        <v>0.25900000000000001</v>
      </c>
      <c r="C191" s="342">
        <v>0.21099999999999999</v>
      </c>
      <c r="D191" s="342">
        <v>0.19900000000000001</v>
      </c>
      <c r="E191" s="342">
        <v>0.193</v>
      </c>
      <c r="F191" s="342">
        <v>0.23100000000000001</v>
      </c>
      <c r="G191" s="342">
        <v>0.17</v>
      </c>
      <c r="H191" s="342">
        <v>0.35499999999999998</v>
      </c>
      <c r="I191" s="342">
        <v>0.18</v>
      </c>
      <c r="J191" s="342">
        <v>0.216</v>
      </c>
      <c r="K191" s="342">
        <v>0.121</v>
      </c>
      <c r="L191" s="342">
        <v>0.22600000000000001</v>
      </c>
      <c r="M191" s="342">
        <v>0.223</v>
      </c>
    </row>
    <row r="193" spans="1:13">
      <c r="A193" t="s">
        <v>2822</v>
      </c>
    </row>
    <row r="195" spans="1:13">
      <c r="A195" t="s">
        <v>158</v>
      </c>
      <c r="B195" t="s">
        <v>2806</v>
      </c>
      <c r="E195">
        <v>2017</v>
      </c>
      <c r="H195">
        <v>2018</v>
      </c>
      <c r="K195">
        <v>2019</v>
      </c>
    </row>
    <row r="196" spans="1:13">
      <c r="B196" t="s">
        <v>1623</v>
      </c>
      <c r="C196" t="s">
        <v>1624</v>
      </c>
      <c r="D196" t="s">
        <v>1622</v>
      </c>
      <c r="E196" t="s">
        <v>1623</v>
      </c>
      <c r="F196" t="s">
        <v>1624</v>
      </c>
      <c r="G196" t="s">
        <v>1622</v>
      </c>
      <c r="H196" t="s">
        <v>1623</v>
      </c>
      <c r="I196" t="s">
        <v>1624</v>
      </c>
      <c r="J196" t="s">
        <v>1622</v>
      </c>
      <c r="K196" t="s">
        <v>1623</v>
      </c>
      <c r="L196" t="s">
        <v>1624</v>
      </c>
      <c r="M196" t="s">
        <v>1622</v>
      </c>
    </row>
    <row r="197" spans="1:13">
      <c r="A197" t="s">
        <v>2807</v>
      </c>
      <c r="B197" s="342">
        <v>0.69</v>
      </c>
      <c r="C197" s="342">
        <v>0.90800000000000003</v>
      </c>
      <c r="D197" s="342">
        <v>0.85</v>
      </c>
      <c r="E197" s="342">
        <v>0.65500000000000003</v>
      </c>
      <c r="F197" s="342">
        <v>0.88300000000000001</v>
      </c>
      <c r="G197" s="342">
        <v>0.83699999999999997</v>
      </c>
      <c r="H197" s="342">
        <v>0.67700000000000005</v>
      </c>
      <c r="I197" s="342">
        <v>0.90200000000000002</v>
      </c>
      <c r="J197" s="342">
        <v>0.84499999999999997</v>
      </c>
      <c r="K197" s="342">
        <v>0.72099999999999997</v>
      </c>
      <c r="L197" s="342">
        <v>0.92</v>
      </c>
      <c r="M197" s="342">
        <v>0.86</v>
      </c>
    </row>
    <row r="198" spans="1:13">
      <c r="A198" t="s">
        <v>1618</v>
      </c>
      <c r="B198" s="342">
        <v>9.6000000000000002E-2</v>
      </c>
      <c r="C198" s="342">
        <v>6.6000000000000003E-2</v>
      </c>
      <c r="D198" s="342">
        <v>7.2999999999999995E-2</v>
      </c>
      <c r="E198" s="342">
        <v>9.8000000000000004E-2</v>
      </c>
      <c r="F198" s="342">
        <v>8.3000000000000004E-2</v>
      </c>
      <c r="G198" s="342">
        <v>7.5999999999999998E-2</v>
      </c>
      <c r="H198" s="342">
        <v>9.7000000000000003E-2</v>
      </c>
      <c r="I198" s="342">
        <v>7.1999999999999995E-2</v>
      </c>
      <c r="J198" s="342">
        <v>7.3999999999999996E-2</v>
      </c>
      <c r="K198" s="342">
        <v>9.4E-2</v>
      </c>
      <c r="L198" s="342">
        <v>5.6000000000000001E-2</v>
      </c>
      <c r="M198" s="342">
        <v>7.1999999999999995E-2</v>
      </c>
    </row>
    <row r="199" spans="1:13">
      <c r="A199" t="s">
        <v>1619</v>
      </c>
      <c r="B199" s="342">
        <v>3.5000000000000003E-2</v>
      </c>
      <c r="C199" s="342">
        <v>2.1000000000000001E-2</v>
      </c>
      <c r="D199" s="342">
        <v>0.03</v>
      </c>
      <c r="E199" s="342">
        <v>7.0000000000000001E-3</v>
      </c>
      <c r="F199" s="342">
        <v>8.9999999999999993E-3</v>
      </c>
      <c r="G199" s="342">
        <v>8.9999999999999993E-3</v>
      </c>
      <c r="H199" s="342">
        <v>0.04</v>
      </c>
      <c r="I199" s="342">
        <v>2.8000000000000001E-2</v>
      </c>
      <c r="J199" s="342">
        <v>3.3000000000000002E-2</v>
      </c>
      <c r="K199" s="342">
        <v>3.5000000000000003E-2</v>
      </c>
      <c r="L199" s="342">
        <v>1.7999999999999999E-2</v>
      </c>
      <c r="M199" s="342">
        <v>3.1E-2</v>
      </c>
    </row>
    <row r="200" spans="1:13">
      <c r="A200" t="s">
        <v>1620</v>
      </c>
      <c r="B200" s="342">
        <v>0.46600000000000003</v>
      </c>
      <c r="C200" s="342">
        <v>0.99</v>
      </c>
      <c r="D200" s="342">
        <v>0.74099999999999999</v>
      </c>
      <c r="E200" s="342">
        <v>0.46</v>
      </c>
      <c r="F200" s="342">
        <v>0.50700000000000001</v>
      </c>
      <c r="G200" s="342">
        <v>0.56699999999999995</v>
      </c>
      <c r="H200" s="342">
        <v>0.46899999999999997</v>
      </c>
      <c r="I200" s="342">
        <v>1.133</v>
      </c>
      <c r="J200" s="342">
        <v>0.79300000000000004</v>
      </c>
      <c r="K200" s="342">
        <v>0.46200000000000002</v>
      </c>
      <c r="L200" s="342">
        <v>1.1419999999999999</v>
      </c>
      <c r="M200" s="342">
        <v>0.74399999999999999</v>
      </c>
    </row>
    <row r="201" spans="1:13">
      <c r="A201" t="s">
        <v>2808</v>
      </c>
      <c r="B201" s="342">
        <v>0.436</v>
      </c>
      <c r="C201" s="342">
        <v>0.39400000000000002</v>
      </c>
      <c r="D201" s="342">
        <v>0.40400000000000003</v>
      </c>
      <c r="E201" s="342">
        <v>0.52</v>
      </c>
      <c r="F201" s="342">
        <v>0.33400000000000002</v>
      </c>
      <c r="G201" s="342">
        <v>0.40100000000000002</v>
      </c>
      <c r="H201" s="342">
        <v>0.45100000000000001</v>
      </c>
      <c r="I201" s="342">
        <v>0.42299999999999999</v>
      </c>
      <c r="J201" s="342">
        <v>0.42899999999999999</v>
      </c>
      <c r="K201" s="342">
        <v>0.38700000000000001</v>
      </c>
      <c r="L201" s="342">
        <v>0.40100000000000002</v>
      </c>
      <c r="M201" s="342">
        <v>0.376</v>
      </c>
    </row>
    <row r="202" spans="1:13">
      <c r="A202" t="s">
        <v>2809</v>
      </c>
      <c r="B202" s="342">
        <v>7.0000000000000001E-3</v>
      </c>
      <c r="C202" s="342">
        <v>5.0000000000000001E-3</v>
      </c>
      <c r="D202" s="342">
        <v>5.0000000000000001E-3</v>
      </c>
      <c r="E202" s="342">
        <v>5.0000000000000001E-3</v>
      </c>
      <c r="F202" s="342">
        <v>1.0999999999999999E-2</v>
      </c>
      <c r="G202" s="342">
        <v>6.0000000000000001E-3</v>
      </c>
      <c r="H202" s="342">
        <v>5.0000000000000001E-3</v>
      </c>
      <c r="I202" s="342">
        <v>4.0000000000000001E-3</v>
      </c>
      <c r="J202" s="342">
        <v>5.0000000000000001E-3</v>
      </c>
      <c r="K202" s="342">
        <v>0.01</v>
      </c>
      <c r="L202" s="342">
        <v>2E-3</v>
      </c>
      <c r="M202" s="342">
        <v>5.0000000000000001E-3</v>
      </c>
    </row>
    <row r="203" spans="1:13">
      <c r="A203" t="s">
        <v>2810</v>
      </c>
      <c r="B203" s="342">
        <v>0.95199999999999996</v>
      </c>
      <c r="C203" s="342">
        <v>0.40300000000000002</v>
      </c>
      <c r="D203" s="342">
        <v>0.55200000000000005</v>
      </c>
      <c r="E203" s="342">
        <v>1.141</v>
      </c>
      <c r="F203" s="342">
        <v>0.68</v>
      </c>
      <c r="G203" s="342">
        <v>0.71799999999999997</v>
      </c>
      <c r="H203" s="342">
        <v>0.97299999999999998</v>
      </c>
      <c r="I203" s="342">
        <v>0.377</v>
      </c>
      <c r="J203" s="342">
        <v>0.54800000000000004</v>
      </c>
      <c r="K203" s="342">
        <v>0.85899999999999999</v>
      </c>
      <c r="L203" s="342">
        <v>0.35199999999999998</v>
      </c>
      <c r="M203" s="342">
        <v>0.51200000000000001</v>
      </c>
    </row>
    <row r="204" spans="1:13">
      <c r="A204" t="s">
        <v>9</v>
      </c>
      <c r="B204">
        <v>5.43</v>
      </c>
      <c r="C204">
        <v>13.42</v>
      </c>
      <c r="D204">
        <v>8.99</v>
      </c>
      <c r="E204">
        <v>15.78</v>
      </c>
      <c r="F204">
        <v>10.62</v>
      </c>
      <c r="G204">
        <v>9.5299999999999994</v>
      </c>
      <c r="H204">
        <v>7.22</v>
      </c>
      <c r="I204">
        <v>13.8</v>
      </c>
      <c r="J204">
        <v>9.83</v>
      </c>
      <c r="K204">
        <v>3.42</v>
      </c>
      <c r="L204">
        <v>14.04</v>
      </c>
      <c r="M204">
        <v>8.02</v>
      </c>
    </row>
    <row r="205" spans="1:13">
      <c r="A205" t="s">
        <v>8</v>
      </c>
      <c r="B205">
        <v>1.58</v>
      </c>
      <c r="C205">
        <v>3.3</v>
      </c>
      <c r="D205">
        <v>2.42</v>
      </c>
      <c r="E205">
        <v>1.82</v>
      </c>
      <c r="F205">
        <v>1.25</v>
      </c>
      <c r="G205">
        <v>1.54</v>
      </c>
      <c r="H205">
        <v>1.49</v>
      </c>
      <c r="I205">
        <v>4.54</v>
      </c>
      <c r="J205">
        <v>2.78</v>
      </c>
      <c r="K205">
        <v>1.67</v>
      </c>
      <c r="L205">
        <v>3.98</v>
      </c>
      <c r="M205">
        <v>2.42</v>
      </c>
    </row>
    <row r="206" spans="1:13">
      <c r="A206" t="s">
        <v>10</v>
      </c>
      <c r="B206">
        <v>16.739999999999998</v>
      </c>
      <c r="C206">
        <v>19.78</v>
      </c>
      <c r="D206">
        <v>19.329999999999998</v>
      </c>
      <c r="E206">
        <v>55.56</v>
      </c>
      <c r="F206">
        <v>27.49</v>
      </c>
      <c r="G206">
        <v>20.38</v>
      </c>
      <c r="H206">
        <v>12.94</v>
      </c>
      <c r="I206">
        <v>22.92</v>
      </c>
      <c r="J206">
        <v>20.37</v>
      </c>
      <c r="K206">
        <v>21.28</v>
      </c>
      <c r="L206">
        <v>16.16</v>
      </c>
      <c r="M206">
        <v>17.96</v>
      </c>
    </row>
    <row r="207" spans="1:13">
      <c r="A207" t="s">
        <v>1621</v>
      </c>
      <c r="B207" s="342">
        <v>0.75600000000000001</v>
      </c>
      <c r="C207" s="342">
        <v>0.32700000000000001</v>
      </c>
      <c r="D207" s="342">
        <v>0.47299999999999998</v>
      </c>
      <c r="E207" s="342">
        <v>0.59299999999999997</v>
      </c>
      <c r="F207" s="342">
        <v>0.86099999999999999</v>
      </c>
      <c r="G207" s="342">
        <v>0.70699999999999996</v>
      </c>
      <c r="H207" s="342">
        <v>0.73099999999999998</v>
      </c>
      <c r="I207" s="342">
        <v>0.249</v>
      </c>
      <c r="J207" s="342">
        <v>0.41299999999999998</v>
      </c>
      <c r="K207" s="342">
        <v>0.84499999999999997</v>
      </c>
      <c r="L207" s="342">
        <v>0.26100000000000001</v>
      </c>
      <c r="M207" s="342">
        <v>0.48199999999999998</v>
      </c>
    </row>
    <row r="209" spans="1:13">
      <c r="A209" t="s">
        <v>2823</v>
      </c>
    </row>
    <row r="211" spans="1:13">
      <c r="A211" t="s">
        <v>158</v>
      </c>
      <c r="B211" t="s">
        <v>2806</v>
      </c>
      <c r="E211">
        <v>2017</v>
      </c>
      <c r="H211">
        <v>2018</v>
      </c>
      <c r="K211">
        <v>2019</v>
      </c>
    </row>
    <row r="212" spans="1:13">
      <c r="B212" t="s">
        <v>1623</v>
      </c>
      <c r="C212" t="s">
        <v>1624</v>
      </c>
      <c r="D212" t="s">
        <v>1622</v>
      </c>
      <c r="E212" t="s">
        <v>1623</v>
      </c>
      <c r="F212" t="s">
        <v>1624</v>
      </c>
      <c r="G212" t="s">
        <v>1622</v>
      </c>
      <c r="H212" t="s">
        <v>1623</v>
      </c>
      <c r="I212" t="s">
        <v>1624</v>
      </c>
      <c r="J212" t="s">
        <v>1622</v>
      </c>
      <c r="K212" t="s">
        <v>1623</v>
      </c>
      <c r="L212" t="s">
        <v>1624</v>
      </c>
      <c r="M212" t="s">
        <v>1622</v>
      </c>
    </row>
    <row r="213" spans="1:13">
      <c r="A213" t="s">
        <v>2807</v>
      </c>
      <c r="B213" s="342">
        <v>0.65300000000000002</v>
      </c>
      <c r="C213" s="342">
        <v>0.85699999999999998</v>
      </c>
      <c r="D213" s="342">
        <v>0.77400000000000002</v>
      </c>
      <c r="E213" s="342">
        <v>0.67500000000000004</v>
      </c>
      <c r="F213" s="342">
        <v>0.84099999999999997</v>
      </c>
      <c r="G213" s="342">
        <v>0.74</v>
      </c>
      <c r="H213" s="342">
        <v>0.69199999999999995</v>
      </c>
      <c r="I213" s="342">
        <v>0.85699999999999998</v>
      </c>
      <c r="J213" s="342">
        <v>0.78200000000000003</v>
      </c>
      <c r="K213" s="342">
        <v>0.54300000000000004</v>
      </c>
      <c r="L213" s="342">
        <v>0.87</v>
      </c>
      <c r="M213" s="342">
        <v>0.79700000000000004</v>
      </c>
    </row>
    <row r="214" spans="1:13">
      <c r="A214" t="s">
        <v>1618</v>
      </c>
      <c r="B214" s="342">
        <v>0.159</v>
      </c>
      <c r="C214" s="342">
        <v>0.12</v>
      </c>
      <c r="D214" s="342">
        <v>0.115</v>
      </c>
      <c r="E214" s="342">
        <v>0.127</v>
      </c>
      <c r="F214" s="342">
        <v>0.13900000000000001</v>
      </c>
      <c r="G214" s="342">
        <v>0.11700000000000001</v>
      </c>
      <c r="H214" s="342">
        <v>0.12</v>
      </c>
      <c r="I214" s="342">
        <v>0.11899999999999999</v>
      </c>
      <c r="J214" s="342">
        <v>0.107</v>
      </c>
      <c r="K214" s="342">
        <v>0.29499999999999998</v>
      </c>
      <c r="L214" s="342">
        <v>0.105</v>
      </c>
      <c r="M214" s="342">
        <v>0.122</v>
      </c>
    </row>
    <row r="215" spans="1:13">
      <c r="A215" t="s">
        <v>1619</v>
      </c>
      <c r="B215" s="342">
        <v>0.01</v>
      </c>
      <c r="C215" s="342">
        <v>6.0000000000000001E-3</v>
      </c>
      <c r="D215" s="342">
        <v>7.0000000000000001E-3</v>
      </c>
      <c r="E215" s="342">
        <v>4.0000000000000001E-3</v>
      </c>
      <c r="F215" s="342">
        <v>4.0000000000000001E-3</v>
      </c>
      <c r="G215" s="342">
        <v>3.0000000000000001E-3</v>
      </c>
      <c r="H215" s="342">
        <v>1.6E-2</v>
      </c>
      <c r="I215" s="342">
        <v>6.0000000000000001E-3</v>
      </c>
      <c r="J215" s="342">
        <v>8.9999999999999993E-3</v>
      </c>
      <c r="K215" s="342">
        <v>1.4999999999999999E-2</v>
      </c>
      <c r="L215" s="342">
        <v>8.0000000000000002E-3</v>
      </c>
      <c r="M215" s="342">
        <v>8.9999999999999993E-3</v>
      </c>
    </row>
    <row r="216" spans="1:13">
      <c r="A216" t="s">
        <v>1620</v>
      </c>
      <c r="B216" s="342">
        <v>0.89200000000000002</v>
      </c>
      <c r="C216" s="342">
        <v>1.31</v>
      </c>
      <c r="D216" s="342">
        <v>1.0580000000000001</v>
      </c>
      <c r="E216" s="342">
        <v>0.91500000000000004</v>
      </c>
      <c r="F216" s="342">
        <v>1.228</v>
      </c>
      <c r="G216" s="342">
        <v>1.0429999999999999</v>
      </c>
      <c r="H216" s="342">
        <v>0.873</v>
      </c>
      <c r="I216" s="342">
        <v>1.284</v>
      </c>
      <c r="J216" s="342">
        <v>1.119</v>
      </c>
      <c r="K216" s="342">
        <v>0.86699999999999999</v>
      </c>
      <c r="L216" s="342">
        <v>1.4059999999999999</v>
      </c>
      <c r="M216" s="342">
        <v>1.01</v>
      </c>
    </row>
    <row r="217" spans="1:13">
      <c r="A217" t="s">
        <v>2808</v>
      </c>
      <c r="B217" s="342">
        <v>0.28399999999999997</v>
      </c>
      <c r="C217" s="342">
        <v>0.30199999999999999</v>
      </c>
      <c r="D217" s="342">
        <v>0.32400000000000001</v>
      </c>
      <c r="E217" s="342">
        <v>0.29299999999999998</v>
      </c>
      <c r="F217" s="342">
        <v>0.28799999999999998</v>
      </c>
      <c r="G217" s="342">
        <v>0.314</v>
      </c>
      <c r="H217" s="342">
        <v>0.24099999999999999</v>
      </c>
      <c r="I217" s="342">
        <v>0.246</v>
      </c>
      <c r="J217" s="342">
        <v>0.318</v>
      </c>
      <c r="K217" s="342">
        <v>0.32900000000000001</v>
      </c>
      <c r="L217" s="342">
        <v>0.36699999999999999</v>
      </c>
      <c r="M217" s="342">
        <v>0.33800000000000002</v>
      </c>
    </row>
    <row r="218" spans="1:13">
      <c r="A218" t="s">
        <v>2809</v>
      </c>
      <c r="B218" s="342">
        <v>1.2E-2</v>
      </c>
      <c r="C218" s="342">
        <v>6.3E-2</v>
      </c>
      <c r="D218" s="342">
        <v>1.7999999999999999E-2</v>
      </c>
      <c r="E218" s="342">
        <v>1.0999999999999999E-2</v>
      </c>
      <c r="F218" s="342">
        <v>0.06</v>
      </c>
      <c r="G218" s="342">
        <v>1.7999999999999999E-2</v>
      </c>
      <c r="H218" s="342">
        <v>8.0000000000000002E-3</v>
      </c>
      <c r="I218" s="342">
        <v>5.6000000000000001E-2</v>
      </c>
      <c r="J218" s="342">
        <v>1.7999999999999999E-2</v>
      </c>
      <c r="K218" s="342">
        <v>0.02</v>
      </c>
      <c r="L218" s="342">
        <v>7.2999999999999995E-2</v>
      </c>
      <c r="M218" s="342">
        <v>1.7000000000000001E-2</v>
      </c>
    </row>
    <row r="219" spans="1:13">
      <c r="A219" t="s">
        <v>2810</v>
      </c>
      <c r="B219" s="342">
        <v>0.33200000000000002</v>
      </c>
      <c r="C219" s="342">
        <v>0.27900000000000003</v>
      </c>
      <c r="D219" s="342">
        <v>0.32300000000000001</v>
      </c>
      <c r="E219" s="342">
        <v>0.33200000000000002</v>
      </c>
      <c r="F219" s="342">
        <v>0.28299999999999997</v>
      </c>
      <c r="G219" s="342">
        <v>0.31900000000000001</v>
      </c>
      <c r="H219" s="342">
        <v>0.28499999999999998</v>
      </c>
      <c r="I219" s="342">
        <v>0.23599999999999999</v>
      </c>
      <c r="J219" s="342">
        <v>0.3</v>
      </c>
      <c r="K219" s="342">
        <v>0.40200000000000002</v>
      </c>
      <c r="L219" s="342">
        <v>0.313</v>
      </c>
      <c r="M219" s="342">
        <v>0.35099999999999998</v>
      </c>
    </row>
    <row r="220" spans="1:13">
      <c r="A220" t="s">
        <v>9</v>
      </c>
      <c r="B220">
        <v>8.56</v>
      </c>
      <c r="C220">
        <v>7.43</v>
      </c>
      <c r="D220">
        <v>8.6999999999999993</v>
      </c>
      <c r="E220">
        <v>8.4</v>
      </c>
      <c r="F220">
        <v>7.16</v>
      </c>
      <c r="G220">
        <v>7.92</v>
      </c>
      <c r="H220">
        <v>8.89</v>
      </c>
      <c r="I220">
        <v>6.63</v>
      </c>
      <c r="J220">
        <v>9.1300000000000008</v>
      </c>
      <c r="K220">
        <v>8.5</v>
      </c>
      <c r="L220">
        <v>8.59</v>
      </c>
      <c r="M220">
        <v>9.1</v>
      </c>
    </row>
    <row r="221" spans="1:13">
      <c r="A221" t="s">
        <v>8</v>
      </c>
      <c r="B221">
        <v>11.97</v>
      </c>
      <c r="C221">
        <v>10.220000000000001</v>
      </c>
      <c r="D221">
        <v>11.62</v>
      </c>
      <c r="E221">
        <v>11.5</v>
      </c>
      <c r="F221">
        <v>9.43</v>
      </c>
      <c r="G221">
        <v>11.83</v>
      </c>
      <c r="H221">
        <v>12.43</v>
      </c>
      <c r="I221">
        <v>9.41</v>
      </c>
      <c r="J221">
        <v>11.66</v>
      </c>
      <c r="K221">
        <v>12.47</v>
      </c>
      <c r="L221">
        <v>11.86</v>
      </c>
      <c r="M221">
        <v>11.36</v>
      </c>
    </row>
    <row r="222" spans="1:13">
      <c r="A222" t="s">
        <v>10</v>
      </c>
      <c r="B222">
        <v>15.26</v>
      </c>
      <c r="C222">
        <v>10.18</v>
      </c>
      <c r="D222">
        <v>14.21</v>
      </c>
      <c r="E222">
        <v>13.76</v>
      </c>
      <c r="F222">
        <v>8.4700000000000006</v>
      </c>
      <c r="G222">
        <v>12.35</v>
      </c>
      <c r="H222">
        <v>16.079999999999998</v>
      </c>
      <c r="I222">
        <v>9.49</v>
      </c>
      <c r="J222">
        <v>16.77</v>
      </c>
      <c r="K222">
        <v>18.579999999999998</v>
      </c>
      <c r="L222">
        <v>12.97</v>
      </c>
      <c r="M222">
        <v>13.94</v>
      </c>
    </row>
    <row r="223" spans="1:13">
      <c r="A223" t="s">
        <v>1621</v>
      </c>
      <c r="B223" s="342">
        <v>0.13500000000000001</v>
      </c>
      <c r="C223" s="342">
        <v>0.13400000000000001</v>
      </c>
      <c r="D223" s="342">
        <v>0.13100000000000001</v>
      </c>
      <c r="E223" s="342">
        <v>0.13300000000000001</v>
      </c>
      <c r="F223" s="342">
        <v>0.128</v>
      </c>
      <c r="G223" s="342">
        <v>0.13</v>
      </c>
      <c r="H223" s="342">
        <v>0.13100000000000001</v>
      </c>
      <c r="I223" s="342">
        <v>0.152</v>
      </c>
      <c r="J223" s="342">
        <v>0.13600000000000001</v>
      </c>
      <c r="K223" s="342">
        <v>0.14399999999999999</v>
      </c>
      <c r="L223" s="342">
        <v>0.124</v>
      </c>
      <c r="M223" s="342">
        <v>0.126</v>
      </c>
    </row>
    <row r="225" spans="1:13">
      <c r="A225" t="s">
        <v>2824</v>
      </c>
    </row>
    <row r="227" spans="1:13">
      <c r="A227" t="s">
        <v>158</v>
      </c>
      <c r="B227" t="s">
        <v>2806</v>
      </c>
      <c r="E227">
        <v>2017</v>
      </c>
      <c r="H227">
        <v>2018</v>
      </c>
      <c r="K227">
        <v>2019</v>
      </c>
    </row>
    <row r="228" spans="1:13">
      <c r="B228" t="s">
        <v>1623</v>
      </c>
      <c r="C228" t="s">
        <v>1624</v>
      </c>
      <c r="D228" t="s">
        <v>1622</v>
      </c>
      <c r="E228" t="s">
        <v>1623</v>
      </c>
      <c r="F228" t="s">
        <v>1624</v>
      </c>
      <c r="G228" t="s">
        <v>1622</v>
      </c>
      <c r="H228" t="s">
        <v>1623</v>
      </c>
      <c r="I228" t="s">
        <v>1624</v>
      </c>
      <c r="J228" t="s">
        <v>1622</v>
      </c>
      <c r="K228" t="s">
        <v>1623</v>
      </c>
      <c r="L228" t="s">
        <v>1624</v>
      </c>
      <c r="M228" t="s">
        <v>1622</v>
      </c>
    </row>
    <row r="229" spans="1:13">
      <c r="A229" t="s">
        <v>2807</v>
      </c>
      <c r="B229" s="342">
        <v>0.69299999999999995</v>
      </c>
      <c r="C229" s="342">
        <v>0.879</v>
      </c>
      <c r="D229" s="342">
        <v>0.82099999999999995</v>
      </c>
      <c r="E229" s="342">
        <v>0.70299999999999996</v>
      </c>
      <c r="F229" s="342">
        <v>0.879</v>
      </c>
      <c r="G229" s="342">
        <v>0.82099999999999995</v>
      </c>
      <c r="H229" s="342">
        <v>0.68700000000000006</v>
      </c>
      <c r="I229" s="342">
        <v>0.875</v>
      </c>
      <c r="J229" s="342">
        <v>0.81899999999999995</v>
      </c>
      <c r="K229" s="342">
        <v>0.68600000000000005</v>
      </c>
      <c r="L229" s="342">
        <v>0.88100000000000001</v>
      </c>
      <c r="M229" s="342">
        <v>0.82199999999999995</v>
      </c>
    </row>
    <row r="230" spans="1:13">
      <c r="A230" t="s">
        <v>1618</v>
      </c>
      <c r="B230" s="342">
        <v>0.126</v>
      </c>
      <c r="C230" s="342">
        <v>0.1</v>
      </c>
      <c r="D230" s="342">
        <v>0.11</v>
      </c>
      <c r="E230" s="342">
        <v>0.12</v>
      </c>
      <c r="F230" s="342">
        <v>0.10100000000000001</v>
      </c>
      <c r="G230" s="342">
        <v>0.108</v>
      </c>
      <c r="H230" s="342">
        <v>0.13</v>
      </c>
      <c r="I230" s="342">
        <v>0.10199999999999999</v>
      </c>
      <c r="J230" s="342">
        <v>0.108</v>
      </c>
      <c r="K230" s="342">
        <v>0.13</v>
      </c>
      <c r="L230" s="342">
        <v>9.7000000000000003E-2</v>
      </c>
      <c r="M230" s="342">
        <v>0.113</v>
      </c>
    </row>
    <row r="231" spans="1:13">
      <c r="A231" t="s">
        <v>1619</v>
      </c>
      <c r="B231" s="342">
        <v>1.0999999999999999E-2</v>
      </c>
      <c r="C231" s="342">
        <v>8.9999999999999993E-3</v>
      </c>
      <c r="D231" s="342">
        <v>0.01</v>
      </c>
      <c r="E231" s="342">
        <v>5.0000000000000001E-3</v>
      </c>
      <c r="F231" s="342">
        <v>5.0000000000000001E-3</v>
      </c>
      <c r="G231" s="342">
        <v>5.0000000000000001E-3</v>
      </c>
      <c r="H231" s="342">
        <v>1.4E-2</v>
      </c>
      <c r="I231" s="342">
        <v>1.0999999999999999E-2</v>
      </c>
      <c r="J231" s="342">
        <v>1.2E-2</v>
      </c>
      <c r="K231" s="342">
        <v>1.4E-2</v>
      </c>
      <c r="L231" s="342">
        <v>1.0999999999999999E-2</v>
      </c>
      <c r="M231" s="342">
        <v>1.2999999999999999E-2</v>
      </c>
    </row>
    <row r="232" spans="1:13">
      <c r="A232" t="s">
        <v>1620</v>
      </c>
      <c r="B232" s="342">
        <v>0.76700000000000002</v>
      </c>
      <c r="C232" s="342">
        <v>0.91400000000000003</v>
      </c>
      <c r="D232" s="342">
        <v>0.86299999999999999</v>
      </c>
      <c r="E232" s="342">
        <v>0.81</v>
      </c>
      <c r="F232" s="342">
        <v>0.90300000000000002</v>
      </c>
      <c r="G232" s="342">
        <v>0.88800000000000001</v>
      </c>
      <c r="H232" s="342">
        <v>0.8</v>
      </c>
      <c r="I232" s="342">
        <v>1.095</v>
      </c>
      <c r="J232" s="342">
        <v>0.90600000000000003</v>
      </c>
      <c r="K232" s="342">
        <v>0.68799999999999994</v>
      </c>
      <c r="L232" s="342">
        <v>0.81299999999999994</v>
      </c>
      <c r="M232" s="342">
        <v>0.80100000000000005</v>
      </c>
    </row>
    <row r="233" spans="1:13">
      <c r="A233" t="s">
        <v>2808</v>
      </c>
      <c r="B233" s="342">
        <v>0.32700000000000001</v>
      </c>
      <c r="C233" s="342">
        <v>0.33700000000000002</v>
      </c>
      <c r="D233" s="342">
        <v>0.34699999999999998</v>
      </c>
      <c r="E233" s="342">
        <v>0.33600000000000002</v>
      </c>
      <c r="F233" s="342">
        <v>0.33300000000000002</v>
      </c>
      <c r="G233" s="342">
        <v>0.34899999999999998</v>
      </c>
      <c r="H233" s="342">
        <v>0.33500000000000002</v>
      </c>
      <c r="I233" s="342">
        <v>0.35899999999999999</v>
      </c>
      <c r="J233" s="342">
        <v>0.35</v>
      </c>
      <c r="K233" s="342">
        <v>0.309</v>
      </c>
      <c r="L233" s="342">
        <v>0.32600000000000001</v>
      </c>
      <c r="M233" s="342">
        <v>0.34200000000000003</v>
      </c>
    </row>
    <row r="234" spans="1:13">
      <c r="A234" t="s">
        <v>2809</v>
      </c>
      <c r="B234" s="342">
        <v>1.6E-2</v>
      </c>
      <c r="C234" s="342">
        <v>1.7999999999999999E-2</v>
      </c>
      <c r="D234" s="342">
        <v>0.02</v>
      </c>
      <c r="E234" s="342">
        <v>1.6E-2</v>
      </c>
      <c r="F234" s="342">
        <v>1.7999999999999999E-2</v>
      </c>
      <c r="G234" s="342">
        <v>2.1000000000000001E-2</v>
      </c>
      <c r="H234" s="342">
        <v>1.7000000000000001E-2</v>
      </c>
      <c r="I234" s="342">
        <v>1.7000000000000001E-2</v>
      </c>
      <c r="J234" s="342">
        <v>2.1000000000000001E-2</v>
      </c>
      <c r="K234" s="342">
        <v>1.6E-2</v>
      </c>
      <c r="L234" s="342">
        <v>1.9E-2</v>
      </c>
      <c r="M234" s="342">
        <v>1.9E-2</v>
      </c>
    </row>
    <row r="235" spans="1:13">
      <c r="A235" t="s">
        <v>2810</v>
      </c>
      <c r="B235" s="342">
        <v>0.44800000000000001</v>
      </c>
      <c r="C235" s="342">
        <v>0.38900000000000001</v>
      </c>
      <c r="D235" s="342">
        <v>0.42499999999999999</v>
      </c>
      <c r="E235" s="342">
        <v>0.435</v>
      </c>
      <c r="F235" s="342">
        <v>0.39</v>
      </c>
      <c r="G235" s="342">
        <v>0.41599999999999998</v>
      </c>
      <c r="H235" s="342">
        <v>0.44</v>
      </c>
      <c r="I235" s="342">
        <v>0.34300000000000003</v>
      </c>
      <c r="J235" s="342">
        <v>0.40899999999999997</v>
      </c>
      <c r="K235" s="342">
        <v>0.47199999999999998</v>
      </c>
      <c r="L235" s="342">
        <v>0.42499999999999999</v>
      </c>
      <c r="M235" s="342">
        <v>0.45100000000000001</v>
      </c>
    </row>
    <row r="236" spans="1:13">
      <c r="A236" t="s">
        <v>9</v>
      </c>
      <c r="B236">
        <v>5.67</v>
      </c>
      <c r="C236">
        <v>5.99</v>
      </c>
      <c r="D236">
        <v>5.81</v>
      </c>
      <c r="E236">
        <v>5.72</v>
      </c>
      <c r="F236">
        <v>5.91</v>
      </c>
      <c r="G236">
        <v>5.83</v>
      </c>
      <c r="H236">
        <v>5.76</v>
      </c>
      <c r="I236">
        <v>5.71</v>
      </c>
      <c r="J236">
        <v>5.78</v>
      </c>
      <c r="K236">
        <v>5.52</v>
      </c>
      <c r="L236">
        <v>6.31</v>
      </c>
      <c r="M236">
        <v>5.83</v>
      </c>
    </row>
    <row r="237" spans="1:13">
      <c r="A237" t="s">
        <v>8</v>
      </c>
      <c r="B237">
        <v>9.43</v>
      </c>
      <c r="C237">
        <v>9.1300000000000008</v>
      </c>
      <c r="D237">
        <v>8.85</v>
      </c>
      <c r="E237">
        <v>10.15</v>
      </c>
      <c r="F237">
        <v>10.039999999999999</v>
      </c>
      <c r="G237">
        <v>9.77</v>
      </c>
      <c r="H237">
        <v>9</v>
      </c>
      <c r="I237">
        <v>8.85</v>
      </c>
      <c r="J237">
        <v>8.61</v>
      </c>
      <c r="K237">
        <v>9.11</v>
      </c>
      <c r="L237">
        <v>8.6999999999999993</v>
      </c>
      <c r="M237">
        <v>8.27</v>
      </c>
    </row>
    <row r="238" spans="1:13">
      <c r="A238" t="s">
        <v>10</v>
      </c>
      <c r="B238">
        <v>13.18</v>
      </c>
      <c r="C238">
        <v>9.16</v>
      </c>
      <c r="D238">
        <v>9.8800000000000008</v>
      </c>
      <c r="E238">
        <v>12.42</v>
      </c>
      <c r="F238">
        <v>8.9700000000000006</v>
      </c>
      <c r="G238">
        <v>9.4499999999999993</v>
      </c>
      <c r="H238">
        <v>13.92</v>
      </c>
      <c r="I238">
        <v>9.1</v>
      </c>
      <c r="J238">
        <v>10.01</v>
      </c>
      <c r="K238">
        <v>13.4</v>
      </c>
      <c r="L238">
        <v>9.39</v>
      </c>
      <c r="M238">
        <v>10.25</v>
      </c>
    </row>
    <row r="239" spans="1:13">
      <c r="A239" t="s">
        <v>1621</v>
      </c>
      <c r="B239" s="342">
        <v>0.20699999999999999</v>
      </c>
      <c r="C239" s="342">
        <v>0.16700000000000001</v>
      </c>
      <c r="D239" s="342">
        <v>0.184</v>
      </c>
      <c r="E239" s="342">
        <v>0.193</v>
      </c>
      <c r="F239" s="342">
        <v>0.157</v>
      </c>
      <c r="G239" s="342">
        <v>0.16800000000000001</v>
      </c>
      <c r="H239" s="342">
        <v>0.21299999999999999</v>
      </c>
      <c r="I239" s="342">
        <v>0.17799999999999999</v>
      </c>
      <c r="J239" s="342">
        <v>0.189</v>
      </c>
      <c r="K239" s="342">
        <v>0.216</v>
      </c>
      <c r="L239" s="342">
        <v>0.16700000000000001</v>
      </c>
      <c r="M239" s="342">
        <v>0.19500000000000001</v>
      </c>
    </row>
    <row r="241" spans="1:13">
      <c r="A241" t="s">
        <v>2825</v>
      </c>
    </row>
    <row r="243" spans="1:13">
      <c r="A243" t="s">
        <v>158</v>
      </c>
      <c r="B243" t="s">
        <v>2806</v>
      </c>
      <c r="E243">
        <v>2017</v>
      </c>
      <c r="H243">
        <v>2018</v>
      </c>
      <c r="K243">
        <v>2019</v>
      </c>
    </row>
    <row r="244" spans="1:13">
      <c r="B244" t="s">
        <v>1623</v>
      </c>
      <c r="C244" t="s">
        <v>1624</v>
      </c>
      <c r="D244" t="s">
        <v>1622</v>
      </c>
      <c r="E244" t="s">
        <v>1623</v>
      </c>
      <c r="F244" t="s">
        <v>1624</v>
      </c>
      <c r="G244" t="s">
        <v>1622</v>
      </c>
      <c r="H244" t="s">
        <v>1623</v>
      </c>
      <c r="I244" t="s">
        <v>1624</v>
      </c>
      <c r="J244" t="s">
        <v>1622</v>
      </c>
      <c r="K244" t="s">
        <v>1623</v>
      </c>
      <c r="L244" t="s">
        <v>1624</v>
      </c>
      <c r="M244" t="s">
        <v>1622</v>
      </c>
    </row>
    <row r="245" spans="1:13">
      <c r="A245" t="s">
        <v>2807</v>
      </c>
      <c r="B245" s="342">
        <v>0.36399999999999999</v>
      </c>
      <c r="C245" s="342">
        <v>0.754</v>
      </c>
      <c r="D245" s="342">
        <v>0.64</v>
      </c>
      <c r="E245" s="342">
        <v>0.309</v>
      </c>
      <c r="F245" s="342">
        <v>0.76600000000000001</v>
      </c>
      <c r="G245" s="342">
        <v>0.64800000000000002</v>
      </c>
      <c r="H245" s="342">
        <v>0.39400000000000002</v>
      </c>
      <c r="I245" s="342">
        <v>0.76100000000000001</v>
      </c>
      <c r="J245" s="342">
        <v>0.64800000000000002</v>
      </c>
      <c r="K245" s="342">
        <v>0.375</v>
      </c>
      <c r="L245" s="342">
        <v>0.73099999999999998</v>
      </c>
      <c r="M245" s="342">
        <v>0.624</v>
      </c>
    </row>
    <row r="246" spans="1:13">
      <c r="A246" t="s">
        <v>1618</v>
      </c>
      <c r="B246" s="342">
        <v>0.40600000000000003</v>
      </c>
      <c r="C246" s="342">
        <v>0.23</v>
      </c>
      <c r="D246" s="342">
        <v>0.27600000000000002</v>
      </c>
      <c r="E246" s="342">
        <v>0.44900000000000001</v>
      </c>
      <c r="F246" s="342">
        <v>0.216</v>
      </c>
      <c r="G246" s="342">
        <v>0.27100000000000002</v>
      </c>
      <c r="H246" s="342">
        <v>0.38</v>
      </c>
      <c r="I246" s="342">
        <v>0.22500000000000001</v>
      </c>
      <c r="J246" s="342">
        <v>0.26900000000000002</v>
      </c>
      <c r="K246" s="342">
        <v>0.40100000000000002</v>
      </c>
      <c r="L246" s="342">
        <v>0.253</v>
      </c>
      <c r="M246" s="342">
        <v>0.28799999999999998</v>
      </c>
    </row>
    <row r="247" spans="1:13">
      <c r="A247" t="s">
        <v>1619</v>
      </c>
      <c r="B247" s="342">
        <v>2.9000000000000001E-2</v>
      </c>
      <c r="C247" s="342">
        <v>8.9999999999999993E-3</v>
      </c>
      <c r="D247" s="342">
        <v>1.7000000000000001E-2</v>
      </c>
      <c r="E247" s="342">
        <v>2.1999999999999999E-2</v>
      </c>
      <c r="F247" s="342">
        <v>7.0000000000000001E-3</v>
      </c>
      <c r="G247" s="342">
        <v>1.2E-2</v>
      </c>
      <c r="H247" s="342">
        <v>0.03</v>
      </c>
      <c r="I247" s="342">
        <v>8.9999999999999993E-3</v>
      </c>
      <c r="J247" s="342">
        <v>1.7000000000000001E-2</v>
      </c>
      <c r="K247" s="342">
        <v>3.1E-2</v>
      </c>
      <c r="L247" s="342">
        <v>1.2E-2</v>
      </c>
      <c r="M247" s="342">
        <v>2.1000000000000001E-2</v>
      </c>
    </row>
    <row r="248" spans="1:13">
      <c r="A248" t="s">
        <v>1620</v>
      </c>
      <c r="B248" s="342">
        <v>0.60099999999999998</v>
      </c>
      <c r="C248" s="342">
        <v>1.593</v>
      </c>
      <c r="D248" s="342">
        <v>1.012</v>
      </c>
      <c r="E248" s="342">
        <v>0.621</v>
      </c>
      <c r="F248" s="342">
        <v>1.617</v>
      </c>
      <c r="G248" s="342">
        <v>1.042</v>
      </c>
      <c r="H248" s="342">
        <v>0.65100000000000002</v>
      </c>
      <c r="I248" s="342">
        <v>1.589</v>
      </c>
      <c r="J248" s="342">
        <v>1.046</v>
      </c>
      <c r="K248" s="342">
        <v>0.55000000000000004</v>
      </c>
      <c r="L248" s="342">
        <v>1.5669999999999999</v>
      </c>
      <c r="M248" s="342">
        <v>0.95699999999999996</v>
      </c>
    </row>
    <row r="249" spans="1:13">
      <c r="A249" t="s">
        <v>2808</v>
      </c>
      <c r="B249" s="342">
        <v>0.20300000000000001</v>
      </c>
      <c r="C249" s="342">
        <v>0.21</v>
      </c>
      <c r="D249" s="342">
        <v>0.19700000000000001</v>
      </c>
      <c r="E249" s="342">
        <v>0.221</v>
      </c>
      <c r="F249" s="342">
        <v>0.22500000000000001</v>
      </c>
      <c r="G249" s="342">
        <v>0.19700000000000001</v>
      </c>
      <c r="H249" s="342">
        <v>0.20799999999999999</v>
      </c>
      <c r="I249" s="342">
        <v>0.187</v>
      </c>
      <c r="J249" s="342">
        <v>0.192</v>
      </c>
      <c r="K249" s="342">
        <v>0.188</v>
      </c>
      <c r="L249" s="342">
        <v>0.22</v>
      </c>
      <c r="M249" s="342">
        <v>0.2</v>
      </c>
    </row>
    <row r="250" spans="1:13">
      <c r="A250" t="s">
        <v>2809</v>
      </c>
      <c r="B250" s="342">
        <v>6.9000000000000006E-2</v>
      </c>
      <c r="C250" s="342">
        <v>4.4999999999999998E-2</v>
      </c>
      <c r="D250" s="342">
        <v>6.9000000000000006E-2</v>
      </c>
      <c r="E250" s="342">
        <v>5.1999999999999998E-2</v>
      </c>
      <c r="F250" s="342">
        <v>3.9E-2</v>
      </c>
      <c r="G250" s="342">
        <v>6.9000000000000006E-2</v>
      </c>
      <c r="H250" s="342">
        <v>5.6000000000000001E-2</v>
      </c>
      <c r="I250" s="342">
        <v>3.7999999999999999E-2</v>
      </c>
      <c r="J250" s="342">
        <v>7.3999999999999996E-2</v>
      </c>
      <c r="K250" s="342">
        <v>8.8999999999999996E-2</v>
      </c>
      <c r="L250" s="342">
        <v>0.06</v>
      </c>
      <c r="M250" s="342">
        <v>6.5000000000000002E-2</v>
      </c>
    </row>
    <row r="251" spans="1:13">
      <c r="A251" t="s">
        <v>2810</v>
      </c>
      <c r="B251" s="342">
        <v>0.45200000000000001</v>
      </c>
      <c r="C251" s="342">
        <v>0.16</v>
      </c>
      <c r="D251" s="342">
        <v>0.26300000000000001</v>
      </c>
      <c r="E251" s="342">
        <v>0.44</v>
      </c>
      <c r="F251" s="342">
        <v>0.16300000000000001</v>
      </c>
      <c r="G251" s="342">
        <v>0.255</v>
      </c>
      <c r="H251" s="342">
        <v>0.40699999999999997</v>
      </c>
      <c r="I251" s="342">
        <v>0.14199999999999999</v>
      </c>
      <c r="J251" s="342">
        <v>0.254</v>
      </c>
      <c r="K251" s="342">
        <v>0.504</v>
      </c>
      <c r="L251" s="342">
        <v>0.17799999999999999</v>
      </c>
      <c r="M251" s="342">
        <v>0.27700000000000002</v>
      </c>
    </row>
    <row r="252" spans="1:13">
      <c r="A252" t="s">
        <v>9</v>
      </c>
      <c r="B252">
        <v>7.3</v>
      </c>
      <c r="C252">
        <v>6.92</v>
      </c>
      <c r="D252">
        <v>6.9</v>
      </c>
      <c r="E252">
        <v>7.18</v>
      </c>
      <c r="F252">
        <v>6.24</v>
      </c>
      <c r="G252">
        <v>6.49</v>
      </c>
      <c r="H252">
        <v>7.15</v>
      </c>
      <c r="I252">
        <v>7.12</v>
      </c>
      <c r="J252">
        <v>7.2</v>
      </c>
      <c r="K252">
        <v>7.54</v>
      </c>
      <c r="L252">
        <v>7.66</v>
      </c>
      <c r="M252">
        <v>7</v>
      </c>
    </row>
    <row r="253" spans="1:13">
      <c r="A253" t="s">
        <v>8</v>
      </c>
      <c r="B253">
        <v>29.41</v>
      </c>
      <c r="C253">
        <v>34.35</v>
      </c>
      <c r="D253">
        <v>33.229999999999997</v>
      </c>
      <c r="E253">
        <v>52.26</v>
      </c>
      <c r="F253">
        <v>36.1</v>
      </c>
      <c r="G253">
        <v>36.409999999999997</v>
      </c>
      <c r="H253">
        <v>50.18</v>
      </c>
      <c r="I253">
        <v>36.51</v>
      </c>
      <c r="J253">
        <v>36.630000000000003</v>
      </c>
      <c r="K253">
        <v>17.45</v>
      </c>
      <c r="L253">
        <v>30.35</v>
      </c>
      <c r="M253">
        <v>28.37</v>
      </c>
    </row>
    <row r="254" spans="1:13">
      <c r="A254" t="s">
        <v>10</v>
      </c>
      <c r="B254">
        <v>38</v>
      </c>
      <c r="C254">
        <v>12.17</v>
      </c>
      <c r="D254">
        <v>15.44</v>
      </c>
      <c r="E254">
        <v>36.369999999999997</v>
      </c>
      <c r="F254">
        <v>9.89</v>
      </c>
      <c r="G254">
        <v>13.56</v>
      </c>
      <c r="H254">
        <v>37.15</v>
      </c>
      <c r="I254">
        <v>13.45</v>
      </c>
      <c r="J254">
        <v>16.27</v>
      </c>
      <c r="K254">
        <v>40.07</v>
      </c>
      <c r="L254">
        <v>14.47</v>
      </c>
      <c r="M254">
        <v>16.7</v>
      </c>
    </row>
    <row r="255" spans="1:13">
      <c r="A255" t="s">
        <v>1621</v>
      </c>
      <c r="B255" s="342">
        <v>0.14499999999999999</v>
      </c>
      <c r="C255" s="342">
        <v>9.0999999999999998E-2</v>
      </c>
      <c r="D255" s="342">
        <v>0.11</v>
      </c>
      <c r="E255" s="342">
        <v>0.13100000000000001</v>
      </c>
      <c r="F255" s="342">
        <v>8.6999999999999994E-2</v>
      </c>
      <c r="G255" s="342">
        <v>0.108</v>
      </c>
      <c r="H255" s="342">
        <v>0.13300000000000001</v>
      </c>
      <c r="I255" s="342">
        <v>9.2999999999999999E-2</v>
      </c>
      <c r="J255" s="342">
        <v>0.105</v>
      </c>
      <c r="K255" s="342">
        <v>0.16500000000000001</v>
      </c>
      <c r="L255" s="342">
        <v>9.4E-2</v>
      </c>
      <c r="M255" s="342">
        <v>0.11799999999999999</v>
      </c>
    </row>
    <row r="257" spans="1:13">
      <c r="A257" t="s">
        <v>2826</v>
      </c>
    </row>
    <row r="259" spans="1:13">
      <c r="A259" t="s">
        <v>158</v>
      </c>
      <c r="B259" t="s">
        <v>2806</v>
      </c>
      <c r="E259">
        <v>2017</v>
      </c>
      <c r="H259">
        <v>2018</v>
      </c>
      <c r="K259">
        <v>2019</v>
      </c>
    </row>
    <row r="260" spans="1:13">
      <c r="B260" t="s">
        <v>1623</v>
      </c>
      <c r="C260" t="s">
        <v>1624</v>
      </c>
      <c r="D260" t="s">
        <v>1622</v>
      </c>
      <c r="E260" t="s">
        <v>1623</v>
      </c>
      <c r="F260" t="s">
        <v>1624</v>
      </c>
      <c r="G260" t="s">
        <v>1622</v>
      </c>
      <c r="H260" t="s">
        <v>1623</v>
      </c>
      <c r="I260" t="s">
        <v>1624</v>
      </c>
      <c r="J260" t="s">
        <v>1622</v>
      </c>
      <c r="K260" t="s">
        <v>1623</v>
      </c>
      <c r="L260" t="s">
        <v>1624</v>
      </c>
      <c r="M260" t="s">
        <v>1622</v>
      </c>
    </row>
    <row r="261" spans="1:13">
      <c r="A261" t="s">
        <v>2807</v>
      </c>
      <c r="B261" s="342">
        <v>0.77700000000000002</v>
      </c>
      <c r="C261" s="342">
        <v>0.91200000000000003</v>
      </c>
      <c r="D261" s="342">
        <v>0.874</v>
      </c>
      <c r="E261" s="342">
        <v>0.82</v>
      </c>
      <c r="F261" s="342">
        <v>0.90300000000000002</v>
      </c>
      <c r="G261" s="342">
        <v>0.88200000000000001</v>
      </c>
      <c r="H261" s="342">
        <v>0.71399999999999997</v>
      </c>
      <c r="I261" s="342">
        <v>0.91800000000000004</v>
      </c>
      <c r="J261" s="342">
        <v>0.85899999999999999</v>
      </c>
      <c r="K261" s="342">
        <v>0.82399999999999995</v>
      </c>
      <c r="L261" s="342">
        <v>0.91600000000000004</v>
      </c>
      <c r="M261" s="342">
        <v>0.88400000000000001</v>
      </c>
    </row>
    <row r="262" spans="1:13">
      <c r="A262" t="s">
        <v>1618</v>
      </c>
      <c r="B262" s="342">
        <v>9.6000000000000002E-2</v>
      </c>
      <c r="C262" s="342">
        <v>7.5999999999999998E-2</v>
      </c>
      <c r="D262" s="342">
        <v>8.1000000000000003E-2</v>
      </c>
      <c r="E262" s="342">
        <v>8.8999999999999996E-2</v>
      </c>
      <c r="F262" s="342">
        <v>8.5000000000000006E-2</v>
      </c>
      <c r="G262" s="342">
        <v>8.2000000000000003E-2</v>
      </c>
      <c r="H262" s="342">
        <v>0.104</v>
      </c>
      <c r="I262" s="342">
        <v>7.0999999999999994E-2</v>
      </c>
      <c r="J262" s="342">
        <v>8.1000000000000003E-2</v>
      </c>
      <c r="K262" s="342">
        <v>9.1999999999999998E-2</v>
      </c>
      <c r="L262" s="342">
        <v>7.1999999999999995E-2</v>
      </c>
      <c r="M262" s="342">
        <v>0.08</v>
      </c>
    </row>
    <row r="263" spans="1:13">
      <c r="A263" t="s">
        <v>1619</v>
      </c>
      <c r="B263" s="342">
        <v>1.0999999999999999E-2</v>
      </c>
      <c r="C263" s="342">
        <v>5.0000000000000001E-3</v>
      </c>
      <c r="D263" s="342">
        <v>7.0000000000000001E-3</v>
      </c>
      <c r="E263" s="342">
        <v>4.0000000000000001E-3</v>
      </c>
      <c r="F263" s="342">
        <v>3.0000000000000001E-3</v>
      </c>
      <c r="G263" s="342">
        <v>3.0000000000000001E-3</v>
      </c>
      <c r="H263" s="342">
        <v>1.4E-2</v>
      </c>
      <c r="I263" s="342">
        <v>6.0000000000000001E-3</v>
      </c>
      <c r="J263" s="342">
        <v>0.01</v>
      </c>
      <c r="K263" s="342">
        <v>1.4E-2</v>
      </c>
      <c r="L263" s="342">
        <v>6.0000000000000001E-3</v>
      </c>
      <c r="M263" s="342">
        <v>8.9999999999999993E-3</v>
      </c>
    </row>
    <row r="264" spans="1:13">
      <c r="A264" t="s">
        <v>1620</v>
      </c>
      <c r="B264" s="342">
        <v>0.98499999999999999</v>
      </c>
      <c r="C264" s="342">
        <v>2.5089999999999999</v>
      </c>
      <c r="D264" s="342">
        <v>1.7330000000000001</v>
      </c>
      <c r="E264" s="342">
        <v>1.262</v>
      </c>
      <c r="F264" s="342">
        <v>2.5169999999999999</v>
      </c>
      <c r="G264" s="342">
        <v>1.9370000000000001</v>
      </c>
      <c r="H264" s="342">
        <v>0.751</v>
      </c>
      <c r="I264" s="342">
        <v>2.6419999999999999</v>
      </c>
      <c r="J264" s="342">
        <v>1.5049999999999999</v>
      </c>
      <c r="K264" s="342">
        <v>1.27</v>
      </c>
      <c r="L264" s="342">
        <v>2.379</v>
      </c>
      <c r="M264" s="342">
        <v>1.8360000000000001</v>
      </c>
    </row>
    <row r="265" spans="1:13">
      <c r="A265" t="s">
        <v>2808</v>
      </c>
      <c r="B265" s="342">
        <v>0.33600000000000002</v>
      </c>
      <c r="C265" s="342">
        <v>0.39600000000000002</v>
      </c>
      <c r="D265" s="342">
        <v>0.375</v>
      </c>
      <c r="E265" s="342">
        <v>0.437</v>
      </c>
      <c r="F265" s="342">
        <v>0.41</v>
      </c>
      <c r="G265" s="342">
        <v>0.41799999999999998</v>
      </c>
      <c r="H265" s="342">
        <v>0.24099999999999999</v>
      </c>
      <c r="I265" s="342">
        <v>0.40899999999999997</v>
      </c>
      <c r="J265" s="342">
        <v>0.32100000000000001</v>
      </c>
      <c r="K265" s="342">
        <v>0.46500000000000002</v>
      </c>
      <c r="L265" s="342">
        <v>0.36799999999999999</v>
      </c>
      <c r="M265" s="342">
        <v>0.40600000000000003</v>
      </c>
    </row>
    <row r="266" spans="1:13">
      <c r="A266" t="s">
        <v>2809</v>
      </c>
      <c r="B266" s="342">
        <v>8.0000000000000002E-3</v>
      </c>
      <c r="C266" s="342">
        <v>6.0000000000000001E-3</v>
      </c>
      <c r="D266" s="342">
        <v>8.0000000000000002E-3</v>
      </c>
      <c r="E266" s="342">
        <v>1.4E-2</v>
      </c>
      <c r="F266" s="342">
        <v>8.0000000000000002E-3</v>
      </c>
      <c r="G266" s="342">
        <v>8.9999999999999993E-3</v>
      </c>
      <c r="H266" s="342">
        <v>6.0000000000000001E-3</v>
      </c>
      <c r="I266" s="342">
        <v>6.0000000000000001E-3</v>
      </c>
      <c r="J266" s="342">
        <v>7.0000000000000001E-3</v>
      </c>
      <c r="K266" s="342">
        <v>6.0000000000000001E-3</v>
      </c>
      <c r="L266" s="342">
        <v>5.0000000000000001E-3</v>
      </c>
      <c r="M266" s="342">
        <v>6.0000000000000001E-3</v>
      </c>
    </row>
    <row r="267" spans="1:13">
      <c r="A267" t="s">
        <v>2810</v>
      </c>
      <c r="B267" s="342">
        <v>0.34899999999999998</v>
      </c>
      <c r="C267" s="342">
        <v>0.16</v>
      </c>
      <c r="D267" s="342">
        <v>0.221</v>
      </c>
      <c r="E267" s="342">
        <v>0.35699999999999998</v>
      </c>
      <c r="F267" s="342">
        <v>0.16600000000000001</v>
      </c>
      <c r="G267" s="342">
        <v>0.221</v>
      </c>
      <c r="H267" s="342">
        <v>0.32900000000000001</v>
      </c>
      <c r="I267" s="342">
        <v>0.157</v>
      </c>
      <c r="J267" s="342">
        <v>0.218</v>
      </c>
      <c r="K267" s="342">
        <v>0.371</v>
      </c>
      <c r="L267" s="342">
        <v>0.157</v>
      </c>
      <c r="M267" s="342">
        <v>0.224</v>
      </c>
    </row>
    <row r="268" spans="1:13">
      <c r="A268" t="s">
        <v>9</v>
      </c>
      <c r="B268">
        <v>9.49</v>
      </c>
      <c r="C268">
        <v>12.08</v>
      </c>
      <c r="D268">
        <v>10.44</v>
      </c>
      <c r="E268">
        <v>8.8800000000000008</v>
      </c>
      <c r="F268">
        <v>12.09</v>
      </c>
      <c r="G268">
        <v>10.64</v>
      </c>
      <c r="H268">
        <v>10.87</v>
      </c>
      <c r="I268">
        <v>12.02</v>
      </c>
      <c r="J268">
        <v>10.74</v>
      </c>
      <c r="K268">
        <v>8.52</v>
      </c>
      <c r="L268">
        <v>12.14</v>
      </c>
      <c r="M268">
        <v>9.8699999999999992</v>
      </c>
    </row>
    <row r="269" spans="1:13">
      <c r="A269" t="s">
        <v>8</v>
      </c>
      <c r="B269">
        <v>13.48</v>
      </c>
      <c r="C269">
        <v>17.71</v>
      </c>
      <c r="D269">
        <v>15.33</v>
      </c>
      <c r="E269">
        <v>15.53</v>
      </c>
      <c r="F269">
        <v>16.36</v>
      </c>
      <c r="G269">
        <v>16.28</v>
      </c>
      <c r="H269">
        <v>15.46</v>
      </c>
      <c r="I269">
        <v>19.22</v>
      </c>
      <c r="J269">
        <v>16.2</v>
      </c>
      <c r="K269">
        <v>9.9700000000000006</v>
      </c>
      <c r="L269">
        <v>18.079999999999998</v>
      </c>
      <c r="M269">
        <v>13.5</v>
      </c>
    </row>
    <row r="270" spans="1:13">
      <c r="A270" t="s">
        <v>10</v>
      </c>
      <c r="B270">
        <v>28.43</v>
      </c>
      <c r="C270">
        <v>31.66</v>
      </c>
      <c r="D270">
        <v>30.04</v>
      </c>
      <c r="E270">
        <v>25.31</v>
      </c>
      <c r="F270">
        <v>31.69</v>
      </c>
      <c r="G270">
        <v>29.73</v>
      </c>
      <c r="H270">
        <v>29.89</v>
      </c>
      <c r="I270">
        <v>32.020000000000003</v>
      </c>
      <c r="J270">
        <v>30.61</v>
      </c>
      <c r="K270">
        <v>30.55</v>
      </c>
      <c r="L270">
        <v>31.28</v>
      </c>
      <c r="M270">
        <v>29.74</v>
      </c>
    </row>
    <row r="271" spans="1:13">
      <c r="A271" t="s">
        <v>1621</v>
      </c>
      <c r="B271" s="342">
        <v>0.14399999999999999</v>
      </c>
      <c r="C271" s="342">
        <v>0.108</v>
      </c>
      <c r="D271" s="342">
        <v>0.128</v>
      </c>
      <c r="E271" s="342">
        <v>0.13800000000000001</v>
      </c>
      <c r="F271" s="342">
        <v>0.112</v>
      </c>
      <c r="G271" s="342">
        <v>0.122</v>
      </c>
      <c r="H271" s="342">
        <v>0.123</v>
      </c>
      <c r="I271" s="342">
        <v>0.104</v>
      </c>
      <c r="J271" s="342">
        <v>0.122</v>
      </c>
      <c r="K271" s="342">
        <v>0.185</v>
      </c>
      <c r="L271" s="342">
        <v>0.106</v>
      </c>
      <c r="M271" s="342">
        <v>0.14199999999999999</v>
      </c>
    </row>
    <row r="273" spans="1:13">
      <c r="A273" t="s">
        <v>2827</v>
      </c>
    </row>
    <row r="275" spans="1:13">
      <c r="A275" t="s">
        <v>158</v>
      </c>
      <c r="B275" t="s">
        <v>2806</v>
      </c>
      <c r="E275">
        <v>2017</v>
      </c>
      <c r="H275">
        <v>2018</v>
      </c>
      <c r="K275">
        <v>2019</v>
      </c>
    </row>
    <row r="276" spans="1:13">
      <c r="B276" t="s">
        <v>1623</v>
      </c>
      <c r="C276" t="s">
        <v>1624</v>
      </c>
      <c r="D276" t="s">
        <v>1622</v>
      </c>
      <c r="E276" t="s">
        <v>1623</v>
      </c>
      <c r="F276" t="s">
        <v>1624</v>
      </c>
      <c r="G276" t="s">
        <v>1622</v>
      </c>
      <c r="H276" t="s">
        <v>1623</v>
      </c>
      <c r="I276" t="s">
        <v>1624</v>
      </c>
      <c r="J276" t="s">
        <v>1622</v>
      </c>
      <c r="K276" t="s">
        <v>1623</v>
      </c>
      <c r="L276" t="s">
        <v>1624</v>
      </c>
      <c r="M276" t="s">
        <v>1622</v>
      </c>
    </row>
    <row r="277" spans="1:13">
      <c r="A277" t="s">
        <v>2807</v>
      </c>
      <c r="B277" s="342">
        <v>0.77600000000000002</v>
      </c>
      <c r="C277" s="342">
        <v>0.84299999999999997</v>
      </c>
      <c r="D277" s="342">
        <v>0.81899999999999995</v>
      </c>
      <c r="E277" s="342">
        <v>0.79500000000000004</v>
      </c>
      <c r="F277" s="342">
        <v>0.78900000000000003</v>
      </c>
      <c r="G277" s="342">
        <v>0.81499999999999995</v>
      </c>
      <c r="H277" s="342">
        <v>0.76500000000000001</v>
      </c>
      <c r="I277" s="342">
        <v>0.874</v>
      </c>
      <c r="J277" s="342">
        <v>0.82399999999999995</v>
      </c>
      <c r="K277" s="342">
        <v>0.76200000000000001</v>
      </c>
      <c r="L277" s="342">
        <v>0.89700000000000002</v>
      </c>
      <c r="M277" s="342">
        <v>0.81799999999999995</v>
      </c>
    </row>
    <row r="278" spans="1:13">
      <c r="A278" t="s">
        <v>1618</v>
      </c>
      <c r="B278" s="342">
        <v>0.108</v>
      </c>
      <c r="C278" s="342">
        <v>0.13500000000000001</v>
      </c>
      <c r="D278" s="342">
        <v>0.13400000000000001</v>
      </c>
      <c r="E278" s="342">
        <v>0.1</v>
      </c>
      <c r="F278" s="342">
        <v>0.187</v>
      </c>
      <c r="G278" s="342">
        <v>0.14000000000000001</v>
      </c>
      <c r="H278" s="342">
        <v>0.115</v>
      </c>
      <c r="I278" s="342">
        <v>0.108</v>
      </c>
      <c r="J278" s="342">
        <v>0.13100000000000001</v>
      </c>
      <c r="K278" s="342">
        <v>0.11</v>
      </c>
      <c r="L278" s="342">
        <v>8.3000000000000004E-2</v>
      </c>
      <c r="M278" s="342">
        <v>0.13400000000000001</v>
      </c>
    </row>
    <row r="279" spans="1:13">
      <c r="A279" t="s">
        <v>1619</v>
      </c>
      <c r="B279" s="342">
        <v>1.4999999999999999E-2</v>
      </c>
      <c r="C279" s="342">
        <v>7.0000000000000001E-3</v>
      </c>
      <c r="D279" s="342">
        <v>8.9999999999999993E-3</v>
      </c>
      <c r="E279" s="342">
        <v>3.0000000000000001E-3</v>
      </c>
      <c r="F279" s="342">
        <v>4.0000000000000001E-3</v>
      </c>
      <c r="G279" s="342">
        <v>3.0000000000000001E-3</v>
      </c>
      <c r="H279" s="342">
        <v>2.1999999999999999E-2</v>
      </c>
      <c r="I279" s="342">
        <v>8.9999999999999993E-3</v>
      </c>
      <c r="J279" s="342">
        <v>1.0999999999999999E-2</v>
      </c>
      <c r="K279" s="342">
        <v>2.1000000000000001E-2</v>
      </c>
      <c r="L279" s="342">
        <v>0.01</v>
      </c>
      <c r="M279" s="342">
        <v>1.0999999999999999E-2</v>
      </c>
    </row>
    <row r="280" spans="1:13">
      <c r="A280" t="s">
        <v>1620</v>
      </c>
      <c r="B280" s="342">
        <v>0.99299999999999999</v>
      </c>
      <c r="C280" s="342">
        <v>1.4430000000000001</v>
      </c>
      <c r="D280" s="342">
        <v>1.3180000000000001</v>
      </c>
      <c r="E280" s="342">
        <v>1.0449999999999999</v>
      </c>
      <c r="F280" s="342">
        <v>1.4870000000000001</v>
      </c>
      <c r="G280" s="342">
        <v>1.359</v>
      </c>
      <c r="H280" s="342">
        <v>0.95499999999999996</v>
      </c>
      <c r="I280" s="342">
        <v>1.468</v>
      </c>
      <c r="J280" s="342">
        <v>1.3220000000000001</v>
      </c>
      <c r="K280" s="342">
        <v>0.97199999999999998</v>
      </c>
      <c r="L280" s="342">
        <v>1.3580000000000001</v>
      </c>
      <c r="M280" s="342">
        <v>1.28</v>
      </c>
    </row>
    <row r="281" spans="1:13">
      <c r="A281" t="s">
        <v>2808</v>
      </c>
      <c r="B281" s="342">
        <v>0.42799999999999999</v>
      </c>
      <c r="C281" s="342">
        <v>0.34799999999999998</v>
      </c>
      <c r="D281" s="342">
        <v>0.36699999999999999</v>
      </c>
      <c r="E281" s="342">
        <v>0.41699999999999998</v>
      </c>
      <c r="F281" s="342">
        <v>0.32800000000000001</v>
      </c>
      <c r="G281" s="342">
        <v>0.35899999999999999</v>
      </c>
      <c r="H281" s="342">
        <v>0.44</v>
      </c>
      <c r="I281" s="342">
        <v>0.36</v>
      </c>
      <c r="J281" s="342">
        <v>0.36499999999999999</v>
      </c>
      <c r="K281" s="342">
        <v>0.42599999999999999</v>
      </c>
      <c r="L281" s="342">
        <v>0.36599999999999999</v>
      </c>
      <c r="M281" s="342">
        <v>0.375</v>
      </c>
    </row>
    <row r="282" spans="1:13">
      <c r="A282" t="s">
        <v>2809</v>
      </c>
      <c r="B282" s="342">
        <v>8.9999999999999993E-3</v>
      </c>
      <c r="C282" s="342">
        <v>5.0000000000000001E-3</v>
      </c>
      <c r="D282" s="342">
        <v>8.0000000000000002E-3</v>
      </c>
      <c r="E282" s="342">
        <v>1.7999999999999999E-2</v>
      </c>
      <c r="F282" s="342">
        <v>5.0000000000000001E-3</v>
      </c>
      <c r="G282" s="342">
        <v>8.0000000000000002E-3</v>
      </c>
      <c r="H282" s="342">
        <v>4.0000000000000001E-3</v>
      </c>
      <c r="I282" s="342">
        <v>5.0000000000000001E-3</v>
      </c>
      <c r="J282" s="342">
        <v>8.0000000000000002E-3</v>
      </c>
      <c r="K282" s="342">
        <v>3.0000000000000001E-3</v>
      </c>
      <c r="L282" s="342">
        <v>5.0000000000000001E-3</v>
      </c>
      <c r="M282" s="342">
        <v>8.9999999999999993E-3</v>
      </c>
    </row>
    <row r="283" spans="1:13">
      <c r="A283" t="s">
        <v>2810</v>
      </c>
      <c r="B283" s="342">
        <v>0.44</v>
      </c>
      <c r="C283" s="342">
        <v>0.245</v>
      </c>
      <c r="D283" s="342">
        <v>0.28499999999999998</v>
      </c>
      <c r="E283" s="342">
        <v>0.41599999999999998</v>
      </c>
      <c r="F283" s="342">
        <v>0.224</v>
      </c>
      <c r="G283" s="342">
        <v>0.27</v>
      </c>
      <c r="H283" s="342">
        <v>0.46500000000000002</v>
      </c>
      <c r="I283" s="342">
        <v>0.248</v>
      </c>
      <c r="J283" s="342">
        <v>0.28199999999999997</v>
      </c>
      <c r="K283" s="342">
        <v>0.442</v>
      </c>
      <c r="L283" s="342">
        <v>0.27300000000000002</v>
      </c>
      <c r="M283" s="342">
        <v>0.3</v>
      </c>
    </row>
    <row r="284" spans="1:13">
      <c r="A284" t="s">
        <v>9</v>
      </c>
      <c r="B284">
        <v>7.86</v>
      </c>
      <c r="C284">
        <v>9.26</v>
      </c>
      <c r="D284">
        <v>9.5</v>
      </c>
      <c r="E284">
        <v>7.92</v>
      </c>
      <c r="F284">
        <v>9.51</v>
      </c>
      <c r="G284">
        <v>9.6300000000000008</v>
      </c>
      <c r="H284">
        <v>8.32</v>
      </c>
      <c r="I284">
        <v>8.67</v>
      </c>
      <c r="J284">
        <v>9.65</v>
      </c>
      <c r="K284">
        <v>7.35</v>
      </c>
      <c r="L284">
        <v>9.57</v>
      </c>
      <c r="M284">
        <v>9.25</v>
      </c>
    </row>
    <row r="285" spans="1:13">
      <c r="A285" t="s">
        <v>8</v>
      </c>
      <c r="B285">
        <v>6.13</v>
      </c>
      <c r="C285">
        <v>6.34</v>
      </c>
      <c r="D285">
        <v>6.24</v>
      </c>
      <c r="E285">
        <v>7.28</v>
      </c>
      <c r="F285">
        <v>6.71</v>
      </c>
      <c r="G285">
        <v>6.93</v>
      </c>
      <c r="H285">
        <v>5.26</v>
      </c>
      <c r="I285">
        <v>5.89</v>
      </c>
      <c r="J285">
        <v>6.03</v>
      </c>
      <c r="K285">
        <v>5.98</v>
      </c>
      <c r="L285">
        <v>6.31</v>
      </c>
      <c r="M285">
        <v>5.91</v>
      </c>
    </row>
    <row r="286" spans="1:13">
      <c r="A286" t="s">
        <v>10</v>
      </c>
      <c r="B286">
        <v>21.62</v>
      </c>
      <c r="C286">
        <v>14.72</v>
      </c>
      <c r="D286">
        <v>16.760000000000002</v>
      </c>
      <c r="E286">
        <v>20.5</v>
      </c>
      <c r="F286">
        <v>14.24</v>
      </c>
      <c r="G286">
        <v>16.559999999999999</v>
      </c>
      <c r="H286">
        <v>23.97</v>
      </c>
      <c r="I286">
        <v>14.65</v>
      </c>
      <c r="J286">
        <v>17.63</v>
      </c>
      <c r="K286">
        <v>20.83</v>
      </c>
      <c r="L286">
        <v>15.61</v>
      </c>
      <c r="M286">
        <v>16.12</v>
      </c>
    </row>
    <row r="287" spans="1:13">
      <c r="A287" t="s">
        <v>1621</v>
      </c>
      <c r="B287" s="342">
        <v>0.24399999999999999</v>
      </c>
      <c r="C287" s="342">
        <v>0.19800000000000001</v>
      </c>
      <c r="D287" s="342">
        <v>0.20599999999999999</v>
      </c>
      <c r="E287" s="342">
        <v>0.215</v>
      </c>
      <c r="F287" s="342">
        <v>0.184</v>
      </c>
      <c r="G287" s="342">
        <v>0.188</v>
      </c>
      <c r="H287" s="342">
        <v>0.26900000000000002</v>
      </c>
      <c r="I287" s="342">
        <v>0.217</v>
      </c>
      <c r="J287" s="342">
        <v>0.21299999999999999</v>
      </c>
      <c r="K287" s="342">
        <v>0.255</v>
      </c>
      <c r="L287" s="342">
        <v>0.19900000000000001</v>
      </c>
      <c r="M287" s="342">
        <v>0.215</v>
      </c>
    </row>
    <row r="289" spans="1:13">
      <c r="A289" t="s">
        <v>2828</v>
      </c>
    </row>
    <row r="291" spans="1:13">
      <c r="A291" t="s">
        <v>158</v>
      </c>
      <c r="B291" t="s">
        <v>2806</v>
      </c>
      <c r="E291">
        <v>2017</v>
      </c>
      <c r="H291">
        <v>2018</v>
      </c>
      <c r="K291">
        <v>2019</v>
      </c>
    </row>
    <row r="292" spans="1:13">
      <c r="B292" t="s">
        <v>1623</v>
      </c>
      <c r="C292" t="s">
        <v>1624</v>
      </c>
      <c r="D292" t="s">
        <v>1622</v>
      </c>
      <c r="E292" t="s">
        <v>1623</v>
      </c>
      <c r="F292" t="s">
        <v>1624</v>
      </c>
      <c r="G292" t="s">
        <v>1622</v>
      </c>
      <c r="H292" t="s">
        <v>1623</v>
      </c>
      <c r="I292" t="s">
        <v>1624</v>
      </c>
      <c r="J292" t="s">
        <v>1622</v>
      </c>
      <c r="K292" t="s">
        <v>1623</v>
      </c>
      <c r="L292" t="s">
        <v>1624</v>
      </c>
      <c r="M292" t="s">
        <v>1622</v>
      </c>
    </row>
    <row r="293" spans="1:13">
      <c r="A293" t="s">
        <v>2807</v>
      </c>
      <c r="B293" s="342">
        <v>0.73199999999999998</v>
      </c>
      <c r="C293" s="342">
        <v>0.84899999999999998</v>
      </c>
      <c r="D293" s="342">
        <v>0.82299999999999995</v>
      </c>
      <c r="E293" s="342">
        <v>0.73099999999999998</v>
      </c>
      <c r="F293" s="342">
        <v>0.85399999999999998</v>
      </c>
      <c r="G293" s="342">
        <v>0.82699999999999996</v>
      </c>
      <c r="H293" s="342">
        <v>0.755</v>
      </c>
      <c r="I293" s="342">
        <v>0.85299999999999998</v>
      </c>
      <c r="J293" s="342">
        <v>0.82699999999999996</v>
      </c>
      <c r="K293" s="342">
        <v>0.71299999999999997</v>
      </c>
      <c r="L293" s="342">
        <v>0.83899999999999997</v>
      </c>
      <c r="M293" s="342">
        <v>0.81499999999999995</v>
      </c>
    </row>
    <row r="294" spans="1:13">
      <c r="A294" t="s">
        <v>1618</v>
      </c>
      <c r="B294" s="342">
        <v>0.158</v>
      </c>
      <c r="C294" s="342">
        <v>0.13500000000000001</v>
      </c>
      <c r="D294" s="342">
        <v>0.13</v>
      </c>
      <c r="E294" s="342">
        <v>0.16200000000000001</v>
      </c>
      <c r="F294" s="342">
        <v>0.127</v>
      </c>
      <c r="G294" s="342">
        <v>0.127</v>
      </c>
      <c r="H294" s="342">
        <v>0.13800000000000001</v>
      </c>
      <c r="I294" s="342">
        <v>0.13100000000000001</v>
      </c>
      <c r="J294" s="342">
        <v>0.125</v>
      </c>
      <c r="K294" s="342">
        <v>0.17299999999999999</v>
      </c>
      <c r="L294" s="342">
        <v>0.14599999999999999</v>
      </c>
      <c r="M294" s="342">
        <v>0.13900000000000001</v>
      </c>
    </row>
    <row r="295" spans="1:13">
      <c r="A295" t="s">
        <v>1619</v>
      </c>
      <c r="B295" s="342">
        <v>2.1999999999999999E-2</v>
      </c>
      <c r="C295" s="342">
        <v>1.0999999999999999E-2</v>
      </c>
      <c r="D295" s="342">
        <v>1.4E-2</v>
      </c>
      <c r="E295" s="342">
        <v>8.9999999999999993E-3</v>
      </c>
      <c r="F295" s="342">
        <v>5.0000000000000001E-3</v>
      </c>
      <c r="G295" s="342">
        <v>6.0000000000000001E-3</v>
      </c>
      <c r="H295" s="342">
        <v>2.9000000000000001E-2</v>
      </c>
      <c r="I295" s="342">
        <v>1.2E-2</v>
      </c>
      <c r="J295" s="342">
        <v>1.7000000000000001E-2</v>
      </c>
      <c r="K295" s="342">
        <v>2.5999999999999999E-2</v>
      </c>
      <c r="L295" s="342">
        <v>1.7000000000000001E-2</v>
      </c>
      <c r="M295" s="342">
        <v>1.9E-2</v>
      </c>
    </row>
    <row r="296" spans="1:13">
      <c r="A296" t="s">
        <v>1620</v>
      </c>
      <c r="B296" s="342">
        <v>0.94099999999999995</v>
      </c>
      <c r="C296" s="342">
        <v>1.67</v>
      </c>
      <c r="D296" s="342">
        <v>1.3240000000000001</v>
      </c>
      <c r="E296" s="342">
        <v>1.0229999999999999</v>
      </c>
      <c r="F296" s="342">
        <v>1.8380000000000001</v>
      </c>
      <c r="G296" s="342">
        <v>1.4159999999999999</v>
      </c>
      <c r="H296" s="342">
        <v>0.85899999999999999</v>
      </c>
      <c r="I296" s="342">
        <v>1.726</v>
      </c>
      <c r="J296" s="342">
        <v>1.3140000000000001</v>
      </c>
      <c r="K296" s="342">
        <v>0.95499999999999996</v>
      </c>
      <c r="L296" s="342">
        <v>1.4830000000000001</v>
      </c>
      <c r="M296" s="342">
        <v>1.256</v>
      </c>
    </row>
    <row r="297" spans="1:13">
      <c r="A297" t="s">
        <v>2808</v>
      </c>
      <c r="B297" s="342">
        <v>0.54200000000000004</v>
      </c>
      <c r="C297" s="342">
        <v>0.41299999999999998</v>
      </c>
      <c r="D297" s="342">
        <v>0.45700000000000002</v>
      </c>
      <c r="E297" s="342">
        <v>0.53100000000000003</v>
      </c>
      <c r="F297" s="342">
        <v>0.435</v>
      </c>
      <c r="G297" s="342">
        <v>0.47</v>
      </c>
      <c r="H297" s="342">
        <v>0.54900000000000004</v>
      </c>
      <c r="I297" s="342">
        <v>0.40300000000000002</v>
      </c>
      <c r="J297" s="342">
        <v>0.44400000000000001</v>
      </c>
      <c r="K297" s="342">
        <v>0.54400000000000004</v>
      </c>
      <c r="L297" s="342">
        <v>0.40500000000000003</v>
      </c>
      <c r="M297" s="342">
        <v>0.46</v>
      </c>
    </row>
    <row r="298" spans="1:13">
      <c r="A298" t="s">
        <v>2809</v>
      </c>
      <c r="B298" s="342">
        <v>0.01</v>
      </c>
      <c r="C298" s="342">
        <v>2.8000000000000001E-2</v>
      </c>
      <c r="D298" s="342">
        <v>1.4999999999999999E-2</v>
      </c>
      <c r="E298" s="342">
        <v>1.2E-2</v>
      </c>
      <c r="F298" s="342">
        <v>8.9999999999999993E-3</v>
      </c>
      <c r="G298" s="342">
        <v>0.01</v>
      </c>
      <c r="H298" s="342">
        <v>0.01</v>
      </c>
      <c r="I298" s="342">
        <v>1.4999999999999999E-2</v>
      </c>
      <c r="J298" s="342">
        <v>0.01</v>
      </c>
      <c r="K298" s="342">
        <v>8.9999999999999993E-3</v>
      </c>
      <c r="L298" s="342">
        <v>5.6000000000000001E-2</v>
      </c>
      <c r="M298" s="342">
        <v>2.4E-2</v>
      </c>
    </row>
    <row r="299" spans="1:13">
      <c r="A299" t="s">
        <v>2810</v>
      </c>
      <c r="B299" s="342">
        <v>0.58699999999999997</v>
      </c>
      <c r="C299" s="342">
        <v>0.26400000000000001</v>
      </c>
      <c r="D299" s="342">
        <v>0.35699999999999998</v>
      </c>
      <c r="E299" s="342">
        <v>0.53100000000000003</v>
      </c>
      <c r="F299" s="342">
        <v>0.24199999999999999</v>
      </c>
      <c r="G299" s="342">
        <v>0.33900000000000002</v>
      </c>
      <c r="H299" s="342">
        <v>0.65</v>
      </c>
      <c r="I299" s="342">
        <v>0.24199999999999999</v>
      </c>
      <c r="J299" s="342">
        <v>0.34599999999999997</v>
      </c>
      <c r="K299" s="342">
        <v>0.57899999999999996</v>
      </c>
      <c r="L299" s="342">
        <v>0.311</v>
      </c>
      <c r="M299" s="342">
        <v>0.38500000000000001</v>
      </c>
    </row>
    <row r="300" spans="1:13">
      <c r="A300" t="s">
        <v>9</v>
      </c>
      <c r="B300">
        <v>7.48</v>
      </c>
      <c r="C300">
        <v>10.74</v>
      </c>
      <c r="D300">
        <v>8.58</v>
      </c>
      <c r="E300">
        <v>7.06</v>
      </c>
      <c r="F300">
        <v>10.19</v>
      </c>
      <c r="G300">
        <v>8.4600000000000009</v>
      </c>
      <c r="H300">
        <v>7.2</v>
      </c>
      <c r="I300">
        <v>11.27</v>
      </c>
      <c r="J300">
        <v>8.7100000000000009</v>
      </c>
      <c r="K300">
        <v>8.17</v>
      </c>
      <c r="L300">
        <v>10.71</v>
      </c>
      <c r="M300">
        <v>8.5399999999999991</v>
      </c>
    </row>
    <row r="301" spans="1:13">
      <c r="A301" t="s">
        <v>8</v>
      </c>
      <c r="B301">
        <v>7.43</v>
      </c>
      <c r="C301">
        <v>8.93</v>
      </c>
      <c r="D301">
        <v>8.0299999999999994</v>
      </c>
      <c r="E301">
        <v>9.16</v>
      </c>
      <c r="F301">
        <v>9.19</v>
      </c>
      <c r="G301">
        <v>8.49</v>
      </c>
      <c r="H301">
        <v>6.46</v>
      </c>
      <c r="I301">
        <v>8.51</v>
      </c>
      <c r="J301">
        <v>7.72</v>
      </c>
      <c r="K301">
        <v>7.2</v>
      </c>
      <c r="L301">
        <v>9.2200000000000006</v>
      </c>
      <c r="M301">
        <v>7.97</v>
      </c>
    </row>
    <row r="302" spans="1:13">
      <c r="A302" t="s">
        <v>10</v>
      </c>
      <c r="B302">
        <v>21.75</v>
      </c>
      <c r="C302">
        <v>19.649999999999999</v>
      </c>
      <c r="D302">
        <v>18.52</v>
      </c>
      <c r="E302">
        <v>22.87</v>
      </c>
      <c r="F302">
        <v>18.34</v>
      </c>
      <c r="G302">
        <v>19.079999999999998</v>
      </c>
      <c r="H302">
        <v>19.079999999999998</v>
      </c>
      <c r="I302">
        <v>19.57</v>
      </c>
      <c r="J302">
        <v>18.329999999999998</v>
      </c>
      <c r="K302">
        <v>23.67</v>
      </c>
      <c r="L302">
        <v>21.2</v>
      </c>
      <c r="M302">
        <v>18.23</v>
      </c>
    </row>
    <row r="303" spans="1:13">
      <c r="A303" t="s">
        <v>1621</v>
      </c>
      <c r="B303" s="342">
        <v>0.222</v>
      </c>
      <c r="C303" s="342">
        <v>0.154</v>
      </c>
      <c r="D303" s="342">
        <v>0.187</v>
      </c>
      <c r="E303" s="342">
        <v>0.20699999999999999</v>
      </c>
      <c r="F303" s="342">
        <v>0.152</v>
      </c>
      <c r="G303" s="342">
        <v>0.184</v>
      </c>
      <c r="H303" s="342">
        <v>0.24099999999999999</v>
      </c>
      <c r="I303" s="342">
        <v>0.155</v>
      </c>
      <c r="J303" s="342">
        <v>0.19</v>
      </c>
      <c r="K303" s="342">
        <v>0.219</v>
      </c>
      <c r="L303" s="342">
        <v>0.155</v>
      </c>
      <c r="M303" s="342">
        <v>0.188</v>
      </c>
    </row>
    <row r="305" spans="1:13">
      <c r="A305" t="s">
        <v>2829</v>
      </c>
    </row>
    <row r="307" spans="1:13">
      <c r="A307" t="s">
        <v>158</v>
      </c>
      <c r="B307" t="s">
        <v>2806</v>
      </c>
      <c r="E307">
        <v>2017</v>
      </c>
      <c r="H307">
        <v>2018</v>
      </c>
      <c r="K307">
        <v>2019</v>
      </c>
    </row>
    <row r="308" spans="1:13">
      <c r="B308" t="s">
        <v>1623</v>
      </c>
      <c r="C308" t="s">
        <v>1624</v>
      </c>
      <c r="D308" t="s">
        <v>1622</v>
      </c>
      <c r="E308" t="s">
        <v>1623</v>
      </c>
      <c r="F308" t="s">
        <v>1624</v>
      </c>
      <c r="G308" t="s">
        <v>1622</v>
      </c>
      <c r="H308" t="s">
        <v>1623</v>
      </c>
      <c r="I308" t="s">
        <v>1624</v>
      </c>
      <c r="J308" t="s">
        <v>1622</v>
      </c>
      <c r="K308" t="s">
        <v>1623</v>
      </c>
      <c r="L308" t="s">
        <v>1624</v>
      </c>
      <c r="M308" t="s">
        <v>1622</v>
      </c>
    </row>
    <row r="309" spans="1:13">
      <c r="A309" t="s">
        <v>2807</v>
      </c>
      <c r="B309" s="342">
        <v>0.83499999999999996</v>
      </c>
      <c r="C309" s="342">
        <v>0.90100000000000002</v>
      </c>
      <c r="D309" s="342">
        <v>0.877</v>
      </c>
      <c r="E309" s="342">
        <v>0.85199999999999998</v>
      </c>
      <c r="F309" s="342">
        <v>0.91300000000000003</v>
      </c>
      <c r="G309" s="342">
        <v>0.88200000000000001</v>
      </c>
      <c r="H309" s="342">
        <v>0.82899999999999996</v>
      </c>
      <c r="I309" s="342">
        <v>0.89700000000000002</v>
      </c>
      <c r="J309" s="342">
        <v>0.877</v>
      </c>
      <c r="K309" s="342">
        <v>0.81899999999999995</v>
      </c>
      <c r="L309" s="342">
        <v>0.9</v>
      </c>
      <c r="M309" s="342">
        <v>0.872</v>
      </c>
    </row>
    <row r="310" spans="1:13">
      <c r="A310" t="s">
        <v>1618</v>
      </c>
      <c r="B310" s="342">
        <v>4.2000000000000003E-2</v>
      </c>
      <c r="C310" s="342">
        <v>8.1000000000000003E-2</v>
      </c>
      <c r="D310" s="342">
        <v>6.9000000000000006E-2</v>
      </c>
      <c r="E310" s="342">
        <v>4.1000000000000002E-2</v>
      </c>
      <c r="F310" s="342">
        <v>7.1999999999999995E-2</v>
      </c>
      <c r="G310" s="342">
        <v>6.2E-2</v>
      </c>
      <c r="H310" s="342">
        <v>4.2999999999999997E-2</v>
      </c>
      <c r="I310" s="342">
        <v>8.4000000000000005E-2</v>
      </c>
      <c r="J310" s="342">
        <v>7.3999999999999996E-2</v>
      </c>
      <c r="K310" s="342">
        <v>4.1000000000000002E-2</v>
      </c>
      <c r="L310" s="342">
        <v>8.2000000000000003E-2</v>
      </c>
      <c r="M310" s="342">
        <v>6.7000000000000004E-2</v>
      </c>
    </row>
    <row r="311" spans="1:13">
      <c r="A311" t="s">
        <v>1619</v>
      </c>
      <c r="B311" s="342">
        <v>8.9999999999999993E-3</v>
      </c>
      <c r="C311" s="342">
        <v>5.0000000000000001E-3</v>
      </c>
      <c r="D311" s="342">
        <v>8.0000000000000002E-3</v>
      </c>
      <c r="E311" s="342">
        <v>2E-3</v>
      </c>
      <c r="F311" s="342">
        <v>2E-3</v>
      </c>
      <c r="G311" s="342">
        <v>2E-3</v>
      </c>
      <c r="H311" s="342">
        <v>1.4E-2</v>
      </c>
      <c r="I311" s="342">
        <v>5.0000000000000001E-3</v>
      </c>
      <c r="J311" s="342">
        <v>8.9999999999999993E-3</v>
      </c>
      <c r="K311" s="342">
        <v>0.01</v>
      </c>
      <c r="L311" s="342">
        <v>0.01</v>
      </c>
      <c r="M311" s="342">
        <v>1.0999999999999999E-2</v>
      </c>
    </row>
    <row r="312" spans="1:13">
      <c r="A312" t="s">
        <v>1620</v>
      </c>
      <c r="B312" s="342">
        <v>0.96299999999999997</v>
      </c>
      <c r="C312" s="342">
        <v>1.399</v>
      </c>
      <c r="D312" s="342">
        <v>1.1890000000000001</v>
      </c>
      <c r="E312" s="342">
        <v>1.038</v>
      </c>
      <c r="F312" s="342">
        <v>1.3839999999999999</v>
      </c>
      <c r="G312" s="342">
        <v>1.2230000000000001</v>
      </c>
      <c r="H312" s="342">
        <v>0.98599999999999999</v>
      </c>
      <c r="I312" s="342">
        <v>1.52</v>
      </c>
      <c r="J312" s="342">
        <v>1.2989999999999999</v>
      </c>
      <c r="K312" s="342">
        <v>0.85499999999999998</v>
      </c>
      <c r="L312" s="342">
        <v>1.0580000000000001</v>
      </c>
      <c r="M312" s="342">
        <v>1.022</v>
      </c>
    </row>
    <row r="313" spans="1:13">
      <c r="A313" t="s">
        <v>2808</v>
      </c>
      <c r="B313" s="342">
        <v>0.24</v>
      </c>
      <c r="C313" s="342">
        <v>0.28599999999999998</v>
      </c>
      <c r="D313" s="342">
        <v>0.30399999999999999</v>
      </c>
      <c r="E313" s="342">
        <v>0.23100000000000001</v>
      </c>
      <c r="F313" s="342">
        <v>0.28599999999999998</v>
      </c>
      <c r="G313" s="342">
        <v>0.308</v>
      </c>
      <c r="H313" s="342">
        <v>0.27500000000000002</v>
      </c>
      <c r="I313" s="342">
        <v>0.247</v>
      </c>
      <c r="J313" s="342">
        <v>0.29399999999999998</v>
      </c>
      <c r="K313" s="342">
        <v>0.20499999999999999</v>
      </c>
      <c r="L313" s="342">
        <v>0.40300000000000002</v>
      </c>
      <c r="M313" s="342">
        <v>0.313</v>
      </c>
    </row>
    <row r="314" spans="1:13">
      <c r="A314" t="s">
        <v>2809</v>
      </c>
      <c r="B314" s="342">
        <v>4.0000000000000001E-3</v>
      </c>
      <c r="C314" s="342">
        <v>1.4E-2</v>
      </c>
      <c r="D314" s="342">
        <v>1.0999999999999999E-2</v>
      </c>
      <c r="E314" s="342">
        <v>1E-3</v>
      </c>
      <c r="F314" s="342">
        <v>2.1999999999999999E-2</v>
      </c>
      <c r="G314" s="342">
        <v>1.0999999999999999E-2</v>
      </c>
      <c r="H314" s="342">
        <v>2E-3</v>
      </c>
      <c r="I314" s="342">
        <v>1.4E-2</v>
      </c>
      <c r="J314" s="342">
        <v>1.0999999999999999E-2</v>
      </c>
      <c r="K314" s="342">
        <v>1.0999999999999999E-2</v>
      </c>
      <c r="L314" s="342">
        <v>2E-3</v>
      </c>
      <c r="M314" s="342">
        <v>1.0999999999999999E-2</v>
      </c>
    </row>
    <row r="315" spans="1:13">
      <c r="A315" t="s">
        <v>2810</v>
      </c>
      <c r="B315" s="342">
        <v>0.254</v>
      </c>
      <c r="C315" s="342">
        <v>0.214</v>
      </c>
      <c r="D315" s="342">
        <v>0.26500000000000001</v>
      </c>
      <c r="E315" s="342">
        <v>0.224</v>
      </c>
      <c r="F315" s="342">
        <v>0.223</v>
      </c>
      <c r="G315" s="342">
        <v>0.26100000000000001</v>
      </c>
      <c r="H315" s="342">
        <v>0.28199999999999997</v>
      </c>
      <c r="I315" s="342">
        <v>0.17199999999999999</v>
      </c>
      <c r="J315" s="342">
        <v>0.23499999999999999</v>
      </c>
      <c r="K315" s="342">
        <v>0.252</v>
      </c>
      <c r="L315" s="342">
        <v>0.38300000000000001</v>
      </c>
      <c r="M315" s="342">
        <v>0.317</v>
      </c>
    </row>
    <row r="316" spans="1:13">
      <c r="A316" t="s">
        <v>9</v>
      </c>
      <c r="B316">
        <v>7.89</v>
      </c>
      <c r="C316">
        <v>9.19</v>
      </c>
      <c r="D316">
        <v>8.44</v>
      </c>
      <c r="E316">
        <v>6.98</v>
      </c>
      <c r="F316">
        <v>8.15</v>
      </c>
      <c r="G316">
        <v>8.2200000000000006</v>
      </c>
      <c r="H316">
        <v>7.65</v>
      </c>
      <c r="I316">
        <v>10.23</v>
      </c>
      <c r="J316">
        <v>9.19</v>
      </c>
      <c r="K316">
        <v>10.02</v>
      </c>
      <c r="L316">
        <v>7.54</v>
      </c>
      <c r="M316">
        <v>7.66</v>
      </c>
    </row>
    <row r="317" spans="1:13">
      <c r="A317" t="s">
        <v>8</v>
      </c>
      <c r="B317">
        <v>14.15</v>
      </c>
      <c r="C317">
        <v>6.96</v>
      </c>
      <c r="D317">
        <v>8.64</v>
      </c>
      <c r="E317">
        <v>11.07</v>
      </c>
      <c r="F317">
        <v>8.02</v>
      </c>
      <c r="G317">
        <v>9.6199999999999992</v>
      </c>
      <c r="H317">
        <v>14.7</v>
      </c>
      <c r="I317">
        <v>6.46</v>
      </c>
      <c r="J317">
        <v>7.85</v>
      </c>
      <c r="K317">
        <v>20.43</v>
      </c>
      <c r="L317">
        <v>7.75</v>
      </c>
      <c r="M317">
        <v>9.18</v>
      </c>
    </row>
    <row r="318" spans="1:13">
      <c r="A318" t="s">
        <v>10</v>
      </c>
      <c r="B318">
        <v>24.8</v>
      </c>
      <c r="C318">
        <v>13.48</v>
      </c>
      <c r="D318">
        <v>16.27</v>
      </c>
      <c r="E318">
        <v>24.68</v>
      </c>
      <c r="F318">
        <v>27.16</v>
      </c>
      <c r="G318">
        <v>22.44</v>
      </c>
      <c r="H318">
        <v>26.83</v>
      </c>
      <c r="I318">
        <v>10.97</v>
      </c>
      <c r="J318">
        <v>13.18</v>
      </c>
      <c r="K318">
        <v>22.48</v>
      </c>
      <c r="L318">
        <v>15.4</v>
      </c>
      <c r="M318">
        <v>18.100000000000001</v>
      </c>
    </row>
    <row r="319" spans="1:13">
      <c r="A319" t="s">
        <v>1621</v>
      </c>
      <c r="B319" s="342">
        <v>0.157</v>
      </c>
      <c r="C319" s="342">
        <v>0.17799999999999999</v>
      </c>
      <c r="D319" s="342">
        <v>0.17299999999999999</v>
      </c>
      <c r="E319" s="342">
        <v>0.193</v>
      </c>
      <c r="F319" s="342">
        <v>0.21099999999999999</v>
      </c>
      <c r="G319" s="342">
        <v>0.18099999999999999</v>
      </c>
      <c r="H319" s="342">
        <v>0.161</v>
      </c>
      <c r="I319" s="342">
        <v>0.161</v>
      </c>
      <c r="J319" s="342">
        <v>0.16</v>
      </c>
      <c r="K319" s="342">
        <v>0.104</v>
      </c>
      <c r="L319" s="342">
        <v>0.19700000000000001</v>
      </c>
      <c r="M319" s="342">
        <v>0.184</v>
      </c>
    </row>
    <row r="321" spans="1:13">
      <c r="A321" t="s">
        <v>2830</v>
      </c>
    </row>
    <row r="323" spans="1:13">
      <c r="A323" t="s">
        <v>158</v>
      </c>
      <c r="B323" t="s">
        <v>2806</v>
      </c>
      <c r="E323">
        <v>2017</v>
      </c>
      <c r="H323">
        <v>2018</v>
      </c>
      <c r="K323">
        <v>2019</v>
      </c>
    </row>
    <row r="324" spans="1:13">
      <c r="B324" t="s">
        <v>1623</v>
      </c>
      <c r="C324" t="s">
        <v>1624</v>
      </c>
      <c r="D324" t="s">
        <v>1622</v>
      </c>
      <c r="E324" t="s">
        <v>1623</v>
      </c>
      <c r="F324" t="s">
        <v>1624</v>
      </c>
      <c r="G324" t="s">
        <v>1622</v>
      </c>
      <c r="H324" t="s">
        <v>1623</v>
      </c>
      <c r="I324" t="s">
        <v>1624</v>
      </c>
      <c r="J324" t="s">
        <v>1622</v>
      </c>
      <c r="K324" t="s">
        <v>1623</v>
      </c>
      <c r="L324" t="s">
        <v>1624</v>
      </c>
      <c r="M324" t="s">
        <v>1622</v>
      </c>
    </row>
    <row r="325" spans="1:13">
      <c r="A325" t="s">
        <v>2807</v>
      </c>
      <c r="B325" s="342">
        <v>0.41299999999999998</v>
      </c>
      <c r="C325" s="342">
        <v>0.79200000000000004</v>
      </c>
      <c r="D325" s="342">
        <v>0.70299999999999996</v>
      </c>
      <c r="E325" s="342">
        <v>0.4</v>
      </c>
      <c r="F325" s="342">
        <v>0.755</v>
      </c>
      <c r="G325" s="342">
        <v>0.68700000000000006</v>
      </c>
      <c r="H325" s="342">
        <v>0.41199999999999998</v>
      </c>
      <c r="I325" s="342">
        <v>0.76</v>
      </c>
      <c r="J325" s="342">
        <v>0.71399999999999997</v>
      </c>
      <c r="K325" s="342">
        <v>0.42299999999999999</v>
      </c>
      <c r="L325" s="342">
        <v>0.84099999999999997</v>
      </c>
      <c r="M325" s="342">
        <v>0.70599999999999996</v>
      </c>
    </row>
    <row r="326" spans="1:13">
      <c r="A326" t="s">
        <v>1618</v>
      </c>
      <c r="B326" s="342">
        <v>0.48799999999999999</v>
      </c>
      <c r="C326" s="342">
        <v>0.193</v>
      </c>
      <c r="D326" s="342">
        <v>0.247</v>
      </c>
      <c r="E326" s="342">
        <v>0.495</v>
      </c>
      <c r="F326" s="342">
        <v>0.24</v>
      </c>
      <c r="G326" s="342">
        <v>0.26700000000000002</v>
      </c>
      <c r="H326" s="342">
        <v>0.49399999999999999</v>
      </c>
      <c r="I326" s="342">
        <v>0.23100000000000001</v>
      </c>
      <c r="J326" s="342">
        <v>0.23699999999999999</v>
      </c>
      <c r="K326" s="342">
        <v>0.47899999999999998</v>
      </c>
      <c r="L326" s="342">
        <v>0.13200000000000001</v>
      </c>
      <c r="M326" s="342">
        <v>0.24099999999999999</v>
      </c>
    </row>
    <row r="327" spans="1:13">
      <c r="A327" t="s">
        <v>1619</v>
      </c>
      <c r="B327" s="342">
        <v>2.1999999999999999E-2</v>
      </c>
      <c r="C327" s="342">
        <v>1.4E-2</v>
      </c>
      <c r="D327" s="342">
        <v>1.4E-2</v>
      </c>
      <c r="E327" s="342">
        <v>2.4E-2</v>
      </c>
      <c r="F327" s="342">
        <v>4.0000000000000001E-3</v>
      </c>
      <c r="G327" s="342">
        <v>0.01</v>
      </c>
      <c r="H327" s="342">
        <v>2.3E-2</v>
      </c>
      <c r="I327" s="342">
        <v>3.1E-2</v>
      </c>
      <c r="J327" s="342">
        <v>1.6E-2</v>
      </c>
      <c r="K327" s="342">
        <v>2.1000000000000001E-2</v>
      </c>
      <c r="L327" s="342">
        <v>1.2E-2</v>
      </c>
      <c r="M327" s="342">
        <v>1.4E-2</v>
      </c>
    </row>
    <row r="328" spans="1:13">
      <c r="A328" t="s">
        <v>1620</v>
      </c>
      <c r="B328" s="342">
        <v>0.78900000000000003</v>
      </c>
      <c r="C328" s="342">
        <v>1.264</v>
      </c>
      <c r="D328" s="342">
        <v>1.129</v>
      </c>
      <c r="E328" s="342">
        <v>0.85499999999999998</v>
      </c>
      <c r="F328" s="342">
        <v>1.2669999999999999</v>
      </c>
      <c r="G328" s="342">
        <v>1.2290000000000001</v>
      </c>
      <c r="H328" s="342">
        <v>0.76800000000000002</v>
      </c>
      <c r="I328" s="342">
        <v>1.0980000000000001</v>
      </c>
      <c r="J328" s="342">
        <v>1.1080000000000001</v>
      </c>
      <c r="K328" s="342">
        <v>0.77300000000000002</v>
      </c>
      <c r="L328" s="342">
        <v>1.391</v>
      </c>
      <c r="M328" s="342">
        <v>1.0760000000000001</v>
      </c>
    </row>
    <row r="329" spans="1:13">
      <c r="A329" t="s">
        <v>2808</v>
      </c>
      <c r="B329" s="342">
        <v>0.25800000000000001</v>
      </c>
      <c r="C329" s="342">
        <v>0.36</v>
      </c>
      <c r="D329" s="342">
        <v>0.30399999999999999</v>
      </c>
      <c r="E329" s="342">
        <v>0.32100000000000001</v>
      </c>
      <c r="F329" s="342">
        <v>0.32500000000000001</v>
      </c>
      <c r="G329" s="342">
        <v>0.34699999999999998</v>
      </c>
      <c r="H329" s="342">
        <v>0.24399999999999999</v>
      </c>
      <c r="I329" s="342">
        <v>0.28599999999999998</v>
      </c>
      <c r="J329" s="342">
        <v>0.28399999999999997</v>
      </c>
      <c r="K329" s="342">
        <v>0.23699999999999999</v>
      </c>
      <c r="L329" s="342">
        <v>0.44800000000000001</v>
      </c>
      <c r="M329" s="342">
        <v>0.29199999999999998</v>
      </c>
    </row>
    <row r="330" spans="1:13">
      <c r="A330" t="s">
        <v>2809</v>
      </c>
      <c r="B330" s="342">
        <v>4.0000000000000001E-3</v>
      </c>
      <c r="C330" s="342">
        <v>1.4999999999999999E-2</v>
      </c>
      <c r="D330" s="342">
        <v>1.0999999999999999E-2</v>
      </c>
      <c r="E330" s="342">
        <v>4.0000000000000001E-3</v>
      </c>
      <c r="F330" s="342">
        <v>5.0000000000000001E-3</v>
      </c>
      <c r="G330" s="342">
        <v>1.4E-2</v>
      </c>
      <c r="H330" s="342">
        <v>5.0000000000000001E-3</v>
      </c>
      <c r="I330" s="342">
        <v>5.0000000000000001E-3</v>
      </c>
      <c r="J330" s="342">
        <v>0.01</v>
      </c>
      <c r="K330" s="342">
        <v>4.0000000000000001E-3</v>
      </c>
      <c r="L330" s="342">
        <v>3.1E-2</v>
      </c>
      <c r="M330" s="342">
        <v>0.01</v>
      </c>
    </row>
    <row r="331" spans="1:13">
      <c r="A331" t="s">
        <v>2810</v>
      </c>
      <c r="B331" s="342">
        <v>0.33300000000000002</v>
      </c>
      <c r="C331" s="342">
        <v>0.29699999999999999</v>
      </c>
      <c r="D331" s="342">
        <v>0.27900000000000003</v>
      </c>
      <c r="E331" s="342">
        <v>0.38100000000000001</v>
      </c>
      <c r="F331" s="342">
        <v>0.26</v>
      </c>
      <c r="G331" s="342">
        <v>0.29299999999999998</v>
      </c>
      <c r="H331" s="342">
        <v>0.32400000000000001</v>
      </c>
      <c r="I331" s="342">
        <v>0.26500000000000001</v>
      </c>
      <c r="J331" s="342">
        <v>0.26500000000000001</v>
      </c>
      <c r="K331" s="342">
        <v>0.312</v>
      </c>
      <c r="L331" s="342">
        <v>0.34499999999999997</v>
      </c>
      <c r="M331" s="342">
        <v>0.28000000000000003</v>
      </c>
    </row>
    <row r="332" spans="1:13">
      <c r="A332" t="s">
        <v>9</v>
      </c>
      <c r="B332">
        <v>14.97</v>
      </c>
      <c r="C332">
        <v>8.39</v>
      </c>
      <c r="D332">
        <v>10.09</v>
      </c>
      <c r="E332">
        <v>13.08</v>
      </c>
      <c r="F332">
        <v>8.0399999999999991</v>
      </c>
      <c r="G332">
        <v>9.02</v>
      </c>
      <c r="H332">
        <v>16.3</v>
      </c>
      <c r="I332">
        <v>7.53</v>
      </c>
      <c r="J332">
        <v>10.31</v>
      </c>
      <c r="K332">
        <v>15.17</v>
      </c>
      <c r="L332">
        <v>9.3800000000000008</v>
      </c>
      <c r="M332">
        <v>10.97</v>
      </c>
    </row>
    <row r="333" spans="1:13">
      <c r="A333" t="s">
        <v>8</v>
      </c>
      <c r="B333">
        <v>22.04</v>
      </c>
      <c r="C333">
        <v>8.6199999999999992</v>
      </c>
      <c r="D333">
        <v>12.8</v>
      </c>
      <c r="E333">
        <v>36.14</v>
      </c>
      <c r="F333">
        <v>9.9499999999999993</v>
      </c>
      <c r="G333">
        <v>12.16</v>
      </c>
      <c r="H333">
        <v>19.13</v>
      </c>
      <c r="I333">
        <v>8.06</v>
      </c>
      <c r="J333">
        <v>12.76</v>
      </c>
      <c r="K333">
        <v>20.100000000000001</v>
      </c>
      <c r="L333">
        <v>8.1300000000000008</v>
      </c>
      <c r="M333">
        <v>13.46</v>
      </c>
    </row>
    <row r="334" spans="1:13">
      <c r="A334" t="s">
        <v>10</v>
      </c>
      <c r="B334">
        <v>32.83</v>
      </c>
      <c r="C334">
        <v>18.16</v>
      </c>
      <c r="D334">
        <v>19.899999999999999</v>
      </c>
      <c r="E334">
        <v>35.75</v>
      </c>
      <c r="F334">
        <v>15.07</v>
      </c>
      <c r="G334">
        <v>17.350000000000001</v>
      </c>
      <c r="H334">
        <v>31.2</v>
      </c>
      <c r="I334">
        <v>18.510000000000002</v>
      </c>
      <c r="J334">
        <v>20.399999999999999</v>
      </c>
      <c r="K334">
        <v>32.79</v>
      </c>
      <c r="L334">
        <v>21.28</v>
      </c>
      <c r="M334">
        <v>22.13</v>
      </c>
    </row>
    <row r="335" spans="1:13">
      <c r="A335" t="s">
        <v>1621</v>
      </c>
      <c r="B335" s="342">
        <v>8.2000000000000003E-2</v>
      </c>
      <c r="C335" s="342">
        <v>0.18</v>
      </c>
      <c r="D335" s="342">
        <v>0.127</v>
      </c>
      <c r="E335" s="342">
        <v>7.5999999999999998E-2</v>
      </c>
      <c r="F335" s="342">
        <v>0.159</v>
      </c>
      <c r="G335" s="342">
        <v>0.13500000000000001</v>
      </c>
      <c r="H335" s="342">
        <v>8.2000000000000003E-2</v>
      </c>
      <c r="I335" s="342">
        <v>0.20300000000000001</v>
      </c>
      <c r="J335" s="342">
        <v>0.126</v>
      </c>
      <c r="K335" s="342">
        <v>8.5000000000000006E-2</v>
      </c>
      <c r="L335" s="342">
        <v>0.183</v>
      </c>
      <c r="M335" s="342">
        <v>0.12</v>
      </c>
    </row>
    <row r="337" spans="1:13">
      <c r="A337" t="s">
        <v>2831</v>
      </c>
    </row>
    <row r="339" spans="1:13">
      <c r="A339" t="s">
        <v>158</v>
      </c>
      <c r="B339" t="s">
        <v>2806</v>
      </c>
      <c r="E339">
        <v>2017</v>
      </c>
      <c r="H339">
        <v>2018</v>
      </c>
      <c r="K339">
        <v>2019</v>
      </c>
    </row>
    <row r="340" spans="1:13">
      <c r="B340" t="s">
        <v>1623</v>
      </c>
      <c r="C340" t="s">
        <v>1624</v>
      </c>
      <c r="D340" t="s">
        <v>1622</v>
      </c>
      <c r="E340" t="s">
        <v>1623</v>
      </c>
      <c r="F340" t="s">
        <v>1624</v>
      </c>
      <c r="G340" t="s">
        <v>1622</v>
      </c>
      <c r="H340" t="s">
        <v>1623</v>
      </c>
      <c r="I340" t="s">
        <v>1624</v>
      </c>
      <c r="J340" t="s">
        <v>1622</v>
      </c>
      <c r="K340" t="s">
        <v>1623</v>
      </c>
      <c r="L340" t="s">
        <v>1624</v>
      </c>
      <c r="M340" t="s">
        <v>1622</v>
      </c>
    </row>
    <row r="341" spans="1:13">
      <c r="A341" t="s">
        <v>2807</v>
      </c>
      <c r="B341" s="342">
        <v>0.73299999999999998</v>
      </c>
      <c r="C341" s="342">
        <v>0.92700000000000005</v>
      </c>
      <c r="D341" s="342">
        <v>0.81899999999999995</v>
      </c>
      <c r="E341" s="342">
        <v>0.74299999999999999</v>
      </c>
      <c r="F341" s="342">
        <v>0.90500000000000003</v>
      </c>
      <c r="G341" s="342">
        <v>0.78200000000000003</v>
      </c>
      <c r="H341" s="342">
        <v>0.749</v>
      </c>
      <c r="I341" s="342">
        <v>0.94499999999999995</v>
      </c>
      <c r="J341" s="342">
        <v>0.83399999999999996</v>
      </c>
      <c r="K341" s="342">
        <v>0.69399999999999995</v>
      </c>
      <c r="L341" s="342">
        <v>0.92</v>
      </c>
      <c r="M341" s="342">
        <v>0.83299999999999996</v>
      </c>
    </row>
    <row r="342" spans="1:13">
      <c r="A342" t="s">
        <v>1618</v>
      </c>
      <c r="B342" s="342">
        <v>0.158</v>
      </c>
      <c r="C342" s="342">
        <v>0.06</v>
      </c>
      <c r="D342" s="342">
        <v>0.13600000000000001</v>
      </c>
      <c r="E342" s="342">
        <v>0.152</v>
      </c>
      <c r="F342" s="342">
        <v>0.08</v>
      </c>
      <c r="G342" s="342">
        <v>0.16600000000000001</v>
      </c>
      <c r="H342" s="342">
        <v>0.14899999999999999</v>
      </c>
      <c r="I342" s="342">
        <v>4.1000000000000002E-2</v>
      </c>
      <c r="J342" s="342">
        <v>0.121</v>
      </c>
      <c r="K342" s="342">
        <v>0.18</v>
      </c>
      <c r="L342" s="342">
        <v>6.8000000000000005E-2</v>
      </c>
      <c r="M342" s="342">
        <v>0.129</v>
      </c>
    </row>
    <row r="343" spans="1:13">
      <c r="A343" t="s">
        <v>1619</v>
      </c>
      <c r="B343" s="342">
        <v>1.4999999999999999E-2</v>
      </c>
      <c r="C343" s="342">
        <v>0.01</v>
      </c>
      <c r="D343" s="342">
        <v>8.9999999999999993E-3</v>
      </c>
      <c r="E343" s="342">
        <v>3.0000000000000001E-3</v>
      </c>
      <c r="F343" s="342">
        <v>5.0000000000000001E-3</v>
      </c>
      <c r="G343" s="342">
        <v>4.0000000000000001E-3</v>
      </c>
      <c r="H343" s="342">
        <v>0.02</v>
      </c>
      <c r="I343" s="342">
        <v>1.0999999999999999E-2</v>
      </c>
      <c r="J343" s="342">
        <v>0.01</v>
      </c>
      <c r="K343" s="342">
        <v>2.7E-2</v>
      </c>
      <c r="L343" s="342">
        <v>1.0999999999999999E-2</v>
      </c>
      <c r="M343" s="342">
        <v>1.0999999999999999E-2</v>
      </c>
    </row>
    <row r="344" spans="1:13">
      <c r="A344" t="s">
        <v>1620</v>
      </c>
      <c r="B344" s="342">
        <v>1.008</v>
      </c>
      <c r="C344" s="342">
        <v>1.57</v>
      </c>
      <c r="D344" s="342">
        <v>1.1439999999999999</v>
      </c>
      <c r="E344" s="342">
        <v>1.1060000000000001</v>
      </c>
      <c r="F344" s="342">
        <v>1.5089999999999999</v>
      </c>
      <c r="G344" s="342">
        <v>1.109</v>
      </c>
      <c r="H344" s="342">
        <v>0.89400000000000002</v>
      </c>
      <c r="I344" s="342">
        <v>1.4990000000000001</v>
      </c>
      <c r="J344" s="342">
        <v>1.127</v>
      </c>
      <c r="K344" s="342">
        <v>1.0229999999999999</v>
      </c>
      <c r="L344" s="342">
        <v>1.6850000000000001</v>
      </c>
      <c r="M344" s="342">
        <v>1.1919999999999999</v>
      </c>
    </row>
    <row r="345" spans="1:13">
      <c r="A345" t="s">
        <v>2808</v>
      </c>
      <c r="B345" s="342">
        <v>0.45500000000000002</v>
      </c>
      <c r="C345" s="342">
        <v>0.3</v>
      </c>
      <c r="D345" s="342">
        <v>0.32700000000000001</v>
      </c>
      <c r="E345" s="342">
        <v>0.47499999999999998</v>
      </c>
      <c r="F345" s="342">
        <v>0.378</v>
      </c>
      <c r="G345" s="342">
        <v>0.36499999999999999</v>
      </c>
      <c r="H345" s="342">
        <v>0.40799999999999997</v>
      </c>
      <c r="I345" s="342">
        <v>0.26800000000000002</v>
      </c>
      <c r="J345" s="342">
        <v>0.30599999999999999</v>
      </c>
      <c r="K345" s="342">
        <v>0.495</v>
      </c>
      <c r="L345" s="342">
        <v>0.28999999999999998</v>
      </c>
      <c r="M345" s="342">
        <v>0.317</v>
      </c>
    </row>
    <row r="346" spans="1:13">
      <c r="A346" t="s">
        <v>2809</v>
      </c>
      <c r="B346" s="342">
        <v>6.0000000000000001E-3</v>
      </c>
      <c r="C346" s="342">
        <v>1.0999999999999999E-2</v>
      </c>
      <c r="D346" s="342">
        <v>1.7999999999999999E-2</v>
      </c>
      <c r="E346" s="342">
        <v>4.0000000000000001E-3</v>
      </c>
      <c r="F346" s="342">
        <v>2.1999999999999999E-2</v>
      </c>
      <c r="G346" s="342">
        <v>1.9E-2</v>
      </c>
      <c r="H346" s="342">
        <v>5.0000000000000001E-3</v>
      </c>
      <c r="I346" s="342">
        <v>7.0000000000000001E-3</v>
      </c>
      <c r="J346" s="342">
        <v>1.4E-2</v>
      </c>
      <c r="K346" s="342">
        <v>1.2999999999999999E-2</v>
      </c>
      <c r="L346" s="342">
        <v>8.9999999999999993E-3</v>
      </c>
      <c r="M346" s="342">
        <v>2.1999999999999999E-2</v>
      </c>
    </row>
    <row r="347" spans="1:13">
      <c r="A347" t="s">
        <v>2810</v>
      </c>
      <c r="B347" s="342">
        <v>0.45800000000000002</v>
      </c>
      <c r="C347" s="342">
        <v>0.19800000000000001</v>
      </c>
      <c r="D347" s="342">
        <v>0.30199999999999999</v>
      </c>
      <c r="E347" s="342">
        <v>0.433</v>
      </c>
      <c r="F347" s="342">
        <v>0.26500000000000001</v>
      </c>
      <c r="G347" s="342">
        <v>0.34599999999999997</v>
      </c>
      <c r="H347" s="342">
        <v>0.46200000000000002</v>
      </c>
      <c r="I347" s="342">
        <v>0.184</v>
      </c>
      <c r="J347" s="342">
        <v>0.28399999999999997</v>
      </c>
      <c r="K347" s="342">
        <v>0.496</v>
      </c>
      <c r="L347" s="342">
        <v>0.17699999999999999</v>
      </c>
      <c r="M347" s="342">
        <v>0.28499999999999998</v>
      </c>
    </row>
    <row r="348" spans="1:13">
      <c r="A348" t="s">
        <v>9</v>
      </c>
      <c r="B348">
        <v>7.32</v>
      </c>
      <c r="C348">
        <v>11.01</v>
      </c>
      <c r="D348">
        <v>9.7100000000000009</v>
      </c>
      <c r="E348">
        <v>7.84</v>
      </c>
      <c r="F348">
        <v>8.93</v>
      </c>
      <c r="G348">
        <v>8.9499999999999993</v>
      </c>
      <c r="H348">
        <v>7.23</v>
      </c>
      <c r="I348">
        <v>11.13</v>
      </c>
      <c r="J348">
        <v>10.01</v>
      </c>
      <c r="K348">
        <v>6.65</v>
      </c>
      <c r="L348">
        <v>12.39</v>
      </c>
      <c r="M348">
        <v>10.07</v>
      </c>
    </row>
    <row r="349" spans="1:13">
      <c r="A349" t="s">
        <v>8</v>
      </c>
      <c r="B349">
        <v>7.7</v>
      </c>
      <c r="C349">
        <v>5.01</v>
      </c>
      <c r="D349">
        <v>6.36</v>
      </c>
      <c r="E349">
        <v>7.43</v>
      </c>
      <c r="F349">
        <v>6.74</v>
      </c>
      <c r="G349">
        <v>7.63</v>
      </c>
      <c r="H349">
        <v>6.51</v>
      </c>
      <c r="I349">
        <v>4.46</v>
      </c>
      <c r="J349">
        <v>5.48</v>
      </c>
      <c r="K349">
        <v>11.15</v>
      </c>
      <c r="L349">
        <v>4.96</v>
      </c>
      <c r="M349">
        <v>6.59</v>
      </c>
    </row>
    <row r="350" spans="1:13">
      <c r="A350" t="s">
        <v>10</v>
      </c>
      <c r="B350">
        <v>21.56</v>
      </c>
      <c r="C350">
        <v>19.16</v>
      </c>
      <c r="D350">
        <v>22.09</v>
      </c>
      <c r="E350">
        <v>17.690000000000001</v>
      </c>
      <c r="F350">
        <v>19.63</v>
      </c>
      <c r="G350">
        <v>19.23</v>
      </c>
      <c r="H350">
        <v>33.880000000000003</v>
      </c>
      <c r="I350">
        <v>18.95</v>
      </c>
      <c r="J350">
        <v>24.94</v>
      </c>
      <c r="K350">
        <v>19.53</v>
      </c>
      <c r="L350">
        <v>19.14</v>
      </c>
      <c r="M350">
        <v>22.02</v>
      </c>
    </row>
    <row r="351" spans="1:13">
      <c r="A351" t="s">
        <v>1621</v>
      </c>
      <c r="B351" s="342">
        <v>0.22</v>
      </c>
      <c r="C351" s="342">
        <v>0.23799999999999999</v>
      </c>
      <c r="D351" s="342">
        <v>0.215</v>
      </c>
      <c r="E351" s="342">
        <v>0.20599999999999999</v>
      </c>
      <c r="F351" s="342">
        <v>0.20899999999999999</v>
      </c>
      <c r="G351" s="342">
        <v>0.191</v>
      </c>
      <c r="H351" s="342">
        <v>0.26200000000000001</v>
      </c>
      <c r="I351" s="342">
        <v>0.26100000000000001</v>
      </c>
      <c r="J351" s="342">
        <v>0.24199999999999999</v>
      </c>
      <c r="K351" s="342">
        <v>0.189</v>
      </c>
      <c r="L351" s="342">
        <v>0.23</v>
      </c>
      <c r="M351" s="342">
        <v>0.20599999999999999</v>
      </c>
    </row>
    <row r="353" spans="1:13">
      <c r="A353" t="s">
        <v>2832</v>
      </c>
    </row>
    <row r="355" spans="1:13">
      <c r="A355" t="s">
        <v>158</v>
      </c>
      <c r="B355" t="s">
        <v>2806</v>
      </c>
      <c r="E355">
        <v>2017</v>
      </c>
      <c r="H355">
        <v>2018</v>
      </c>
      <c r="K355">
        <v>2019</v>
      </c>
    </row>
    <row r="356" spans="1:13">
      <c r="B356" t="s">
        <v>1623</v>
      </c>
      <c r="C356" t="s">
        <v>1624</v>
      </c>
      <c r="D356" t="s">
        <v>1622</v>
      </c>
      <c r="E356" t="s">
        <v>1623</v>
      </c>
      <c r="F356" t="s">
        <v>1624</v>
      </c>
      <c r="G356" t="s">
        <v>1622</v>
      </c>
      <c r="H356" t="s">
        <v>1623</v>
      </c>
      <c r="I356" t="s">
        <v>1624</v>
      </c>
      <c r="J356" t="s">
        <v>1622</v>
      </c>
      <c r="K356" t="s">
        <v>1623</v>
      </c>
      <c r="L356" t="s">
        <v>1624</v>
      </c>
      <c r="M356" t="s">
        <v>1622</v>
      </c>
    </row>
    <row r="357" spans="1:13">
      <c r="A357" t="s">
        <v>2807</v>
      </c>
      <c r="B357" s="342">
        <v>0.71699999999999997</v>
      </c>
      <c r="C357" s="342">
        <v>0.86499999999999999</v>
      </c>
      <c r="D357" s="342">
        <v>0.84099999999999997</v>
      </c>
      <c r="E357" s="342">
        <v>0.71599999999999997</v>
      </c>
      <c r="F357" s="342">
        <v>0.88700000000000001</v>
      </c>
      <c r="G357" s="342">
        <v>0.84299999999999997</v>
      </c>
      <c r="H357" s="342">
        <v>0.72499999999999998</v>
      </c>
      <c r="I357" s="342">
        <v>0.88200000000000001</v>
      </c>
      <c r="J357" s="342">
        <v>0.83199999999999996</v>
      </c>
      <c r="K357" s="342">
        <v>0.70899999999999996</v>
      </c>
      <c r="L357" s="342">
        <v>0.84399999999999997</v>
      </c>
      <c r="M357" s="342">
        <v>0.84799999999999998</v>
      </c>
    </row>
    <row r="358" spans="1:13">
      <c r="A358" t="s">
        <v>1618</v>
      </c>
      <c r="B358" s="342">
        <v>0.13100000000000001</v>
      </c>
      <c r="C358" s="342">
        <v>0.121</v>
      </c>
      <c r="D358" s="342">
        <v>0.11700000000000001</v>
      </c>
      <c r="E358" s="342">
        <v>0.13200000000000001</v>
      </c>
      <c r="F358" s="342">
        <v>0.10299999999999999</v>
      </c>
      <c r="G358" s="342">
        <v>0.11600000000000001</v>
      </c>
      <c r="H358" s="342">
        <v>0.121</v>
      </c>
      <c r="I358" s="342">
        <v>0.10299999999999999</v>
      </c>
      <c r="J358" s="342">
        <v>0.11600000000000001</v>
      </c>
      <c r="K358" s="342">
        <v>0.14199999999999999</v>
      </c>
      <c r="L358" s="342">
        <v>0.14099999999999999</v>
      </c>
      <c r="M358" s="342">
        <v>0.11799999999999999</v>
      </c>
    </row>
    <row r="359" spans="1:13">
      <c r="A359" t="s">
        <v>1619</v>
      </c>
      <c r="B359" s="342">
        <v>1.2999999999999999E-2</v>
      </c>
      <c r="C359" s="342">
        <v>4.0000000000000001E-3</v>
      </c>
      <c r="D359" s="342">
        <v>5.0000000000000001E-3</v>
      </c>
      <c r="E359" s="342">
        <v>6.0000000000000001E-3</v>
      </c>
      <c r="F359" s="342">
        <v>2E-3</v>
      </c>
      <c r="G359" s="342">
        <v>2E-3</v>
      </c>
      <c r="H359" s="342">
        <v>1.6E-2</v>
      </c>
      <c r="I359" s="342">
        <v>4.0000000000000001E-3</v>
      </c>
      <c r="J359" s="342">
        <v>5.0000000000000001E-3</v>
      </c>
      <c r="K359" s="342">
        <v>1.6E-2</v>
      </c>
      <c r="L359" s="342">
        <v>5.0000000000000001E-3</v>
      </c>
      <c r="M359" s="342">
        <v>8.0000000000000002E-3</v>
      </c>
    </row>
    <row r="360" spans="1:13">
      <c r="A360" t="s">
        <v>1620</v>
      </c>
      <c r="B360" s="342">
        <v>0.54600000000000004</v>
      </c>
      <c r="C360" s="342">
        <v>1.2529999999999999</v>
      </c>
      <c r="D360" s="342">
        <v>1.1080000000000001</v>
      </c>
      <c r="E360" s="342">
        <v>0.54300000000000004</v>
      </c>
      <c r="F360" s="342">
        <v>1.2270000000000001</v>
      </c>
      <c r="G360" s="342">
        <v>1.238</v>
      </c>
      <c r="H360" s="342">
        <v>0.53700000000000003</v>
      </c>
      <c r="I360" s="342">
        <v>1.284</v>
      </c>
      <c r="J360" s="342">
        <v>1</v>
      </c>
      <c r="K360" s="342">
        <v>0.55900000000000005</v>
      </c>
      <c r="L360" s="342">
        <v>1.238</v>
      </c>
      <c r="M360" s="342">
        <v>1.121</v>
      </c>
    </row>
    <row r="361" spans="1:13">
      <c r="A361" t="s">
        <v>2808</v>
      </c>
      <c r="B361" s="342">
        <v>0.20300000000000001</v>
      </c>
      <c r="C361" s="342">
        <v>0.23599999999999999</v>
      </c>
      <c r="D361" s="342">
        <v>0.23799999999999999</v>
      </c>
      <c r="E361" s="342">
        <v>0.21199999999999999</v>
      </c>
      <c r="F361" s="342">
        <v>0.251</v>
      </c>
      <c r="G361" s="342">
        <v>0.26700000000000002</v>
      </c>
      <c r="H361" s="342">
        <v>0.159</v>
      </c>
      <c r="I361" s="342">
        <v>0.22500000000000001</v>
      </c>
      <c r="J361" s="342">
        <v>0.21</v>
      </c>
      <c r="K361" s="342">
        <v>0.24299999999999999</v>
      </c>
      <c r="L361" s="342">
        <v>0.24</v>
      </c>
      <c r="M361" s="342">
        <v>0.246</v>
      </c>
    </row>
    <row r="362" spans="1:13">
      <c r="A362" t="s">
        <v>2809</v>
      </c>
      <c r="B362" s="342">
        <v>5.0000000000000001E-3</v>
      </c>
      <c r="C362" s="342">
        <v>4.0000000000000001E-3</v>
      </c>
      <c r="D362" s="342">
        <v>8.9999999999999993E-3</v>
      </c>
      <c r="E362" s="342">
        <v>5.0000000000000001E-3</v>
      </c>
      <c r="F362" s="342">
        <v>4.0000000000000001E-3</v>
      </c>
      <c r="G362" s="342">
        <v>1.0999999999999999E-2</v>
      </c>
      <c r="H362" s="342">
        <v>5.0000000000000001E-3</v>
      </c>
      <c r="I362" s="342">
        <v>3.0000000000000001E-3</v>
      </c>
      <c r="J362" s="342">
        <v>7.0000000000000001E-3</v>
      </c>
      <c r="K362" s="342">
        <v>4.0000000000000001E-3</v>
      </c>
      <c r="L362" s="342">
        <v>5.0000000000000001E-3</v>
      </c>
      <c r="M362" s="342">
        <v>8.9999999999999993E-3</v>
      </c>
    </row>
    <row r="363" spans="1:13">
      <c r="A363" t="s">
        <v>2810</v>
      </c>
      <c r="B363" s="342">
        <v>0.38</v>
      </c>
      <c r="C363" s="342">
        <v>0.192</v>
      </c>
      <c r="D363" s="342">
        <v>0.223</v>
      </c>
      <c r="E363" s="342">
        <v>0.4</v>
      </c>
      <c r="F363" s="342">
        <v>0.20799999999999999</v>
      </c>
      <c r="G363" s="342">
        <v>0.22500000000000001</v>
      </c>
      <c r="H363" s="342">
        <v>0.30499999999999999</v>
      </c>
      <c r="I363" s="342">
        <v>0.17799999999999999</v>
      </c>
      <c r="J363" s="342">
        <v>0.217</v>
      </c>
      <c r="K363" s="342">
        <v>0.443</v>
      </c>
      <c r="L363" s="342">
        <v>0.19800000000000001</v>
      </c>
      <c r="M363" s="342">
        <v>0.22700000000000001</v>
      </c>
    </row>
    <row r="364" spans="1:13">
      <c r="A364" t="s">
        <v>9</v>
      </c>
      <c r="B364">
        <v>5.34</v>
      </c>
      <c r="C364">
        <v>6.85</v>
      </c>
      <c r="D364">
        <v>7.35</v>
      </c>
      <c r="E364">
        <v>5.39</v>
      </c>
      <c r="F364">
        <v>6.58</v>
      </c>
      <c r="G364">
        <v>7.87</v>
      </c>
      <c r="H364">
        <v>5.23</v>
      </c>
      <c r="I364">
        <v>7.48</v>
      </c>
      <c r="J364">
        <v>7.54</v>
      </c>
      <c r="K364">
        <v>5.43</v>
      </c>
      <c r="L364">
        <v>6.49</v>
      </c>
      <c r="M364">
        <v>6.77</v>
      </c>
    </row>
    <row r="365" spans="1:13">
      <c r="A365" t="s">
        <v>8</v>
      </c>
      <c r="B365">
        <v>9.67</v>
      </c>
      <c r="C365">
        <v>7.28</v>
      </c>
      <c r="D365">
        <v>8.11</v>
      </c>
      <c r="E365">
        <v>9.7200000000000006</v>
      </c>
      <c r="F365">
        <v>7.64</v>
      </c>
      <c r="G365">
        <v>9.32</v>
      </c>
      <c r="H365">
        <v>9.65</v>
      </c>
      <c r="I365">
        <v>6.44</v>
      </c>
      <c r="J365">
        <v>7.79</v>
      </c>
      <c r="K365">
        <v>9.64</v>
      </c>
      <c r="L365">
        <v>7.99</v>
      </c>
      <c r="M365">
        <v>7.54</v>
      </c>
    </row>
    <row r="366" spans="1:13">
      <c r="A366" t="s">
        <v>10</v>
      </c>
      <c r="B366">
        <v>12.29</v>
      </c>
      <c r="C366">
        <v>15.02</v>
      </c>
      <c r="D366">
        <v>17.11</v>
      </c>
      <c r="E366">
        <v>10.06</v>
      </c>
      <c r="F366">
        <v>16.010000000000002</v>
      </c>
      <c r="G366">
        <v>18.39</v>
      </c>
      <c r="H366">
        <v>12.08</v>
      </c>
      <c r="I366">
        <v>13.38</v>
      </c>
      <c r="J366">
        <v>16.809999999999999</v>
      </c>
      <c r="K366">
        <v>15.54</v>
      </c>
      <c r="L366">
        <v>16.309999999999999</v>
      </c>
      <c r="M366">
        <v>16.38</v>
      </c>
    </row>
    <row r="367" spans="1:13">
      <c r="A367" t="s">
        <v>1621</v>
      </c>
      <c r="B367" s="342">
        <v>0.20899999999999999</v>
      </c>
      <c r="C367" s="342">
        <v>0.217</v>
      </c>
      <c r="D367" s="342">
        <v>0.20100000000000001</v>
      </c>
      <c r="E367" s="342">
        <v>0.189</v>
      </c>
      <c r="F367" s="342">
        <v>0.22</v>
      </c>
      <c r="G367" s="342">
        <v>0.18</v>
      </c>
      <c r="H367" s="342">
        <v>0.21199999999999999</v>
      </c>
      <c r="I367" s="342">
        <v>0.214</v>
      </c>
      <c r="J367" s="342">
        <v>0.20100000000000001</v>
      </c>
      <c r="K367" s="342">
        <v>0.224</v>
      </c>
      <c r="L367" s="342">
        <v>0.218</v>
      </c>
      <c r="M367" s="342">
        <v>0.219</v>
      </c>
    </row>
    <row r="369" spans="1:13">
      <c r="A369" t="s">
        <v>2833</v>
      </c>
    </row>
    <row r="371" spans="1:13">
      <c r="A371" t="s">
        <v>158</v>
      </c>
      <c r="B371" t="s">
        <v>2806</v>
      </c>
      <c r="E371">
        <v>2017</v>
      </c>
      <c r="H371">
        <v>2018</v>
      </c>
      <c r="K371">
        <v>2019</v>
      </c>
    </row>
    <row r="372" spans="1:13">
      <c r="B372" t="s">
        <v>1623</v>
      </c>
      <c r="C372" t="s">
        <v>1624</v>
      </c>
      <c r="D372" t="s">
        <v>1622</v>
      </c>
      <c r="E372" t="s">
        <v>1623</v>
      </c>
      <c r="F372" t="s">
        <v>1624</v>
      </c>
      <c r="G372" t="s">
        <v>1622</v>
      </c>
      <c r="H372" t="s">
        <v>1623</v>
      </c>
      <c r="I372" t="s">
        <v>1624</v>
      </c>
      <c r="J372" t="s">
        <v>1622</v>
      </c>
      <c r="K372" t="s">
        <v>1623</v>
      </c>
      <c r="L372" t="s">
        <v>1624</v>
      </c>
      <c r="M372" t="s">
        <v>1622</v>
      </c>
    </row>
    <row r="373" spans="1:13">
      <c r="A373" t="s">
        <v>2807</v>
      </c>
      <c r="B373" s="342">
        <v>0.55700000000000005</v>
      </c>
      <c r="C373" s="342">
        <v>0.77</v>
      </c>
      <c r="D373" s="342">
        <v>0.69899999999999995</v>
      </c>
      <c r="E373" s="342">
        <v>0.56999999999999995</v>
      </c>
      <c r="F373" s="342">
        <v>0.75600000000000001</v>
      </c>
      <c r="G373" s="342">
        <v>0.69599999999999995</v>
      </c>
      <c r="H373" s="342">
        <v>0.55800000000000005</v>
      </c>
      <c r="I373" s="342">
        <v>0.76</v>
      </c>
      <c r="J373" s="342">
        <v>0.70199999999999996</v>
      </c>
      <c r="K373" s="342">
        <v>0.54700000000000004</v>
      </c>
      <c r="L373" s="342">
        <v>0.78600000000000003</v>
      </c>
      <c r="M373" s="342">
        <v>0.69699999999999995</v>
      </c>
    </row>
    <row r="374" spans="1:13">
      <c r="A374" t="s">
        <v>1618</v>
      </c>
      <c r="B374" s="342">
        <v>0.29199999999999998</v>
      </c>
      <c r="C374" s="342">
        <v>0.20399999999999999</v>
      </c>
      <c r="D374" s="342">
        <v>0.23100000000000001</v>
      </c>
      <c r="E374" s="342">
        <v>0.28100000000000003</v>
      </c>
      <c r="F374" s="342">
        <v>0.221</v>
      </c>
      <c r="G374" s="342">
        <v>0.23400000000000001</v>
      </c>
      <c r="H374" s="342">
        <v>0.29099999999999998</v>
      </c>
      <c r="I374" s="342">
        <v>0.214</v>
      </c>
      <c r="J374" s="342">
        <v>0.22700000000000001</v>
      </c>
      <c r="K374" s="342">
        <v>0.30099999999999999</v>
      </c>
      <c r="L374" s="342">
        <v>0.187</v>
      </c>
      <c r="M374" s="342">
        <v>0.23200000000000001</v>
      </c>
    </row>
    <row r="375" spans="1:13">
      <c r="A375" t="s">
        <v>1619</v>
      </c>
      <c r="B375" s="342">
        <v>1.2E-2</v>
      </c>
      <c r="C375" s="342">
        <v>1.2E-2</v>
      </c>
      <c r="D375" s="342">
        <v>1.2999999999999999E-2</v>
      </c>
      <c r="E375" s="342">
        <v>7.0000000000000001E-3</v>
      </c>
      <c r="F375" s="342">
        <v>8.0000000000000002E-3</v>
      </c>
      <c r="G375" s="342">
        <v>8.0000000000000002E-3</v>
      </c>
      <c r="H375" s="342">
        <v>1.4E-2</v>
      </c>
      <c r="I375" s="342">
        <v>1.2999999999999999E-2</v>
      </c>
      <c r="J375" s="342">
        <v>1.4E-2</v>
      </c>
      <c r="K375" s="342">
        <v>1.4E-2</v>
      </c>
      <c r="L375" s="342">
        <v>1.4999999999999999E-2</v>
      </c>
      <c r="M375" s="342">
        <v>1.4999999999999999E-2</v>
      </c>
    </row>
    <row r="376" spans="1:13">
      <c r="A376" t="s">
        <v>1620</v>
      </c>
      <c r="B376" s="342">
        <v>0.79400000000000004</v>
      </c>
      <c r="C376" s="342">
        <v>0.84699999999999998</v>
      </c>
      <c r="D376" s="342">
        <v>0.87</v>
      </c>
      <c r="E376" s="342">
        <v>0.755</v>
      </c>
      <c r="F376" s="342">
        <v>0.83299999999999996</v>
      </c>
      <c r="G376" s="342">
        <v>0.85899999999999999</v>
      </c>
      <c r="H376" s="342">
        <v>0.79800000000000004</v>
      </c>
      <c r="I376" s="342">
        <v>0.88300000000000001</v>
      </c>
      <c r="J376" s="342">
        <v>0.86699999999999999</v>
      </c>
      <c r="K376" s="342">
        <v>0.82199999999999995</v>
      </c>
      <c r="L376" s="342">
        <v>0.83399999999999996</v>
      </c>
      <c r="M376" s="342">
        <v>0.88300000000000001</v>
      </c>
    </row>
    <row r="377" spans="1:13">
      <c r="A377" t="s">
        <v>2808</v>
      </c>
      <c r="B377" s="342">
        <v>0.27500000000000002</v>
      </c>
      <c r="C377" s="342">
        <v>0.32900000000000001</v>
      </c>
      <c r="D377" s="342">
        <v>0.35299999999999998</v>
      </c>
      <c r="E377" s="342">
        <v>0.26900000000000002</v>
      </c>
      <c r="F377" s="342">
        <v>0.316</v>
      </c>
      <c r="G377" s="342">
        <v>0.34399999999999997</v>
      </c>
      <c r="H377" s="342">
        <v>0.27200000000000002</v>
      </c>
      <c r="I377" s="342">
        <v>0.29699999999999999</v>
      </c>
      <c r="J377" s="342">
        <v>0.35099999999999998</v>
      </c>
      <c r="K377" s="342">
        <v>0.28399999999999997</v>
      </c>
      <c r="L377" s="342">
        <v>0.35699999999999998</v>
      </c>
      <c r="M377" s="342">
        <v>0.36299999999999999</v>
      </c>
    </row>
    <row r="378" spans="1:13">
      <c r="A378" t="s">
        <v>2809</v>
      </c>
      <c r="B378" s="342">
        <v>0.01</v>
      </c>
      <c r="C378" s="342">
        <v>2.7E-2</v>
      </c>
      <c r="D378" s="342">
        <v>1.9E-2</v>
      </c>
      <c r="E378" s="342">
        <v>0.01</v>
      </c>
      <c r="F378" s="342">
        <v>2.7E-2</v>
      </c>
      <c r="G378" s="342">
        <v>1.9E-2</v>
      </c>
      <c r="H378" s="342">
        <v>0.01</v>
      </c>
      <c r="I378" s="342">
        <v>2.8000000000000001E-2</v>
      </c>
      <c r="J378" s="342">
        <v>1.9E-2</v>
      </c>
      <c r="K378" s="342">
        <v>0.01</v>
      </c>
      <c r="L378" s="342">
        <v>2.7E-2</v>
      </c>
      <c r="M378" s="342">
        <v>1.7999999999999999E-2</v>
      </c>
    </row>
    <row r="379" spans="1:13">
      <c r="A379" t="s">
        <v>2810</v>
      </c>
      <c r="B379" s="342">
        <v>0.35899999999999999</v>
      </c>
      <c r="C379" s="342">
        <v>0.42</v>
      </c>
      <c r="D379" s="342">
        <v>0.42699999999999999</v>
      </c>
      <c r="E379" s="342">
        <v>0.36899999999999999</v>
      </c>
      <c r="F379" s="342">
        <v>0.41199999999999998</v>
      </c>
      <c r="G379" s="342">
        <v>0.42199999999999999</v>
      </c>
      <c r="H379" s="342">
        <v>0.35299999999999998</v>
      </c>
      <c r="I379" s="342">
        <v>0.36699999999999999</v>
      </c>
      <c r="J379" s="342">
        <v>0.42699999999999999</v>
      </c>
      <c r="K379" s="342">
        <v>0.35699999999999998</v>
      </c>
      <c r="L379" s="342">
        <v>0.46</v>
      </c>
      <c r="M379" s="342">
        <v>0.432</v>
      </c>
    </row>
    <row r="380" spans="1:13">
      <c r="A380" t="s">
        <v>9</v>
      </c>
      <c r="B380">
        <v>9.85</v>
      </c>
      <c r="C380">
        <v>9.73</v>
      </c>
      <c r="D380">
        <v>9.48</v>
      </c>
      <c r="E380">
        <v>8.8000000000000007</v>
      </c>
      <c r="F380">
        <v>8.2899999999999991</v>
      </c>
      <c r="G380">
        <v>8.7899999999999991</v>
      </c>
      <c r="H380">
        <v>10.59</v>
      </c>
      <c r="I380">
        <v>10.26</v>
      </c>
      <c r="J380">
        <v>9.81</v>
      </c>
      <c r="K380">
        <v>10.130000000000001</v>
      </c>
      <c r="L380">
        <v>10.54</v>
      </c>
      <c r="M380">
        <v>9.8000000000000007</v>
      </c>
    </row>
    <row r="381" spans="1:13">
      <c r="A381" t="s">
        <v>8</v>
      </c>
      <c r="B381">
        <v>3.32</v>
      </c>
      <c r="C381">
        <v>8.49</v>
      </c>
      <c r="D381">
        <v>6.35</v>
      </c>
      <c r="E381">
        <v>3.02</v>
      </c>
      <c r="F381">
        <v>9.32</v>
      </c>
      <c r="G381">
        <v>6.29</v>
      </c>
      <c r="H381">
        <v>3.33</v>
      </c>
      <c r="I381">
        <v>8.6</v>
      </c>
      <c r="J381">
        <v>6.31</v>
      </c>
      <c r="K381">
        <v>3.6</v>
      </c>
      <c r="L381">
        <v>7.98</v>
      </c>
      <c r="M381">
        <v>6.44</v>
      </c>
    </row>
    <row r="382" spans="1:13">
      <c r="A382" t="s">
        <v>10</v>
      </c>
      <c r="B382">
        <v>23.96</v>
      </c>
      <c r="C382">
        <v>11.53</v>
      </c>
      <c r="D382">
        <v>13.96</v>
      </c>
      <c r="E382">
        <v>24.71</v>
      </c>
      <c r="F382">
        <v>12.58</v>
      </c>
      <c r="G382">
        <v>14.07</v>
      </c>
      <c r="H382">
        <v>25.53</v>
      </c>
      <c r="I382">
        <v>13.53</v>
      </c>
      <c r="J382">
        <v>14.59</v>
      </c>
      <c r="K382">
        <v>22.2</v>
      </c>
      <c r="L382">
        <v>10.02</v>
      </c>
      <c r="M382">
        <v>13.32</v>
      </c>
    </row>
    <row r="383" spans="1:13">
      <c r="A383" t="s">
        <v>1621</v>
      </c>
      <c r="B383" s="342">
        <v>0.36099999999999999</v>
      </c>
      <c r="C383" s="342">
        <v>0.13400000000000001</v>
      </c>
      <c r="D383" s="342">
        <v>0.191</v>
      </c>
      <c r="E383" s="342">
        <v>0.40500000000000003</v>
      </c>
      <c r="F383" s="342">
        <v>0.14799999999999999</v>
      </c>
      <c r="G383" s="342">
        <v>0.20200000000000001</v>
      </c>
      <c r="H383" s="342">
        <v>0.35599999999999998</v>
      </c>
      <c r="I383" s="342">
        <v>0.14000000000000001</v>
      </c>
      <c r="J383" s="342">
        <v>0.192</v>
      </c>
      <c r="K383" s="342">
        <v>0.33200000000000002</v>
      </c>
      <c r="L383" s="342">
        <v>0.12</v>
      </c>
      <c r="M383" s="342">
        <v>0.182</v>
      </c>
    </row>
    <row r="385" spans="1:13">
      <c r="A385" t="s">
        <v>2834</v>
      </c>
    </row>
    <row r="387" spans="1:13">
      <c r="A387" t="s">
        <v>158</v>
      </c>
      <c r="B387" t="s">
        <v>2806</v>
      </c>
      <c r="E387">
        <v>2017</v>
      </c>
      <c r="H387">
        <v>2018</v>
      </c>
      <c r="K387">
        <v>2019</v>
      </c>
    </row>
    <row r="388" spans="1:13">
      <c r="B388" t="s">
        <v>1623</v>
      </c>
      <c r="C388" t="s">
        <v>1624</v>
      </c>
      <c r="D388" t="s">
        <v>1622</v>
      </c>
      <c r="E388" t="s">
        <v>1623</v>
      </c>
      <c r="F388" t="s">
        <v>1624</v>
      </c>
      <c r="G388" t="s">
        <v>1622</v>
      </c>
      <c r="H388" t="s">
        <v>1623</v>
      </c>
      <c r="I388" t="s">
        <v>1624</v>
      </c>
      <c r="J388" t="s">
        <v>1622</v>
      </c>
      <c r="K388" t="s">
        <v>1623</v>
      </c>
      <c r="L388" t="s">
        <v>1624</v>
      </c>
      <c r="M388" t="s">
        <v>1622</v>
      </c>
    </row>
    <row r="389" spans="1:13">
      <c r="A389" t="s">
        <v>2807</v>
      </c>
      <c r="B389" s="342">
        <v>0.434</v>
      </c>
      <c r="C389" s="342">
        <v>0.58299999999999996</v>
      </c>
      <c r="D389" s="342">
        <v>0.502</v>
      </c>
      <c r="E389" s="342">
        <v>0.41899999999999998</v>
      </c>
      <c r="F389" s="342">
        <v>0.57999999999999996</v>
      </c>
      <c r="G389" s="342">
        <v>0.49399999999999999</v>
      </c>
      <c r="H389" s="342">
        <v>0.44500000000000001</v>
      </c>
      <c r="I389" s="342">
        <v>0.59199999999999997</v>
      </c>
      <c r="J389" s="342">
        <v>0.5</v>
      </c>
      <c r="K389" s="342">
        <v>0.438</v>
      </c>
      <c r="L389" s="342">
        <v>0.66</v>
      </c>
      <c r="M389" s="342">
        <v>0.51300000000000001</v>
      </c>
    </row>
    <row r="390" spans="1:13">
      <c r="A390" t="s">
        <v>1618</v>
      </c>
      <c r="B390" s="342">
        <v>0.29699999999999999</v>
      </c>
      <c r="C390" s="342">
        <v>0.371</v>
      </c>
      <c r="D390" s="342">
        <v>0.33800000000000002</v>
      </c>
      <c r="E390" s="342">
        <v>0.29599999999999999</v>
      </c>
      <c r="F390" s="342">
        <v>0.371</v>
      </c>
      <c r="G390" s="342">
        <v>0.33900000000000002</v>
      </c>
      <c r="H390" s="342">
        <v>0.27300000000000002</v>
      </c>
      <c r="I390" s="342">
        <v>0.38500000000000001</v>
      </c>
      <c r="J390" s="342">
        <v>0.33200000000000002</v>
      </c>
      <c r="K390" s="342">
        <v>0.32300000000000001</v>
      </c>
      <c r="L390" s="342">
        <v>0.32800000000000001</v>
      </c>
      <c r="M390" s="342">
        <v>0.34399999999999997</v>
      </c>
    </row>
    <row r="391" spans="1:13">
      <c r="A391" t="s">
        <v>1619</v>
      </c>
      <c r="B391" s="342">
        <v>1.0999999999999999E-2</v>
      </c>
      <c r="C391" s="342">
        <v>1.4E-2</v>
      </c>
      <c r="D391" s="342">
        <v>1.2E-2</v>
      </c>
      <c r="E391" s="342">
        <v>7.0000000000000001E-3</v>
      </c>
      <c r="F391" s="342">
        <v>8.9999999999999993E-3</v>
      </c>
      <c r="G391" s="342">
        <v>8.0000000000000002E-3</v>
      </c>
      <c r="H391" s="342">
        <v>1.2E-2</v>
      </c>
      <c r="I391" s="342">
        <v>6.0999999999999999E-2</v>
      </c>
      <c r="J391" s="342">
        <v>1.2E-2</v>
      </c>
      <c r="K391" s="342">
        <v>1.4E-2</v>
      </c>
      <c r="L391" s="342">
        <v>4.4999999999999998E-2</v>
      </c>
      <c r="M391" s="342">
        <v>1.6E-2</v>
      </c>
    </row>
    <row r="392" spans="1:13">
      <c r="A392" t="s">
        <v>1620</v>
      </c>
      <c r="B392" s="342">
        <v>0.51900000000000002</v>
      </c>
      <c r="C392" s="342">
        <v>0.499</v>
      </c>
      <c r="D392" s="342">
        <v>0.55300000000000005</v>
      </c>
      <c r="E392" s="342">
        <v>0.47399999999999998</v>
      </c>
      <c r="F392" s="342">
        <v>0.49399999999999999</v>
      </c>
      <c r="G392" s="342">
        <v>0.52100000000000002</v>
      </c>
      <c r="H392" s="342">
        <v>0.52</v>
      </c>
      <c r="I392" s="342">
        <v>0.58199999999999996</v>
      </c>
      <c r="J392" s="342">
        <v>0.56399999999999995</v>
      </c>
      <c r="K392" s="342">
        <v>0.56899999999999995</v>
      </c>
      <c r="L392" s="342">
        <v>0.49399999999999999</v>
      </c>
      <c r="M392" s="342">
        <v>0.58099999999999996</v>
      </c>
    </row>
    <row r="393" spans="1:13">
      <c r="A393" t="s">
        <v>2808</v>
      </c>
      <c r="B393" s="342">
        <v>0.24199999999999999</v>
      </c>
      <c r="C393" s="342">
        <v>0.52800000000000002</v>
      </c>
      <c r="D393" s="342">
        <v>0.36899999999999999</v>
      </c>
      <c r="E393" s="342">
        <v>0.23499999999999999</v>
      </c>
      <c r="F393" s="342">
        <v>0.53800000000000003</v>
      </c>
      <c r="G393" s="342">
        <v>0.35199999999999998</v>
      </c>
      <c r="H393" s="342">
        <v>0.245</v>
      </c>
      <c r="I393" s="342">
        <v>0.36899999999999999</v>
      </c>
      <c r="J393" s="342">
        <v>0.36099999999999999</v>
      </c>
      <c r="K393" s="342">
        <v>0.248</v>
      </c>
      <c r="L393" s="342">
        <v>0.51400000000000001</v>
      </c>
      <c r="M393" s="342">
        <v>0.39700000000000002</v>
      </c>
    </row>
    <row r="394" spans="1:13">
      <c r="A394" t="s">
        <v>2809</v>
      </c>
      <c r="B394" s="342">
        <v>0.36599999999999999</v>
      </c>
      <c r="C394" s="342">
        <v>4.3999999999999997E-2</v>
      </c>
      <c r="D394" s="342">
        <v>0.19400000000000001</v>
      </c>
      <c r="E394" s="342">
        <v>0.33900000000000002</v>
      </c>
      <c r="F394" s="342">
        <v>4.7E-2</v>
      </c>
      <c r="G394" s="342">
        <v>0.17399999999999999</v>
      </c>
      <c r="H394" s="342">
        <v>0.36499999999999999</v>
      </c>
      <c r="I394" s="342">
        <v>8.0000000000000002E-3</v>
      </c>
      <c r="J394" s="342">
        <v>0.2</v>
      </c>
      <c r="K394" s="342">
        <v>0.39800000000000002</v>
      </c>
      <c r="L394" s="342">
        <v>1.9E-2</v>
      </c>
      <c r="M394" s="342">
        <v>0.21099999999999999</v>
      </c>
    </row>
    <row r="395" spans="1:13">
      <c r="A395" t="s">
        <v>2810</v>
      </c>
      <c r="B395" s="342">
        <v>1.1719999999999999</v>
      </c>
      <c r="C395" s="342">
        <v>1.1459999999999999</v>
      </c>
      <c r="D395" s="342">
        <v>1.0169999999999999</v>
      </c>
      <c r="E395" s="342">
        <v>1.2090000000000001</v>
      </c>
      <c r="F395" s="342">
        <v>1.1850000000000001</v>
      </c>
      <c r="G395" s="342">
        <v>1.01</v>
      </c>
      <c r="H395" s="342">
        <v>1.173</v>
      </c>
      <c r="I395" s="342">
        <v>0.64800000000000002</v>
      </c>
      <c r="J395" s="342">
        <v>0.996</v>
      </c>
      <c r="K395" s="342">
        <v>1.1359999999999999</v>
      </c>
      <c r="L395" s="342">
        <v>1.08</v>
      </c>
      <c r="M395" s="342">
        <v>1.0469999999999999</v>
      </c>
    </row>
    <row r="396" spans="1:13">
      <c r="A396" t="s">
        <v>9</v>
      </c>
      <c r="B396">
        <v>5.65</v>
      </c>
      <c r="C396">
        <v>3.73</v>
      </c>
      <c r="D396">
        <v>4.84</v>
      </c>
      <c r="E396">
        <v>5.61</v>
      </c>
      <c r="F396">
        <v>3.5</v>
      </c>
      <c r="G396">
        <v>4.51</v>
      </c>
      <c r="H396">
        <v>6.18</v>
      </c>
      <c r="I396">
        <v>9.81</v>
      </c>
      <c r="J396">
        <v>4.8600000000000003</v>
      </c>
      <c r="K396">
        <v>5.24</v>
      </c>
      <c r="L396">
        <v>10.77</v>
      </c>
      <c r="M396">
        <v>5.25</v>
      </c>
    </row>
    <row r="397" spans="1:13">
      <c r="A397" t="s">
        <v>8</v>
      </c>
      <c r="B397">
        <v>14.35</v>
      </c>
      <c r="C397">
        <v>10.48</v>
      </c>
      <c r="D397">
        <v>12.32</v>
      </c>
      <c r="E397">
        <v>16.96</v>
      </c>
      <c r="F397">
        <v>11.64</v>
      </c>
      <c r="G397">
        <v>13.38</v>
      </c>
      <c r="H397">
        <v>15.96</v>
      </c>
      <c r="I397">
        <v>6.4</v>
      </c>
      <c r="J397">
        <v>12.72</v>
      </c>
      <c r="K397">
        <v>11.53</v>
      </c>
      <c r="L397">
        <v>3.51</v>
      </c>
      <c r="M397">
        <v>11.01</v>
      </c>
    </row>
    <row r="398" spans="1:13">
      <c r="A398" t="s">
        <v>10</v>
      </c>
      <c r="B398">
        <v>11.84</v>
      </c>
      <c r="C398">
        <v>16.77</v>
      </c>
      <c r="D398">
        <v>14.98</v>
      </c>
      <c r="E398">
        <v>12.75</v>
      </c>
      <c r="F398">
        <v>16.5</v>
      </c>
      <c r="G398">
        <v>15.54</v>
      </c>
      <c r="H398">
        <v>13.19</v>
      </c>
      <c r="I398">
        <v>20.05</v>
      </c>
      <c r="J398">
        <v>16.600000000000001</v>
      </c>
      <c r="K398">
        <v>10.119999999999999</v>
      </c>
      <c r="L398">
        <v>19.760000000000002</v>
      </c>
      <c r="M398">
        <v>13.14</v>
      </c>
    </row>
    <row r="399" spans="1:13">
      <c r="A399" t="s">
        <v>1621</v>
      </c>
      <c r="B399" s="342">
        <v>0.16200000000000001</v>
      </c>
      <c r="C399" s="342">
        <v>0.30399999999999999</v>
      </c>
      <c r="D399" s="342">
        <v>0.221</v>
      </c>
      <c r="E399" s="342">
        <v>0.159</v>
      </c>
      <c r="F399" s="342">
        <v>0.311</v>
      </c>
      <c r="G399" s="342">
        <v>0.23200000000000001</v>
      </c>
      <c r="H399" s="342">
        <v>0.14899999999999999</v>
      </c>
      <c r="I399" s="342">
        <v>0.20799999999999999</v>
      </c>
      <c r="J399" s="342">
        <v>0.224</v>
      </c>
      <c r="K399" s="342">
        <v>0.17899999999999999</v>
      </c>
      <c r="L399" s="342">
        <v>0.32700000000000001</v>
      </c>
      <c r="M399" s="342">
        <v>0.20499999999999999</v>
      </c>
    </row>
    <row r="401" spans="1:13">
      <c r="A401" t="s">
        <v>2835</v>
      </c>
    </row>
    <row r="403" spans="1:13">
      <c r="A403" t="s">
        <v>158</v>
      </c>
      <c r="B403" t="s">
        <v>2806</v>
      </c>
      <c r="E403">
        <v>2017</v>
      </c>
      <c r="H403">
        <v>2018</v>
      </c>
      <c r="K403">
        <v>2019</v>
      </c>
    </row>
    <row r="404" spans="1:13">
      <c r="B404" t="s">
        <v>1623</v>
      </c>
      <c r="C404" t="s">
        <v>1624</v>
      </c>
      <c r="D404" t="s">
        <v>1622</v>
      </c>
      <c r="E404" t="s">
        <v>1623</v>
      </c>
      <c r="F404" t="s">
        <v>1624</v>
      </c>
      <c r="G404" t="s">
        <v>1622</v>
      </c>
      <c r="H404" t="s">
        <v>1623</v>
      </c>
      <c r="I404" t="s">
        <v>1624</v>
      </c>
      <c r="J404" t="s">
        <v>1622</v>
      </c>
      <c r="K404" t="s">
        <v>1623</v>
      </c>
      <c r="L404" t="s">
        <v>1624</v>
      </c>
      <c r="M404" t="s">
        <v>1622</v>
      </c>
    </row>
    <row r="405" spans="1:13">
      <c r="A405" t="s">
        <v>2807</v>
      </c>
      <c r="B405" s="342">
        <v>0.59699999999999998</v>
      </c>
      <c r="C405" s="342">
        <v>0.67</v>
      </c>
      <c r="D405" s="342">
        <v>0.63300000000000001</v>
      </c>
      <c r="E405" s="342">
        <v>0.57299999999999995</v>
      </c>
      <c r="F405" s="342">
        <v>0.73099999999999998</v>
      </c>
      <c r="G405" s="342">
        <v>0.623</v>
      </c>
      <c r="H405" s="342">
        <v>0.63100000000000001</v>
      </c>
      <c r="I405" s="342">
        <v>0.63700000000000001</v>
      </c>
      <c r="J405" s="342">
        <v>0.64500000000000002</v>
      </c>
      <c r="K405" s="342">
        <v>0.58199999999999996</v>
      </c>
      <c r="L405" s="342">
        <v>0.71499999999999997</v>
      </c>
      <c r="M405" s="342">
        <v>0.63100000000000001</v>
      </c>
    </row>
    <row r="406" spans="1:13">
      <c r="A406" t="s">
        <v>1618</v>
      </c>
      <c r="B406" s="342">
        <v>0.28000000000000003</v>
      </c>
      <c r="C406" s="342">
        <v>0.30099999999999999</v>
      </c>
      <c r="D406" s="342">
        <v>0.30199999999999999</v>
      </c>
      <c r="E406" s="342">
        <v>0.31900000000000001</v>
      </c>
      <c r="F406" s="342">
        <v>0.25800000000000001</v>
      </c>
      <c r="G406" s="342">
        <v>0.32400000000000001</v>
      </c>
      <c r="H406" s="342">
        <v>0.25800000000000001</v>
      </c>
      <c r="I406" s="342">
        <v>0.32900000000000001</v>
      </c>
      <c r="J406" s="342">
        <v>0.29199999999999998</v>
      </c>
      <c r="K406" s="342">
        <v>0.27500000000000002</v>
      </c>
      <c r="L406" s="342">
        <v>0.25900000000000001</v>
      </c>
      <c r="M406" s="342">
        <v>0.29299999999999998</v>
      </c>
    </row>
    <row r="407" spans="1:13">
      <c r="A407" t="s">
        <v>1619</v>
      </c>
      <c r="B407" s="342">
        <v>2.1000000000000001E-2</v>
      </c>
      <c r="C407" s="342">
        <v>1.7000000000000001E-2</v>
      </c>
      <c r="D407" s="342">
        <v>0.02</v>
      </c>
      <c r="E407" s="342">
        <v>1.4999999999999999E-2</v>
      </c>
      <c r="F407" s="342">
        <v>5.0000000000000001E-3</v>
      </c>
      <c r="G407" s="342">
        <v>1.6E-2</v>
      </c>
      <c r="H407" s="342">
        <v>0.02</v>
      </c>
      <c r="I407" s="342">
        <v>1.9E-2</v>
      </c>
      <c r="J407" s="342">
        <v>1.9E-2</v>
      </c>
      <c r="K407" s="342">
        <v>2.7E-2</v>
      </c>
      <c r="L407" s="342">
        <v>0.02</v>
      </c>
      <c r="M407" s="342">
        <v>2.4E-2</v>
      </c>
    </row>
    <row r="408" spans="1:13">
      <c r="A408" t="s">
        <v>1620</v>
      </c>
      <c r="B408" s="342">
        <v>1.2529999999999999</v>
      </c>
      <c r="C408" s="342">
        <v>0.76100000000000001</v>
      </c>
      <c r="D408" s="342">
        <v>0.88100000000000001</v>
      </c>
      <c r="E408" s="342">
        <v>1.4690000000000001</v>
      </c>
      <c r="F408" s="342">
        <v>0.80700000000000005</v>
      </c>
      <c r="G408" s="342">
        <v>0.88200000000000001</v>
      </c>
      <c r="H408" s="342">
        <v>1.452</v>
      </c>
      <c r="I408" s="342">
        <v>0.68799999999999994</v>
      </c>
      <c r="J408" s="342">
        <v>0.88300000000000001</v>
      </c>
      <c r="K408" s="342">
        <v>1.0169999999999999</v>
      </c>
      <c r="L408" s="342">
        <v>0.998</v>
      </c>
      <c r="M408" s="342">
        <v>0.878</v>
      </c>
    </row>
    <row r="409" spans="1:13">
      <c r="A409" t="s">
        <v>2808</v>
      </c>
      <c r="B409" s="342">
        <v>0.58099999999999996</v>
      </c>
      <c r="C409" s="342">
        <v>0.60799999999999998</v>
      </c>
      <c r="D409" s="342">
        <v>0.59599999999999997</v>
      </c>
      <c r="E409" s="342">
        <v>0.629</v>
      </c>
      <c r="F409" s="342">
        <v>0.57699999999999996</v>
      </c>
      <c r="G409" s="342">
        <v>0.622</v>
      </c>
      <c r="H409" s="342">
        <v>0.59899999999999998</v>
      </c>
      <c r="I409" s="342">
        <v>0.60899999999999999</v>
      </c>
      <c r="J409" s="342">
        <v>0.60099999999999998</v>
      </c>
      <c r="K409" s="342">
        <v>0.54700000000000004</v>
      </c>
      <c r="L409" s="342">
        <v>0.629</v>
      </c>
      <c r="M409" s="342">
        <v>0.56899999999999995</v>
      </c>
    </row>
    <row r="410" spans="1:13">
      <c r="A410" t="s">
        <v>2809</v>
      </c>
      <c r="B410" s="342">
        <v>1.2E-2</v>
      </c>
      <c r="C410" s="342">
        <v>1.7999999999999999E-2</v>
      </c>
      <c r="D410" s="342">
        <v>2.1999999999999999E-2</v>
      </c>
      <c r="E410" s="342">
        <v>1.4999999999999999E-2</v>
      </c>
      <c r="F410" s="342">
        <v>5.0000000000000001E-3</v>
      </c>
      <c r="G410" s="342">
        <v>2.5999999999999999E-2</v>
      </c>
      <c r="H410" s="342">
        <v>1.4E-2</v>
      </c>
      <c r="I410" s="342">
        <v>1.9E-2</v>
      </c>
      <c r="J410" s="342">
        <v>2.1000000000000001E-2</v>
      </c>
      <c r="K410" s="342">
        <v>0.01</v>
      </c>
      <c r="L410" s="342">
        <v>2.1999999999999999E-2</v>
      </c>
      <c r="M410" s="342">
        <v>1.9E-2</v>
      </c>
    </row>
    <row r="411" spans="1:13">
      <c r="A411" t="s">
        <v>2810</v>
      </c>
      <c r="B411" s="342">
        <v>0.47399999999999998</v>
      </c>
      <c r="C411" s="342">
        <v>0.82199999999999995</v>
      </c>
      <c r="D411" s="342">
        <v>0.70099999999999996</v>
      </c>
      <c r="E411" s="342">
        <v>0.438</v>
      </c>
      <c r="F411" s="342">
        <v>0.72099999999999997</v>
      </c>
      <c r="G411" s="342">
        <v>0.73499999999999999</v>
      </c>
      <c r="H411" s="342">
        <v>0.42199999999999999</v>
      </c>
      <c r="I411" s="342">
        <v>0.91300000000000003</v>
      </c>
      <c r="J411" s="342">
        <v>0.70399999999999996</v>
      </c>
      <c r="K411" s="342">
        <v>0.54700000000000004</v>
      </c>
      <c r="L411" s="342">
        <v>0.65300000000000002</v>
      </c>
      <c r="M411" s="342">
        <v>0.66900000000000004</v>
      </c>
    </row>
    <row r="412" spans="1:13">
      <c r="A412" t="s">
        <v>9</v>
      </c>
      <c r="B412">
        <v>12.01</v>
      </c>
      <c r="C412">
        <v>9.27</v>
      </c>
      <c r="D412">
        <v>9.9</v>
      </c>
      <c r="E412">
        <v>12.41</v>
      </c>
      <c r="F412">
        <v>9.4700000000000006</v>
      </c>
      <c r="G412">
        <v>9.6999999999999993</v>
      </c>
      <c r="H412">
        <v>11.79</v>
      </c>
      <c r="I412">
        <v>9.1199999999999992</v>
      </c>
      <c r="J412">
        <v>9.89</v>
      </c>
      <c r="K412">
        <v>11.97</v>
      </c>
      <c r="L412">
        <v>9.5299999999999994</v>
      </c>
      <c r="M412">
        <v>10.09</v>
      </c>
    </row>
    <row r="413" spans="1:13">
      <c r="A413" t="s">
        <v>8</v>
      </c>
      <c r="B413">
        <v>15.46</v>
      </c>
      <c r="C413">
        <v>7.75</v>
      </c>
      <c r="D413">
        <v>10.23</v>
      </c>
      <c r="E413">
        <v>19</v>
      </c>
      <c r="F413">
        <v>3.91</v>
      </c>
      <c r="G413">
        <v>9.39</v>
      </c>
      <c r="H413">
        <v>12.84</v>
      </c>
      <c r="I413">
        <v>9.18</v>
      </c>
      <c r="J413">
        <v>10.44</v>
      </c>
      <c r="K413">
        <v>16.53</v>
      </c>
      <c r="L413">
        <v>9.93</v>
      </c>
      <c r="M413">
        <v>10.86</v>
      </c>
    </row>
    <row r="414" spans="1:13">
      <c r="A414" t="s">
        <v>10</v>
      </c>
      <c r="B414">
        <v>27.76</v>
      </c>
      <c r="C414">
        <v>13.47</v>
      </c>
      <c r="D414">
        <v>16.98</v>
      </c>
      <c r="E414">
        <v>29.96</v>
      </c>
      <c r="F414">
        <v>9.35</v>
      </c>
      <c r="G414">
        <v>14.61</v>
      </c>
      <c r="H414">
        <v>25.65</v>
      </c>
      <c r="I414">
        <v>15.53</v>
      </c>
      <c r="J414">
        <v>16.940000000000001</v>
      </c>
      <c r="K414">
        <v>28.52</v>
      </c>
      <c r="L414">
        <v>12.69</v>
      </c>
      <c r="M414">
        <v>19.73</v>
      </c>
    </row>
    <row r="415" spans="1:13">
      <c r="A415" t="s">
        <v>1621</v>
      </c>
      <c r="B415" s="342">
        <v>0.112</v>
      </c>
      <c r="C415" s="342">
        <v>0.16300000000000001</v>
      </c>
      <c r="D415" s="342">
        <v>0.14000000000000001</v>
      </c>
      <c r="E415" s="342">
        <v>0.1</v>
      </c>
      <c r="F415" s="342">
        <v>0.255</v>
      </c>
      <c r="G415" s="342">
        <v>0.14099999999999999</v>
      </c>
      <c r="H415" s="342">
        <v>0.124</v>
      </c>
      <c r="I415" s="342">
        <v>0.154</v>
      </c>
      <c r="J415" s="342">
        <v>0.13800000000000001</v>
      </c>
      <c r="K415" s="342">
        <v>0.109</v>
      </c>
      <c r="L415" s="342">
        <v>0.127</v>
      </c>
      <c r="M415" s="342">
        <v>0.14099999999999999</v>
      </c>
    </row>
    <row r="417" spans="1:13">
      <c r="A417" t="s">
        <v>2836</v>
      </c>
    </row>
    <row r="419" spans="1:13">
      <c r="A419" t="s">
        <v>158</v>
      </c>
      <c r="B419" t="s">
        <v>2806</v>
      </c>
      <c r="E419">
        <v>2017</v>
      </c>
      <c r="H419">
        <v>2018</v>
      </c>
      <c r="K419">
        <v>2019</v>
      </c>
    </row>
    <row r="420" spans="1:13">
      <c r="B420" t="s">
        <v>1623</v>
      </c>
      <c r="C420" t="s">
        <v>1624</v>
      </c>
      <c r="D420" t="s">
        <v>1622</v>
      </c>
      <c r="E420" t="s">
        <v>1623</v>
      </c>
      <c r="F420" t="s">
        <v>1624</v>
      </c>
      <c r="G420" t="s">
        <v>1622</v>
      </c>
      <c r="H420" t="s">
        <v>1623</v>
      </c>
      <c r="I420" t="s">
        <v>1624</v>
      </c>
      <c r="J420" t="s">
        <v>1622</v>
      </c>
      <c r="K420" t="s">
        <v>1623</v>
      </c>
      <c r="L420" t="s">
        <v>1624</v>
      </c>
      <c r="M420" t="s">
        <v>1622</v>
      </c>
    </row>
    <row r="421" spans="1:13">
      <c r="A421" t="s">
        <v>2807</v>
      </c>
      <c r="B421" s="342">
        <v>0.69</v>
      </c>
      <c r="C421" s="342">
        <v>0.875</v>
      </c>
      <c r="D421" s="342">
        <v>0.81499999999999995</v>
      </c>
      <c r="E421" s="342">
        <v>0.71099999999999997</v>
      </c>
      <c r="F421" s="342">
        <v>0.875</v>
      </c>
      <c r="G421" s="342">
        <v>0.81200000000000006</v>
      </c>
      <c r="H421" s="342">
        <v>0.66900000000000004</v>
      </c>
      <c r="I421" s="342">
        <v>0.878</v>
      </c>
      <c r="J421" s="342">
        <v>0.81699999999999995</v>
      </c>
      <c r="K421" s="342">
        <v>0.68400000000000005</v>
      </c>
      <c r="L421" s="342">
        <v>0.873</v>
      </c>
      <c r="M421" s="342">
        <v>0.81599999999999995</v>
      </c>
    </row>
    <row r="422" spans="1:13">
      <c r="A422" t="s">
        <v>1618</v>
      </c>
      <c r="B422" s="342">
        <v>0.14799999999999999</v>
      </c>
      <c r="C422" s="342">
        <v>0.10299999999999999</v>
      </c>
      <c r="D422" s="342">
        <v>0.12</v>
      </c>
      <c r="E422" s="342">
        <v>0.128</v>
      </c>
      <c r="F422" s="342">
        <v>0.10299999999999999</v>
      </c>
      <c r="G422" s="342">
        <v>0.11899999999999999</v>
      </c>
      <c r="H422" s="342">
        <v>0.16800000000000001</v>
      </c>
      <c r="I422" s="342">
        <v>0.10100000000000001</v>
      </c>
      <c r="J422" s="342">
        <v>0.11899999999999999</v>
      </c>
      <c r="K422" s="342">
        <v>0.154</v>
      </c>
      <c r="L422" s="342">
        <v>0.105</v>
      </c>
      <c r="M422" s="342">
        <v>0.121</v>
      </c>
    </row>
    <row r="423" spans="1:13">
      <c r="A423" t="s">
        <v>1619</v>
      </c>
      <c r="B423" s="342">
        <v>1.4999999999999999E-2</v>
      </c>
      <c r="C423" s="342">
        <v>1.2E-2</v>
      </c>
      <c r="D423" s="342">
        <v>1.2999999999999999E-2</v>
      </c>
      <c r="E423" s="342">
        <v>6.0000000000000001E-3</v>
      </c>
      <c r="F423" s="342">
        <v>4.0000000000000001E-3</v>
      </c>
      <c r="G423" s="342">
        <v>5.0000000000000001E-3</v>
      </c>
      <c r="H423" s="342">
        <v>2.1000000000000001E-2</v>
      </c>
      <c r="I423" s="342">
        <v>1.4999999999999999E-2</v>
      </c>
      <c r="J423" s="342">
        <v>1.7999999999999999E-2</v>
      </c>
      <c r="K423" s="342">
        <v>2.1999999999999999E-2</v>
      </c>
      <c r="L423" s="342">
        <v>1.6E-2</v>
      </c>
      <c r="M423" s="342">
        <v>1.7000000000000001E-2</v>
      </c>
    </row>
    <row r="424" spans="1:13">
      <c r="A424" t="s">
        <v>1620</v>
      </c>
      <c r="B424" s="342">
        <v>0.6</v>
      </c>
      <c r="C424" s="342">
        <v>1.099</v>
      </c>
      <c r="D424" s="342">
        <v>0.873</v>
      </c>
      <c r="E424" s="342">
        <v>0.56299999999999994</v>
      </c>
      <c r="F424" s="342">
        <v>1.1140000000000001</v>
      </c>
      <c r="G424" s="342">
        <v>0.878</v>
      </c>
      <c r="H424" s="342">
        <v>0.76400000000000001</v>
      </c>
      <c r="I424" s="342">
        <v>1.0980000000000001</v>
      </c>
      <c r="J424" s="342">
        <v>0.88700000000000001</v>
      </c>
      <c r="K424" s="342">
        <v>0.52400000000000002</v>
      </c>
      <c r="L424" s="342">
        <v>1.087</v>
      </c>
      <c r="M424" s="342">
        <v>0.85399999999999998</v>
      </c>
    </row>
    <row r="425" spans="1:13">
      <c r="A425" t="s">
        <v>2808</v>
      </c>
      <c r="B425" s="342">
        <v>0.39</v>
      </c>
      <c r="C425" s="342">
        <v>0.40600000000000003</v>
      </c>
      <c r="D425" s="342">
        <v>0.40699999999999997</v>
      </c>
      <c r="E425" s="342">
        <v>0.377</v>
      </c>
      <c r="F425" s="342">
        <v>0.40300000000000002</v>
      </c>
      <c r="G425" s="342">
        <v>0.40400000000000003</v>
      </c>
      <c r="H425" s="342">
        <v>0.437</v>
      </c>
      <c r="I425" s="342">
        <v>0.4</v>
      </c>
      <c r="J425" s="342">
        <v>0.40699999999999997</v>
      </c>
      <c r="K425" s="342">
        <v>0.372</v>
      </c>
      <c r="L425" s="342">
        <v>0.41599999999999998</v>
      </c>
      <c r="M425" s="342">
        <v>0.40899999999999997</v>
      </c>
    </row>
    <row r="426" spans="1:13">
      <c r="A426" t="s">
        <v>2809</v>
      </c>
      <c r="B426" s="342">
        <v>1.2999999999999999E-2</v>
      </c>
      <c r="C426" s="342">
        <v>1.2E-2</v>
      </c>
      <c r="D426" s="342">
        <v>1.6E-2</v>
      </c>
      <c r="E426" s="342">
        <v>1.7999999999999999E-2</v>
      </c>
      <c r="F426" s="342">
        <v>1.2E-2</v>
      </c>
      <c r="G426" s="342">
        <v>1.4E-2</v>
      </c>
      <c r="H426" s="342">
        <v>1.0999999999999999E-2</v>
      </c>
      <c r="I426" s="342">
        <v>1.0999999999999999E-2</v>
      </c>
      <c r="J426" s="342">
        <v>1.4999999999999999E-2</v>
      </c>
      <c r="K426" s="342">
        <v>8.0000000000000002E-3</v>
      </c>
      <c r="L426" s="342">
        <v>1.2E-2</v>
      </c>
      <c r="M426" s="342">
        <v>1.9E-2</v>
      </c>
    </row>
    <row r="427" spans="1:13">
      <c r="A427" t="s">
        <v>2810</v>
      </c>
      <c r="B427" s="342">
        <v>0.67100000000000004</v>
      </c>
      <c r="C427" s="342">
        <v>0.38</v>
      </c>
      <c r="D427" s="342">
        <v>0.48399999999999999</v>
      </c>
      <c r="E427" s="342">
        <v>0.70099999999999996</v>
      </c>
      <c r="F427" s="342">
        <v>0.372</v>
      </c>
      <c r="G427" s="342">
        <v>0.47599999999999998</v>
      </c>
      <c r="H427" s="342">
        <v>0.58499999999999996</v>
      </c>
      <c r="I427" s="342">
        <v>0.375</v>
      </c>
      <c r="J427" s="342">
        <v>0.47599999999999998</v>
      </c>
      <c r="K427" s="342">
        <v>0.72599999999999998</v>
      </c>
      <c r="L427" s="342">
        <v>0.39400000000000002</v>
      </c>
      <c r="M427" s="342">
        <v>0.501</v>
      </c>
    </row>
    <row r="428" spans="1:13">
      <c r="A428" t="s">
        <v>9</v>
      </c>
      <c r="B428">
        <v>5.58</v>
      </c>
      <c r="C428">
        <v>6.18</v>
      </c>
      <c r="D428">
        <v>5.72</v>
      </c>
      <c r="E428">
        <v>5.31</v>
      </c>
      <c r="F428">
        <v>6.05</v>
      </c>
      <c r="G428">
        <v>5.65</v>
      </c>
      <c r="H428">
        <v>5.76</v>
      </c>
      <c r="I428">
        <v>5.95</v>
      </c>
      <c r="J428">
        <v>5.71</v>
      </c>
      <c r="K428">
        <v>5.8</v>
      </c>
      <c r="L428">
        <v>6.59</v>
      </c>
      <c r="M428">
        <v>5.8</v>
      </c>
    </row>
    <row r="429" spans="1:13">
      <c r="A429" t="s">
        <v>8</v>
      </c>
      <c r="B429">
        <v>9.0399999999999991</v>
      </c>
      <c r="C429">
        <v>8.69</v>
      </c>
      <c r="D429">
        <v>8.4</v>
      </c>
      <c r="E429">
        <v>9.11</v>
      </c>
      <c r="F429">
        <v>8.11</v>
      </c>
      <c r="G429">
        <v>8.65</v>
      </c>
      <c r="H429">
        <v>10.14</v>
      </c>
      <c r="I429">
        <v>9.02</v>
      </c>
      <c r="J429">
        <v>8.51</v>
      </c>
      <c r="K429">
        <v>8</v>
      </c>
      <c r="L429">
        <v>8.91</v>
      </c>
      <c r="M429">
        <v>8.07</v>
      </c>
    </row>
    <row r="430" spans="1:13">
      <c r="A430" t="s">
        <v>10</v>
      </c>
      <c r="B430">
        <v>14.15</v>
      </c>
      <c r="C430">
        <v>9.59</v>
      </c>
      <c r="D430">
        <v>10.8</v>
      </c>
      <c r="E430">
        <v>12.52</v>
      </c>
      <c r="F430">
        <v>8.89</v>
      </c>
      <c r="G430">
        <v>10.19</v>
      </c>
      <c r="H430">
        <v>14.35</v>
      </c>
      <c r="I430">
        <v>9.86</v>
      </c>
      <c r="J430">
        <v>10.92</v>
      </c>
      <c r="K430">
        <v>16.89</v>
      </c>
      <c r="L430">
        <v>10.039999999999999</v>
      </c>
      <c r="M430">
        <v>11.3</v>
      </c>
    </row>
    <row r="431" spans="1:13">
      <c r="A431" t="s">
        <v>1621</v>
      </c>
      <c r="B431" s="342">
        <v>0.219</v>
      </c>
      <c r="C431" s="342">
        <v>0.17299999999999999</v>
      </c>
      <c r="D431" s="342">
        <v>0.20100000000000001</v>
      </c>
      <c r="E431" s="342">
        <v>0.218</v>
      </c>
      <c r="F431" s="342">
        <v>0.17599999999999999</v>
      </c>
      <c r="G431" s="342">
        <v>0.19400000000000001</v>
      </c>
      <c r="H431" s="342">
        <v>0.20300000000000001</v>
      </c>
      <c r="I431" s="342">
        <v>0.17699999999999999</v>
      </c>
      <c r="J431" s="342">
        <v>0.20100000000000001</v>
      </c>
      <c r="K431" s="342">
        <v>0.23799999999999999</v>
      </c>
      <c r="L431" s="342">
        <v>0.16400000000000001</v>
      </c>
      <c r="M431" s="342">
        <v>0.20799999999999999</v>
      </c>
    </row>
    <row r="433" spans="1:13">
      <c r="A433" t="s">
        <v>2837</v>
      </c>
    </row>
    <row r="435" spans="1:13">
      <c r="A435" t="s">
        <v>158</v>
      </c>
      <c r="B435" t="s">
        <v>2806</v>
      </c>
      <c r="E435">
        <v>2017</v>
      </c>
      <c r="H435">
        <v>2018</v>
      </c>
      <c r="K435">
        <v>2019</v>
      </c>
    </row>
    <row r="436" spans="1:13">
      <c r="B436" t="s">
        <v>1623</v>
      </c>
      <c r="C436" t="s">
        <v>1624</v>
      </c>
      <c r="D436" t="s">
        <v>1622</v>
      </c>
      <c r="E436" t="s">
        <v>1623</v>
      </c>
      <c r="F436" t="s">
        <v>1624</v>
      </c>
      <c r="G436" t="s">
        <v>1622</v>
      </c>
      <c r="H436" t="s">
        <v>1623</v>
      </c>
      <c r="I436" t="s">
        <v>1624</v>
      </c>
      <c r="J436" t="s">
        <v>1622</v>
      </c>
      <c r="K436" t="s">
        <v>1623</v>
      </c>
      <c r="L436" t="s">
        <v>1624</v>
      </c>
      <c r="M436" t="s">
        <v>1622</v>
      </c>
    </row>
    <row r="437" spans="1:13">
      <c r="A437" t="s">
        <v>2807</v>
      </c>
      <c r="B437" s="342">
        <v>0.34799999999999998</v>
      </c>
      <c r="C437" s="342">
        <v>0.70599999999999996</v>
      </c>
      <c r="D437" s="342">
        <v>0.56899999999999995</v>
      </c>
      <c r="E437" s="342">
        <v>0.28899999999999998</v>
      </c>
      <c r="F437" s="342">
        <v>0.70699999999999996</v>
      </c>
      <c r="G437" s="342">
        <v>0.58099999999999996</v>
      </c>
      <c r="H437" s="342">
        <v>0.38700000000000001</v>
      </c>
      <c r="I437" s="342">
        <v>0.71</v>
      </c>
      <c r="J437" s="342">
        <v>0.56999999999999995</v>
      </c>
      <c r="K437" s="342">
        <v>0.34899999999999998</v>
      </c>
      <c r="L437" s="342">
        <v>0.70099999999999996</v>
      </c>
      <c r="M437" s="342">
        <v>0.55700000000000005</v>
      </c>
    </row>
    <row r="438" spans="1:13">
      <c r="A438" t="s">
        <v>1618</v>
      </c>
      <c r="B438" s="342">
        <v>0.40400000000000003</v>
      </c>
      <c r="C438" s="342">
        <v>0.27800000000000002</v>
      </c>
      <c r="D438" s="342">
        <v>0.33200000000000002</v>
      </c>
      <c r="E438" s="342">
        <v>0.44</v>
      </c>
      <c r="F438" s="342">
        <v>0.27800000000000002</v>
      </c>
      <c r="G438" s="342">
        <v>0.32500000000000001</v>
      </c>
      <c r="H438" s="342">
        <v>0.36899999999999999</v>
      </c>
      <c r="I438" s="342">
        <v>0.27400000000000002</v>
      </c>
      <c r="J438" s="342">
        <v>0.33</v>
      </c>
      <c r="K438" s="342">
        <v>0.41299999999999998</v>
      </c>
      <c r="L438" s="342">
        <v>0.28199999999999997</v>
      </c>
      <c r="M438" s="342">
        <v>0.34</v>
      </c>
    </row>
    <row r="439" spans="1:13">
      <c r="A439" t="s">
        <v>1619</v>
      </c>
      <c r="B439" s="342">
        <v>2.9000000000000001E-2</v>
      </c>
      <c r="C439" s="342">
        <v>1.0999999999999999E-2</v>
      </c>
      <c r="D439" s="342">
        <v>2.1999999999999999E-2</v>
      </c>
      <c r="E439" s="342">
        <v>1.7999999999999999E-2</v>
      </c>
      <c r="F439" s="342">
        <v>8.0000000000000002E-3</v>
      </c>
      <c r="G439" s="342">
        <v>1.6E-2</v>
      </c>
      <c r="H439" s="342">
        <v>2.9000000000000001E-2</v>
      </c>
      <c r="I439" s="342">
        <v>1.0999999999999999E-2</v>
      </c>
      <c r="J439" s="342">
        <v>2.3E-2</v>
      </c>
      <c r="K439" s="342">
        <v>3.5000000000000003E-2</v>
      </c>
      <c r="L439" s="342">
        <v>1.4E-2</v>
      </c>
      <c r="M439" s="342">
        <v>2.7E-2</v>
      </c>
    </row>
    <row r="440" spans="1:13">
      <c r="A440" t="s">
        <v>1620</v>
      </c>
      <c r="B440" s="342">
        <v>0.54600000000000004</v>
      </c>
      <c r="C440" s="342">
        <v>1.5289999999999999</v>
      </c>
      <c r="D440" s="342">
        <v>0.88600000000000001</v>
      </c>
      <c r="E440" s="342">
        <v>0.55000000000000004</v>
      </c>
      <c r="F440" s="342">
        <v>1.5369999999999999</v>
      </c>
      <c r="G440" s="342">
        <v>0.90900000000000003</v>
      </c>
      <c r="H440" s="342">
        <v>0.60499999999999998</v>
      </c>
      <c r="I440" s="342">
        <v>1.619</v>
      </c>
      <c r="J440" s="342">
        <v>0.91500000000000004</v>
      </c>
      <c r="K440" s="342">
        <v>0.501</v>
      </c>
      <c r="L440" s="342">
        <v>1.4339999999999999</v>
      </c>
      <c r="M440" s="342">
        <v>0.84199999999999997</v>
      </c>
    </row>
    <row r="441" spans="1:13">
      <c r="A441" t="s">
        <v>2808</v>
      </c>
      <c r="B441" s="342">
        <v>0.20300000000000001</v>
      </c>
      <c r="C441" s="342">
        <v>0.23699999999999999</v>
      </c>
      <c r="D441" s="342">
        <v>0.21299999999999999</v>
      </c>
      <c r="E441" s="342">
        <v>0.224</v>
      </c>
      <c r="F441" s="342">
        <v>0.23899999999999999</v>
      </c>
      <c r="G441" s="342">
        <v>0.21299999999999999</v>
      </c>
      <c r="H441" s="342">
        <v>0.20599999999999999</v>
      </c>
      <c r="I441" s="342">
        <v>0.224</v>
      </c>
      <c r="J441" s="342">
        <v>0.20899999999999999</v>
      </c>
      <c r="K441" s="342">
        <v>0.19</v>
      </c>
      <c r="L441" s="342">
        <v>0.248</v>
      </c>
      <c r="M441" s="342">
        <v>0.216</v>
      </c>
    </row>
    <row r="442" spans="1:13">
      <c r="A442" t="s">
        <v>2809</v>
      </c>
      <c r="B442" s="342">
        <v>7.1999999999999995E-2</v>
      </c>
      <c r="C442" s="342">
        <v>6.0999999999999999E-2</v>
      </c>
      <c r="D442" s="342">
        <v>0.08</v>
      </c>
      <c r="E442" s="342">
        <v>5.0999999999999997E-2</v>
      </c>
      <c r="F442" s="342">
        <v>5.7000000000000002E-2</v>
      </c>
      <c r="G442" s="342">
        <v>7.8E-2</v>
      </c>
      <c r="H442" s="342">
        <v>5.6000000000000001E-2</v>
      </c>
      <c r="I442" s="342">
        <v>5.5E-2</v>
      </c>
      <c r="J442" s="342">
        <v>8.6999999999999994E-2</v>
      </c>
      <c r="K442" s="342">
        <v>9.5000000000000001E-2</v>
      </c>
      <c r="L442" s="342">
        <v>7.1999999999999995E-2</v>
      </c>
      <c r="M442" s="342">
        <v>7.4999999999999997E-2</v>
      </c>
    </row>
    <row r="443" spans="1:13">
      <c r="A443" t="s">
        <v>2810</v>
      </c>
      <c r="B443" s="342">
        <v>0.503</v>
      </c>
      <c r="C443" s="342">
        <v>0.19500000000000001</v>
      </c>
      <c r="D443" s="342">
        <v>0.33</v>
      </c>
      <c r="E443" s="342">
        <v>0.5</v>
      </c>
      <c r="F443" s="342">
        <v>0.192</v>
      </c>
      <c r="G443" s="342">
        <v>0.32</v>
      </c>
      <c r="H443" s="342">
        <v>0.433</v>
      </c>
      <c r="I443" s="342">
        <v>0.17199999999999999</v>
      </c>
      <c r="J443" s="342">
        <v>0.32400000000000001</v>
      </c>
      <c r="K443" s="342">
        <v>0.56899999999999995</v>
      </c>
      <c r="L443" s="342">
        <v>0.223</v>
      </c>
      <c r="M443" s="342">
        <v>0.34499999999999997</v>
      </c>
    </row>
    <row r="444" spans="1:13">
      <c r="A444" t="s">
        <v>9</v>
      </c>
      <c r="B444">
        <v>7.28</v>
      </c>
      <c r="C444">
        <v>7.73</v>
      </c>
      <c r="D444">
        <v>6.79</v>
      </c>
      <c r="E444">
        <v>7.25</v>
      </c>
      <c r="F444">
        <v>7.58</v>
      </c>
      <c r="G444">
        <v>6.59</v>
      </c>
      <c r="H444">
        <v>7.23</v>
      </c>
      <c r="I444">
        <v>8.51</v>
      </c>
      <c r="J444">
        <v>7.03</v>
      </c>
      <c r="K444">
        <v>7.34</v>
      </c>
      <c r="L444">
        <v>7.15</v>
      </c>
      <c r="M444">
        <v>6.75</v>
      </c>
    </row>
    <row r="445" spans="1:13">
      <c r="A445" t="s">
        <v>8</v>
      </c>
      <c r="B445">
        <v>33.15</v>
      </c>
      <c r="C445">
        <v>30.61</v>
      </c>
      <c r="D445">
        <v>34.340000000000003</v>
      </c>
      <c r="E445">
        <v>80.22</v>
      </c>
      <c r="F445">
        <v>28.86</v>
      </c>
      <c r="G445">
        <v>40.64</v>
      </c>
      <c r="H445">
        <v>94.81</v>
      </c>
      <c r="I445">
        <v>33.56</v>
      </c>
      <c r="J445">
        <v>41.07</v>
      </c>
      <c r="K445">
        <v>17.05</v>
      </c>
      <c r="L445">
        <v>29.46</v>
      </c>
      <c r="M445">
        <v>26.49</v>
      </c>
    </row>
    <row r="446" spans="1:13">
      <c r="A446" t="s">
        <v>10</v>
      </c>
      <c r="B446">
        <v>43.26</v>
      </c>
      <c r="C446">
        <v>13.68</v>
      </c>
      <c r="D446">
        <v>17.57</v>
      </c>
      <c r="E446">
        <v>44.89</v>
      </c>
      <c r="F446">
        <v>14.24</v>
      </c>
      <c r="G446">
        <v>16.63</v>
      </c>
      <c r="H446">
        <v>38.090000000000003</v>
      </c>
      <c r="I446">
        <v>13.7</v>
      </c>
      <c r="J446">
        <v>17.559999999999999</v>
      </c>
      <c r="K446">
        <v>48.13</v>
      </c>
      <c r="L446">
        <v>13.15</v>
      </c>
      <c r="M446">
        <v>18.5</v>
      </c>
    </row>
    <row r="447" spans="1:13">
      <c r="A447" t="s">
        <v>1621</v>
      </c>
      <c r="B447" s="342">
        <v>0.14399999999999999</v>
      </c>
      <c r="C447" s="342">
        <v>8.8999999999999996E-2</v>
      </c>
      <c r="D447" s="342">
        <v>0.11899999999999999</v>
      </c>
      <c r="E447" s="342">
        <v>0.128</v>
      </c>
      <c r="F447" s="342">
        <v>9.6000000000000002E-2</v>
      </c>
      <c r="G447" s="342">
        <v>0.11600000000000001</v>
      </c>
      <c r="H447" s="342">
        <v>0.123</v>
      </c>
      <c r="I447" s="342">
        <v>7.3999999999999996E-2</v>
      </c>
      <c r="J447" s="342">
        <v>0.11</v>
      </c>
      <c r="K447" s="342">
        <v>0.17399999999999999</v>
      </c>
      <c r="L447" s="342">
        <v>9.8000000000000004E-2</v>
      </c>
      <c r="M447" s="342">
        <v>0.13200000000000001</v>
      </c>
    </row>
    <row r="449" spans="1:13">
      <c r="A449" t="s">
        <v>2838</v>
      </c>
    </row>
    <row r="451" spans="1:13">
      <c r="A451" t="s">
        <v>158</v>
      </c>
      <c r="B451" t="s">
        <v>2806</v>
      </c>
      <c r="E451">
        <v>2017</v>
      </c>
      <c r="H451">
        <v>2018</v>
      </c>
      <c r="K451">
        <v>2019</v>
      </c>
    </row>
    <row r="452" spans="1:13">
      <c r="B452" t="s">
        <v>1623</v>
      </c>
      <c r="C452" t="s">
        <v>1624</v>
      </c>
      <c r="D452" t="s">
        <v>1622</v>
      </c>
      <c r="E452" t="s">
        <v>1623</v>
      </c>
      <c r="F452" t="s">
        <v>1624</v>
      </c>
      <c r="G452" t="s">
        <v>1622</v>
      </c>
      <c r="H452" t="s">
        <v>1623</v>
      </c>
      <c r="I452" t="s">
        <v>1624</v>
      </c>
      <c r="J452" t="s">
        <v>1622</v>
      </c>
      <c r="K452" t="s">
        <v>1623</v>
      </c>
      <c r="L452" t="s">
        <v>1624</v>
      </c>
      <c r="M452" t="s">
        <v>1622</v>
      </c>
    </row>
    <row r="453" spans="1:13">
      <c r="A453" t="s">
        <v>2807</v>
      </c>
      <c r="B453" s="342">
        <v>0.46500000000000002</v>
      </c>
      <c r="C453" s="342">
        <v>0.86799999999999999</v>
      </c>
      <c r="D453" s="342">
        <v>0.79800000000000004</v>
      </c>
      <c r="E453" s="342">
        <v>0.38200000000000001</v>
      </c>
      <c r="F453" s="342">
        <v>0.875</v>
      </c>
      <c r="G453" s="342">
        <v>0.76100000000000001</v>
      </c>
      <c r="H453" s="342">
        <v>0.46</v>
      </c>
      <c r="I453" s="342">
        <v>0.874</v>
      </c>
      <c r="J453" s="342">
        <v>0.80300000000000005</v>
      </c>
      <c r="K453" s="342">
        <v>0.52500000000000002</v>
      </c>
      <c r="L453" s="342">
        <v>0.85799999999999998</v>
      </c>
      <c r="M453" s="342">
        <v>0.80800000000000005</v>
      </c>
    </row>
    <row r="454" spans="1:13">
      <c r="A454" t="s">
        <v>1618</v>
      </c>
      <c r="B454" s="342">
        <v>0.24299999999999999</v>
      </c>
      <c r="C454" s="342">
        <v>0.114</v>
      </c>
      <c r="D454" s="342">
        <v>0.14000000000000001</v>
      </c>
      <c r="E454" s="342">
        <v>0.249</v>
      </c>
      <c r="F454" s="342">
        <v>0.105</v>
      </c>
      <c r="G454" s="342">
        <v>0.154</v>
      </c>
      <c r="H454" s="342">
        <v>0.251</v>
      </c>
      <c r="I454" s="342">
        <v>0.108</v>
      </c>
      <c r="J454" s="342">
        <v>0.13900000000000001</v>
      </c>
      <c r="K454" s="342">
        <v>0.23400000000000001</v>
      </c>
      <c r="L454" s="342">
        <v>0.127</v>
      </c>
      <c r="M454" s="342">
        <v>0.13400000000000001</v>
      </c>
    </row>
    <row r="455" spans="1:13">
      <c r="A455" t="s">
        <v>1619</v>
      </c>
      <c r="B455" s="342">
        <v>3.9E-2</v>
      </c>
      <c r="C455" s="342">
        <v>1.4E-2</v>
      </c>
      <c r="D455" s="342">
        <v>2.1000000000000001E-2</v>
      </c>
      <c r="E455" s="342">
        <v>2.3E-2</v>
      </c>
      <c r="F455" s="342">
        <v>8.9999999999999993E-3</v>
      </c>
      <c r="G455" s="342">
        <v>1.2E-2</v>
      </c>
      <c r="H455" s="342">
        <v>4.4999999999999998E-2</v>
      </c>
      <c r="I455" s="342">
        <v>1.4999999999999999E-2</v>
      </c>
      <c r="J455" s="342">
        <v>2.3E-2</v>
      </c>
      <c r="K455" s="342">
        <v>4.3999999999999997E-2</v>
      </c>
      <c r="L455" s="342">
        <v>1.6E-2</v>
      </c>
      <c r="M455" s="342">
        <v>2.3E-2</v>
      </c>
    </row>
    <row r="456" spans="1:13">
      <c r="A456" t="s">
        <v>1620</v>
      </c>
      <c r="B456" s="342">
        <v>0.32300000000000001</v>
      </c>
      <c r="C456" s="342">
        <v>1.474</v>
      </c>
      <c r="D456" s="342">
        <v>0.91500000000000004</v>
      </c>
      <c r="E456" s="342">
        <v>0.49</v>
      </c>
      <c r="F456" s="342">
        <v>1.883</v>
      </c>
      <c r="G456" s="342">
        <v>0.97199999999999998</v>
      </c>
      <c r="H456" s="342">
        <v>0.28599999999999998</v>
      </c>
      <c r="I456" s="342">
        <v>1.3169999999999999</v>
      </c>
      <c r="J456" s="342">
        <v>0.90700000000000003</v>
      </c>
      <c r="K456" s="342">
        <v>0.28699999999999998</v>
      </c>
      <c r="L456" s="342">
        <v>1.532</v>
      </c>
      <c r="M456" s="342">
        <v>0.90100000000000002</v>
      </c>
    </row>
    <row r="457" spans="1:13">
      <c r="A457" t="s">
        <v>2808</v>
      </c>
      <c r="B457" s="342">
        <v>0.7</v>
      </c>
      <c r="C457" s="342">
        <v>0.35799999999999998</v>
      </c>
      <c r="D457" s="342">
        <v>0.49</v>
      </c>
      <c r="E457" s="342">
        <v>0.65900000000000003</v>
      </c>
      <c r="F457" s="342">
        <v>0.32200000000000001</v>
      </c>
      <c r="G457" s="342">
        <v>0.51</v>
      </c>
      <c r="H457" s="342">
        <v>0.746</v>
      </c>
      <c r="I457" s="342">
        <v>0.309</v>
      </c>
      <c r="J457" s="342">
        <v>0.47499999999999998</v>
      </c>
      <c r="K457" s="342">
        <v>0.67800000000000005</v>
      </c>
      <c r="L457" s="342">
        <v>0.44800000000000001</v>
      </c>
      <c r="M457" s="342">
        <v>0.498</v>
      </c>
    </row>
    <row r="458" spans="1:13">
      <c r="A458" t="s">
        <v>2809</v>
      </c>
      <c r="B458" s="342">
        <v>7.0000000000000001E-3</v>
      </c>
      <c r="C458" s="342">
        <v>7.0000000000000001E-3</v>
      </c>
      <c r="D458" s="342">
        <v>6.0000000000000001E-3</v>
      </c>
      <c r="E458" s="342">
        <v>8.9999999999999993E-3</v>
      </c>
      <c r="F458" s="342">
        <v>5.0000000000000001E-3</v>
      </c>
      <c r="G458" s="342">
        <v>4.0000000000000001E-3</v>
      </c>
      <c r="H458" s="342">
        <v>2E-3</v>
      </c>
      <c r="I458" s="342">
        <v>8.9999999999999993E-3</v>
      </c>
      <c r="J458" s="342">
        <v>7.0000000000000001E-3</v>
      </c>
      <c r="K458" s="342">
        <v>8.9999999999999993E-3</v>
      </c>
      <c r="L458" s="342">
        <v>6.0000000000000001E-3</v>
      </c>
      <c r="M458" s="342">
        <v>6.0000000000000001E-3</v>
      </c>
    </row>
    <row r="459" spans="1:13">
      <c r="A459" t="s">
        <v>2810</v>
      </c>
      <c r="B459" s="342">
        <v>2.1890000000000001</v>
      </c>
      <c r="C459" s="342">
        <v>0.248</v>
      </c>
      <c r="D459" s="342">
        <v>0.54200000000000004</v>
      </c>
      <c r="E459" s="342">
        <v>1.3620000000000001</v>
      </c>
      <c r="F459" s="342">
        <v>0.17399999999999999</v>
      </c>
      <c r="G459" s="342">
        <v>0.53</v>
      </c>
      <c r="H459" s="342">
        <v>2.6160000000000001</v>
      </c>
      <c r="I459" s="342">
        <v>0.24099999999999999</v>
      </c>
      <c r="J459" s="342">
        <v>0.53100000000000003</v>
      </c>
      <c r="K459" s="342">
        <v>2.3919999999999999</v>
      </c>
      <c r="L459" s="342">
        <v>0.29599999999999999</v>
      </c>
      <c r="M459" s="342">
        <v>0.56000000000000005</v>
      </c>
    </row>
    <row r="460" spans="1:13">
      <c r="A460" t="s">
        <v>9</v>
      </c>
      <c r="B460">
        <v>5.1100000000000003</v>
      </c>
      <c r="C460">
        <v>11.15</v>
      </c>
      <c r="D460">
        <v>7.32</v>
      </c>
      <c r="E460">
        <v>8.75</v>
      </c>
      <c r="F460">
        <v>11.27</v>
      </c>
      <c r="G460">
        <v>8.41</v>
      </c>
      <c r="H460">
        <v>5.59</v>
      </c>
      <c r="I460">
        <v>10.78</v>
      </c>
      <c r="J460">
        <v>7.23</v>
      </c>
      <c r="K460">
        <v>3.8</v>
      </c>
      <c r="L460">
        <v>11.6</v>
      </c>
      <c r="M460">
        <v>7.01</v>
      </c>
    </row>
    <row r="461" spans="1:13">
      <c r="A461" t="s">
        <v>8</v>
      </c>
      <c r="B461">
        <v>8.3800000000000008</v>
      </c>
      <c r="C461">
        <v>5.79</v>
      </c>
      <c r="D461">
        <v>5.71</v>
      </c>
      <c r="E461">
        <v>9.0399999999999991</v>
      </c>
      <c r="F461">
        <v>6.21</v>
      </c>
      <c r="G461">
        <v>5.96</v>
      </c>
      <c r="H461">
        <v>7.89</v>
      </c>
      <c r="I461">
        <v>4.5599999999999996</v>
      </c>
      <c r="J461">
        <v>5.3</v>
      </c>
      <c r="K461">
        <v>8.39</v>
      </c>
      <c r="L461">
        <v>8.43</v>
      </c>
      <c r="M461">
        <v>6.08</v>
      </c>
    </row>
    <row r="462" spans="1:13">
      <c r="A462" t="s">
        <v>10</v>
      </c>
      <c r="B462">
        <v>24.18</v>
      </c>
      <c r="C462">
        <v>26.94</v>
      </c>
      <c r="D462">
        <v>23.46</v>
      </c>
      <c r="E462">
        <v>41.23</v>
      </c>
      <c r="F462">
        <v>24.3</v>
      </c>
      <c r="G462">
        <v>21.24</v>
      </c>
      <c r="H462">
        <v>18.7</v>
      </c>
      <c r="I462">
        <v>27.94</v>
      </c>
      <c r="J462">
        <v>23.42</v>
      </c>
      <c r="K462">
        <v>23.31</v>
      </c>
      <c r="L462">
        <v>27.28</v>
      </c>
      <c r="M462">
        <v>24.57</v>
      </c>
    </row>
    <row r="463" spans="1:13">
      <c r="A463" t="s">
        <v>1621</v>
      </c>
      <c r="B463" s="342">
        <v>0.27400000000000002</v>
      </c>
      <c r="C463" s="342">
        <v>0.22500000000000001</v>
      </c>
      <c r="D463" s="342">
        <v>0.26900000000000002</v>
      </c>
      <c r="E463" s="342">
        <v>0.20100000000000001</v>
      </c>
      <c r="F463" s="342">
        <v>0.20899999999999999</v>
      </c>
      <c r="G463" s="342">
        <v>0.24</v>
      </c>
      <c r="H463" s="342">
        <v>0.252</v>
      </c>
      <c r="I463" s="342">
        <v>0.27600000000000002</v>
      </c>
      <c r="J463" s="342">
        <v>0.28399999999999997</v>
      </c>
      <c r="K463" s="342">
        <v>0.33900000000000002</v>
      </c>
      <c r="L463" s="342">
        <v>0.16800000000000001</v>
      </c>
      <c r="M463" s="342">
        <v>0.26600000000000001</v>
      </c>
    </row>
    <row r="465" spans="1:13">
      <c r="A465" t="s">
        <v>2839</v>
      </c>
    </row>
    <row r="467" spans="1:13">
      <c r="A467" t="s">
        <v>158</v>
      </c>
      <c r="B467" t="s">
        <v>2806</v>
      </c>
      <c r="E467">
        <v>2017</v>
      </c>
      <c r="H467">
        <v>2018</v>
      </c>
      <c r="K467">
        <v>2019</v>
      </c>
    </row>
    <row r="468" spans="1:13">
      <c r="B468" t="s">
        <v>1623</v>
      </c>
      <c r="C468" t="s">
        <v>1624</v>
      </c>
      <c r="D468" t="s">
        <v>1622</v>
      </c>
      <c r="E468" t="s">
        <v>1623</v>
      </c>
      <c r="F468" t="s">
        <v>1624</v>
      </c>
      <c r="G468" t="s">
        <v>1622</v>
      </c>
      <c r="H468" t="s">
        <v>1623</v>
      </c>
      <c r="I468" t="s">
        <v>1624</v>
      </c>
      <c r="J468" t="s">
        <v>1622</v>
      </c>
      <c r="K468" t="s">
        <v>1623</v>
      </c>
      <c r="L468" t="s">
        <v>1624</v>
      </c>
      <c r="M468" t="s">
        <v>1622</v>
      </c>
    </row>
    <row r="469" spans="1:13">
      <c r="A469" t="s">
        <v>2807</v>
      </c>
      <c r="B469" s="342">
        <v>0.41799999999999998</v>
      </c>
      <c r="C469" s="342">
        <v>0.58499999999999996</v>
      </c>
      <c r="D469" s="342">
        <v>0.52400000000000002</v>
      </c>
      <c r="E469" s="342">
        <v>0.40799999999999997</v>
      </c>
      <c r="F469" s="342">
        <v>0.53500000000000003</v>
      </c>
      <c r="G469" s="342">
        <v>0.48499999999999999</v>
      </c>
      <c r="H469" s="342">
        <v>0.44</v>
      </c>
      <c r="I469" s="342">
        <v>0.84799999999999998</v>
      </c>
      <c r="J469" s="342">
        <v>0.53800000000000003</v>
      </c>
      <c r="K469" s="342">
        <v>0.4</v>
      </c>
      <c r="L469" s="342">
        <v>0.55500000000000005</v>
      </c>
      <c r="M469" s="342">
        <v>0.54900000000000004</v>
      </c>
    </row>
    <row r="470" spans="1:13">
      <c r="A470" t="s">
        <v>1618</v>
      </c>
      <c r="B470" s="342">
        <v>0.37</v>
      </c>
      <c r="C470" s="342">
        <v>0.38700000000000001</v>
      </c>
      <c r="D470" s="342">
        <v>0.38600000000000001</v>
      </c>
      <c r="E470" s="342">
        <v>0.35799999999999998</v>
      </c>
      <c r="F470" s="342">
        <v>0.42899999999999999</v>
      </c>
      <c r="G470" s="342">
        <v>0.39300000000000002</v>
      </c>
      <c r="H470" s="342">
        <v>0.36899999999999999</v>
      </c>
      <c r="I470" s="342">
        <v>0.129</v>
      </c>
      <c r="J470" s="342">
        <v>0.38200000000000001</v>
      </c>
      <c r="K470" s="342">
        <v>0.38200000000000001</v>
      </c>
      <c r="L470" s="342">
        <v>0.41799999999999998</v>
      </c>
      <c r="M470" s="342">
        <v>0.38300000000000001</v>
      </c>
    </row>
    <row r="471" spans="1:13">
      <c r="A471" t="s">
        <v>1619</v>
      </c>
      <c r="B471" s="342">
        <v>1.0999999999999999E-2</v>
      </c>
      <c r="C471" s="342">
        <v>1.4E-2</v>
      </c>
      <c r="D471" s="342">
        <v>1.2999999999999999E-2</v>
      </c>
      <c r="E471" s="342">
        <v>0.01</v>
      </c>
      <c r="F471" s="342">
        <v>1.2999999999999999E-2</v>
      </c>
      <c r="G471" s="342">
        <v>8.9999999999999993E-3</v>
      </c>
      <c r="H471" s="342">
        <v>1.2E-2</v>
      </c>
      <c r="I471" s="342">
        <v>1.9E-2</v>
      </c>
      <c r="J471" s="342">
        <v>1.4999999999999999E-2</v>
      </c>
      <c r="K471" s="342">
        <v>0.01</v>
      </c>
      <c r="L471" s="342">
        <v>1.2999999999999999E-2</v>
      </c>
      <c r="M471" s="342">
        <v>1.6E-2</v>
      </c>
    </row>
    <row r="472" spans="1:13">
      <c r="A472" t="s">
        <v>1620</v>
      </c>
      <c r="B472" s="342">
        <v>0.59299999999999997</v>
      </c>
      <c r="C472" s="342">
        <v>0.42399999999999999</v>
      </c>
      <c r="D472" s="342">
        <v>0.43</v>
      </c>
      <c r="E472" s="342">
        <v>0.54500000000000004</v>
      </c>
      <c r="F472" s="342">
        <v>0.58799999999999997</v>
      </c>
      <c r="G472" s="342">
        <v>0.44400000000000001</v>
      </c>
      <c r="H472" s="342">
        <v>0.60199999999999998</v>
      </c>
      <c r="I472" s="342">
        <v>1.798</v>
      </c>
      <c r="J472" s="342">
        <v>0.42499999999999999</v>
      </c>
      <c r="K472" s="342">
        <v>0.63100000000000001</v>
      </c>
      <c r="L472" s="342">
        <v>0.35599999999999998</v>
      </c>
      <c r="M472" s="342">
        <v>0.42099999999999999</v>
      </c>
    </row>
    <row r="473" spans="1:13">
      <c r="A473" t="s">
        <v>2808</v>
      </c>
      <c r="B473" s="342">
        <v>0.182</v>
      </c>
      <c r="C473" s="342">
        <v>0.253</v>
      </c>
      <c r="D473" s="342">
        <v>0.23100000000000001</v>
      </c>
      <c r="E473" s="342">
        <v>0.16300000000000001</v>
      </c>
      <c r="F473" s="342">
        <v>0.38</v>
      </c>
      <c r="G473" s="342">
        <v>0.22600000000000001</v>
      </c>
      <c r="H473" s="342">
        <v>0.21099999999999999</v>
      </c>
      <c r="I473" s="342">
        <v>0.39</v>
      </c>
      <c r="J473" s="342">
        <v>0.23100000000000001</v>
      </c>
      <c r="K473" s="342">
        <v>0.16600000000000001</v>
      </c>
      <c r="L473" s="342">
        <v>0.23</v>
      </c>
      <c r="M473" s="342">
        <v>0.23499999999999999</v>
      </c>
    </row>
    <row r="474" spans="1:13">
      <c r="A474" t="s">
        <v>2809</v>
      </c>
      <c r="B474" s="342">
        <v>1.0999999999999999E-2</v>
      </c>
      <c r="C474" s="342">
        <v>0.01</v>
      </c>
      <c r="D474" s="342">
        <v>8.0000000000000002E-3</v>
      </c>
      <c r="E474" s="342">
        <v>0</v>
      </c>
      <c r="F474" s="342">
        <v>3.5000000000000003E-2</v>
      </c>
      <c r="G474" s="342">
        <v>8.9999999999999993E-3</v>
      </c>
      <c r="H474" s="342">
        <v>2.7E-2</v>
      </c>
      <c r="I474" s="342">
        <v>1E-3</v>
      </c>
      <c r="J474" s="342">
        <v>0.01</v>
      </c>
      <c r="K474" s="342">
        <v>0</v>
      </c>
      <c r="L474" s="342">
        <v>7.0000000000000001E-3</v>
      </c>
      <c r="M474" s="342">
        <v>6.0000000000000001E-3</v>
      </c>
    </row>
    <row r="475" spans="1:13">
      <c r="A475" t="s">
        <v>2810</v>
      </c>
      <c r="B475" s="342">
        <v>0.32500000000000001</v>
      </c>
      <c r="C475" s="342">
        <v>0.621</v>
      </c>
      <c r="D475" s="342">
        <v>0.55500000000000005</v>
      </c>
      <c r="E475" s="342">
        <v>0.29899999999999999</v>
      </c>
      <c r="F475" s="342">
        <v>0.70799999999999996</v>
      </c>
      <c r="G475" s="342">
        <v>0.52900000000000003</v>
      </c>
      <c r="H475" s="342">
        <v>0.39500000000000002</v>
      </c>
      <c r="I475" s="342">
        <v>0.217</v>
      </c>
      <c r="J475" s="342">
        <v>0.56499999999999995</v>
      </c>
      <c r="K475" s="342">
        <v>0.26400000000000001</v>
      </c>
      <c r="L475" s="342">
        <v>0.66500000000000004</v>
      </c>
      <c r="M475" s="342">
        <v>0.56999999999999995</v>
      </c>
    </row>
    <row r="476" spans="1:13">
      <c r="A476" t="s">
        <v>9</v>
      </c>
      <c r="B476">
        <v>4.42</v>
      </c>
      <c r="C476">
        <v>2.23</v>
      </c>
      <c r="D476">
        <v>2.44</v>
      </c>
      <c r="E476">
        <v>4.3600000000000003</v>
      </c>
      <c r="F476">
        <v>2.96</v>
      </c>
      <c r="G476">
        <v>2.39</v>
      </c>
      <c r="H476">
        <v>4.04</v>
      </c>
      <c r="I476">
        <v>9.32</v>
      </c>
      <c r="J476">
        <v>2.58</v>
      </c>
      <c r="K476">
        <v>5.04</v>
      </c>
      <c r="L476">
        <v>1.89</v>
      </c>
      <c r="M476">
        <v>2.37</v>
      </c>
    </row>
    <row r="477" spans="1:13">
      <c r="A477" t="s">
        <v>8</v>
      </c>
      <c r="B477">
        <v>2.04</v>
      </c>
      <c r="C477">
        <v>1.84</v>
      </c>
      <c r="D477">
        <v>1.84</v>
      </c>
      <c r="E477">
        <v>1.94</v>
      </c>
      <c r="F477">
        <v>2.5499999999999998</v>
      </c>
      <c r="G477">
        <v>1.95</v>
      </c>
      <c r="H477">
        <v>1.96</v>
      </c>
      <c r="I477">
        <v>7.83</v>
      </c>
      <c r="J477">
        <v>1.82</v>
      </c>
      <c r="K477">
        <v>2.23</v>
      </c>
      <c r="L477">
        <v>1.54</v>
      </c>
      <c r="M477">
        <v>1.77</v>
      </c>
    </row>
    <row r="478" spans="1:13">
      <c r="A478" t="s">
        <v>10</v>
      </c>
      <c r="B478">
        <v>20.76</v>
      </c>
      <c r="C478">
        <v>11.38</v>
      </c>
      <c r="D478">
        <v>12.67</v>
      </c>
      <c r="E478">
        <v>13.94</v>
      </c>
      <c r="F478">
        <v>35.78</v>
      </c>
      <c r="G478">
        <v>13.87</v>
      </c>
      <c r="H478">
        <v>25.74</v>
      </c>
      <c r="I478">
        <v>22.92</v>
      </c>
      <c r="J478">
        <v>12.88</v>
      </c>
      <c r="K478">
        <v>26.07</v>
      </c>
      <c r="L478">
        <v>9.1199999999999992</v>
      </c>
      <c r="M478">
        <v>11.48</v>
      </c>
    </row>
    <row r="479" spans="1:13">
      <c r="A479" t="s">
        <v>1621</v>
      </c>
      <c r="B479" s="342">
        <v>0.66800000000000004</v>
      </c>
      <c r="C479" s="342">
        <v>0.90400000000000003</v>
      </c>
      <c r="D479" s="342">
        <v>0.873</v>
      </c>
      <c r="E479" s="342">
        <v>0.67200000000000004</v>
      </c>
      <c r="F479" s="342">
        <v>0.70199999999999996</v>
      </c>
      <c r="G479" s="342">
        <v>0.85899999999999999</v>
      </c>
      <c r="H479" s="342">
        <v>0.71799999999999997</v>
      </c>
      <c r="I479" s="342">
        <v>0.191</v>
      </c>
      <c r="J479" s="342">
        <v>0.86</v>
      </c>
      <c r="K479" s="342">
        <v>0.60799999999999998</v>
      </c>
      <c r="L479" s="342">
        <v>1.0680000000000001</v>
      </c>
      <c r="M479" s="342">
        <v>0.9</v>
      </c>
    </row>
    <row r="481" spans="1:13">
      <c r="A481" t="s">
        <v>2840</v>
      </c>
    </row>
    <row r="483" spans="1:13">
      <c r="A483" t="s">
        <v>158</v>
      </c>
      <c r="B483" t="s">
        <v>2806</v>
      </c>
      <c r="E483">
        <v>2017</v>
      </c>
      <c r="H483">
        <v>2018</v>
      </c>
      <c r="K483">
        <v>2019</v>
      </c>
    </row>
    <row r="484" spans="1:13">
      <c r="B484" t="s">
        <v>1623</v>
      </c>
      <c r="C484" t="s">
        <v>1624</v>
      </c>
      <c r="D484" t="s">
        <v>1622</v>
      </c>
      <c r="E484" t="s">
        <v>1623</v>
      </c>
      <c r="F484" t="s">
        <v>1624</v>
      </c>
      <c r="G484" t="s">
        <v>1622</v>
      </c>
      <c r="H484" t="s">
        <v>1623</v>
      </c>
      <c r="I484" t="s">
        <v>1624</v>
      </c>
      <c r="J484" t="s">
        <v>1622</v>
      </c>
      <c r="K484" t="s">
        <v>1623</v>
      </c>
      <c r="L484" t="s">
        <v>1624</v>
      </c>
      <c r="M484" t="s">
        <v>1622</v>
      </c>
    </row>
    <row r="485" spans="1:13">
      <c r="A485" t="s">
        <v>2807</v>
      </c>
      <c r="B485" s="342">
        <v>0.61499999999999999</v>
      </c>
      <c r="C485" s="342">
        <v>0.79600000000000004</v>
      </c>
      <c r="D485" s="342">
        <v>0.77600000000000002</v>
      </c>
      <c r="E485" s="342">
        <v>0.65300000000000002</v>
      </c>
      <c r="F485" s="342">
        <v>0.8</v>
      </c>
      <c r="G485" s="342">
        <v>0.76900000000000002</v>
      </c>
      <c r="H485" s="342">
        <v>0.67400000000000004</v>
      </c>
      <c r="I485" s="342">
        <v>0.83</v>
      </c>
      <c r="J485" s="342">
        <v>0.77800000000000002</v>
      </c>
      <c r="K485" s="342">
        <v>0.55000000000000004</v>
      </c>
      <c r="L485" s="342">
        <v>0.77300000000000002</v>
      </c>
      <c r="M485" s="342">
        <v>0.77900000000000003</v>
      </c>
    </row>
    <row r="486" spans="1:13">
      <c r="A486" t="s">
        <v>1618</v>
      </c>
      <c r="B486" s="342">
        <v>0.13400000000000001</v>
      </c>
      <c r="C486" s="342">
        <v>0.188</v>
      </c>
      <c r="D486" s="342">
        <v>0.17199999999999999</v>
      </c>
      <c r="E486" s="342">
        <v>0.14399999999999999</v>
      </c>
      <c r="F486" s="342">
        <v>0.17899999999999999</v>
      </c>
      <c r="G486" s="342">
        <v>0.16800000000000001</v>
      </c>
      <c r="H486" s="342">
        <v>0.156</v>
      </c>
      <c r="I486" s="342">
        <v>0.14699999999999999</v>
      </c>
      <c r="J486" s="342">
        <v>0.17699999999999999</v>
      </c>
      <c r="K486" s="342">
        <v>0.112</v>
      </c>
      <c r="L486" s="342">
        <v>0.216</v>
      </c>
      <c r="M486" s="342">
        <v>0.17</v>
      </c>
    </row>
    <row r="487" spans="1:13">
      <c r="A487" t="s">
        <v>1619</v>
      </c>
      <c r="B487" s="342">
        <v>4.9000000000000002E-2</v>
      </c>
      <c r="C487" s="342">
        <v>1.7000000000000001E-2</v>
      </c>
      <c r="D487" s="342">
        <v>1.9E-2</v>
      </c>
      <c r="E487" s="342">
        <v>8.9999999999999993E-3</v>
      </c>
      <c r="F487" s="342">
        <v>7.0000000000000001E-3</v>
      </c>
      <c r="G487" s="342">
        <v>6.0000000000000001E-3</v>
      </c>
      <c r="H487" s="342">
        <v>8.1000000000000003E-2</v>
      </c>
      <c r="I487" s="342">
        <v>0.01</v>
      </c>
      <c r="J487" s="342">
        <v>2.1000000000000001E-2</v>
      </c>
      <c r="K487" s="342">
        <v>4.8000000000000001E-2</v>
      </c>
      <c r="L487" s="342">
        <v>2.4E-2</v>
      </c>
      <c r="M487" s="342">
        <v>2.5000000000000001E-2</v>
      </c>
    </row>
    <row r="488" spans="1:13">
      <c r="A488" t="s">
        <v>1620</v>
      </c>
      <c r="B488" s="342">
        <v>0.26800000000000002</v>
      </c>
      <c r="C488" s="342">
        <v>1.512</v>
      </c>
      <c r="D488" s="342">
        <v>0.98599999999999999</v>
      </c>
      <c r="E488" s="342">
        <v>0.24</v>
      </c>
      <c r="F488" s="342">
        <v>1.556</v>
      </c>
      <c r="G488" s="342">
        <v>0.97</v>
      </c>
      <c r="H488" s="342">
        <v>0.28399999999999997</v>
      </c>
      <c r="I488" s="342">
        <v>1.869</v>
      </c>
      <c r="J488" s="342">
        <v>1.0169999999999999</v>
      </c>
      <c r="K488" s="342">
        <v>0.27400000000000002</v>
      </c>
      <c r="L488" s="342">
        <v>1.3420000000000001</v>
      </c>
      <c r="M488" s="342">
        <v>0.97</v>
      </c>
    </row>
    <row r="489" spans="1:13">
      <c r="A489" t="s">
        <v>2808</v>
      </c>
      <c r="B489" s="342">
        <v>0.75</v>
      </c>
      <c r="C489" s="342">
        <v>0.55900000000000005</v>
      </c>
      <c r="D489" s="342">
        <v>0.59899999999999998</v>
      </c>
      <c r="E489" s="342">
        <v>0.80400000000000005</v>
      </c>
      <c r="F489" s="342">
        <v>0.39100000000000001</v>
      </c>
      <c r="G489" s="342">
        <v>0.57299999999999995</v>
      </c>
      <c r="H489" s="342">
        <v>0.7</v>
      </c>
      <c r="I489" s="342">
        <v>0.50900000000000001</v>
      </c>
      <c r="J489" s="342">
        <v>0.61299999999999999</v>
      </c>
      <c r="K489" s="342">
        <v>0.75</v>
      </c>
      <c r="L489" s="342">
        <v>0.61099999999999999</v>
      </c>
      <c r="M489" s="342">
        <v>0.60199999999999998</v>
      </c>
    </row>
    <row r="490" spans="1:13">
      <c r="A490" t="s">
        <v>2809</v>
      </c>
      <c r="B490" s="342">
        <v>0</v>
      </c>
      <c r="C490" s="342">
        <v>1.7000000000000001E-2</v>
      </c>
      <c r="D490" s="342">
        <v>0.01</v>
      </c>
      <c r="E490" s="342">
        <v>0</v>
      </c>
      <c r="F490" s="342">
        <v>2E-3</v>
      </c>
      <c r="G490" s="342">
        <v>0.02</v>
      </c>
      <c r="H490" s="342">
        <v>0</v>
      </c>
      <c r="I490" s="342">
        <v>4.8000000000000001E-2</v>
      </c>
      <c r="J490" s="342">
        <v>1.2E-2</v>
      </c>
      <c r="K490" s="342">
        <v>0</v>
      </c>
      <c r="L490" s="342">
        <v>5.0000000000000001E-3</v>
      </c>
      <c r="M490" s="342">
        <v>4.0000000000000001E-3</v>
      </c>
    </row>
    <row r="491" spans="1:13">
      <c r="A491" t="s">
        <v>2810</v>
      </c>
      <c r="B491" s="342">
        <v>2.8010000000000002</v>
      </c>
      <c r="C491" s="342">
        <v>0.38</v>
      </c>
      <c r="D491" s="342">
        <v>0.61799999999999999</v>
      </c>
      <c r="E491" s="342">
        <v>3.347</v>
      </c>
      <c r="F491" s="342">
        <v>0.252</v>
      </c>
      <c r="G491" s="342">
        <v>0.61099999999999999</v>
      </c>
      <c r="H491" s="342">
        <v>2.4649999999999999</v>
      </c>
      <c r="I491" s="342">
        <v>0.29799999999999999</v>
      </c>
      <c r="J491" s="342">
        <v>0.61499999999999999</v>
      </c>
      <c r="K491" s="342">
        <v>2.7370000000000001</v>
      </c>
      <c r="L491" s="342">
        <v>0.45900000000000002</v>
      </c>
      <c r="M491" s="342">
        <v>0.624</v>
      </c>
    </row>
    <row r="492" spans="1:13">
      <c r="A492" t="s">
        <v>9</v>
      </c>
      <c r="B492">
        <v>3.8</v>
      </c>
      <c r="C492">
        <v>11.53</v>
      </c>
      <c r="D492">
        <v>8.8699999999999992</v>
      </c>
      <c r="E492">
        <v>6.57</v>
      </c>
      <c r="F492">
        <v>8.9</v>
      </c>
      <c r="G492">
        <v>11.02</v>
      </c>
      <c r="H492">
        <v>3.33</v>
      </c>
      <c r="I492">
        <v>17.82</v>
      </c>
      <c r="J492">
        <v>9.6</v>
      </c>
      <c r="K492">
        <v>3.34</v>
      </c>
      <c r="L492">
        <v>9.92</v>
      </c>
      <c r="M492">
        <v>7.63</v>
      </c>
    </row>
    <row r="493" spans="1:13">
      <c r="A493" t="s">
        <v>8</v>
      </c>
      <c r="B493">
        <v>2.64</v>
      </c>
      <c r="C493">
        <v>11.69</v>
      </c>
      <c r="D493">
        <v>9</v>
      </c>
      <c r="E493">
        <v>7.11</v>
      </c>
      <c r="F493">
        <v>6.68</v>
      </c>
      <c r="G493">
        <v>9.81</v>
      </c>
      <c r="H493">
        <v>2.19</v>
      </c>
      <c r="I493">
        <v>9.56</v>
      </c>
      <c r="J493">
        <v>8</v>
      </c>
      <c r="K493">
        <v>2.19</v>
      </c>
      <c r="L493">
        <v>16.600000000000001</v>
      </c>
      <c r="M493">
        <v>9.5299999999999994</v>
      </c>
    </row>
    <row r="494" spans="1:13">
      <c r="A494" t="s">
        <v>10</v>
      </c>
      <c r="B494">
        <v>14.03</v>
      </c>
      <c r="C494">
        <v>20.91</v>
      </c>
      <c r="D494">
        <v>24.28</v>
      </c>
      <c r="E494">
        <v>9.61</v>
      </c>
      <c r="F494">
        <v>10.28</v>
      </c>
      <c r="G494">
        <v>25.23</v>
      </c>
      <c r="H494">
        <v>8.14</v>
      </c>
      <c r="I494">
        <v>27.91</v>
      </c>
      <c r="J494">
        <v>23.42</v>
      </c>
      <c r="K494">
        <v>71.27</v>
      </c>
      <c r="L494">
        <v>22.17</v>
      </c>
      <c r="M494">
        <v>24.51</v>
      </c>
    </row>
    <row r="495" spans="1:13">
      <c r="A495" t="s">
        <v>1621</v>
      </c>
      <c r="B495" s="342">
        <v>0.57099999999999995</v>
      </c>
      <c r="C495" s="342">
        <v>0.125</v>
      </c>
      <c r="D495" s="342">
        <v>0.183</v>
      </c>
      <c r="E495" s="342">
        <v>0.189</v>
      </c>
      <c r="F495" s="342">
        <v>0.16500000000000001</v>
      </c>
      <c r="G495" s="342">
        <v>0.153</v>
      </c>
      <c r="H495" s="342">
        <v>0.63400000000000001</v>
      </c>
      <c r="I495" s="342">
        <v>0.125</v>
      </c>
      <c r="J495" s="342">
        <v>0.187</v>
      </c>
      <c r="K495" s="342">
        <v>0.74299999999999999</v>
      </c>
      <c r="L495" s="342">
        <v>0.11600000000000001</v>
      </c>
      <c r="M495" s="342">
        <v>0.19500000000000001</v>
      </c>
    </row>
    <row r="497" spans="1:13">
      <c r="A497" t="s">
        <v>2841</v>
      </c>
    </row>
    <row r="499" spans="1:13">
      <c r="A499" t="s">
        <v>158</v>
      </c>
      <c r="B499" t="s">
        <v>2806</v>
      </c>
      <c r="E499">
        <v>2017</v>
      </c>
      <c r="H499">
        <v>2018</v>
      </c>
      <c r="K499">
        <v>2019</v>
      </c>
    </row>
    <row r="500" spans="1:13">
      <c r="B500" t="s">
        <v>1623</v>
      </c>
      <c r="C500" t="s">
        <v>1624</v>
      </c>
      <c r="D500" t="s">
        <v>1622</v>
      </c>
      <c r="E500" t="s">
        <v>1623</v>
      </c>
      <c r="F500" t="s">
        <v>1624</v>
      </c>
      <c r="G500" t="s">
        <v>1622</v>
      </c>
      <c r="H500" t="s">
        <v>1623</v>
      </c>
      <c r="I500" t="s">
        <v>1624</v>
      </c>
      <c r="J500" t="s">
        <v>1622</v>
      </c>
      <c r="K500" t="s">
        <v>1623</v>
      </c>
      <c r="L500" t="s">
        <v>1624</v>
      </c>
      <c r="M500" t="s">
        <v>1622</v>
      </c>
    </row>
    <row r="501" spans="1:13">
      <c r="A501" t="s">
        <v>2807</v>
      </c>
      <c r="B501" s="342">
        <v>0.55700000000000005</v>
      </c>
      <c r="C501" s="342">
        <v>0.83299999999999996</v>
      </c>
      <c r="D501" s="342">
        <v>0.76300000000000001</v>
      </c>
      <c r="E501" s="342">
        <v>0.51400000000000001</v>
      </c>
      <c r="F501" s="342">
        <v>0.84899999999999998</v>
      </c>
      <c r="G501" s="342">
        <v>0.76600000000000001</v>
      </c>
      <c r="H501" s="342">
        <v>0.58499999999999996</v>
      </c>
      <c r="I501" s="342">
        <v>0.82599999999999996</v>
      </c>
      <c r="J501" s="342">
        <v>0.76</v>
      </c>
      <c r="K501" s="342">
        <v>0.52800000000000002</v>
      </c>
      <c r="L501" s="342">
        <v>0.82799999999999996</v>
      </c>
      <c r="M501" s="342">
        <v>0.76500000000000001</v>
      </c>
    </row>
    <row r="502" spans="1:13">
      <c r="A502" t="s">
        <v>1618</v>
      </c>
      <c r="B502" s="342">
        <v>0.185</v>
      </c>
      <c r="C502" s="342">
        <v>0.14399999999999999</v>
      </c>
      <c r="D502" s="342">
        <v>0.155</v>
      </c>
      <c r="E502" s="342">
        <v>0.20499999999999999</v>
      </c>
      <c r="F502" s="342">
        <v>0.13</v>
      </c>
      <c r="G502" s="342">
        <v>0.152</v>
      </c>
      <c r="H502" s="342">
        <v>0.16900000000000001</v>
      </c>
      <c r="I502" s="342">
        <v>0.155</v>
      </c>
      <c r="J502" s="342">
        <v>0.15</v>
      </c>
      <c r="K502" s="342">
        <v>0.20499999999999999</v>
      </c>
      <c r="L502" s="342">
        <v>0.14399999999999999</v>
      </c>
      <c r="M502" s="342">
        <v>0.16200000000000001</v>
      </c>
    </row>
    <row r="503" spans="1:13">
      <c r="A503" t="s">
        <v>1619</v>
      </c>
      <c r="B503" s="342">
        <v>4.7E-2</v>
      </c>
      <c r="C503" s="342">
        <v>1.7999999999999999E-2</v>
      </c>
      <c r="D503" s="342">
        <v>3.3000000000000002E-2</v>
      </c>
      <c r="E503" s="342">
        <v>8.0000000000000002E-3</v>
      </c>
      <c r="F503" s="342">
        <v>6.0000000000000001E-3</v>
      </c>
      <c r="G503" s="342">
        <v>8.9999999999999993E-3</v>
      </c>
      <c r="H503" s="342">
        <v>0.05</v>
      </c>
      <c r="I503" s="342">
        <v>1.9E-2</v>
      </c>
      <c r="J503" s="342">
        <v>4.4999999999999998E-2</v>
      </c>
      <c r="K503" s="342">
        <v>7.3999999999999996E-2</v>
      </c>
      <c r="L503" s="342">
        <v>2.5000000000000001E-2</v>
      </c>
      <c r="M503" s="342">
        <v>3.6999999999999998E-2</v>
      </c>
    </row>
    <row r="504" spans="1:13">
      <c r="A504" t="s">
        <v>1620</v>
      </c>
      <c r="B504" s="342">
        <v>0.39400000000000002</v>
      </c>
      <c r="C504" s="342">
        <v>0.88200000000000001</v>
      </c>
      <c r="D504" s="342">
        <v>0.64300000000000002</v>
      </c>
      <c r="E504" s="342">
        <v>0.59199999999999997</v>
      </c>
      <c r="F504" s="342">
        <v>0.53800000000000003</v>
      </c>
      <c r="G504" s="342">
        <v>0.55500000000000005</v>
      </c>
      <c r="H504" s="342">
        <v>0.34699999999999998</v>
      </c>
      <c r="I504" s="342">
        <v>1.135</v>
      </c>
      <c r="J504" s="342">
        <v>0.70099999999999996</v>
      </c>
      <c r="K504" s="342">
        <v>0.40799999999999997</v>
      </c>
      <c r="L504" s="342">
        <v>1.234</v>
      </c>
      <c r="M504" s="342">
        <v>0.65400000000000003</v>
      </c>
    </row>
    <row r="505" spans="1:13">
      <c r="A505" t="s">
        <v>2808</v>
      </c>
      <c r="B505" s="342">
        <v>0.63200000000000001</v>
      </c>
      <c r="C505" s="342">
        <v>0.40799999999999997</v>
      </c>
      <c r="D505" s="342">
        <v>0.58099999999999996</v>
      </c>
      <c r="E505" s="342">
        <v>0.59199999999999997</v>
      </c>
      <c r="F505" s="342">
        <v>0.37</v>
      </c>
      <c r="G505" s="342">
        <v>0.50900000000000001</v>
      </c>
      <c r="H505" s="342">
        <v>0.626</v>
      </c>
      <c r="I505" s="342">
        <v>0.42899999999999999</v>
      </c>
      <c r="J505" s="342">
        <v>0.57999999999999996</v>
      </c>
      <c r="K505" s="342">
        <v>0.67</v>
      </c>
      <c r="L505" s="342">
        <v>0.45300000000000001</v>
      </c>
      <c r="M505" s="342">
        <v>0.64900000000000002</v>
      </c>
    </row>
    <row r="506" spans="1:13">
      <c r="A506" t="s">
        <v>2809</v>
      </c>
      <c r="B506" s="342">
        <v>8.9999999999999993E-3</v>
      </c>
      <c r="C506" s="342">
        <v>5.0000000000000001E-3</v>
      </c>
      <c r="D506" s="342">
        <v>1.0999999999999999E-2</v>
      </c>
      <c r="E506" s="342">
        <v>3.1E-2</v>
      </c>
      <c r="F506" s="342">
        <v>6.0000000000000001E-3</v>
      </c>
      <c r="G506" s="342">
        <v>1.4E-2</v>
      </c>
      <c r="H506" s="342">
        <v>6.0000000000000001E-3</v>
      </c>
      <c r="I506" s="342">
        <v>4.0000000000000001E-3</v>
      </c>
      <c r="J506" s="342">
        <v>6.0000000000000001E-3</v>
      </c>
      <c r="K506" s="342">
        <v>3.0000000000000001E-3</v>
      </c>
      <c r="L506" s="342">
        <v>4.0000000000000001E-3</v>
      </c>
      <c r="M506" s="342">
        <v>1.4E-2</v>
      </c>
    </row>
    <row r="507" spans="1:13">
      <c r="A507" t="s">
        <v>2810</v>
      </c>
      <c r="B507" s="342">
        <v>1.6240000000000001</v>
      </c>
      <c r="C507" s="342">
        <v>0.46800000000000003</v>
      </c>
      <c r="D507" s="342">
        <v>0.92</v>
      </c>
      <c r="E507" s="342">
        <v>1.054</v>
      </c>
      <c r="F507" s="342">
        <v>0.69899999999999995</v>
      </c>
      <c r="G507" s="342">
        <v>0.94199999999999995</v>
      </c>
      <c r="H507" s="342">
        <v>1.819</v>
      </c>
      <c r="I507" s="342">
        <v>0.38100000000000001</v>
      </c>
      <c r="J507" s="342">
        <v>0.83499999999999996</v>
      </c>
      <c r="K507" s="342">
        <v>1.65</v>
      </c>
      <c r="L507" s="342">
        <v>0.371</v>
      </c>
      <c r="M507" s="342">
        <v>1.014</v>
      </c>
    </row>
    <row r="508" spans="1:13">
      <c r="A508" t="s">
        <v>9</v>
      </c>
      <c r="B508">
        <v>4.9000000000000004</v>
      </c>
      <c r="C508">
        <v>7.85</v>
      </c>
      <c r="D508">
        <v>7.09</v>
      </c>
      <c r="E508">
        <v>5.34</v>
      </c>
      <c r="F508">
        <v>10.62</v>
      </c>
      <c r="G508">
        <v>8.07</v>
      </c>
      <c r="H508">
        <v>3.79</v>
      </c>
      <c r="I508">
        <v>7.8</v>
      </c>
      <c r="J508">
        <v>6.21</v>
      </c>
      <c r="K508">
        <v>12.64</v>
      </c>
      <c r="L508">
        <v>6.6</v>
      </c>
      <c r="M508">
        <v>7.77</v>
      </c>
    </row>
    <row r="509" spans="1:13">
      <c r="A509" t="s">
        <v>8</v>
      </c>
      <c r="B509">
        <v>10.69</v>
      </c>
      <c r="C509">
        <v>6.35</v>
      </c>
      <c r="D509">
        <v>7.83</v>
      </c>
      <c r="E509">
        <v>11.35</v>
      </c>
      <c r="F509">
        <v>6.19</v>
      </c>
      <c r="G509">
        <v>8.4</v>
      </c>
      <c r="H509">
        <v>12.2</v>
      </c>
      <c r="I509">
        <v>4.96</v>
      </c>
      <c r="J509">
        <v>7.37</v>
      </c>
      <c r="K509">
        <v>8</v>
      </c>
      <c r="L509">
        <v>8.52</v>
      </c>
      <c r="M509">
        <v>8.07</v>
      </c>
    </row>
    <row r="510" spans="1:13">
      <c r="A510" t="s">
        <v>10</v>
      </c>
      <c r="B510">
        <v>22.51</v>
      </c>
      <c r="C510">
        <v>13.37</v>
      </c>
      <c r="D510">
        <v>17.32</v>
      </c>
      <c r="E510">
        <v>36.270000000000003</v>
      </c>
      <c r="F510">
        <v>16.53</v>
      </c>
      <c r="G510">
        <v>21.86</v>
      </c>
      <c r="H510">
        <v>16.13</v>
      </c>
      <c r="I510">
        <v>9.31</v>
      </c>
      <c r="J510">
        <v>13.57</v>
      </c>
      <c r="K510">
        <v>55.76</v>
      </c>
      <c r="L510">
        <v>17.28</v>
      </c>
      <c r="M510">
        <v>21.65</v>
      </c>
    </row>
    <row r="511" spans="1:13">
      <c r="A511" t="s">
        <v>1621</v>
      </c>
      <c r="B511" s="342">
        <v>0.253</v>
      </c>
      <c r="C511" s="342">
        <v>0.21</v>
      </c>
      <c r="D511" s="342">
        <v>0.21099999999999999</v>
      </c>
      <c r="E511" s="342">
        <v>0.248</v>
      </c>
      <c r="F511" s="342">
        <v>0.19500000000000001</v>
      </c>
      <c r="G511" s="342">
        <v>0.19700000000000001</v>
      </c>
      <c r="H511" s="342">
        <v>0.28399999999999997</v>
      </c>
      <c r="I511" s="342">
        <v>0.223</v>
      </c>
      <c r="J511" s="342">
        <v>0.223</v>
      </c>
      <c r="K511" s="342">
        <v>0.186</v>
      </c>
      <c r="L511" s="342">
        <v>0.21099999999999999</v>
      </c>
      <c r="M511" s="342">
        <v>0.20599999999999999</v>
      </c>
    </row>
    <row r="513" spans="1:13">
      <c r="A513" t="s">
        <v>2842</v>
      </c>
    </row>
    <row r="515" spans="1:13">
      <c r="A515" t="s">
        <v>158</v>
      </c>
      <c r="B515" t="s">
        <v>2806</v>
      </c>
      <c r="E515">
        <v>2017</v>
      </c>
      <c r="H515">
        <v>2018</v>
      </c>
      <c r="K515">
        <v>2019</v>
      </c>
    </row>
    <row r="516" spans="1:13">
      <c r="B516" t="s">
        <v>1623</v>
      </c>
      <c r="C516" t="s">
        <v>1624</v>
      </c>
      <c r="D516" t="s">
        <v>1622</v>
      </c>
      <c r="E516" t="s">
        <v>1623</v>
      </c>
      <c r="F516" t="s">
        <v>1624</v>
      </c>
      <c r="G516" t="s">
        <v>1622</v>
      </c>
      <c r="H516" t="s">
        <v>1623</v>
      </c>
      <c r="I516" t="s">
        <v>1624</v>
      </c>
      <c r="J516" t="s">
        <v>1622</v>
      </c>
      <c r="K516" t="s">
        <v>1623</v>
      </c>
      <c r="L516" t="s">
        <v>1624</v>
      </c>
      <c r="M516" t="s">
        <v>1622</v>
      </c>
    </row>
    <row r="517" spans="1:13">
      <c r="A517" t="s">
        <v>2807</v>
      </c>
      <c r="B517" s="342">
        <v>0.50900000000000001</v>
      </c>
      <c r="C517" s="342">
        <v>0.85099999999999998</v>
      </c>
      <c r="D517" s="342">
        <v>0.79100000000000004</v>
      </c>
      <c r="E517" s="342">
        <v>0.10199999999999999</v>
      </c>
      <c r="F517" s="342">
        <v>0.72599999999999998</v>
      </c>
      <c r="G517" s="342">
        <v>0.69699999999999995</v>
      </c>
      <c r="H517" s="342">
        <v>0.45900000000000002</v>
      </c>
      <c r="I517" s="342">
        <v>0.88100000000000001</v>
      </c>
      <c r="J517" s="342">
        <v>0.79600000000000004</v>
      </c>
      <c r="K517" s="342">
        <v>0.56599999999999995</v>
      </c>
      <c r="L517" s="342">
        <v>0.91600000000000004</v>
      </c>
      <c r="M517" s="342">
        <v>0.81899999999999995</v>
      </c>
    </row>
    <row r="518" spans="1:13">
      <c r="A518" t="s">
        <v>1618</v>
      </c>
      <c r="B518" s="342">
        <v>0.223</v>
      </c>
      <c r="C518" s="342">
        <v>0.12</v>
      </c>
      <c r="D518" s="342">
        <v>0.13800000000000001</v>
      </c>
      <c r="E518" s="342">
        <v>0.26</v>
      </c>
      <c r="F518" s="342">
        <v>0.23</v>
      </c>
      <c r="G518" s="342">
        <v>0.2</v>
      </c>
      <c r="H518" s="342">
        <v>0.31</v>
      </c>
      <c r="I518" s="342">
        <v>0.09</v>
      </c>
      <c r="J518" s="342">
        <v>0.14199999999999999</v>
      </c>
      <c r="K518" s="342">
        <v>0.17599999999999999</v>
      </c>
      <c r="L518" s="342">
        <v>6.6000000000000003E-2</v>
      </c>
      <c r="M518" s="342">
        <v>0.114</v>
      </c>
    </row>
    <row r="519" spans="1:13">
      <c r="A519" t="s">
        <v>1619</v>
      </c>
      <c r="B519" s="342">
        <v>2.1000000000000001E-2</v>
      </c>
      <c r="C519" s="342">
        <v>4.0000000000000001E-3</v>
      </c>
      <c r="D519" s="342">
        <v>2.9000000000000001E-2</v>
      </c>
      <c r="E519" s="342">
        <v>4.0000000000000001E-3</v>
      </c>
      <c r="F519" s="342">
        <v>3.0000000000000001E-3</v>
      </c>
      <c r="G519" s="342">
        <v>5.0000000000000001E-3</v>
      </c>
      <c r="H519" s="342">
        <v>1.4E-2</v>
      </c>
      <c r="I519" s="342">
        <v>6.0000000000000001E-3</v>
      </c>
      <c r="J519" s="342">
        <v>3.6999999999999998E-2</v>
      </c>
      <c r="K519" s="342">
        <v>2.5999999999999999E-2</v>
      </c>
      <c r="L519" s="342">
        <v>1E-3</v>
      </c>
      <c r="M519" s="342">
        <v>3.2000000000000001E-2</v>
      </c>
    </row>
    <row r="520" spans="1:13">
      <c r="A520" t="s">
        <v>1620</v>
      </c>
      <c r="B520" s="342">
        <v>0.153</v>
      </c>
      <c r="C520" s="342">
        <v>0.95299999999999996</v>
      </c>
      <c r="D520" s="342">
        <v>0.56699999999999995</v>
      </c>
      <c r="E520" s="342">
        <v>6.3E-2</v>
      </c>
      <c r="F520" s="342">
        <v>0.73099999999999998</v>
      </c>
      <c r="G520" s="342">
        <v>0.41899999999999998</v>
      </c>
      <c r="H520" s="342">
        <v>0.152</v>
      </c>
      <c r="I520" s="342">
        <v>1.1459999999999999</v>
      </c>
      <c r="J520" s="342">
        <v>0.59499999999999997</v>
      </c>
      <c r="K520" s="342">
        <v>0.17299999999999999</v>
      </c>
      <c r="L520" s="342">
        <v>0.98499999999999999</v>
      </c>
      <c r="M520" s="342">
        <v>0.61799999999999999</v>
      </c>
    </row>
    <row r="521" spans="1:13">
      <c r="A521" t="s">
        <v>2808</v>
      </c>
      <c r="B521" s="342">
        <v>0.751</v>
      </c>
      <c r="C521" s="342">
        <v>0.32800000000000001</v>
      </c>
      <c r="D521" s="342">
        <v>0.57999999999999996</v>
      </c>
      <c r="E521" s="342">
        <v>0.90600000000000003</v>
      </c>
      <c r="F521" s="342">
        <v>0.54800000000000004</v>
      </c>
      <c r="G521" s="342">
        <v>0.63400000000000001</v>
      </c>
      <c r="H521" s="342">
        <v>0.74199999999999999</v>
      </c>
      <c r="I521" s="342">
        <v>0.14299999999999999</v>
      </c>
      <c r="J521" s="342">
        <v>0.53400000000000003</v>
      </c>
      <c r="K521" s="342">
        <v>0.72299999999999998</v>
      </c>
      <c r="L521" s="342">
        <v>0.28799999999999998</v>
      </c>
      <c r="M521" s="342">
        <v>0.59299999999999997</v>
      </c>
    </row>
    <row r="522" spans="1:13">
      <c r="A522" t="s">
        <v>2809</v>
      </c>
      <c r="B522" s="342">
        <v>0</v>
      </c>
      <c r="C522" s="342">
        <v>3.0000000000000001E-3</v>
      </c>
      <c r="D522" s="342">
        <v>1E-3</v>
      </c>
      <c r="E522" s="342">
        <v>0</v>
      </c>
      <c r="F522" s="342">
        <v>4.0000000000000001E-3</v>
      </c>
      <c r="G522" s="342">
        <v>2E-3</v>
      </c>
      <c r="H522" s="342">
        <v>0</v>
      </c>
      <c r="I522" s="342">
        <v>0</v>
      </c>
      <c r="J522" s="342">
        <v>1E-3</v>
      </c>
      <c r="K522" s="342">
        <v>0</v>
      </c>
      <c r="L522" s="342">
        <v>7.0000000000000001E-3</v>
      </c>
      <c r="M522" s="342">
        <v>1E-3</v>
      </c>
    </row>
    <row r="523" spans="1:13">
      <c r="A523" t="s">
        <v>2810</v>
      </c>
      <c r="B523" s="342">
        <v>4.9009999999999998</v>
      </c>
      <c r="C523" s="342">
        <v>0.34799999999999998</v>
      </c>
      <c r="D523" s="342">
        <v>1.024</v>
      </c>
      <c r="E523" s="342">
        <v>14.412000000000001</v>
      </c>
      <c r="F523" s="342">
        <v>0.75600000000000001</v>
      </c>
      <c r="G523" s="342">
        <v>1.518</v>
      </c>
      <c r="H523" s="342">
        <v>4.8869999999999996</v>
      </c>
      <c r="I523" s="342">
        <v>0.125</v>
      </c>
      <c r="J523" s="342">
        <v>0.9</v>
      </c>
      <c r="K523" s="342">
        <v>4.1849999999999996</v>
      </c>
      <c r="L523" s="342">
        <v>0.29899999999999999</v>
      </c>
      <c r="M523" s="342">
        <v>0.96099999999999997</v>
      </c>
    </row>
    <row r="524" spans="1:13">
      <c r="A524" t="s">
        <v>9</v>
      </c>
      <c r="B524">
        <v>2.86</v>
      </c>
      <c r="C524">
        <v>4.66</v>
      </c>
      <c r="D524">
        <v>6.02</v>
      </c>
      <c r="E524">
        <v>23.69</v>
      </c>
      <c r="F524">
        <v>3.34</v>
      </c>
      <c r="G524">
        <v>4.0999999999999996</v>
      </c>
      <c r="H524">
        <v>4.0199999999999996</v>
      </c>
      <c r="I524">
        <v>4.6900000000000004</v>
      </c>
      <c r="J524">
        <v>7.03</v>
      </c>
      <c r="K524">
        <v>2.36</v>
      </c>
      <c r="L524">
        <v>6.93</v>
      </c>
      <c r="M524">
        <v>6.25</v>
      </c>
    </row>
    <row r="525" spans="1:13">
      <c r="A525" t="s">
        <v>8</v>
      </c>
      <c r="B525">
        <v>2.42</v>
      </c>
      <c r="C525">
        <v>8.48</v>
      </c>
      <c r="D525">
        <v>5.32</v>
      </c>
      <c r="E525" t="s">
        <v>1468</v>
      </c>
      <c r="F525">
        <v>6.03</v>
      </c>
      <c r="G525">
        <v>6.53</v>
      </c>
      <c r="H525">
        <v>1.97</v>
      </c>
      <c r="I525">
        <v>19.66</v>
      </c>
      <c r="J525">
        <v>4.3499999999999996</v>
      </c>
      <c r="K525">
        <v>2.52</v>
      </c>
      <c r="L525">
        <v>5.98</v>
      </c>
      <c r="M525">
        <v>6.11</v>
      </c>
    </row>
    <row r="526" spans="1:13">
      <c r="A526" t="s">
        <v>10</v>
      </c>
      <c r="B526">
        <v>62.14</v>
      </c>
      <c r="C526">
        <v>5.55</v>
      </c>
      <c r="D526">
        <v>12.49</v>
      </c>
      <c r="E526" t="s">
        <v>1468</v>
      </c>
      <c r="F526">
        <v>14.57</v>
      </c>
      <c r="G526">
        <v>18.670000000000002</v>
      </c>
      <c r="H526">
        <v>1014.14</v>
      </c>
      <c r="I526">
        <v>3.42</v>
      </c>
      <c r="J526">
        <v>7.67</v>
      </c>
      <c r="K526">
        <v>40.090000000000003</v>
      </c>
      <c r="L526">
        <v>8.02</v>
      </c>
      <c r="M526">
        <v>22.14</v>
      </c>
    </row>
    <row r="527" spans="1:13">
      <c r="A527" t="s">
        <v>1621</v>
      </c>
      <c r="B527" s="342">
        <v>0.747</v>
      </c>
      <c r="C527" s="342">
        <v>0.152</v>
      </c>
      <c r="D527" s="342">
        <v>0.27400000000000002</v>
      </c>
      <c r="E527" t="s">
        <v>1468</v>
      </c>
      <c r="F527" s="342">
        <v>0.39700000000000002</v>
      </c>
      <c r="G527" s="342">
        <v>0.34300000000000003</v>
      </c>
      <c r="H527" s="342">
        <v>0.754</v>
      </c>
      <c r="I527" s="342">
        <v>-2.8000000000000001E-2</v>
      </c>
      <c r="J527" s="342">
        <v>0.24199999999999999</v>
      </c>
      <c r="K527" s="342">
        <v>0.79700000000000004</v>
      </c>
      <c r="L527" s="342">
        <v>0.187</v>
      </c>
      <c r="M527" s="342">
        <v>0.27900000000000003</v>
      </c>
    </row>
    <row r="529" spans="1:13">
      <c r="A529" t="s">
        <v>2843</v>
      </c>
    </row>
    <row r="531" spans="1:13">
      <c r="A531" t="s">
        <v>158</v>
      </c>
      <c r="B531" t="s">
        <v>2806</v>
      </c>
      <c r="E531">
        <v>2017</v>
      </c>
      <c r="H531">
        <v>2018</v>
      </c>
      <c r="K531">
        <v>2019</v>
      </c>
    </row>
    <row r="532" spans="1:13">
      <c r="B532" t="s">
        <v>1623</v>
      </c>
      <c r="C532" t="s">
        <v>1624</v>
      </c>
      <c r="D532" t="s">
        <v>1622</v>
      </c>
      <c r="E532" t="s">
        <v>1623</v>
      </c>
      <c r="F532" t="s">
        <v>1624</v>
      </c>
      <c r="G532" t="s">
        <v>1622</v>
      </c>
      <c r="H532" t="s">
        <v>1623</v>
      </c>
      <c r="I532" t="s">
        <v>1624</v>
      </c>
      <c r="J532" t="s">
        <v>1622</v>
      </c>
      <c r="K532" t="s">
        <v>1623</v>
      </c>
      <c r="L532" t="s">
        <v>1624</v>
      </c>
      <c r="M532" t="s">
        <v>1622</v>
      </c>
    </row>
    <row r="533" spans="1:13">
      <c r="A533" t="s">
        <v>2807</v>
      </c>
      <c r="B533" s="342">
        <v>0.153</v>
      </c>
      <c r="C533" s="342">
        <v>0.83899999999999997</v>
      </c>
      <c r="D533" s="342">
        <v>0.753</v>
      </c>
      <c r="E533" s="342">
        <v>0.47799999999999998</v>
      </c>
      <c r="F533" s="342">
        <v>0.85699999999999998</v>
      </c>
      <c r="G533" s="342">
        <v>0.74</v>
      </c>
      <c r="H533" s="342">
        <v>0.25900000000000001</v>
      </c>
      <c r="I533" s="342">
        <v>0.84</v>
      </c>
      <c r="J533" s="342">
        <v>0.78900000000000003</v>
      </c>
      <c r="K533" s="342">
        <v>5.2999999999999999E-2</v>
      </c>
      <c r="L533" s="342">
        <v>0.82499999999999996</v>
      </c>
      <c r="M533" s="342">
        <v>0.72</v>
      </c>
    </row>
    <row r="534" spans="1:13">
      <c r="A534" t="s">
        <v>1618</v>
      </c>
      <c r="B534" s="342">
        <v>0.14599999999999999</v>
      </c>
      <c r="C534" s="342">
        <v>0.13800000000000001</v>
      </c>
      <c r="D534" s="342">
        <v>0.14599999999999999</v>
      </c>
      <c r="E534" s="342">
        <v>0.38900000000000001</v>
      </c>
      <c r="F534" s="342">
        <v>0.13900000000000001</v>
      </c>
      <c r="G534" s="342">
        <v>0.223</v>
      </c>
      <c r="H534" s="342">
        <v>0.371</v>
      </c>
      <c r="I534" s="342">
        <v>0.13</v>
      </c>
      <c r="J534" s="342">
        <v>0.14099999999999999</v>
      </c>
      <c r="K534" s="342">
        <v>1.2E-2</v>
      </c>
      <c r="L534" s="342">
        <v>0.16700000000000001</v>
      </c>
      <c r="M534" s="342">
        <v>0.13300000000000001</v>
      </c>
    </row>
    <row r="535" spans="1:13">
      <c r="A535" t="s">
        <v>1619</v>
      </c>
      <c r="B535" s="342">
        <v>1.7999999999999999E-2</v>
      </c>
      <c r="C535" s="342">
        <v>3.0000000000000001E-3</v>
      </c>
      <c r="D535" s="342">
        <v>1.7999999999999999E-2</v>
      </c>
      <c r="E535" s="342">
        <v>0</v>
      </c>
      <c r="F535" s="342">
        <v>2E-3</v>
      </c>
      <c r="G535" s="342">
        <v>7.0000000000000001E-3</v>
      </c>
      <c r="H535" s="342">
        <v>3.4000000000000002E-2</v>
      </c>
      <c r="I535" s="342">
        <v>3.0000000000000001E-3</v>
      </c>
      <c r="J535" s="342">
        <v>2.5000000000000001E-2</v>
      </c>
      <c r="K535" s="342">
        <v>1.4E-2</v>
      </c>
      <c r="L535" s="342">
        <v>2E-3</v>
      </c>
      <c r="M535" s="342">
        <v>1.2E-2</v>
      </c>
    </row>
    <row r="536" spans="1:13">
      <c r="A536" t="s">
        <v>1620</v>
      </c>
      <c r="B536" s="342">
        <v>0.254</v>
      </c>
      <c r="C536" s="342">
        <v>1.4890000000000001</v>
      </c>
      <c r="D536" s="342">
        <v>0.92900000000000005</v>
      </c>
      <c r="E536" s="342">
        <v>0.311</v>
      </c>
      <c r="F536" s="342">
        <v>1.379</v>
      </c>
      <c r="G536" s="342">
        <v>0.98399999999999999</v>
      </c>
      <c r="H536" s="342">
        <v>0.124</v>
      </c>
      <c r="I536" s="342">
        <v>1.73</v>
      </c>
      <c r="J536" s="342">
        <v>0.755</v>
      </c>
      <c r="K536" s="342">
        <v>0.42</v>
      </c>
      <c r="L536" s="342">
        <v>1.0009999999999999</v>
      </c>
      <c r="M536" s="342">
        <v>1.196</v>
      </c>
    </row>
    <row r="537" spans="1:13">
      <c r="A537" t="s">
        <v>2808</v>
      </c>
      <c r="B537" s="342">
        <v>0.91300000000000003</v>
      </c>
      <c r="C537" s="342">
        <v>0.3</v>
      </c>
      <c r="D537" s="342">
        <v>0.57399999999999995</v>
      </c>
      <c r="E537" s="342">
        <v>0.84899999999999998</v>
      </c>
      <c r="F537" s="342">
        <v>9.6000000000000002E-2</v>
      </c>
      <c r="G537" s="342">
        <v>0.28699999999999998</v>
      </c>
      <c r="H537" s="342">
        <v>0.89900000000000002</v>
      </c>
      <c r="I537" s="342">
        <v>0.25800000000000001</v>
      </c>
      <c r="J537" s="342">
        <v>0.63</v>
      </c>
      <c r="K537" s="342">
        <v>0.94799999999999995</v>
      </c>
      <c r="L537" s="342">
        <v>0.48099999999999998</v>
      </c>
      <c r="M537" s="342">
        <v>0.56399999999999995</v>
      </c>
    </row>
    <row r="538" spans="1:13">
      <c r="A538" t="s">
        <v>2809</v>
      </c>
      <c r="B538" s="342">
        <v>0</v>
      </c>
      <c r="C538" s="342">
        <v>3.0000000000000001E-3</v>
      </c>
      <c r="D538" s="342">
        <v>1E-3</v>
      </c>
      <c r="E538" s="342">
        <v>0</v>
      </c>
      <c r="F538" s="342">
        <v>0</v>
      </c>
      <c r="G538" s="342">
        <v>0</v>
      </c>
      <c r="H538" s="342">
        <v>0</v>
      </c>
      <c r="I538" s="342">
        <v>3.0000000000000001E-3</v>
      </c>
      <c r="J538" s="342">
        <v>1E-3</v>
      </c>
      <c r="K538" s="342">
        <v>0</v>
      </c>
      <c r="L538" s="342">
        <v>6.0000000000000001E-3</v>
      </c>
      <c r="M538" s="342">
        <v>1E-3</v>
      </c>
    </row>
    <row r="539" spans="1:13">
      <c r="A539" t="s">
        <v>2810</v>
      </c>
      <c r="B539" s="342">
        <v>3.6</v>
      </c>
      <c r="C539" s="342">
        <v>0.20399999999999999</v>
      </c>
      <c r="D539" s="342">
        <v>0.61899999999999999</v>
      </c>
      <c r="E539" s="342">
        <v>2.7309999999999999</v>
      </c>
      <c r="F539" s="342">
        <v>7.0000000000000007E-2</v>
      </c>
      <c r="G539" s="342">
        <v>0.29199999999999998</v>
      </c>
      <c r="H539" s="342">
        <v>7.2750000000000004</v>
      </c>
      <c r="I539" s="342">
        <v>0.151</v>
      </c>
      <c r="J539" s="342">
        <v>0.83599999999999997</v>
      </c>
      <c r="K539" s="342">
        <v>2.258</v>
      </c>
      <c r="L539" s="342">
        <v>0.48599999999999999</v>
      </c>
      <c r="M539" s="342">
        <v>0.47299999999999998</v>
      </c>
    </row>
    <row r="540" spans="1:13">
      <c r="A540" t="s">
        <v>9</v>
      </c>
      <c r="B540">
        <v>22.64</v>
      </c>
      <c r="C540">
        <v>11</v>
      </c>
      <c r="D540">
        <v>9.92</v>
      </c>
      <c r="E540">
        <v>10.4</v>
      </c>
      <c r="F540">
        <v>86.94</v>
      </c>
      <c r="G540">
        <v>13.95</v>
      </c>
      <c r="H540">
        <v>7.64</v>
      </c>
      <c r="I540">
        <v>8.36</v>
      </c>
      <c r="J540">
        <v>9.84</v>
      </c>
      <c r="K540" t="s">
        <v>1468</v>
      </c>
      <c r="L540">
        <v>36.07</v>
      </c>
      <c r="M540">
        <v>9.36</v>
      </c>
    </row>
    <row r="541" spans="1:13">
      <c r="A541" t="s">
        <v>8</v>
      </c>
      <c r="B541">
        <v>36.44</v>
      </c>
      <c r="C541">
        <v>6.1</v>
      </c>
      <c r="D541">
        <v>8.56</v>
      </c>
      <c r="E541">
        <v>6.91</v>
      </c>
      <c r="F541">
        <v>2.15</v>
      </c>
      <c r="G541">
        <v>2.91</v>
      </c>
      <c r="H541" t="s">
        <v>1468</v>
      </c>
      <c r="I541">
        <v>9.89</v>
      </c>
      <c r="J541">
        <v>11.09</v>
      </c>
      <c r="K541">
        <v>54.68</v>
      </c>
      <c r="L541">
        <v>4.4000000000000004</v>
      </c>
      <c r="M541">
        <v>11.06</v>
      </c>
    </row>
    <row r="542" spans="1:13">
      <c r="A542" t="s">
        <v>10</v>
      </c>
      <c r="B542">
        <v>247.39</v>
      </c>
      <c r="C542">
        <v>26.71</v>
      </c>
      <c r="D542">
        <v>52.09</v>
      </c>
      <c r="E542" t="s">
        <v>1468</v>
      </c>
      <c r="F542">
        <v>385.32</v>
      </c>
      <c r="G542">
        <v>269.18</v>
      </c>
      <c r="H542">
        <v>150.51</v>
      </c>
      <c r="I542">
        <v>23.18</v>
      </c>
      <c r="J542">
        <v>31.74</v>
      </c>
      <c r="K542">
        <v>271.31</v>
      </c>
      <c r="L542">
        <v>27.64</v>
      </c>
      <c r="M542">
        <v>97.52</v>
      </c>
    </row>
    <row r="543" spans="1:13">
      <c r="A543" t="s">
        <v>1621</v>
      </c>
      <c r="B543" s="342">
        <v>6.8000000000000005E-2</v>
      </c>
      <c r="C543" s="342">
        <v>0.217</v>
      </c>
      <c r="D543" s="342">
        <v>0.19800000000000001</v>
      </c>
      <c r="E543" t="s">
        <v>1468</v>
      </c>
      <c r="F543" s="342">
        <v>0.47399999999999998</v>
      </c>
      <c r="G543" s="342">
        <v>0.41199999999999998</v>
      </c>
      <c r="H543" t="s">
        <v>1468</v>
      </c>
      <c r="I543" s="342">
        <v>0.17799999999999999</v>
      </c>
      <c r="J543" s="342">
        <v>0.16</v>
      </c>
      <c r="K543" t="s">
        <v>1468</v>
      </c>
      <c r="L543" s="342">
        <v>0.219</v>
      </c>
      <c r="M543" s="342">
        <v>0.187</v>
      </c>
    </row>
    <row r="545" spans="1:13">
      <c r="A545" t="s">
        <v>2844</v>
      </c>
    </row>
    <row r="547" spans="1:13">
      <c r="A547" t="s">
        <v>158</v>
      </c>
      <c r="B547" t="s">
        <v>2806</v>
      </c>
      <c r="E547">
        <v>2017</v>
      </c>
      <c r="H547">
        <v>2018</v>
      </c>
      <c r="K547">
        <v>2019</v>
      </c>
    </row>
    <row r="548" spans="1:13">
      <c r="B548" t="s">
        <v>1623</v>
      </c>
      <c r="C548" t="s">
        <v>1624</v>
      </c>
      <c r="D548" t="s">
        <v>1622</v>
      </c>
      <c r="E548" t="s">
        <v>1623</v>
      </c>
      <c r="F548" t="s">
        <v>1624</v>
      </c>
      <c r="G548" t="s">
        <v>1622</v>
      </c>
      <c r="H548" t="s">
        <v>1623</v>
      </c>
      <c r="I548" t="s">
        <v>1624</v>
      </c>
      <c r="J548" t="s">
        <v>1622</v>
      </c>
      <c r="K548" t="s">
        <v>1623</v>
      </c>
      <c r="L548" t="s">
        <v>1624</v>
      </c>
      <c r="M548" t="s">
        <v>1622</v>
      </c>
    </row>
    <row r="549" spans="1:13">
      <c r="A549" t="s">
        <v>2807</v>
      </c>
      <c r="B549" s="342">
        <v>0.48899999999999999</v>
      </c>
      <c r="C549" s="342">
        <v>0.89100000000000001</v>
      </c>
      <c r="D549" s="342">
        <v>0.78400000000000003</v>
      </c>
      <c r="E549" s="342">
        <v>0.499</v>
      </c>
      <c r="F549" s="342">
        <v>0.874</v>
      </c>
      <c r="G549" s="342">
        <v>0.748</v>
      </c>
      <c r="H549" s="342">
        <v>0.57299999999999995</v>
      </c>
      <c r="I549" s="342">
        <v>0.90800000000000003</v>
      </c>
      <c r="J549" s="342">
        <v>0.78900000000000003</v>
      </c>
      <c r="K549" s="342">
        <v>0.128</v>
      </c>
      <c r="L549" s="342">
        <v>0.88</v>
      </c>
      <c r="M549" s="342">
        <v>0.82399999999999995</v>
      </c>
    </row>
    <row r="550" spans="1:13">
      <c r="A550" t="s">
        <v>1618</v>
      </c>
      <c r="B550" s="342">
        <v>0.30399999999999999</v>
      </c>
      <c r="C550" s="342">
        <v>9.6000000000000002E-2</v>
      </c>
      <c r="D550" s="342">
        <v>0.14399999999999999</v>
      </c>
      <c r="E550" s="342">
        <v>0.30599999999999999</v>
      </c>
      <c r="F550" s="342">
        <v>0.112</v>
      </c>
      <c r="G550" s="342">
        <v>0.159</v>
      </c>
      <c r="H550" s="342">
        <v>0.28999999999999998</v>
      </c>
      <c r="I550" s="342">
        <v>8.1000000000000003E-2</v>
      </c>
      <c r="J550" s="342">
        <v>0.151</v>
      </c>
      <c r="K550" s="342">
        <v>0.33500000000000002</v>
      </c>
      <c r="L550" s="342">
        <v>0.105</v>
      </c>
      <c r="M550" s="342">
        <v>0.115</v>
      </c>
    </row>
    <row r="551" spans="1:13">
      <c r="A551" t="s">
        <v>1619</v>
      </c>
      <c r="B551" s="342">
        <v>1.4999999999999999E-2</v>
      </c>
      <c r="C551" s="342">
        <v>5.0000000000000001E-3</v>
      </c>
      <c r="D551" s="342">
        <v>8.9999999999999993E-3</v>
      </c>
      <c r="E551" s="342">
        <v>0.01</v>
      </c>
      <c r="F551" s="342">
        <v>3.0000000000000001E-3</v>
      </c>
      <c r="G551" s="342">
        <v>6.0000000000000001E-3</v>
      </c>
      <c r="H551" s="342">
        <v>2.1000000000000001E-2</v>
      </c>
      <c r="I551" s="342">
        <v>7.0000000000000001E-3</v>
      </c>
      <c r="J551" s="342">
        <v>0.01</v>
      </c>
      <c r="K551" s="342">
        <v>4.4999999999999998E-2</v>
      </c>
      <c r="L551" s="342">
        <v>3.0000000000000001E-3</v>
      </c>
      <c r="M551" s="342">
        <v>0.01</v>
      </c>
    </row>
    <row r="552" spans="1:13">
      <c r="A552" t="s">
        <v>1620</v>
      </c>
      <c r="B552" s="342">
        <v>0.94799999999999995</v>
      </c>
      <c r="C552" s="342">
        <v>2.722</v>
      </c>
      <c r="D552" s="342">
        <v>1.5169999999999999</v>
      </c>
      <c r="E552" s="342">
        <v>1.2230000000000001</v>
      </c>
      <c r="F552" s="342">
        <v>3.4430000000000001</v>
      </c>
      <c r="G552" s="342">
        <v>1.6379999999999999</v>
      </c>
      <c r="H552" s="342">
        <v>0.86099999999999999</v>
      </c>
      <c r="I552" s="342">
        <v>3.3660000000000001</v>
      </c>
      <c r="J552" s="342">
        <v>1.6240000000000001</v>
      </c>
      <c r="K552" s="342">
        <v>0.313</v>
      </c>
      <c r="L552" s="342">
        <v>2.016</v>
      </c>
      <c r="M552" s="342">
        <v>1.256</v>
      </c>
    </row>
    <row r="553" spans="1:13">
      <c r="A553" t="s">
        <v>2808</v>
      </c>
      <c r="B553" s="342">
        <v>0.51500000000000001</v>
      </c>
      <c r="C553" s="342">
        <v>0.39100000000000001</v>
      </c>
      <c r="D553" s="342">
        <v>0.34699999999999998</v>
      </c>
      <c r="E553" s="342">
        <v>0.49</v>
      </c>
      <c r="F553" s="342">
        <v>0.24199999999999999</v>
      </c>
      <c r="G553" s="342">
        <v>0.41099999999999998</v>
      </c>
      <c r="H553" s="342">
        <v>0.42399999999999999</v>
      </c>
      <c r="I553" s="342">
        <v>0.35</v>
      </c>
      <c r="J553" s="342">
        <v>0.252</v>
      </c>
      <c r="K553" s="342">
        <v>0.68799999999999994</v>
      </c>
      <c r="L553" s="342">
        <v>0.47099999999999997</v>
      </c>
      <c r="M553" s="342">
        <v>0.40899999999999997</v>
      </c>
    </row>
    <row r="554" spans="1:13">
      <c r="A554" t="s">
        <v>2809</v>
      </c>
      <c r="B554" s="342">
        <v>2E-3</v>
      </c>
      <c r="C554" s="342">
        <v>3.0000000000000001E-3</v>
      </c>
      <c r="D554" s="342">
        <v>3.0000000000000001E-3</v>
      </c>
      <c r="E554" s="342">
        <v>0</v>
      </c>
      <c r="F554" s="342">
        <v>1.0999999999999999E-2</v>
      </c>
      <c r="G554" s="342">
        <v>1E-3</v>
      </c>
      <c r="H554" s="342">
        <v>3.0000000000000001E-3</v>
      </c>
      <c r="I554" s="342">
        <v>0</v>
      </c>
      <c r="J554" s="342">
        <v>5.0000000000000001E-3</v>
      </c>
      <c r="K554" s="342">
        <v>7.0000000000000001E-3</v>
      </c>
      <c r="L554" s="342">
        <v>3.0000000000000001E-3</v>
      </c>
      <c r="M554" s="342">
        <v>3.0000000000000001E-3</v>
      </c>
    </row>
    <row r="555" spans="1:13">
      <c r="A555" t="s">
        <v>2810</v>
      </c>
      <c r="B555" s="342">
        <v>0.54600000000000004</v>
      </c>
      <c r="C555" s="342">
        <v>0.14499999999999999</v>
      </c>
      <c r="D555" s="342">
        <v>0.23100000000000001</v>
      </c>
      <c r="E555" s="342">
        <v>0.40100000000000002</v>
      </c>
      <c r="F555" s="342">
        <v>7.3999999999999996E-2</v>
      </c>
      <c r="G555" s="342">
        <v>0.251</v>
      </c>
      <c r="H555" s="342">
        <v>0.495</v>
      </c>
      <c r="I555" s="342">
        <v>0.104</v>
      </c>
      <c r="J555" s="342">
        <v>0.158</v>
      </c>
      <c r="K555" s="342">
        <v>2.2210000000000001</v>
      </c>
      <c r="L555" s="342">
        <v>0.23499999999999999</v>
      </c>
      <c r="M555" s="342">
        <v>0.32800000000000001</v>
      </c>
    </row>
    <row r="556" spans="1:13">
      <c r="A556" t="s">
        <v>9</v>
      </c>
      <c r="B556">
        <v>8.18</v>
      </c>
      <c r="C556">
        <v>11.94</v>
      </c>
      <c r="D556">
        <v>8.23</v>
      </c>
      <c r="E556">
        <v>7.79</v>
      </c>
      <c r="F556">
        <v>15.54</v>
      </c>
      <c r="G556">
        <v>7.19</v>
      </c>
      <c r="H556">
        <v>8.0399999999999991</v>
      </c>
      <c r="I556">
        <v>16.72</v>
      </c>
      <c r="J556">
        <v>7.63</v>
      </c>
      <c r="K556">
        <v>19.510000000000002</v>
      </c>
      <c r="L556">
        <v>8.1</v>
      </c>
      <c r="M556">
        <v>12.15</v>
      </c>
    </row>
    <row r="557" spans="1:13">
      <c r="A557" t="s">
        <v>8</v>
      </c>
      <c r="B557">
        <v>30.18</v>
      </c>
      <c r="C557">
        <v>18.489999999999998</v>
      </c>
      <c r="D557">
        <v>7.08</v>
      </c>
      <c r="E557">
        <v>49.22</v>
      </c>
      <c r="F557">
        <v>23.08</v>
      </c>
      <c r="G557">
        <v>31.13</v>
      </c>
      <c r="H557">
        <v>25.45</v>
      </c>
      <c r="I557">
        <v>17.88</v>
      </c>
      <c r="J557">
        <v>6.02</v>
      </c>
      <c r="K557">
        <v>6.77</v>
      </c>
      <c r="L557">
        <v>17.21</v>
      </c>
      <c r="M557">
        <v>4.16</v>
      </c>
    </row>
    <row r="558" spans="1:13">
      <c r="A558" t="s">
        <v>10</v>
      </c>
      <c r="B558">
        <v>37.69</v>
      </c>
      <c r="C558">
        <v>20.190000000000001</v>
      </c>
      <c r="D558">
        <v>16.11</v>
      </c>
      <c r="E558">
        <v>38.159999999999997</v>
      </c>
      <c r="F558">
        <v>35.51</v>
      </c>
      <c r="G558">
        <v>14.98</v>
      </c>
      <c r="H558">
        <v>36.49</v>
      </c>
      <c r="I558">
        <v>23.41</v>
      </c>
      <c r="J558">
        <v>13.5</v>
      </c>
      <c r="K558">
        <v>36.82</v>
      </c>
      <c r="L558">
        <v>14.27</v>
      </c>
      <c r="M558">
        <v>28.04</v>
      </c>
    </row>
    <row r="559" spans="1:13">
      <c r="A559" t="s">
        <v>1621</v>
      </c>
      <c r="B559" s="342">
        <v>0.129</v>
      </c>
      <c r="C559" s="342">
        <v>8.7999999999999995E-2</v>
      </c>
      <c r="D559" s="342">
        <v>0.20100000000000001</v>
      </c>
      <c r="E559" s="342">
        <v>0.123</v>
      </c>
      <c r="F559" s="342">
        <v>0.08</v>
      </c>
      <c r="G559" s="342">
        <v>0.104</v>
      </c>
      <c r="H559" s="342">
        <v>0.13600000000000001</v>
      </c>
      <c r="I559" s="342">
        <v>7.2999999999999995E-2</v>
      </c>
      <c r="J559" s="342">
        <v>0.223</v>
      </c>
      <c r="K559" s="342">
        <v>0.17199999999999999</v>
      </c>
      <c r="L559" s="342">
        <v>0.112</v>
      </c>
      <c r="M559" s="342">
        <v>0.28699999999999998</v>
      </c>
    </row>
    <row r="561" spans="1:13">
      <c r="A561" t="s">
        <v>2845</v>
      </c>
    </row>
    <row r="563" spans="1:13">
      <c r="A563" t="s">
        <v>158</v>
      </c>
      <c r="B563" t="s">
        <v>2806</v>
      </c>
      <c r="E563">
        <v>2017</v>
      </c>
      <c r="H563">
        <v>2018</v>
      </c>
      <c r="K563">
        <v>2019</v>
      </c>
    </row>
    <row r="564" spans="1:13">
      <c r="B564" t="s">
        <v>1623</v>
      </c>
      <c r="C564" t="s">
        <v>1624</v>
      </c>
      <c r="D564" t="s">
        <v>1622</v>
      </c>
      <c r="E564" t="s">
        <v>1623</v>
      </c>
      <c r="F564" t="s">
        <v>1624</v>
      </c>
      <c r="G564" t="s">
        <v>1622</v>
      </c>
      <c r="H564" t="s">
        <v>1623</v>
      </c>
      <c r="I564" t="s">
        <v>1624</v>
      </c>
      <c r="J564" t="s">
        <v>1622</v>
      </c>
      <c r="K564" t="s">
        <v>1623</v>
      </c>
      <c r="L564" t="s">
        <v>1624</v>
      </c>
      <c r="M564" t="s">
        <v>1622</v>
      </c>
    </row>
    <row r="565" spans="1:13">
      <c r="A565" t="s">
        <v>2807</v>
      </c>
      <c r="B565" s="342">
        <v>0.77700000000000002</v>
      </c>
      <c r="C565" s="342">
        <v>0.91600000000000004</v>
      </c>
      <c r="D565" s="342">
        <v>0.82199999999999995</v>
      </c>
      <c r="E565" s="342">
        <v>0.77</v>
      </c>
      <c r="F565" s="342">
        <v>0.93700000000000006</v>
      </c>
      <c r="G565" s="342">
        <v>0.82</v>
      </c>
      <c r="H565" s="342">
        <v>0.78500000000000003</v>
      </c>
      <c r="I565" s="342">
        <v>0.91</v>
      </c>
      <c r="J565" s="342">
        <v>0.82399999999999995</v>
      </c>
      <c r="K565" s="342">
        <v>0.77400000000000002</v>
      </c>
      <c r="L565" s="342">
        <v>0.91</v>
      </c>
      <c r="M565" s="342">
        <v>0.82199999999999995</v>
      </c>
    </row>
    <row r="566" spans="1:13">
      <c r="A566" t="s">
        <v>1618</v>
      </c>
      <c r="B566" s="342">
        <v>4.5999999999999999E-2</v>
      </c>
      <c r="C566" s="342">
        <v>5.1999999999999998E-2</v>
      </c>
      <c r="D566" s="342">
        <v>5.8000000000000003E-2</v>
      </c>
      <c r="E566" s="342">
        <v>1.9E-2</v>
      </c>
      <c r="F566" s="342">
        <v>2.7E-2</v>
      </c>
      <c r="G566" s="342">
        <v>4.1000000000000002E-2</v>
      </c>
      <c r="H566" s="342">
        <v>0.05</v>
      </c>
      <c r="I566" s="342">
        <v>6.6000000000000003E-2</v>
      </c>
      <c r="J566" s="342">
        <v>6.2E-2</v>
      </c>
      <c r="K566" s="342">
        <v>5.8999999999999997E-2</v>
      </c>
      <c r="L566" s="342">
        <v>5.6000000000000001E-2</v>
      </c>
      <c r="M566" s="342">
        <v>6.6000000000000003E-2</v>
      </c>
    </row>
    <row r="567" spans="1:13">
      <c r="A567" t="s">
        <v>1619</v>
      </c>
      <c r="B567" s="342">
        <v>1.9E-2</v>
      </c>
      <c r="C567" s="342">
        <v>1.0999999999999999E-2</v>
      </c>
      <c r="D567" s="342">
        <v>1.7000000000000001E-2</v>
      </c>
      <c r="E567" s="342">
        <v>2E-3</v>
      </c>
      <c r="F567" s="342">
        <v>1E-3</v>
      </c>
      <c r="G567" s="342">
        <v>2E-3</v>
      </c>
      <c r="H567" s="342">
        <v>0.02</v>
      </c>
      <c r="I567" s="342">
        <v>8.9999999999999993E-3</v>
      </c>
      <c r="J567" s="342">
        <v>0.02</v>
      </c>
      <c r="K567" s="342">
        <v>2.7E-2</v>
      </c>
      <c r="L567" s="342">
        <v>1.7999999999999999E-2</v>
      </c>
      <c r="M567" s="342">
        <v>2.4E-2</v>
      </c>
    </row>
    <row r="568" spans="1:13">
      <c r="A568" t="s">
        <v>1620</v>
      </c>
      <c r="B568" s="342">
        <v>0.65900000000000003</v>
      </c>
      <c r="C568" s="342">
        <v>1.4330000000000001</v>
      </c>
      <c r="D568" s="342">
        <v>0.59699999999999998</v>
      </c>
      <c r="E568" s="342">
        <v>0.61499999999999999</v>
      </c>
      <c r="F568" s="342">
        <v>1.5029999999999999</v>
      </c>
      <c r="G568" s="342">
        <v>0.50900000000000001</v>
      </c>
      <c r="H568" s="342">
        <v>0.67400000000000004</v>
      </c>
      <c r="I568" s="342">
        <v>1.417</v>
      </c>
      <c r="J568" s="342">
        <v>0.74199999999999999</v>
      </c>
      <c r="K568" s="342">
        <v>0.67400000000000004</v>
      </c>
      <c r="L568" s="342">
        <v>1.41</v>
      </c>
      <c r="M568" s="342">
        <v>0.55900000000000005</v>
      </c>
    </row>
    <row r="569" spans="1:13">
      <c r="A569" t="s">
        <v>2808</v>
      </c>
      <c r="B569" s="342">
        <v>0.222</v>
      </c>
      <c r="C569" s="342">
        <v>0.34300000000000003</v>
      </c>
      <c r="D569" s="342">
        <v>0.437</v>
      </c>
      <c r="E569" s="342">
        <v>0.13100000000000001</v>
      </c>
      <c r="F569" s="342">
        <v>0.308</v>
      </c>
      <c r="G569" s="342">
        <v>0.45300000000000001</v>
      </c>
      <c r="H569" s="342">
        <v>0.23699999999999999</v>
      </c>
      <c r="I569" s="342">
        <v>0.41499999999999998</v>
      </c>
      <c r="J569" s="342">
        <v>0.33500000000000002</v>
      </c>
      <c r="K569" s="342">
        <v>0.26900000000000002</v>
      </c>
      <c r="L569" s="342">
        <v>0.30399999999999999</v>
      </c>
      <c r="M569" s="342">
        <v>0.496</v>
      </c>
    </row>
    <row r="570" spans="1:13">
      <c r="A570" t="s">
        <v>2809</v>
      </c>
      <c r="B570" s="342">
        <v>4.0000000000000001E-3</v>
      </c>
      <c r="C570" s="342">
        <v>0</v>
      </c>
      <c r="D570" s="342">
        <v>4.0000000000000001E-3</v>
      </c>
      <c r="E570" s="342">
        <v>0</v>
      </c>
      <c r="F570" s="342">
        <v>0</v>
      </c>
      <c r="G570" s="342">
        <v>4.0000000000000001E-3</v>
      </c>
      <c r="H570" s="342">
        <v>5.0000000000000001E-3</v>
      </c>
      <c r="I570" s="342">
        <v>0</v>
      </c>
      <c r="J570" s="342">
        <v>3.0000000000000001E-3</v>
      </c>
      <c r="K570" s="342">
        <v>5.0000000000000001E-3</v>
      </c>
      <c r="L570" s="342">
        <v>0</v>
      </c>
      <c r="M570" s="342">
        <v>4.0000000000000001E-3</v>
      </c>
    </row>
    <row r="571" spans="1:13">
      <c r="A571" t="s">
        <v>2810</v>
      </c>
      <c r="B571" s="342">
        <v>0.34300000000000003</v>
      </c>
      <c r="C571" s="342">
        <v>0.23899999999999999</v>
      </c>
      <c r="D571" s="342">
        <v>0.73899999999999999</v>
      </c>
      <c r="E571" s="342">
        <v>0.21299999999999999</v>
      </c>
      <c r="F571" s="342">
        <v>0.20499999999999999</v>
      </c>
      <c r="G571" s="342">
        <v>0.89800000000000002</v>
      </c>
      <c r="H571" s="342">
        <v>0.35799999999999998</v>
      </c>
      <c r="I571" s="342">
        <v>0.29299999999999998</v>
      </c>
      <c r="J571" s="342">
        <v>0.45500000000000002</v>
      </c>
      <c r="K571" s="342">
        <v>0.40699999999999997</v>
      </c>
      <c r="L571" s="342">
        <v>0.215</v>
      </c>
      <c r="M571" s="342">
        <v>0.89500000000000002</v>
      </c>
    </row>
    <row r="572" spans="1:13">
      <c r="A572" t="s">
        <v>9</v>
      </c>
      <c r="B572">
        <v>32.92</v>
      </c>
      <c r="C572">
        <v>6.97</v>
      </c>
      <c r="D572">
        <v>14.97</v>
      </c>
      <c r="E572">
        <v>217.23</v>
      </c>
      <c r="F572">
        <v>7</v>
      </c>
      <c r="G572">
        <v>19.95</v>
      </c>
      <c r="H572">
        <v>37.43</v>
      </c>
      <c r="I572">
        <v>6.06</v>
      </c>
      <c r="J572">
        <v>13.92</v>
      </c>
      <c r="K572">
        <v>20.14</v>
      </c>
      <c r="L572">
        <v>7.89</v>
      </c>
      <c r="M572">
        <v>13.7</v>
      </c>
    </row>
    <row r="573" spans="1:13">
      <c r="A573" t="s">
        <v>8</v>
      </c>
      <c r="B573">
        <v>0.97</v>
      </c>
      <c r="C573">
        <v>5.68</v>
      </c>
      <c r="D573">
        <v>1.4</v>
      </c>
      <c r="E573">
        <v>0.77</v>
      </c>
      <c r="F573">
        <v>4.82</v>
      </c>
      <c r="G573">
        <v>1.19</v>
      </c>
      <c r="H573">
        <v>1.03</v>
      </c>
      <c r="I573">
        <v>7.68</v>
      </c>
      <c r="J573">
        <v>1.49</v>
      </c>
      <c r="K573">
        <v>1.08</v>
      </c>
      <c r="L573">
        <v>5.1100000000000003</v>
      </c>
      <c r="M573">
        <v>1.48</v>
      </c>
    </row>
    <row r="574" spans="1:13">
      <c r="A574" t="s">
        <v>10</v>
      </c>
      <c r="B574">
        <v>24.9</v>
      </c>
      <c r="C574">
        <v>25.95</v>
      </c>
      <c r="D574">
        <v>21.02</v>
      </c>
      <c r="E574">
        <v>197.15</v>
      </c>
      <c r="F574">
        <v>37.76</v>
      </c>
      <c r="G574">
        <v>30.53</v>
      </c>
      <c r="H574">
        <v>11.94</v>
      </c>
      <c r="I574">
        <v>26.88</v>
      </c>
      <c r="J574">
        <v>15.13</v>
      </c>
      <c r="K574">
        <v>50.16</v>
      </c>
      <c r="L574">
        <v>21.61</v>
      </c>
      <c r="M574">
        <v>24.78</v>
      </c>
    </row>
    <row r="575" spans="1:13">
      <c r="A575" t="s">
        <v>1621</v>
      </c>
      <c r="B575" s="342">
        <v>1.022</v>
      </c>
      <c r="C575" s="342">
        <v>0.28100000000000003</v>
      </c>
      <c r="D575" s="342">
        <v>0.73599999999999999</v>
      </c>
      <c r="E575" s="342">
        <v>1.2989999999999999</v>
      </c>
      <c r="F575" s="342">
        <v>0.32400000000000001</v>
      </c>
      <c r="G575" s="342">
        <v>0.86099999999999999</v>
      </c>
      <c r="H575" s="342">
        <v>0.91200000000000003</v>
      </c>
      <c r="I575" s="342">
        <v>0.25800000000000001</v>
      </c>
      <c r="J575" s="342">
        <v>0.67600000000000005</v>
      </c>
      <c r="K575" s="342">
        <v>0.95599999999999996</v>
      </c>
      <c r="L575" s="342">
        <v>0.27600000000000002</v>
      </c>
      <c r="M575" s="342">
        <v>0.70899999999999996</v>
      </c>
    </row>
    <row r="577" spans="1:13">
      <c r="A577" t="s">
        <v>2846</v>
      </c>
    </row>
    <row r="579" spans="1:13">
      <c r="A579" t="s">
        <v>158</v>
      </c>
      <c r="B579" t="s">
        <v>2806</v>
      </c>
      <c r="E579">
        <v>2017</v>
      </c>
      <c r="H579">
        <v>2018</v>
      </c>
      <c r="K579">
        <v>2019</v>
      </c>
    </row>
    <row r="580" spans="1:13">
      <c r="B580" t="s">
        <v>1623</v>
      </c>
      <c r="C580" t="s">
        <v>1624</v>
      </c>
      <c r="D580" t="s">
        <v>1622</v>
      </c>
      <c r="E580" t="s">
        <v>1623</v>
      </c>
      <c r="F580" t="s">
        <v>1624</v>
      </c>
      <c r="G580" t="s">
        <v>1622</v>
      </c>
      <c r="H580" t="s">
        <v>1623</v>
      </c>
      <c r="I580" t="s">
        <v>1624</v>
      </c>
      <c r="J580" t="s">
        <v>1622</v>
      </c>
      <c r="K580" t="s">
        <v>1623</v>
      </c>
      <c r="L580" t="s">
        <v>1624</v>
      </c>
      <c r="M580" t="s">
        <v>1622</v>
      </c>
    </row>
    <row r="581" spans="1:13">
      <c r="A581" t="s">
        <v>2807</v>
      </c>
      <c r="B581" s="342">
        <v>0.64300000000000002</v>
      </c>
      <c r="C581" s="342">
        <v>0.92700000000000005</v>
      </c>
      <c r="D581" s="342">
        <v>0.83199999999999996</v>
      </c>
      <c r="E581" s="342">
        <v>0.58599999999999997</v>
      </c>
      <c r="F581" s="342">
        <v>0.94199999999999995</v>
      </c>
      <c r="G581" s="342">
        <v>0.78900000000000003</v>
      </c>
      <c r="H581" s="342">
        <v>0.71599999999999997</v>
      </c>
      <c r="I581" s="342">
        <v>0.93400000000000005</v>
      </c>
      <c r="J581" s="342">
        <v>0.85799999999999998</v>
      </c>
      <c r="K581" s="342">
        <v>0.67800000000000005</v>
      </c>
      <c r="L581" s="342">
        <v>0.90800000000000003</v>
      </c>
      <c r="M581" s="342">
        <v>0.86199999999999999</v>
      </c>
    </row>
    <row r="582" spans="1:13">
      <c r="A582" t="s">
        <v>1618</v>
      </c>
      <c r="B582" s="342">
        <v>9.4E-2</v>
      </c>
      <c r="C582" s="342">
        <v>5.7000000000000002E-2</v>
      </c>
      <c r="D582" s="342">
        <v>0.08</v>
      </c>
      <c r="E582" s="342">
        <v>5.2999999999999999E-2</v>
      </c>
      <c r="F582" s="342">
        <v>3.9E-2</v>
      </c>
      <c r="G582" s="342">
        <v>6.8000000000000005E-2</v>
      </c>
      <c r="H582" s="342">
        <v>0.11899999999999999</v>
      </c>
      <c r="I582" s="342">
        <v>5.1999999999999998E-2</v>
      </c>
      <c r="J582" s="342">
        <v>8.3000000000000004E-2</v>
      </c>
      <c r="K582" s="342">
        <v>0.17499999999999999</v>
      </c>
      <c r="L582" s="342">
        <v>7.5999999999999998E-2</v>
      </c>
      <c r="M582" s="342">
        <v>9.4E-2</v>
      </c>
    </row>
    <row r="583" spans="1:13">
      <c r="A583" t="s">
        <v>1619</v>
      </c>
      <c r="B583" s="342">
        <v>2.4E-2</v>
      </c>
      <c r="C583" s="342">
        <v>2.5999999999999999E-2</v>
      </c>
      <c r="D583" s="342">
        <v>2.3E-2</v>
      </c>
      <c r="E583" s="342">
        <v>5.0000000000000001E-3</v>
      </c>
      <c r="F583" s="342">
        <v>3.0000000000000001E-3</v>
      </c>
      <c r="G583" s="342">
        <v>6.0000000000000001E-3</v>
      </c>
      <c r="H583" s="342">
        <v>3.5999999999999997E-2</v>
      </c>
      <c r="I583" s="342">
        <v>1.4999999999999999E-2</v>
      </c>
      <c r="J583" s="342">
        <v>2.5000000000000001E-2</v>
      </c>
      <c r="K583" s="342">
        <v>5.8999999999999997E-2</v>
      </c>
      <c r="L583" s="342">
        <v>5.5E-2</v>
      </c>
      <c r="M583" s="342">
        <v>4.4999999999999998E-2</v>
      </c>
    </row>
    <row r="584" spans="1:13">
      <c r="A584" t="s">
        <v>1620</v>
      </c>
      <c r="B584" s="342">
        <v>0.82699999999999996</v>
      </c>
      <c r="C584" s="342">
        <v>1.268</v>
      </c>
      <c r="D584" s="342">
        <v>0.95</v>
      </c>
      <c r="E584" s="342">
        <v>1.1399999999999999</v>
      </c>
      <c r="F584" s="342">
        <v>1.518</v>
      </c>
      <c r="G584" s="342">
        <v>1.0489999999999999</v>
      </c>
      <c r="H584" s="342">
        <v>0.73599999999999999</v>
      </c>
      <c r="I584" s="342">
        <v>1.6639999999999999</v>
      </c>
      <c r="J584" s="342">
        <v>0.97099999999999997</v>
      </c>
      <c r="K584" s="342">
        <v>0.50800000000000001</v>
      </c>
      <c r="L584" s="342">
        <v>0.96199999999999997</v>
      </c>
      <c r="M584" s="342">
        <v>0.82199999999999995</v>
      </c>
    </row>
    <row r="585" spans="1:13">
      <c r="A585" t="s">
        <v>2808</v>
      </c>
      <c r="B585" s="342">
        <v>0.62</v>
      </c>
      <c r="C585" s="342">
        <v>0.48</v>
      </c>
      <c r="D585" s="342">
        <v>0.58499999999999996</v>
      </c>
      <c r="E585" s="342">
        <v>0.61499999999999999</v>
      </c>
      <c r="F585" s="342">
        <v>0.47</v>
      </c>
      <c r="G585" s="342">
        <v>0.58599999999999997</v>
      </c>
      <c r="H585" s="342">
        <v>0.59799999999999998</v>
      </c>
      <c r="I585" s="342">
        <v>0.49199999999999999</v>
      </c>
      <c r="J585" s="342">
        <v>0.58699999999999997</v>
      </c>
      <c r="K585" s="342">
        <v>0.65600000000000003</v>
      </c>
      <c r="L585" s="342">
        <v>0.48199999999999998</v>
      </c>
      <c r="M585" s="342">
        <v>0.58099999999999996</v>
      </c>
    </row>
    <row r="586" spans="1:13">
      <c r="A586" t="s">
        <v>2809</v>
      </c>
      <c r="B586" s="342">
        <v>8.9999999999999993E-3</v>
      </c>
      <c r="C586" s="342">
        <v>5.0000000000000001E-3</v>
      </c>
      <c r="D586" s="342">
        <v>5.0000000000000001E-3</v>
      </c>
      <c r="E586" s="342">
        <v>8.0000000000000002E-3</v>
      </c>
      <c r="F586" s="342">
        <v>0</v>
      </c>
      <c r="G586" s="342">
        <v>4.0000000000000001E-3</v>
      </c>
      <c r="H586" s="342">
        <v>1.2E-2</v>
      </c>
      <c r="I586" s="342">
        <v>2E-3</v>
      </c>
      <c r="J586" s="342">
        <v>4.0000000000000001E-3</v>
      </c>
      <c r="K586" s="342">
        <v>6.0000000000000001E-3</v>
      </c>
      <c r="L586" s="342">
        <v>8.0000000000000002E-3</v>
      </c>
      <c r="M586" s="342">
        <v>6.0000000000000001E-3</v>
      </c>
    </row>
    <row r="587" spans="1:13">
      <c r="A587" t="s">
        <v>2810</v>
      </c>
      <c r="B587" s="342">
        <v>0.76100000000000001</v>
      </c>
      <c r="C587" s="342">
        <v>0.38200000000000001</v>
      </c>
      <c r="D587" s="342">
        <v>0.621</v>
      </c>
      <c r="E587" s="342">
        <v>0.54600000000000004</v>
      </c>
      <c r="F587" s="342">
        <v>0.31</v>
      </c>
      <c r="G587" s="342">
        <v>0.56299999999999994</v>
      </c>
      <c r="H587" s="342">
        <v>0.82899999999999996</v>
      </c>
      <c r="I587" s="342">
        <v>0.29699999999999999</v>
      </c>
      <c r="J587" s="342">
        <v>0.60799999999999998</v>
      </c>
      <c r="K587" s="342">
        <v>1.3029999999999999</v>
      </c>
      <c r="L587" s="342">
        <v>0.51</v>
      </c>
      <c r="M587" s="342">
        <v>0.71499999999999997</v>
      </c>
    </row>
    <row r="588" spans="1:13">
      <c r="A588" t="s">
        <v>9</v>
      </c>
      <c r="B588">
        <v>7.88</v>
      </c>
      <c r="C588">
        <v>7.64</v>
      </c>
      <c r="D588">
        <v>7.92</v>
      </c>
      <c r="E588">
        <v>7.91</v>
      </c>
      <c r="F588">
        <v>8.01</v>
      </c>
      <c r="G588">
        <v>8.89</v>
      </c>
      <c r="H588">
        <v>8.11</v>
      </c>
      <c r="I588">
        <v>8.56</v>
      </c>
      <c r="J588">
        <v>7.55</v>
      </c>
      <c r="K588">
        <v>7.36</v>
      </c>
      <c r="L588">
        <v>6.84</v>
      </c>
      <c r="M588">
        <v>7.24</v>
      </c>
    </row>
    <row r="589" spans="1:13">
      <c r="A589" t="s">
        <v>8</v>
      </c>
      <c r="B589">
        <v>17.05</v>
      </c>
      <c r="C589">
        <v>12.34</v>
      </c>
      <c r="D589">
        <v>12.73</v>
      </c>
      <c r="E589">
        <v>17.62</v>
      </c>
      <c r="F589">
        <v>11.35</v>
      </c>
      <c r="G589">
        <v>13.75</v>
      </c>
      <c r="H589">
        <v>20.49</v>
      </c>
      <c r="I589">
        <v>10.96</v>
      </c>
      <c r="J589">
        <v>11.06</v>
      </c>
      <c r="K589">
        <v>11.93</v>
      </c>
      <c r="L589">
        <v>14.83</v>
      </c>
      <c r="M589">
        <v>13.72</v>
      </c>
    </row>
    <row r="590" spans="1:13">
      <c r="A590" t="s">
        <v>10</v>
      </c>
      <c r="B590">
        <v>15.77</v>
      </c>
      <c r="C590">
        <v>10.42</v>
      </c>
      <c r="D590">
        <v>12.79</v>
      </c>
      <c r="E590">
        <v>22.06</v>
      </c>
      <c r="F590">
        <v>8.9600000000000009</v>
      </c>
      <c r="G590">
        <v>13.7</v>
      </c>
      <c r="H590">
        <v>12.91</v>
      </c>
      <c r="I590">
        <v>10.92</v>
      </c>
      <c r="J590">
        <v>11.27</v>
      </c>
      <c r="K590">
        <v>10.72</v>
      </c>
      <c r="L590">
        <v>11.84</v>
      </c>
      <c r="M590">
        <v>13.66</v>
      </c>
    </row>
    <row r="591" spans="1:13">
      <c r="A591" t="s">
        <v>1621</v>
      </c>
      <c r="B591" s="342">
        <v>0.122</v>
      </c>
      <c r="C591" s="342">
        <v>0.11600000000000001</v>
      </c>
      <c r="D591" s="342">
        <v>0.127</v>
      </c>
      <c r="E591" s="342">
        <v>0.13800000000000001</v>
      </c>
      <c r="F591" s="342">
        <v>0.10100000000000001</v>
      </c>
      <c r="G591" s="342">
        <v>0.112</v>
      </c>
      <c r="H591" s="342">
        <v>9.5000000000000001E-2</v>
      </c>
      <c r="I591" s="342">
        <v>0.11700000000000001</v>
      </c>
      <c r="J591" s="342">
        <v>0.13400000000000001</v>
      </c>
      <c r="K591" s="342">
        <v>0.126</v>
      </c>
      <c r="L591" s="342">
        <v>0.129</v>
      </c>
      <c r="M591" s="342">
        <v>0.13800000000000001</v>
      </c>
    </row>
    <row r="593" spans="1:13">
      <c r="A593" t="s">
        <v>2847</v>
      </c>
    </row>
    <row r="595" spans="1:13">
      <c r="A595" t="s">
        <v>158</v>
      </c>
      <c r="B595" t="s">
        <v>2806</v>
      </c>
      <c r="E595">
        <v>2017</v>
      </c>
      <c r="H595">
        <v>2018</v>
      </c>
      <c r="K595">
        <v>2019</v>
      </c>
    </row>
    <row r="596" spans="1:13">
      <c r="B596" t="s">
        <v>1623</v>
      </c>
      <c r="C596" t="s">
        <v>1624</v>
      </c>
      <c r="D596" t="s">
        <v>1622</v>
      </c>
      <c r="E596" t="s">
        <v>1623</v>
      </c>
      <c r="F596" t="s">
        <v>1624</v>
      </c>
      <c r="G596" t="s">
        <v>1622</v>
      </c>
      <c r="H596" t="s">
        <v>1623</v>
      </c>
      <c r="I596" t="s">
        <v>1624</v>
      </c>
      <c r="J596" t="s">
        <v>1622</v>
      </c>
      <c r="K596" t="s">
        <v>1623</v>
      </c>
      <c r="L596" t="s">
        <v>1624</v>
      </c>
      <c r="M596" t="s">
        <v>1622</v>
      </c>
    </row>
    <row r="597" spans="1:13">
      <c r="A597" t="s">
        <v>2807</v>
      </c>
      <c r="B597" s="342">
        <v>0.44900000000000001</v>
      </c>
      <c r="C597" s="342">
        <v>0.88200000000000001</v>
      </c>
      <c r="D597" s="342">
        <v>0.77</v>
      </c>
      <c r="E597" s="342">
        <v>0.54500000000000004</v>
      </c>
      <c r="F597" s="342">
        <v>0.86599999999999999</v>
      </c>
      <c r="G597" s="342">
        <v>0.747</v>
      </c>
      <c r="H597" s="342">
        <v>0.17899999999999999</v>
      </c>
      <c r="I597" s="342">
        <v>0.91600000000000004</v>
      </c>
      <c r="J597" s="342">
        <v>0.77100000000000002</v>
      </c>
      <c r="K597" s="342">
        <v>0.129</v>
      </c>
      <c r="L597" s="342">
        <v>0.84599999999999997</v>
      </c>
      <c r="M597" s="342">
        <v>0.79800000000000004</v>
      </c>
    </row>
    <row r="598" spans="1:13">
      <c r="A598" t="s">
        <v>1618</v>
      </c>
      <c r="B598" s="342">
        <v>0.251</v>
      </c>
      <c r="C598" s="342">
        <v>0.105</v>
      </c>
      <c r="D598" s="342">
        <v>0.154</v>
      </c>
      <c r="E598" s="342">
        <v>0.2</v>
      </c>
      <c r="F598" s="342">
        <v>0.121</v>
      </c>
      <c r="G598" s="342">
        <v>0.154</v>
      </c>
      <c r="H598" s="342">
        <v>0.51700000000000002</v>
      </c>
      <c r="I598" s="342">
        <v>7.0999999999999994E-2</v>
      </c>
      <c r="J598" s="342">
        <v>0.16300000000000001</v>
      </c>
      <c r="K598" s="342">
        <v>0.25</v>
      </c>
      <c r="L598" s="342">
        <v>0.13900000000000001</v>
      </c>
      <c r="M598" s="342">
        <v>0.13800000000000001</v>
      </c>
    </row>
    <row r="599" spans="1:13">
      <c r="A599" t="s">
        <v>1619</v>
      </c>
      <c r="B599" s="342">
        <v>1.9E-2</v>
      </c>
      <c r="C599" s="342">
        <v>8.0000000000000002E-3</v>
      </c>
      <c r="D599" s="342">
        <v>1.0999999999999999E-2</v>
      </c>
      <c r="E599" s="342">
        <v>1.4E-2</v>
      </c>
      <c r="F599" s="342">
        <v>3.0000000000000001E-3</v>
      </c>
      <c r="G599" s="342">
        <v>5.0000000000000001E-3</v>
      </c>
      <c r="H599" s="342">
        <v>3.2000000000000001E-2</v>
      </c>
      <c r="I599" s="342">
        <v>7.0000000000000001E-3</v>
      </c>
      <c r="J599" s="342">
        <v>1.2999999999999999E-2</v>
      </c>
      <c r="K599" s="342">
        <v>3.6999999999999998E-2</v>
      </c>
      <c r="L599" s="342">
        <v>1.4E-2</v>
      </c>
      <c r="M599" s="342">
        <v>1.4999999999999999E-2</v>
      </c>
    </row>
    <row r="600" spans="1:13">
      <c r="A600" t="s">
        <v>1620</v>
      </c>
      <c r="B600" s="342">
        <v>0.52</v>
      </c>
      <c r="C600" s="342">
        <v>2.101</v>
      </c>
      <c r="D600" s="342">
        <v>1.3</v>
      </c>
      <c r="E600" s="342">
        <v>0.84</v>
      </c>
      <c r="F600" s="342">
        <v>1.4079999999999999</v>
      </c>
      <c r="G600" s="342">
        <v>1.2629999999999999</v>
      </c>
      <c r="H600" s="342">
        <v>0.28799999999999998</v>
      </c>
      <c r="I600" s="342">
        <v>3.6219999999999999</v>
      </c>
      <c r="J600" s="342">
        <v>1.4570000000000001</v>
      </c>
      <c r="K600" s="342">
        <v>0.19700000000000001</v>
      </c>
      <c r="L600" s="342">
        <v>1.6519999999999999</v>
      </c>
      <c r="M600" s="342">
        <v>1.135</v>
      </c>
    </row>
    <row r="601" spans="1:13">
      <c r="A601" t="s">
        <v>2808</v>
      </c>
      <c r="B601" s="342">
        <v>0.68500000000000005</v>
      </c>
      <c r="C601" s="342">
        <v>0.311</v>
      </c>
      <c r="D601" s="342">
        <v>0.38500000000000001</v>
      </c>
      <c r="E601" s="342">
        <v>0.61799999999999999</v>
      </c>
      <c r="F601" s="342">
        <v>0.14099999999999999</v>
      </c>
      <c r="G601" s="342">
        <v>0.43099999999999999</v>
      </c>
      <c r="H601" s="342">
        <v>0.71099999999999997</v>
      </c>
      <c r="I601" s="342">
        <v>0.32300000000000001</v>
      </c>
      <c r="J601" s="342">
        <v>0.30599999999999999</v>
      </c>
      <c r="K601" s="342">
        <v>0.77300000000000002</v>
      </c>
      <c r="L601" s="342">
        <v>0.41599999999999998</v>
      </c>
      <c r="M601" s="342">
        <v>0.434</v>
      </c>
    </row>
    <row r="602" spans="1:13">
      <c r="A602" t="s">
        <v>2809</v>
      </c>
      <c r="B602" s="342">
        <v>7.0000000000000001E-3</v>
      </c>
      <c r="C602" s="342">
        <v>2E-3</v>
      </c>
      <c r="D602" s="342">
        <v>3.0000000000000001E-3</v>
      </c>
      <c r="E602" s="342">
        <v>0</v>
      </c>
      <c r="F602" s="342">
        <v>4.0000000000000001E-3</v>
      </c>
      <c r="G602" s="342">
        <v>1E-3</v>
      </c>
      <c r="H602" s="342">
        <v>1.9E-2</v>
      </c>
      <c r="I602" s="342">
        <v>0</v>
      </c>
      <c r="J602" s="342">
        <v>7.0000000000000001E-3</v>
      </c>
      <c r="K602" s="342">
        <v>5.0000000000000001E-3</v>
      </c>
      <c r="L602" s="342">
        <v>2E-3</v>
      </c>
      <c r="M602" s="342">
        <v>2E-3</v>
      </c>
    </row>
    <row r="603" spans="1:13">
      <c r="A603" t="s">
        <v>2810</v>
      </c>
      <c r="B603" s="342">
        <v>1.331</v>
      </c>
      <c r="C603" s="342">
        <v>0.14899999999999999</v>
      </c>
      <c r="D603" s="342">
        <v>0.29899999999999999</v>
      </c>
      <c r="E603" s="342">
        <v>0.73599999999999999</v>
      </c>
      <c r="F603" s="342">
        <v>0.10299999999999999</v>
      </c>
      <c r="G603" s="342">
        <v>0.34200000000000003</v>
      </c>
      <c r="H603" s="342">
        <v>2.54</v>
      </c>
      <c r="I603" s="342">
        <v>8.8999999999999996E-2</v>
      </c>
      <c r="J603" s="342">
        <v>0.215</v>
      </c>
      <c r="K603" s="342">
        <v>3.9510000000000001</v>
      </c>
      <c r="L603" s="342">
        <v>0.253</v>
      </c>
      <c r="M603" s="342">
        <v>0.38400000000000001</v>
      </c>
    </row>
    <row r="604" spans="1:13">
      <c r="A604" t="s">
        <v>9</v>
      </c>
      <c r="B604">
        <v>13.36</v>
      </c>
      <c r="C604">
        <v>12</v>
      </c>
      <c r="D604">
        <v>8.4600000000000009</v>
      </c>
      <c r="E604">
        <v>12.49</v>
      </c>
      <c r="F604">
        <v>12.49</v>
      </c>
      <c r="G604">
        <v>7.26</v>
      </c>
      <c r="H604">
        <v>13.3</v>
      </c>
      <c r="I604">
        <v>16.64</v>
      </c>
      <c r="J604">
        <v>7.94</v>
      </c>
      <c r="K604">
        <v>27.27</v>
      </c>
      <c r="L604">
        <v>8.67</v>
      </c>
      <c r="M604">
        <v>12.65</v>
      </c>
    </row>
    <row r="605" spans="1:13">
      <c r="A605" t="s">
        <v>8</v>
      </c>
      <c r="B605">
        <v>9.8699999999999992</v>
      </c>
      <c r="C605">
        <v>15.1</v>
      </c>
      <c r="D605">
        <v>6.52</v>
      </c>
      <c r="E605">
        <v>17.29</v>
      </c>
      <c r="F605">
        <v>12.33</v>
      </c>
      <c r="G605">
        <v>14.76</v>
      </c>
      <c r="H605">
        <v>4.34</v>
      </c>
      <c r="I605">
        <v>18.62</v>
      </c>
      <c r="J605">
        <v>5.88</v>
      </c>
      <c r="K605">
        <v>4.24</v>
      </c>
      <c r="L605">
        <v>13.48</v>
      </c>
      <c r="M605">
        <v>4.18</v>
      </c>
    </row>
    <row r="606" spans="1:13">
      <c r="A606" t="s">
        <v>10</v>
      </c>
      <c r="B606">
        <v>35.909999999999997</v>
      </c>
      <c r="C606">
        <v>20.72</v>
      </c>
      <c r="D606">
        <v>16.88</v>
      </c>
      <c r="E606">
        <v>32.700000000000003</v>
      </c>
      <c r="F606">
        <v>36.93</v>
      </c>
      <c r="G606">
        <v>15.88</v>
      </c>
      <c r="H606">
        <v>97.36</v>
      </c>
      <c r="I606">
        <v>23.87</v>
      </c>
      <c r="J606">
        <v>14.22</v>
      </c>
      <c r="K606">
        <v>30.6</v>
      </c>
      <c r="L606">
        <v>14.62</v>
      </c>
      <c r="M606">
        <v>28.32</v>
      </c>
    </row>
    <row r="607" spans="1:13">
      <c r="A607" t="s">
        <v>1621</v>
      </c>
      <c r="B607" s="342">
        <v>0.14799999999999999</v>
      </c>
      <c r="C607" s="342">
        <v>0.10100000000000001</v>
      </c>
      <c r="D607" s="342">
        <v>0.21199999999999999</v>
      </c>
      <c r="E607" s="342">
        <v>0.107</v>
      </c>
      <c r="F607" s="342">
        <v>0.13400000000000001</v>
      </c>
      <c r="G607" s="342">
        <v>0.14199999999999999</v>
      </c>
      <c r="H607" s="342">
        <v>0.29499999999999998</v>
      </c>
      <c r="I607" s="342">
        <v>7.1999999999999995E-2</v>
      </c>
      <c r="J607" s="342">
        <v>0.22600000000000001</v>
      </c>
      <c r="K607" s="342">
        <v>0.24</v>
      </c>
      <c r="L607" s="342">
        <v>0.121</v>
      </c>
      <c r="M607" s="342">
        <v>0.28299999999999997</v>
      </c>
    </row>
    <row r="609" spans="1:13">
      <c r="A609" t="s">
        <v>2848</v>
      </c>
    </row>
    <row r="611" spans="1:13">
      <c r="A611" t="s">
        <v>158</v>
      </c>
      <c r="B611" t="s">
        <v>2806</v>
      </c>
      <c r="E611">
        <v>2017</v>
      </c>
      <c r="H611">
        <v>2018</v>
      </c>
      <c r="K611">
        <v>2019</v>
      </c>
    </row>
    <row r="612" spans="1:13">
      <c r="B612" t="s">
        <v>1623</v>
      </c>
      <c r="C612" t="s">
        <v>1624</v>
      </c>
      <c r="D612" t="s">
        <v>1622</v>
      </c>
      <c r="E612" t="s">
        <v>1623</v>
      </c>
      <c r="F612" t="s">
        <v>1624</v>
      </c>
      <c r="G612" t="s">
        <v>1622</v>
      </c>
      <c r="H612" t="s">
        <v>1623</v>
      </c>
      <c r="I612" t="s">
        <v>1624</v>
      </c>
      <c r="J612" t="s">
        <v>1622</v>
      </c>
      <c r="K612" t="s">
        <v>1623</v>
      </c>
      <c r="L612" t="s">
        <v>1624</v>
      </c>
      <c r="M612" t="s">
        <v>1622</v>
      </c>
    </row>
    <row r="613" spans="1:13">
      <c r="A613" t="s">
        <v>2807</v>
      </c>
      <c r="B613" s="342">
        <v>0.69399999999999995</v>
      </c>
      <c r="C613" s="342">
        <v>0.90200000000000002</v>
      </c>
      <c r="D613" s="342">
        <v>0.83199999999999996</v>
      </c>
      <c r="E613" s="342">
        <v>0.64300000000000002</v>
      </c>
      <c r="F613" s="342">
        <v>0.88600000000000001</v>
      </c>
      <c r="G613" s="342">
        <v>0.80700000000000005</v>
      </c>
      <c r="H613" s="342">
        <v>0.69599999999999995</v>
      </c>
      <c r="I613" s="342">
        <v>0.91</v>
      </c>
      <c r="J613" s="342">
        <v>0.83299999999999996</v>
      </c>
      <c r="K613" s="342">
        <v>0.74299999999999999</v>
      </c>
      <c r="L613" s="342">
        <v>0.91800000000000004</v>
      </c>
      <c r="M613" s="342">
        <v>0.86199999999999999</v>
      </c>
    </row>
    <row r="614" spans="1:13">
      <c r="A614" t="s">
        <v>1618</v>
      </c>
      <c r="B614" s="342">
        <v>0.05</v>
      </c>
      <c r="C614" s="342">
        <v>6.5000000000000002E-2</v>
      </c>
      <c r="D614" s="342">
        <v>5.8000000000000003E-2</v>
      </c>
      <c r="E614" s="342">
        <v>3.5000000000000003E-2</v>
      </c>
      <c r="F614" s="342">
        <v>6.4000000000000001E-2</v>
      </c>
      <c r="G614" s="342">
        <v>5.3999999999999999E-2</v>
      </c>
      <c r="H614" s="342">
        <v>5.2999999999999999E-2</v>
      </c>
      <c r="I614" s="342">
        <v>6.7000000000000004E-2</v>
      </c>
      <c r="J614" s="342">
        <v>6.0999999999999999E-2</v>
      </c>
      <c r="K614" s="342">
        <v>6.0999999999999999E-2</v>
      </c>
      <c r="L614" s="342">
        <v>6.5000000000000002E-2</v>
      </c>
      <c r="M614" s="342">
        <v>5.8999999999999997E-2</v>
      </c>
    </row>
    <row r="615" spans="1:13">
      <c r="A615" t="s">
        <v>1619</v>
      </c>
      <c r="B615" s="342">
        <v>3.6999999999999998E-2</v>
      </c>
      <c r="C615" s="342">
        <v>2.9000000000000001E-2</v>
      </c>
      <c r="D615" s="342">
        <v>3.5000000000000003E-2</v>
      </c>
      <c r="E615" s="342">
        <v>2E-3</v>
      </c>
      <c r="F615" s="342">
        <v>4.0000000000000001E-3</v>
      </c>
      <c r="G615" s="342">
        <v>3.0000000000000001E-3</v>
      </c>
      <c r="H615" s="342">
        <v>4.7E-2</v>
      </c>
      <c r="I615" s="342">
        <v>4.1000000000000002E-2</v>
      </c>
      <c r="J615" s="342">
        <v>0.05</v>
      </c>
      <c r="K615" s="342">
        <v>5.7000000000000002E-2</v>
      </c>
      <c r="L615" s="342">
        <v>5.7000000000000002E-2</v>
      </c>
      <c r="M615" s="342">
        <v>5.6000000000000001E-2</v>
      </c>
    </row>
    <row r="616" spans="1:13">
      <c r="A616" t="s">
        <v>1620</v>
      </c>
      <c r="B616" s="342">
        <v>0.66300000000000003</v>
      </c>
      <c r="C616" s="342">
        <v>0.83399999999999996</v>
      </c>
      <c r="D616" s="342">
        <v>0.72499999999999998</v>
      </c>
      <c r="E616" s="342">
        <v>0.74199999999999999</v>
      </c>
      <c r="F616" s="342">
        <v>0.95</v>
      </c>
      <c r="G616" s="342">
        <v>0.83099999999999996</v>
      </c>
      <c r="H616" s="342">
        <v>0.64800000000000002</v>
      </c>
      <c r="I616" s="342">
        <v>0.80700000000000005</v>
      </c>
      <c r="J616" s="342">
        <v>0.70699999999999996</v>
      </c>
      <c r="K616" s="342">
        <v>0.61899999999999999</v>
      </c>
      <c r="L616" s="342">
        <v>0.70799999999999996</v>
      </c>
      <c r="M616" s="342">
        <v>0.63900000000000001</v>
      </c>
    </row>
    <row r="617" spans="1:13">
      <c r="A617" t="s">
        <v>2808</v>
      </c>
      <c r="B617" s="342">
        <v>0.56699999999999995</v>
      </c>
      <c r="C617" s="342">
        <v>0.504</v>
      </c>
      <c r="D617" s="342">
        <v>0.54100000000000004</v>
      </c>
      <c r="E617" s="342">
        <v>0.60499999999999998</v>
      </c>
      <c r="F617" s="342">
        <v>0.51500000000000001</v>
      </c>
      <c r="G617" s="342">
        <v>0.54300000000000004</v>
      </c>
      <c r="H617" s="342">
        <v>0.56000000000000005</v>
      </c>
      <c r="I617" s="342">
        <v>0.495</v>
      </c>
      <c r="J617" s="342">
        <v>0.53800000000000003</v>
      </c>
      <c r="K617" s="342">
        <v>0.54600000000000004</v>
      </c>
      <c r="L617" s="342">
        <v>0.501</v>
      </c>
      <c r="M617" s="342">
        <v>0.54300000000000004</v>
      </c>
    </row>
    <row r="618" spans="1:13">
      <c r="A618" t="s">
        <v>2809</v>
      </c>
      <c r="B618" s="342">
        <v>0</v>
      </c>
      <c r="C618" s="342">
        <v>1.0999999999999999E-2</v>
      </c>
      <c r="D618" s="342">
        <v>4.0000000000000001E-3</v>
      </c>
      <c r="E618" s="342">
        <v>0</v>
      </c>
      <c r="F618" s="342">
        <v>1.7000000000000001E-2</v>
      </c>
      <c r="G618" s="342">
        <v>6.0000000000000001E-3</v>
      </c>
      <c r="H618" s="342">
        <v>0</v>
      </c>
      <c r="I618" s="342">
        <v>1.0999999999999999E-2</v>
      </c>
      <c r="J618" s="342">
        <v>3.0000000000000001E-3</v>
      </c>
      <c r="K618" s="342">
        <v>0</v>
      </c>
      <c r="L618" s="342">
        <v>1E-3</v>
      </c>
      <c r="M618" s="342">
        <v>2E-3</v>
      </c>
    </row>
    <row r="619" spans="1:13">
      <c r="A619" t="s">
        <v>2810</v>
      </c>
      <c r="B619" s="342">
        <v>0.85499999999999998</v>
      </c>
      <c r="C619" s="342">
        <v>0.61699999999999999</v>
      </c>
      <c r="D619" s="342">
        <v>0.751</v>
      </c>
      <c r="E619" s="342">
        <v>0.81499999999999995</v>
      </c>
      <c r="F619" s="342">
        <v>0.56000000000000005</v>
      </c>
      <c r="G619" s="342">
        <v>0.66200000000000003</v>
      </c>
      <c r="H619" s="342">
        <v>0.86499999999999999</v>
      </c>
      <c r="I619" s="342">
        <v>0.628</v>
      </c>
      <c r="J619" s="342">
        <v>0.76500000000000001</v>
      </c>
      <c r="K619" s="342">
        <v>0.88100000000000001</v>
      </c>
      <c r="L619" s="342">
        <v>0.70899999999999996</v>
      </c>
      <c r="M619" s="342">
        <v>0.85199999999999998</v>
      </c>
    </row>
    <row r="620" spans="1:13">
      <c r="A620" t="s">
        <v>9</v>
      </c>
      <c r="B620">
        <v>23.42</v>
      </c>
      <c r="C620">
        <v>15.71</v>
      </c>
      <c r="D620">
        <v>16.82</v>
      </c>
      <c r="E620">
        <v>23.03</v>
      </c>
      <c r="F620">
        <v>14.16</v>
      </c>
      <c r="G620">
        <v>16.39</v>
      </c>
      <c r="H620">
        <v>25.99</v>
      </c>
      <c r="I620">
        <v>16.36</v>
      </c>
      <c r="J620">
        <v>17.07</v>
      </c>
      <c r="K620">
        <v>20.7</v>
      </c>
      <c r="L620">
        <v>18.43</v>
      </c>
      <c r="M620">
        <v>17.04</v>
      </c>
    </row>
    <row r="621" spans="1:13">
      <c r="A621" t="s">
        <v>8</v>
      </c>
      <c r="B621">
        <v>5.51</v>
      </c>
      <c r="C621">
        <v>5.04</v>
      </c>
      <c r="D621">
        <v>4.9000000000000004</v>
      </c>
      <c r="E621">
        <v>5.2</v>
      </c>
      <c r="F621">
        <v>5.01</v>
      </c>
      <c r="G621">
        <v>5.36</v>
      </c>
      <c r="H621">
        <v>5.59</v>
      </c>
      <c r="I621">
        <v>5.9</v>
      </c>
      <c r="J621">
        <v>5.1100000000000003</v>
      </c>
      <c r="K621">
        <v>5.74</v>
      </c>
      <c r="L621">
        <v>4.1399999999999997</v>
      </c>
      <c r="M621">
        <v>4.1500000000000004</v>
      </c>
    </row>
    <row r="622" spans="1:13">
      <c r="A622" t="s">
        <v>10</v>
      </c>
      <c r="B622">
        <v>24.34</v>
      </c>
      <c r="C622">
        <v>9.6199999999999992</v>
      </c>
      <c r="D622">
        <v>11.55</v>
      </c>
      <c r="E622">
        <v>28.99</v>
      </c>
      <c r="F622">
        <v>6.29</v>
      </c>
      <c r="G622">
        <v>9.65</v>
      </c>
      <c r="H622">
        <v>26.91</v>
      </c>
      <c r="I622">
        <v>13.68</v>
      </c>
      <c r="J622">
        <v>13.18</v>
      </c>
      <c r="K622">
        <v>18.63</v>
      </c>
      <c r="L622">
        <v>21.31</v>
      </c>
      <c r="M622">
        <v>12.54</v>
      </c>
    </row>
    <row r="623" spans="1:13">
      <c r="A623" t="s">
        <v>1621</v>
      </c>
      <c r="B623" s="342">
        <v>0.183</v>
      </c>
      <c r="C623" s="342">
        <v>0.158</v>
      </c>
      <c r="D623" s="342">
        <v>0.17699999999999999</v>
      </c>
      <c r="E623" s="342">
        <v>0.20100000000000001</v>
      </c>
      <c r="F623" s="342">
        <v>0.112</v>
      </c>
      <c r="G623" s="342">
        <v>0.14399999999999999</v>
      </c>
      <c r="H623" s="342">
        <v>0.18</v>
      </c>
      <c r="I623" s="342">
        <v>0.158</v>
      </c>
      <c r="J623" s="342">
        <v>0.17799999999999999</v>
      </c>
      <c r="K623" s="342">
        <v>0.16900000000000001</v>
      </c>
      <c r="L623" s="342">
        <v>0.249</v>
      </c>
      <c r="M623" s="342">
        <v>0.22</v>
      </c>
    </row>
    <row r="625" spans="1:13">
      <c r="A625" t="s">
        <v>2849</v>
      </c>
    </row>
    <row r="627" spans="1:13">
      <c r="A627" t="s">
        <v>158</v>
      </c>
      <c r="B627" t="s">
        <v>2806</v>
      </c>
      <c r="E627">
        <v>2017</v>
      </c>
      <c r="H627">
        <v>2018</v>
      </c>
      <c r="K627">
        <v>2019</v>
      </c>
    </row>
    <row r="628" spans="1:13">
      <c r="B628" t="s">
        <v>1623</v>
      </c>
      <c r="C628" t="s">
        <v>1624</v>
      </c>
      <c r="D628" t="s">
        <v>1622</v>
      </c>
      <c r="E628" t="s">
        <v>1623</v>
      </c>
      <c r="F628" t="s">
        <v>1624</v>
      </c>
      <c r="G628" t="s">
        <v>1622</v>
      </c>
      <c r="H628" t="s">
        <v>1623</v>
      </c>
      <c r="I628" t="s">
        <v>1624</v>
      </c>
      <c r="J628" t="s">
        <v>1622</v>
      </c>
      <c r="K628" t="s">
        <v>1623</v>
      </c>
      <c r="L628" t="s">
        <v>1624</v>
      </c>
      <c r="M628" t="s">
        <v>1622</v>
      </c>
    </row>
    <row r="629" spans="1:13">
      <c r="A629" t="s">
        <v>2807</v>
      </c>
      <c r="B629" s="342">
        <v>0.72199999999999998</v>
      </c>
      <c r="C629" s="342">
        <v>0.91300000000000003</v>
      </c>
      <c r="D629" s="342">
        <v>0.873</v>
      </c>
      <c r="E629" s="342">
        <v>0.74199999999999999</v>
      </c>
      <c r="F629" s="342">
        <v>0.92</v>
      </c>
      <c r="G629" s="342">
        <v>0.879</v>
      </c>
      <c r="H629" s="342">
        <v>0.72199999999999998</v>
      </c>
      <c r="I629" s="342">
        <v>0.91800000000000004</v>
      </c>
      <c r="J629" s="342">
        <v>0.88200000000000001</v>
      </c>
      <c r="K629" s="342">
        <v>0.70599999999999996</v>
      </c>
      <c r="L629" s="342">
        <v>0.88500000000000001</v>
      </c>
      <c r="M629" s="342">
        <v>0.85</v>
      </c>
    </row>
    <row r="630" spans="1:13">
      <c r="A630" t="s">
        <v>1618</v>
      </c>
      <c r="B630" s="342">
        <v>0.128</v>
      </c>
      <c r="C630" s="342">
        <v>6.9000000000000006E-2</v>
      </c>
      <c r="D630" s="342">
        <v>0.08</v>
      </c>
      <c r="E630" s="342">
        <v>0.112</v>
      </c>
      <c r="F630" s="342">
        <v>6.6000000000000003E-2</v>
      </c>
      <c r="G630" s="342">
        <v>7.1999999999999995E-2</v>
      </c>
      <c r="H630" s="342">
        <v>0.14000000000000001</v>
      </c>
      <c r="I630" s="342">
        <v>6.0999999999999999E-2</v>
      </c>
      <c r="J630" s="342">
        <v>7.5999999999999998E-2</v>
      </c>
      <c r="K630" s="342">
        <v>0.126</v>
      </c>
      <c r="L630" s="342">
        <v>9.7000000000000003E-2</v>
      </c>
      <c r="M630" s="342">
        <v>9.7000000000000003E-2</v>
      </c>
    </row>
    <row r="631" spans="1:13">
      <c r="A631" t="s">
        <v>1619</v>
      </c>
      <c r="B631" s="342">
        <v>1.4E-2</v>
      </c>
      <c r="C631" s="342">
        <v>4.0000000000000001E-3</v>
      </c>
      <c r="D631" s="342">
        <v>6.0000000000000001E-3</v>
      </c>
      <c r="E631" s="342">
        <v>6.0000000000000001E-3</v>
      </c>
      <c r="F631" s="342">
        <v>3.0000000000000001E-3</v>
      </c>
      <c r="G631" s="342">
        <v>3.0000000000000001E-3</v>
      </c>
      <c r="H631" s="342">
        <v>1.7000000000000001E-2</v>
      </c>
      <c r="I631" s="342">
        <v>4.0000000000000001E-3</v>
      </c>
      <c r="J631" s="342">
        <v>8.0000000000000002E-3</v>
      </c>
      <c r="K631" s="342">
        <v>1.6E-2</v>
      </c>
      <c r="L631" s="342">
        <v>6.0000000000000001E-3</v>
      </c>
      <c r="M631" s="342">
        <v>8.9999999999999993E-3</v>
      </c>
    </row>
    <row r="632" spans="1:13">
      <c r="A632" t="s">
        <v>1620</v>
      </c>
      <c r="B632" s="342">
        <v>0.48</v>
      </c>
      <c r="C632" s="342">
        <v>0.71799999999999997</v>
      </c>
      <c r="D632" s="342">
        <v>0.78600000000000003</v>
      </c>
      <c r="E632" s="342">
        <v>0.626</v>
      </c>
      <c r="F632" s="342">
        <v>0.69299999999999995</v>
      </c>
      <c r="G632" s="342">
        <v>0.85899999999999999</v>
      </c>
      <c r="H632" s="342">
        <v>0.71599999999999997</v>
      </c>
      <c r="I632" s="342">
        <v>0.69799999999999995</v>
      </c>
      <c r="J632" s="342">
        <v>0.77200000000000002</v>
      </c>
      <c r="K632" s="342">
        <v>0.315</v>
      </c>
      <c r="L632" s="342">
        <v>0.84799999999999998</v>
      </c>
      <c r="M632" s="342">
        <v>0.71599999999999997</v>
      </c>
    </row>
    <row r="633" spans="1:13">
      <c r="A633" t="s">
        <v>2808</v>
      </c>
      <c r="B633" s="342">
        <v>0.436</v>
      </c>
      <c r="C633" s="342">
        <v>0.27</v>
      </c>
      <c r="D633" s="342">
        <v>0.309</v>
      </c>
      <c r="E633" s="342">
        <v>0.55200000000000005</v>
      </c>
      <c r="F633" s="342">
        <v>0.27400000000000002</v>
      </c>
      <c r="G633" s="342">
        <v>0.309</v>
      </c>
      <c r="H633" s="342">
        <v>0.52800000000000002</v>
      </c>
      <c r="I633" s="342">
        <v>0.22900000000000001</v>
      </c>
      <c r="J633" s="342">
        <v>0.29299999999999998</v>
      </c>
      <c r="K633" s="342">
        <v>0.34899999999999998</v>
      </c>
      <c r="L633" s="342">
        <v>0.39700000000000002</v>
      </c>
      <c r="M633" s="342">
        <v>0.33300000000000002</v>
      </c>
    </row>
    <row r="634" spans="1:13">
      <c r="A634" t="s">
        <v>2809</v>
      </c>
      <c r="B634" s="342">
        <v>3.0000000000000001E-3</v>
      </c>
      <c r="C634" s="342">
        <v>3.0000000000000001E-3</v>
      </c>
      <c r="D634" s="342">
        <v>3.0000000000000001E-3</v>
      </c>
      <c r="E634" s="342">
        <v>1E-3</v>
      </c>
      <c r="F634" s="342">
        <v>2E-3</v>
      </c>
      <c r="G634" s="342">
        <v>3.0000000000000001E-3</v>
      </c>
      <c r="H634" s="342">
        <v>4.0000000000000001E-3</v>
      </c>
      <c r="I634" s="342">
        <v>3.0000000000000001E-3</v>
      </c>
      <c r="J634" s="342">
        <v>3.0000000000000001E-3</v>
      </c>
      <c r="K634" s="342">
        <v>3.0000000000000001E-3</v>
      </c>
      <c r="L634" s="342">
        <v>4.0000000000000001E-3</v>
      </c>
      <c r="M634" s="342">
        <v>4.0000000000000001E-3</v>
      </c>
    </row>
    <row r="635" spans="1:13">
      <c r="A635" t="s">
        <v>2810</v>
      </c>
      <c r="B635" s="342">
        <v>0.91400000000000003</v>
      </c>
      <c r="C635" s="342">
        <v>0.38</v>
      </c>
      <c r="D635" s="342">
        <v>0.39700000000000002</v>
      </c>
      <c r="E635" s="342">
        <v>0.88400000000000001</v>
      </c>
      <c r="F635" s="342">
        <v>0.39900000000000002</v>
      </c>
      <c r="G635" s="342">
        <v>0.36299999999999999</v>
      </c>
      <c r="H635" s="342">
        <v>0.74299999999999999</v>
      </c>
      <c r="I635" s="342">
        <v>0.33200000000000002</v>
      </c>
      <c r="J635" s="342">
        <v>0.38400000000000001</v>
      </c>
      <c r="K635" s="342">
        <v>1.1180000000000001</v>
      </c>
      <c r="L635" s="342">
        <v>0.47299999999999998</v>
      </c>
      <c r="M635" s="342">
        <v>0.47</v>
      </c>
    </row>
    <row r="636" spans="1:13">
      <c r="A636" t="s">
        <v>9</v>
      </c>
      <c r="B636">
        <v>3.51</v>
      </c>
      <c r="C636">
        <v>5.56</v>
      </c>
      <c r="D636">
        <v>4.87</v>
      </c>
      <c r="E636">
        <v>3.54</v>
      </c>
      <c r="F636">
        <v>5.76</v>
      </c>
      <c r="G636">
        <v>4.8899999999999997</v>
      </c>
      <c r="H636">
        <v>3.6</v>
      </c>
      <c r="I636">
        <v>5.34</v>
      </c>
      <c r="J636">
        <v>4.8499999999999996</v>
      </c>
      <c r="K636">
        <v>3.4</v>
      </c>
      <c r="L636">
        <v>5.84</v>
      </c>
      <c r="M636">
        <v>4.8499999999999996</v>
      </c>
    </row>
    <row r="637" spans="1:13">
      <c r="A637" t="s">
        <v>8</v>
      </c>
      <c r="B637">
        <v>5.72</v>
      </c>
      <c r="C637">
        <v>3.67</v>
      </c>
      <c r="D637">
        <v>4.1500000000000004</v>
      </c>
      <c r="E637">
        <v>7.11</v>
      </c>
      <c r="F637">
        <v>4.59</v>
      </c>
      <c r="G637">
        <v>5.45</v>
      </c>
      <c r="H637">
        <v>5.95</v>
      </c>
      <c r="I637">
        <v>3.23</v>
      </c>
      <c r="J637">
        <v>3.8</v>
      </c>
      <c r="K637">
        <v>4.84</v>
      </c>
      <c r="L637">
        <v>3.6</v>
      </c>
      <c r="M637">
        <v>3.43</v>
      </c>
    </row>
    <row r="638" spans="1:13">
      <c r="A638" t="s">
        <v>10</v>
      </c>
      <c r="B638">
        <v>19.55</v>
      </c>
      <c r="C638">
        <v>19.05</v>
      </c>
      <c r="D638">
        <v>15.5</v>
      </c>
      <c r="E638">
        <v>15.73</v>
      </c>
      <c r="F638">
        <v>19.07</v>
      </c>
      <c r="G638">
        <v>15.1</v>
      </c>
      <c r="H638">
        <v>16.86</v>
      </c>
      <c r="I638">
        <v>21.26</v>
      </c>
      <c r="J638">
        <v>15.84</v>
      </c>
      <c r="K638">
        <v>29.95</v>
      </c>
      <c r="L638">
        <v>14.83</v>
      </c>
      <c r="M638">
        <v>15.58</v>
      </c>
    </row>
    <row r="639" spans="1:13">
      <c r="A639" t="s">
        <v>1621</v>
      </c>
      <c r="B639" s="342">
        <v>0.40899999999999997</v>
      </c>
      <c r="C639" s="342">
        <v>0.39900000000000002</v>
      </c>
      <c r="D639" s="342">
        <v>0.38200000000000001</v>
      </c>
      <c r="E639" s="342">
        <v>0.36</v>
      </c>
      <c r="F639" s="342">
        <v>0.33900000000000002</v>
      </c>
      <c r="G639" s="342">
        <v>0.32200000000000001</v>
      </c>
      <c r="H639" s="342">
        <v>0.38700000000000001</v>
      </c>
      <c r="I639" s="342">
        <v>0.45</v>
      </c>
      <c r="J639" s="342">
        <v>0.40600000000000003</v>
      </c>
      <c r="K639" s="342">
        <v>0.46700000000000003</v>
      </c>
      <c r="L639" s="342">
        <v>0.38200000000000001</v>
      </c>
      <c r="M639" s="342">
        <v>0.433</v>
      </c>
    </row>
    <row r="641" spans="1:13">
      <c r="A641" t="s">
        <v>2850</v>
      </c>
    </row>
    <row r="643" spans="1:13">
      <c r="A643" t="s">
        <v>158</v>
      </c>
      <c r="B643" t="s">
        <v>2806</v>
      </c>
      <c r="E643">
        <v>2017</v>
      </c>
      <c r="H643">
        <v>2018</v>
      </c>
      <c r="K643">
        <v>2019</v>
      </c>
    </row>
    <row r="644" spans="1:13">
      <c r="B644" t="s">
        <v>1623</v>
      </c>
      <c r="C644" t="s">
        <v>1624</v>
      </c>
      <c r="D644" t="s">
        <v>1622</v>
      </c>
      <c r="E644" t="s">
        <v>1623</v>
      </c>
      <c r="F644" t="s">
        <v>1624</v>
      </c>
      <c r="G644" t="s">
        <v>1622</v>
      </c>
      <c r="H644" t="s">
        <v>1623</v>
      </c>
      <c r="I644" t="s">
        <v>1624</v>
      </c>
      <c r="J644" t="s">
        <v>1622</v>
      </c>
      <c r="K644" t="s">
        <v>1623</v>
      </c>
      <c r="L644" t="s">
        <v>1624</v>
      </c>
      <c r="M644" t="s">
        <v>1622</v>
      </c>
    </row>
    <row r="645" spans="1:13">
      <c r="A645" t="s">
        <v>2807</v>
      </c>
      <c r="B645" s="342">
        <v>0.374</v>
      </c>
      <c r="C645" s="342">
        <v>0.873</v>
      </c>
      <c r="D645" s="342">
        <v>0.46400000000000002</v>
      </c>
      <c r="E645" s="342">
        <v>0.36599999999999999</v>
      </c>
      <c r="F645" s="342">
        <v>0.85799999999999998</v>
      </c>
      <c r="G645" s="342">
        <v>0.45500000000000002</v>
      </c>
      <c r="H645" s="342">
        <v>0.372</v>
      </c>
      <c r="I645" s="342">
        <v>0.86399999999999999</v>
      </c>
      <c r="J645" s="342">
        <v>0.47199999999999998</v>
      </c>
      <c r="K645" s="342">
        <v>0.38500000000000001</v>
      </c>
      <c r="L645" s="342">
        <v>0.89100000000000001</v>
      </c>
      <c r="M645" s="342">
        <v>0.46700000000000003</v>
      </c>
    </row>
    <row r="646" spans="1:13">
      <c r="A646" t="s">
        <v>1618</v>
      </c>
      <c r="B646" s="342">
        <v>0.23100000000000001</v>
      </c>
      <c r="C646" s="342">
        <v>0.10199999999999999</v>
      </c>
      <c r="D646" s="342">
        <v>0.23899999999999999</v>
      </c>
      <c r="E646" s="342">
        <v>0.219</v>
      </c>
      <c r="F646" s="342">
        <v>0.11</v>
      </c>
      <c r="G646" s="342">
        <v>0.22600000000000001</v>
      </c>
      <c r="H646" s="342">
        <v>0.245</v>
      </c>
      <c r="I646" s="342">
        <v>0.11899999999999999</v>
      </c>
      <c r="J646" s="342">
        <v>0.248</v>
      </c>
      <c r="K646" s="342">
        <v>0.23</v>
      </c>
      <c r="L646" s="342">
        <v>8.4000000000000005E-2</v>
      </c>
      <c r="M646" s="342">
        <v>0.24399999999999999</v>
      </c>
    </row>
    <row r="647" spans="1:13">
      <c r="A647" t="s">
        <v>1619</v>
      </c>
      <c r="B647" s="342">
        <v>1.2E-2</v>
      </c>
      <c r="C647" s="342">
        <v>2E-3</v>
      </c>
      <c r="D647" s="342">
        <v>8.9999999999999993E-3</v>
      </c>
      <c r="E647" s="342">
        <v>1.0999999999999999E-2</v>
      </c>
      <c r="F647" s="342">
        <v>2E-3</v>
      </c>
      <c r="G647" s="342">
        <v>8.9999999999999993E-3</v>
      </c>
      <c r="H647" s="342">
        <v>1.2E-2</v>
      </c>
      <c r="I647" s="342">
        <v>1E-3</v>
      </c>
      <c r="J647" s="342">
        <v>8.9999999999999993E-3</v>
      </c>
      <c r="K647" s="342">
        <v>1.2E-2</v>
      </c>
      <c r="L647" s="342">
        <v>2E-3</v>
      </c>
      <c r="M647" s="342">
        <v>8.9999999999999993E-3</v>
      </c>
    </row>
    <row r="648" spans="1:13">
      <c r="A648" t="s">
        <v>1620</v>
      </c>
      <c r="B648" s="342">
        <v>0.32300000000000001</v>
      </c>
      <c r="C648" s="342">
        <v>0.39100000000000001</v>
      </c>
      <c r="D648" s="342">
        <v>0.40200000000000002</v>
      </c>
      <c r="E648" s="342">
        <v>0.34599999999999997</v>
      </c>
      <c r="F648" s="342">
        <v>1.046</v>
      </c>
      <c r="G648" s="342">
        <v>0.43</v>
      </c>
      <c r="H648" s="342">
        <v>0.30099999999999999</v>
      </c>
      <c r="I648" s="342">
        <v>0.26500000000000001</v>
      </c>
      <c r="J648" s="342">
        <v>0.378</v>
      </c>
      <c r="K648" s="342">
        <v>0.32300000000000001</v>
      </c>
      <c r="L648" s="342">
        <v>0.34699999999999998</v>
      </c>
      <c r="M648" s="342">
        <v>0.39800000000000002</v>
      </c>
    </row>
    <row r="649" spans="1:13">
      <c r="A649" t="s">
        <v>2808</v>
      </c>
      <c r="B649" s="342">
        <v>0.13700000000000001</v>
      </c>
      <c r="C649" s="342">
        <v>0.45300000000000001</v>
      </c>
      <c r="D649" s="342">
        <v>0.19</v>
      </c>
      <c r="E649" s="342">
        <v>0.14599999999999999</v>
      </c>
      <c r="F649" s="342">
        <v>0.47599999999999998</v>
      </c>
      <c r="G649" s="342">
        <v>0.191</v>
      </c>
      <c r="H649" s="342">
        <v>0.13800000000000001</v>
      </c>
      <c r="I649" s="342">
        <v>0.13300000000000001</v>
      </c>
      <c r="J649" s="342">
        <v>0.191</v>
      </c>
      <c r="K649" s="342">
        <v>0.127</v>
      </c>
      <c r="L649" s="342">
        <v>0.74</v>
      </c>
      <c r="M649" s="342">
        <v>0.187</v>
      </c>
    </row>
    <row r="650" spans="1:13">
      <c r="A650" t="s">
        <v>2809</v>
      </c>
      <c r="B650" s="342">
        <v>4.0000000000000001E-3</v>
      </c>
      <c r="C650" s="342">
        <v>8.0000000000000002E-3</v>
      </c>
      <c r="D650" s="342">
        <v>3.0000000000000001E-3</v>
      </c>
      <c r="E650" s="342">
        <v>3.0000000000000001E-3</v>
      </c>
      <c r="F650" s="342">
        <v>2.3E-2</v>
      </c>
      <c r="G650" s="342">
        <v>3.0000000000000001E-3</v>
      </c>
      <c r="H650" s="342">
        <v>3.0000000000000001E-3</v>
      </c>
      <c r="I650" s="342">
        <v>6.0000000000000001E-3</v>
      </c>
      <c r="J650" s="342">
        <v>3.0000000000000001E-3</v>
      </c>
      <c r="K650" s="342">
        <v>4.0000000000000001E-3</v>
      </c>
      <c r="L650" s="342">
        <v>6.0000000000000001E-3</v>
      </c>
      <c r="M650" s="342">
        <v>4.0000000000000001E-3</v>
      </c>
    </row>
    <row r="651" spans="1:13">
      <c r="A651" t="s">
        <v>2810</v>
      </c>
      <c r="B651" s="342">
        <v>0.434</v>
      </c>
      <c r="C651" s="342">
        <v>1.177</v>
      </c>
      <c r="D651" s="342">
        <v>0.48</v>
      </c>
      <c r="E651" s="342">
        <v>0.432</v>
      </c>
      <c r="F651" s="342">
        <v>0.47799999999999998</v>
      </c>
      <c r="G651" s="342">
        <v>0.45</v>
      </c>
      <c r="H651" s="342">
        <v>0.46899999999999997</v>
      </c>
      <c r="I651" s="342">
        <v>0.52400000000000002</v>
      </c>
      <c r="J651" s="342">
        <v>0.51400000000000001</v>
      </c>
      <c r="K651" s="342">
        <v>0.40600000000000003</v>
      </c>
      <c r="L651" s="342">
        <v>2.145</v>
      </c>
      <c r="M651" s="342">
        <v>0.47899999999999998</v>
      </c>
    </row>
    <row r="652" spans="1:13">
      <c r="A652" t="s">
        <v>9</v>
      </c>
      <c r="B652">
        <v>3.84</v>
      </c>
      <c r="C652" t="s">
        <v>1468</v>
      </c>
      <c r="D652">
        <v>4.6399999999999997</v>
      </c>
      <c r="E652">
        <v>3.48</v>
      </c>
      <c r="F652" t="s">
        <v>1468</v>
      </c>
      <c r="G652">
        <v>4.2300000000000004</v>
      </c>
      <c r="H652">
        <v>3.97</v>
      </c>
      <c r="I652" t="s">
        <v>1468</v>
      </c>
      <c r="J652">
        <v>4.88</v>
      </c>
      <c r="K652">
        <v>4.1399999999999997</v>
      </c>
      <c r="L652" t="s">
        <v>1468</v>
      </c>
      <c r="M652">
        <v>4.9000000000000004</v>
      </c>
    </row>
    <row r="653" spans="1:13">
      <c r="A653" t="s">
        <v>8</v>
      </c>
      <c r="B653">
        <v>3.07</v>
      </c>
      <c r="C653">
        <v>14.46</v>
      </c>
      <c r="D653">
        <v>3.66</v>
      </c>
      <c r="E653">
        <v>3.44</v>
      </c>
      <c r="F653">
        <v>23.9</v>
      </c>
      <c r="G653">
        <v>4</v>
      </c>
      <c r="H653">
        <v>2.75</v>
      </c>
      <c r="I653">
        <v>14.66</v>
      </c>
      <c r="J653">
        <v>3.31</v>
      </c>
      <c r="K653">
        <v>3.04</v>
      </c>
      <c r="L653">
        <v>11.13</v>
      </c>
      <c r="M653">
        <v>3.71</v>
      </c>
    </row>
    <row r="654" spans="1:13">
      <c r="A654" t="s">
        <v>10</v>
      </c>
      <c r="B654">
        <v>89.26</v>
      </c>
      <c r="C654" t="s">
        <v>1468</v>
      </c>
      <c r="D654">
        <v>42.19</v>
      </c>
      <c r="E654">
        <v>87.48</v>
      </c>
      <c r="F654" t="s">
        <v>1468</v>
      </c>
      <c r="G654">
        <v>37.08</v>
      </c>
      <c r="H654">
        <v>83.1</v>
      </c>
      <c r="I654" t="s">
        <v>1468</v>
      </c>
      <c r="J654">
        <v>42.65</v>
      </c>
      <c r="K654">
        <v>97.76</v>
      </c>
      <c r="L654" t="s">
        <v>1468</v>
      </c>
      <c r="M654">
        <v>48.49</v>
      </c>
    </row>
    <row r="655" spans="1:13">
      <c r="A655" t="s">
        <v>1621</v>
      </c>
      <c r="B655" s="342">
        <v>0.57599999999999996</v>
      </c>
      <c r="C655" t="s">
        <v>1468</v>
      </c>
      <c r="D655" s="342">
        <v>0.46500000000000002</v>
      </c>
      <c r="E655" s="342">
        <v>0.56599999999999995</v>
      </c>
      <c r="F655" t="s">
        <v>1468</v>
      </c>
      <c r="G655" s="342">
        <v>0.45900000000000002</v>
      </c>
      <c r="H655" s="342">
        <v>0.60399999999999998</v>
      </c>
      <c r="I655" t="s">
        <v>1468</v>
      </c>
      <c r="J655" s="342">
        <v>0.48299999999999998</v>
      </c>
      <c r="K655" s="342">
        <v>0.56000000000000005</v>
      </c>
      <c r="L655" t="s">
        <v>1468</v>
      </c>
      <c r="M655" s="342">
        <v>0.45300000000000001</v>
      </c>
    </row>
    <row r="657" spans="1:13">
      <c r="A657" t="s">
        <v>2851</v>
      </c>
    </row>
    <row r="659" spans="1:13">
      <c r="A659" t="s">
        <v>158</v>
      </c>
      <c r="B659" t="s">
        <v>2806</v>
      </c>
      <c r="E659">
        <v>2017</v>
      </c>
      <c r="H659">
        <v>2018</v>
      </c>
      <c r="K659">
        <v>2019</v>
      </c>
    </row>
    <row r="660" spans="1:13">
      <c r="B660" t="s">
        <v>1623</v>
      </c>
      <c r="C660" t="s">
        <v>1624</v>
      </c>
      <c r="D660" t="s">
        <v>1622</v>
      </c>
      <c r="E660" t="s">
        <v>1623</v>
      </c>
      <c r="F660" t="s">
        <v>1624</v>
      </c>
      <c r="G660" t="s">
        <v>1622</v>
      </c>
      <c r="H660" t="s">
        <v>1623</v>
      </c>
      <c r="I660" t="s">
        <v>1624</v>
      </c>
      <c r="J660" t="s">
        <v>1622</v>
      </c>
      <c r="K660" t="s">
        <v>1623</v>
      </c>
      <c r="L660" t="s">
        <v>1624</v>
      </c>
      <c r="M660" t="s">
        <v>1622</v>
      </c>
    </row>
    <row r="661" spans="1:13">
      <c r="A661" t="s">
        <v>2807</v>
      </c>
      <c r="B661" s="342">
        <v>0.77800000000000002</v>
      </c>
      <c r="C661" s="342">
        <v>0.873</v>
      </c>
      <c r="D661" s="342">
        <v>0.81799999999999995</v>
      </c>
      <c r="E661" s="342">
        <v>0.80300000000000005</v>
      </c>
      <c r="F661" s="342">
        <v>0.84799999999999998</v>
      </c>
      <c r="G661" s="342">
        <v>0.83399999999999996</v>
      </c>
      <c r="H661" s="342">
        <v>0.79100000000000004</v>
      </c>
      <c r="I661" s="342">
        <v>0.89200000000000002</v>
      </c>
      <c r="J661" s="342">
        <v>0.82199999999999995</v>
      </c>
      <c r="K661" s="342">
        <v>0.74399999999999999</v>
      </c>
      <c r="L661" s="342">
        <v>0.872</v>
      </c>
      <c r="M661" s="342">
        <v>0.79600000000000004</v>
      </c>
    </row>
    <row r="662" spans="1:13">
      <c r="A662" t="s">
        <v>1618</v>
      </c>
      <c r="B662" s="342">
        <v>6.2E-2</v>
      </c>
      <c r="C662" s="342">
        <v>0.104</v>
      </c>
      <c r="D662" s="342">
        <v>8.6999999999999994E-2</v>
      </c>
      <c r="E662" s="342">
        <v>4.9000000000000002E-2</v>
      </c>
      <c r="F662" s="342">
        <v>0.13500000000000001</v>
      </c>
      <c r="G662" s="342">
        <v>8.7999999999999995E-2</v>
      </c>
      <c r="H662" s="342">
        <v>6.7000000000000004E-2</v>
      </c>
      <c r="I662" s="342">
        <v>8.2000000000000003E-2</v>
      </c>
      <c r="J662" s="342">
        <v>8.6999999999999994E-2</v>
      </c>
      <c r="K662" s="342">
        <v>6.6000000000000003E-2</v>
      </c>
      <c r="L662" s="342">
        <v>0.10199999999999999</v>
      </c>
      <c r="M662" s="342">
        <v>8.5000000000000006E-2</v>
      </c>
    </row>
    <row r="663" spans="1:13">
      <c r="A663" t="s">
        <v>1619</v>
      </c>
      <c r="B663" s="342">
        <v>3.0000000000000001E-3</v>
      </c>
      <c r="C663" s="342">
        <v>6.0000000000000001E-3</v>
      </c>
      <c r="D663" s="342">
        <v>5.0000000000000001E-3</v>
      </c>
      <c r="E663" s="342">
        <v>2E-3</v>
      </c>
      <c r="F663" s="342">
        <v>5.0000000000000001E-3</v>
      </c>
      <c r="G663" s="342">
        <v>3.0000000000000001E-3</v>
      </c>
      <c r="H663" s="342">
        <v>3.0000000000000001E-3</v>
      </c>
      <c r="I663" s="342">
        <v>6.0000000000000001E-3</v>
      </c>
      <c r="J663" s="342">
        <v>5.0000000000000001E-3</v>
      </c>
      <c r="K663" s="342">
        <v>3.0000000000000001E-3</v>
      </c>
      <c r="L663" s="342">
        <v>8.9999999999999993E-3</v>
      </c>
      <c r="M663" s="342">
        <v>6.0000000000000001E-3</v>
      </c>
    </row>
    <row r="664" spans="1:13">
      <c r="A664" t="s">
        <v>1620</v>
      </c>
      <c r="B664" s="342">
        <v>0.60399999999999998</v>
      </c>
      <c r="C664" s="342">
        <v>1.1140000000000001</v>
      </c>
      <c r="D664" s="342">
        <v>0.746</v>
      </c>
      <c r="E664" s="342">
        <v>0.64200000000000002</v>
      </c>
      <c r="F664" s="342">
        <v>1.1399999999999999</v>
      </c>
      <c r="G664" s="342">
        <v>0.83</v>
      </c>
      <c r="H664" s="342">
        <v>0.65700000000000003</v>
      </c>
      <c r="I664" s="342">
        <v>0.98099999999999998</v>
      </c>
      <c r="J664" s="342">
        <v>0.747</v>
      </c>
      <c r="K664" s="342">
        <v>0.53100000000000003</v>
      </c>
      <c r="L664" s="342">
        <v>1.41</v>
      </c>
      <c r="M664" s="342">
        <v>0.66800000000000004</v>
      </c>
    </row>
    <row r="665" spans="1:13">
      <c r="A665" t="s">
        <v>2808</v>
      </c>
      <c r="B665" s="342">
        <v>0.19400000000000001</v>
      </c>
      <c r="C665" s="342">
        <v>0.34699999999999998</v>
      </c>
      <c r="D665" s="342">
        <v>0.26100000000000001</v>
      </c>
      <c r="E665" s="342">
        <v>0.16800000000000001</v>
      </c>
      <c r="F665" s="342">
        <v>0.31900000000000001</v>
      </c>
      <c r="G665" s="342">
        <v>0.251</v>
      </c>
      <c r="H665" s="342">
        <v>0.20499999999999999</v>
      </c>
      <c r="I665" s="342">
        <v>0.40500000000000003</v>
      </c>
      <c r="J665" s="342">
        <v>0.26500000000000001</v>
      </c>
      <c r="K665" s="342">
        <v>0.20200000000000001</v>
      </c>
      <c r="L665" s="342">
        <v>0.245</v>
      </c>
      <c r="M665" s="342">
        <v>0.26700000000000002</v>
      </c>
    </row>
    <row r="666" spans="1:13">
      <c r="A666" t="s">
        <v>2809</v>
      </c>
      <c r="B666" s="342">
        <v>2E-3</v>
      </c>
      <c r="C666" s="342">
        <v>5.0000000000000001E-3</v>
      </c>
      <c r="D666" s="342">
        <v>3.0000000000000001E-3</v>
      </c>
      <c r="E666" s="342">
        <v>2E-3</v>
      </c>
      <c r="F666" s="342">
        <v>6.0000000000000001E-3</v>
      </c>
      <c r="G666" s="342">
        <v>3.0000000000000001E-3</v>
      </c>
      <c r="H666" s="342">
        <v>2E-3</v>
      </c>
      <c r="I666" s="342">
        <v>2E-3</v>
      </c>
      <c r="J666" s="342">
        <v>3.0000000000000001E-3</v>
      </c>
      <c r="K666" s="342">
        <v>2E-3</v>
      </c>
      <c r="L666" s="342">
        <v>1.0999999999999999E-2</v>
      </c>
      <c r="M666" s="342">
        <v>4.0000000000000001E-3</v>
      </c>
    </row>
    <row r="667" spans="1:13">
      <c r="A667" t="s">
        <v>2810</v>
      </c>
      <c r="B667" s="342">
        <v>0.32400000000000001</v>
      </c>
      <c r="C667" s="342">
        <v>0.316</v>
      </c>
      <c r="D667" s="342">
        <v>0.35399999999999998</v>
      </c>
      <c r="E667" s="342">
        <v>0.26400000000000001</v>
      </c>
      <c r="F667" s="342">
        <v>0.28499999999999998</v>
      </c>
      <c r="G667" s="342">
        <v>0.30499999999999999</v>
      </c>
      <c r="H667" s="342">
        <v>0.315</v>
      </c>
      <c r="I667" s="342">
        <v>0.41499999999999998</v>
      </c>
      <c r="J667" s="342">
        <v>0.35899999999999999</v>
      </c>
      <c r="K667" s="342">
        <v>0.38400000000000001</v>
      </c>
      <c r="L667" s="342">
        <v>0.18099999999999999</v>
      </c>
      <c r="M667" s="342">
        <v>0.40600000000000003</v>
      </c>
    </row>
    <row r="668" spans="1:13">
      <c r="A668" t="s">
        <v>9</v>
      </c>
      <c r="B668">
        <v>5.15</v>
      </c>
      <c r="C668">
        <v>9.58</v>
      </c>
      <c r="D668">
        <v>5.9</v>
      </c>
      <c r="E668">
        <v>5.51</v>
      </c>
      <c r="F668">
        <v>9.33</v>
      </c>
      <c r="G668">
        <v>6.29</v>
      </c>
      <c r="H668">
        <v>5</v>
      </c>
      <c r="I668">
        <v>10.24</v>
      </c>
      <c r="J668">
        <v>5.5</v>
      </c>
      <c r="K668">
        <v>5.05</v>
      </c>
      <c r="L668">
        <v>8.8699999999999992</v>
      </c>
      <c r="M668">
        <v>5.97</v>
      </c>
    </row>
    <row r="669" spans="1:13">
      <c r="A669" t="s">
        <v>8</v>
      </c>
      <c r="B669">
        <v>3.48</v>
      </c>
      <c r="C669">
        <v>3.57</v>
      </c>
      <c r="D669">
        <v>3.24</v>
      </c>
      <c r="E669">
        <v>3.29</v>
      </c>
      <c r="F669">
        <v>3.65</v>
      </c>
      <c r="G669">
        <v>3.25</v>
      </c>
      <c r="H669">
        <v>3.81</v>
      </c>
      <c r="I669">
        <v>2.97</v>
      </c>
      <c r="J669">
        <v>3.16</v>
      </c>
      <c r="K669">
        <v>3.31</v>
      </c>
      <c r="L669">
        <v>5.31</v>
      </c>
      <c r="M669">
        <v>3.33</v>
      </c>
    </row>
    <row r="670" spans="1:13">
      <c r="A670" t="s">
        <v>10</v>
      </c>
      <c r="B670">
        <v>32.299999999999997</v>
      </c>
      <c r="C670">
        <v>18.98</v>
      </c>
      <c r="D670">
        <v>23.74</v>
      </c>
      <c r="E670">
        <v>31.56</v>
      </c>
      <c r="F670">
        <v>22.43</v>
      </c>
      <c r="G670">
        <v>25.51</v>
      </c>
      <c r="H670">
        <v>41.98</v>
      </c>
      <c r="I670">
        <v>18.98</v>
      </c>
      <c r="J670">
        <v>23.8</v>
      </c>
      <c r="K670">
        <v>26</v>
      </c>
      <c r="L670">
        <v>15.78</v>
      </c>
      <c r="M670">
        <v>21.93</v>
      </c>
    </row>
    <row r="671" spans="1:13">
      <c r="A671" t="s">
        <v>1621</v>
      </c>
      <c r="B671" s="342">
        <v>0.45100000000000001</v>
      </c>
      <c r="C671" s="342">
        <v>0.33200000000000002</v>
      </c>
      <c r="D671" s="342">
        <v>0.436</v>
      </c>
      <c r="E671" s="342">
        <v>0.45300000000000001</v>
      </c>
      <c r="F671" s="342">
        <v>0.33700000000000002</v>
      </c>
      <c r="G671" s="342">
        <v>0.42799999999999999</v>
      </c>
      <c r="H671" s="342">
        <v>0.439</v>
      </c>
      <c r="I671" s="342">
        <v>0.38200000000000001</v>
      </c>
      <c r="J671" s="342">
        <v>0.45700000000000002</v>
      </c>
      <c r="K671" s="342">
        <v>0.46200000000000002</v>
      </c>
      <c r="L671" s="342">
        <v>0.23799999999999999</v>
      </c>
      <c r="M671" s="342">
        <v>0.42199999999999999</v>
      </c>
    </row>
    <row r="673" spans="1:13">
      <c r="A673" t="s">
        <v>2852</v>
      </c>
    </row>
    <row r="675" spans="1:13">
      <c r="A675" t="s">
        <v>158</v>
      </c>
      <c r="B675" t="s">
        <v>2806</v>
      </c>
      <c r="E675">
        <v>2017</v>
      </c>
      <c r="H675">
        <v>2018</v>
      </c>
      <c r="K675">
        <v>2019</v>
      </c>
    </row>
    <row r="676" spans="1:13">
      <c r="B676" t="s">
        <v>1623</v>
      </c>
      <c r="C676" t="s">
        <v>1624</v>
      </c>
      <c r="D676" t="s">
        <v>1622</v>
      </c>
      <c r="E676" t="s">
        <v>1623</v>
      </c>
      <c r="F676" t="s">
        <v>1624</v>
      </c>
      <c r="G676" t="s">
        <v>1622</v>
      </c>
      <c r="H676" t="s">
        <v>1623</v>
      </c>
      <c r="I676" t="s">
        <v>1624</v>
      </c>
      <c r="J676" t="s">
        <v>1622</v>
      </c>
      <c r="K676" t="s">
        <v>1623</v>
      </c>
      <c r="L676" t="s">
        <v>1624</v>
      </c>
      <c r="M676" t="s">
        <v>1622</v>
      </c>
    </row>
    <row r="677" spans="1:13">
      <c r="A677" t="s">
        <v>2807</v>
      </c>
      <c r="B677" s="342">
        <v>0.46700000000000003</v>
      </c>
      <c r="C677" s="342">
        <v>0.68300000000000005</v>
      </c>
      <c r="D677" s="342">
        <v>0.58399999999999996</v>
      </c>
      <c r="E677" s="342">
        <v>0.46200000000000002</v>
      </c>
      <c r="F677" s="342">
        <v>0.67400000000000004</v>
      </c>
      <c r="G677" s="342">
        <v>0.57399999999999995</v>
      </c>
      <c r="H677" s="342">
        <v>0.46700000000000003</v>
      </c>
      <c r="I677" s="342">
        <v>0.68300000000000005</v>
      </c>
      <c r="J677" s="342">
        <v>0.58599999999999997</v>
      </c>
      <c r="K677" s="342">
        <v>0.47199999999999998</v>
      </c>
      <c r="L677" s="342">
        <v>0.68600000000000005</v>
      </c>
      <c r="M677" s="342">
        <v>0.59099999999999997</v>
      </c>
    </row>
    <row r="678" spans="1:13">
      <c r="A678" t="s">
        <v>1618</v>
      </c>
      <c r="B678" s="342">
        <v>0.28799999999999998</v>
      </c>
      <c r="C678" s="342">
        <v>0.28999999999999998</v>
      </c>
      <c r="D678" s="342">
        <v>0.30599999999999999</v>
      </c>
      <c r="E678" s="342">
        <v>0.25800000000000001</v>
      </c>
      <c r="F678" s="342">
        <v>0.31</v>
      </c>
      <c r="G678" s="342">
        <v>0.30299999999999999</v>
      </c>
      <c r="H678" s="342">
        <v>0.29299999999999998</v>
      </c>
      <c r="I678" s="342">
        <v>0.28499999999999998</v>
      </c>
      <c r="J678" s="342">
        <v>0.309</v>
      </c>
      <c r="K678" s="342">
        <v>0.311</v>
      </c>
      <c r="L678" s="342">
        <v>0.28799999999999998</v>
      </c>
      <c r="M678" s="342">
        <v>0.30599999999999999</v>
      </c>
    </row>
    <row r="679" spans="1:13">
      <c r="A679" t="s">
        <v>1619</v>
      </c>
      <c r="B679" s="342">
        <v>8.0000000000000002E-3</v>
      </c>
      <c r="C679" s="342">
        <v>7.0000000000000001E-3</v>
      </c>
      <c r="D679" s="342">
        <v>8.0000000000000002E-3</v>
      </c>
      <c r="E679" s="342">
        <v>7.0000000000000001E-3</v>
      </c>
      <c r="F679" s="342">
        <v>8.9999999999999993E-3</v>
      </c>
      <c r="G679" s="342">
        <v>6.0000000000000001E-3</v>
      </c>
      <c r="H679" s="342">
        <v>8.0000000000000002E-3</v>
      </c>
      <c r="I679" s="342">
        <v>6.0000000000000001E-3</v>
      </c>
      <c r="J679" s="342">
        <v>8.0000000000000002E-3</v>
      </c>
      <c r="K679" s="342">
        <v>0.01</v>
      </c>
      <c r="L679" s="342">
        <v>8.0000000000000002E-3</v>
      </c>
      <c r="M679" s="342">
        <v>0.01</v>
      </c>
    </row>
    <row r="680" spans="1:13">
      <c r="A680" t="s">
        <v>1620</v>
      </c>
      <c r="B680" s="342">
        <v>0.42499999999999999</v>
      </c>
      <c r="C680" s="342">
        <v>0.79200000000000004</v>
      </c>
      <c r="D680" s="342">
        <v>0.58899999999999997</v>
      </c>
      <c r="E680" s="342">
        <v>0.33400000000000002</v>
      </c>
      <c r="F680" s="342">
        <v>0.71399999999999997</v>
      </c>
      <c r="G680" s="342">
        <v>0.56399999999999995</v>
      </c>
      <c r="H680" s="342">
        <v>0.46899999999999997</v>
      </c>
      <c r="I680" s="342">
        <v>0.80900000000000005</v>
      </c>
      <c r="J680" s="342">
        <v>0.59799999999999998</v>
      </c>
      <c r="K680" s="342">
        <v>0.50800000000000001</v>
      </c>
      <c r="L680" s="342">
        <v>0.80800000000000005</v>
      </c>
      <c r="M680" s="342">
        <v>0.60499999999999998</v>
      </c>
    </row>
    <row r="681" spans="1:13">
      <c r="A681" t="s">
        <v>2808</v>
      </c>
      <c r="B681" s="342">
        <v>0.23599999999999999</v>
      </c>
      <c r="C681" s="342">
        <v>0.27400000000000002</v>
      </c>
      <c r="D681" s="342">
        <v>0.28799999999999998</v>
      </c>
      <c r="E681" s="342">
        <v>0.23699999999999999</v>
      </c>
      <c r="F681" s="342">
        <v>0.33400000000000002</v>
      </c>
      <c r="G681" s="342">
        <v>0.28000000000000003</v>
      </c>
      <c r="H681" s="342">
        <v>0.24</v>
      </c>
      <c r="I681" s="342">
        <v>0.249</v>
      </c>
      <c r="J681" s="342">
        <v>0.28699999999999998</v>
      </c>
      <c r="K681" s="342">
        <v>0.23200000000000001</v>
      </c>
      <c r="L681" s="342">
        <v>0.27200000000000002</v>
      </c>
      <c r="M681" s="342">
        <v>0.29699999999999999</v>
      </c>
    </row>
    <row r="682" spans="1:13">
      <c r="A682" t="s">
        <v>2809</v>
      </c>
      <c r="B682" s="342">
        <v>6.9000000000000006E-2</v>
      </c>
      <c r="C682" s="342">
        <v>3.7999999999999999E-2</v>
      </c>
      <c r="D682" s="342">
        <v>4.7E-2</v>
      </c>
      <c r="E682" s="342">
        <v>5.3999999999999999E-2</v>
      </c>
      <c r="F682" s="342">
        <v>6.2E-2</v>
      </c>
      <c r="G682" s="342">
        <v>4.9000000000000002E-2</v>
      </c>
      <c r="H682" s="342">
        <v>0.08</v>
      </c>
      <c r="I682" s="342">
        <v>3.4000000000000002E-2</v>
      </c>
      <c r="J682" s="342">
        <v>4.7E-2</v>
      </c>
      <c r="K682" s="342">
        <v>0.08</v>
      </c>
      <c r="L682" s="342">
        <v>3.2000000000000001E-2</v>
      </c>
      <c r="M682" s="342">
        <v>4.5999999999999999E-2</v>
      </c>
    </row>
    <row r="683" spans="1:13">
      <c r="A683" t="s">
        <v>2810</v>
      </c>
      <c r="B683" s="342">
        <v>0.72</v>
      </c>
      <c r="C683" s="342">
        <v>0.39400000000000002</v>
      </c>
      <c r="D683" s="342">
        <v>0.56999999999999995</v>
      </c>
      <c r="E683" s="342">
        <v>0.873</v>
      </c>
      <c r="F683" s="342">
        <v>0.55500000000000005</v>
      </c>
      <c r="G683" s="342">
        <v>0.58199999999999996</v>
      </c>
      <c r="H683" s="342">
        <v>0.68200000000000005</v>
      </c>
      <c r="I683" s="342">
        <v>0.35</v>
      </c>
      <c r="J683" s="342">
        <v>0.56000000000000005</v>
      </c>
      <c r="K683" s="342">
        <v>0.61399999999999999</v>
      </c>
      <c r="L683" s="342">
        <v>0.377</v>
      </c>
      <c r="M683" s="342">
        <v>0.56799999999999995</v>
      </c>
    </row>
    <row r="684" spans="1:13">
      <c r="A684" t="s">
        <v>9</v>
      </c>
      <c r="B684">
        <v>3.5</v>
      </c>
      <c r="C684">
        <v>3.69</v>
      </c>
      <c r="D684">
        <v>3.95</v>
      </c>
      <c r="E684">
        <v>3.37</v>
      </c>
      <c r="F684">
        <v>2.9</v>
      </c>
      <c r="G684">
        <v>3.65</v>
      </c>
      <c r="H684">
        <v>3.21</v>
      </c>
      <c r="I684">
        <v>3.69</v>
      </c>
      <c r="J684">
        <v>3.93</v>
      </c>
      <c r="K684">
        <v>3.93</v>
      </c>
      <c r="L684">
        <v>4.0999999999999996</v>
      </c>
      <c r="M684">
        <v>4.29</v>
      </c>
    </row>
    <row r="685" spans="1:13">
      <c r="A685" t="s">
        <v>8</v>
      </c>
      <c r="B685">
        <v>5.83</v>
      </c>
      <c r="C685">
        <v>5.24</v>
      </c>
      <c r="D685">
        <v>5.28</v>
      </c>
      <c r="E685">
        <v>5.79</v>
      </c>
      <c r="F685">
        <v>4.8099999999999996</v>
      </c>
      <c r="G685">
        <v>5.41</v>
      </c>
      <c r="H685">
        <v>5.99</v>
      </c>
      <c r="I685">
        <v>5.35</v>
      </c>
      <c r="J685">
        <v>5.46</v>
      </c>
      <c r="K685">
        <v>5.73</v>
      </c>
      <c r="L685">
        <v>5.31</v>
      </c>
      <c r="M685">
        <v>5.0199999999999996</v>
      </c>
    </row>
    <row r="686" spans="1:13">
      <c r="A686" t="s">
        <v>10</v>
      </c>
      <c r="B686">
        <v>21.12</v>
      </c>
      <c r="C686">
        <v>8.81</v>
      </c>
      <c r="D686">
        <v>13.34</v>
      </c>
      <c r="E686">
        <v>21.1</v>
      </c>
      <c r="F686">
        <v>6.8</v>
      </c>
      <c r="G686">
        <v>13.19</v>
      </c>
      <c r="H686">
        <v>22.5</v>
      </c>
      <c r="I686">
        <v>9.74</v>
      </c>
      <c r="J686">
        <v>13.94</v>
      </c>
      <c r="K686">
        <v>20.100000000000001</v>
      </c>
      <c r="L686">
        <v>8.9700000000000006</v>
      </c>
      <c r="M686">
        <v>12.94</v>
      </c>
    </row>
    <row r="687" spans="1:13">
      <c r="A687" t="s">
        <v>1621</v>
      </c>
      <c r="B687" s="342">
        <v>0.41</v>
      </c>
      <c r="C687" s="342">
        <v>0.34799999999999998</v>
      </c>
      <c r="D687" s="342">
        <v>0.36799999999999999</v>
      </c>
      <c r="E687" s="342">
        <v>0.42199999999999999</v>
      </c>
      <c r="F687" s="342">
        <v>0.40600000000000003</v>
      </c>
      <c r="G687" s="342">
        <v>0.38300000000000001</v>
      </c>
      <c r="H687" s="342">
        <v>0.434</v>
      </c>
      <c r="I687" s="342">
        <v>0.35599999999999998</v>
      </c>
      <c r="J687" s="342">
        <v>0.36599999999999999</v>
      </c>
      <c r="K687" s="342">
        <v>0.379</v>
      </c>
      <c r="L687" s="342">
        <v>0.32</v>
      </c>
      <c r="M687" s="342">
        <v>0.35499999999999998</v>
      </c>
    </row>
    <row r="689" spans="1:13">
      <c r="A689" t="s">
        <v>2853</v>
      </c>
    </row>
    <row r="691" spans="1:13">
      <c r="A691" t="s">
        <v>158</v>
      </c>
      <c r="B691" t="s">
        <v>2806</v>
      </c>
      <c r="E691">
        <v>2017</v>
      </c>
      <c r="H691">
        <v>2018</v>
      </c>
      <c r="K691">
        <v>2019</v>
      </c>
    </row>
    <row r="692" spans="1:13">
      <c r="B692" t="s">
        <v>1623</v>
      </c>
      <c r="C692" t="s">
        <v>1624</v>
      </c>
      <c r="D692" t="s">
        <v>1622</v>
      </c>
      <c r="E692" t="s">
        <v>1623</v>
      </c>
      <c r="F692" t="s">
        <v>1624</v>
      </c>
      <c r="G692" t="s">
        <v>1622</v>
      </c>
      <c r="H692" t="s">
        <v>1623</v>
      </c>
      <c r="I692" t="s">
        <v>1624</v>
      </c>
      <c r="J692" t="s">
        <v>1622</v>
      </c>
      <c r="K692" t="s">
        <v>1623</v>
      </c>
      <c r="L692" t="s">
        <v>1624</v>
      </c>
      <c r="M692" t="s">
        <v>1622</v>
      </c>
    </row>
    <row r="693" spans="1:13">
      <c r="A693" t="s">
        <v>2807</v>
      </c>
      <c r="B693" s="342">
        <v>0.39800000000000002</v>
      </c>
      <c r="C693" s="342">
        <v>0.72199999999999998</v>
      </c>
      <c r="D693" s="342">
        <v>0.52100000000000002</v>
      </c>
      <c r="E693" s="342">
        <v>0.379</v>
      </c>
      <c r="F693" s="342">
        <v>0.72899999999999998</v>
      </c>
      <c r="G693" s="342">
        <v>0.51600000000000001</v>
      </c>
      <c r="H693" s="342">
        <v>0.41799999999999998</v>
      </c>
      <c r="I693" s="342">
        <v>0.74199999999999999</v>
      </c>
      <c r="J693" s="342">
        <v>0.52900000000000003</v>
      </c>
      <c r="K693" s="342">
        <v>0.40600000000000003</v>
      </c>
      <c r="L693" s="342">
        <v>0.69099999999999995</v>
      </c>
      <c r="M693" s="342">
        <v>0.51700000000000002</v>
      </c>
    </row>
    <row r="694" spans="1:13">
      <c r="A694" t="s">
        <v>1618</v>
      </c>
      <c r="B694" s="342">
        <v>0.40500000000000003</v>
      </c>
      <c r="C694" s="342">
        <v>0.255</v>
      </c>
      <c r="D694" s="342">
        <v>0.35899999999999999</v>
      </c>
      <c r="E694" s="342">
        <v>0.435</v>
      </c>
      <c r="F694" s="342">
        <v>0.247</v>
      </c>
      <c r="G694" s="342">
        <v>0.36099999999999999</v>
      </c>
      <c r="H694" s="342">
        <v>0.374</v>
      </c>
      <c r="I694" s="342">
        <v>0.23499999999999999</v>
      </c>
      <c r="J694" s="342">
        <v>0.35299999999999998</v>
      </c>
      <c r="K694" s="342">
        <v>0.39400000000000002</v>
      </c>
      <c r="L694" s="342">
        <v>0.29099999999999998</v>
      </c>
      <c r="M694" s="342">
        <v>0.36299999999999999</v>
      </c>
    </row>
    <row r="695" spans="1:13">
      <c r="A695" t="s">
        <v>1619</v>
      </c>
      <c r="B695" s="342">
        <v>1.2E-2</v>
      </c>
      <c r="C695" s="342">
        <v>1.0999999999999999E-2</v>
      </c>
      <c r="D695" s="342">
        <v>1.4E-2</v>
      </c>
      <c r="E695" s="342">
        <v>1.2999999999999999E-2</v>
      </c>
      <c r="F695" s="342">
        <v>7.0000000000000001E-3</v>
      </c>
      <c r="G695" s="342">
        <v>0.01</v>
      </c>
      <c r="H695" s="342">
        <v>8.9999999999999993E-3</v>
      </c>
      <c r="I695" s="342">
        <v>1.0999999999999999E-2</v>
      </c>
      <c r="J695" s="342">
        <v>1.4E-2</v>
      </c>
      <c r="K695" s="342">
        <v>1.2999999999999999E-2</v>
      </c>
      <c r="L695" s="342">
        <v>1.7999999999999999E-2</v>
      </c>
      <c r="M695" s="342">
        <v>1.9E-2</v>
      </c>
    </row>
    <row r="696" spans="1:13">
      <c r="A696" t="s">
        <v>1620</v>
      </c>
      <c r="B696" s="342">
        <v>1.044</v>
      </c>
      <c r="C696" s="342">
        <v>1.0429999999999999</v>
      </c>
      <c r="D696" s="342">
        <v>1.0129999999999999</v>
      </c>
      <c r="E696" s="342">
        <v>0.95799999999999996</v>
      </c>
      <c r="F696" s="342">
        <v>1.121</v>
      </c>
      <c r="G696" s="342">
        <v>1.0329999999999999</v>
      </c>
      <c r="H696" s="342">
        <v>1.1479999999999999</v>
      </c>
      <c r="I696" s="342">
        <v>0.98399999999999999</v>
      </c>
      <c r="J696" s="342">
        <v>1.0249999999999999</v>
      </c>
      <c r="K696" s="342">
        <v>1.079</v>
      </c>
      <c r="L696" s="342">
        <v>1.0189999999999999</v>
      </c>
      <c r="M696" s="342">
        <v>0.98399999999999999</v>
      </c>
    </row>
    <row r="697" spans="1:13">
      <c r="A697" t="s">
        <v>2808</v>
      </c>
      <c r="B697" s="342">
        <v>0.29399999999999998</v>
      </c>
      <c r="C697" s="342">
        <v>0.32500000000000001</v>
      </c>
      <c r="D697" s="342">
        <v>0.33300000000000002</v>
      </c>
      <c r="E697" s="342">
        <v>0.34499999999999997</v>
      </c>
      <c r="F697" s="342">
        <v>0.317</v>
      </c>
      <c r="G697" s="342">
        <v>0.32200000000000001</v>
      </c>
      <c r="H697" s="342">
        <v>0.248</v>
      </c>
      <c r="I697" s="342">
        <v>0.28899999999999998</v>
      </c>
      <c r="J697" s="342">
        <v>0.33200000000000002</v>
      </c>
      <c r="K697" s="342">
        <v>0.26100000000000001</v>
      </c>
      <c r="L697" s="342">
        <v>0.38</v>
      </c>
      <c r="M697" s="342">
        <v>0.34399999999999997</v>
      </c>
    </row>
    <row r="698" spans="1:13">
      <c r="A698" t="s">
        <v>2809</v>
      </c>
      <c r="B698" s="342">
        <v>3.1E-2</v>
      </c>
      <c r="C698" s="342">
        <v>1.7000000000000001E-2</v>
      </c>
      <c r="D698" s="342">
        <v>2.8000000000000001E-2</v>
      </c>
      <c r="E698" s="342">
        <v>3.4000000000000002E-2</v>
      </c>
      <c r="F698" s="342">
        <v>1.7999999999999999E-2</v>
      </c>
      <c r="G698" s="342">
        <v>2.9000000000000001E-2</v>
      </c>
      <c r="H698" s="342">
        <v>2.9000000000000001E-2</v>
      </c>
      <c r="I698" s="342">
        <v>1.4999999999999999E-2</v>
      </c>
      <c r="J698" s="342">
        <v>2.8000000000000001E-2</v>
      </c>
      <c r="K698" s="342">
        <v>2.7E-2</v>
      </c>
      <c r="L698" s="342">
        <v>1.7000000000000001E-2</v>
      </c>
      <c r="M698" s="342">
        <v>2.5999999999999999E-2</v>
      </c>
    </row>
    <row r="699" spans="1:13">
      <c r="A699" t="s">
        <v>2810</v>
      </c>
      <c r="B699" s="342">
        <v>0.311</v>
      </c>
      <c r="C699" s="342">
        <v>0.32800000000000001</v>
      </c>
      <c r="D699" s="342">
        <v>0.35699999999999998</v>
      </c>
      <c r="E699" s="342">
        <v>0.39600000000000002</v>
      </c>
      <c r="F699" s="342">
        <v>0.29899999999999999</v>
      </c>
      <c r="G699" s="342">
        <v>0.34</v>
      </c>
      <c r="H699" s="342">
        <v>0.24099999999999999</v>
      </c>
      <c r="I699" s="342">
        <v>0.309</v>
      </c>
      <c r="J699" s="342">
        <v>0.35199999999999998</v>
      </c>
      <c r="K699" s="342">
        <v>0.26700000000000002</v>
      </c>
      <c r="L699" s="342">
        <v>0.39</v>
      </c>
      <c r="M699" s="342">
        <v>0.376</v>
      </c>
    </row>
    <row r="700" spans="1:13">
      <c r="A700" t="s">
        <v>9</v>
      </c>
      <c r="B700">
        <v>9.7200000000000006</v>
      </c>
      <c r="C700">
        <v>6.11</v>
      </c>
      <c r="D700">
        <v>7.87</v>
      </c>
      <c r="E700">
        <v>9.4</v>
      </c>
      <c r="F700">
        <v>5.92</v>
      </c>
      <c r="G700">
        <v>7.65</v>
      </c>
      <c r="H700">
        <v>10.050000000000001</v>
      </c>
      <c r="I700">
        <v>5.76</v>
      </c>
      <c r="J700">
        <v>8.06</v>
      </c>
      <c r="K700">
        <v>9.8699999999999992</v>
      </c>
      <c r="L700">
        <v>6.91</v>
      </c>
      <c r="M700">
        <v>7.89</v>
      </c>
    </row>
    <row r="701" spans="1:13">
      <c r="A701" t="s">
        <v>8</v>
      </c>
      <c r="B701">
        <v>13.07</v>
      </c>
      <c r="C701">
        <v>7.78</v>
      </c>
      <c r="D701">
        <v>10.76</v>
      </c>
      <c r="E701">
        <v>13.91</v>
      </c>
      <c r="F701">
        <v>8.06</v>
      </c>
      <c r="G701">
        <v>11.03</v>
      </c>
      <c r="H701">
        <v>12.75</v>
      </c>
      <c r="I701">
        <v>7.54</v>
      </c>
      <c r="J701">
        <v>10.45</v>
      </c>
      <c r="K701">
        <v>12.41</v>
      </c>
      <c r="L701">
        <v>7.71</v>
      </c>
      <c r="M701">
        <v>10.83</v>
      </c>
    </row>
    <row r="702" spans="1:13">
      <c r="A702" t="s">
        <v>10</v>
      </c>
      <c r="B702">
        <v>24.53</v>
      </c>
      <c r="C702">
        <v>10.45</v>
      </c>
      <c r="D702">
        <v>16.87</v>
      </c>
      <c r="E702">
        <v>23.97</v>
      </c>
      <c r="F702">
        <v>9.01</v>
      </c>
      <c r="G702">
        <v>14.84</v>
      </c>
      <c r="H702">
        <v>26.16</v>
      </c>
      <c r="I702">
        <v>10.6</v>
      </c>
      <c r="J702">
        <v>18.21</v>
      </c>
      <c r="K702">
        <v>23.91</v>
      </c>
      <c r="L702">
        <v>12.95</v>
      </c>
      <c r="M702">
        <v>17.8</v>
      </c>
    </row>
    <row r="703" spans="1:13">
      <c r="A703" t="s">
        <v>1621</v>
      </c>
      <c r="B703" s="342">
        <v>0.13900000000000001</v>
      </c>
      <c r="C703" s="342">
        <v>0.19600000000000001</v>
      </c>
      <c r="D703" s="342">
        <v>0.161</v>
      </c>
      <c r="E703" s="342">
        <v>0.13700000000000001</v>
      </c>
      <c r="F703" s="342">
        <v>0.182</v>
      </c>
      <c r="G703" s="342">
        <v>0.154</v>
      </c>
      <c r="H703" s="342">
        <v>0.14000000000000001</v>
      </c>
      <c r="I703" s="342">
        <v>0.21199999999999999</v>
      </c>
      <c r="J703" s="342">
        <v>0.16500000000000001</v>
      </c>
      <c r="K703" s="342">
        <v>0.14000000000000001</v>
      </c>
      <c r="L703" s="342">
        <v>0.19700000000000001</v>
      </c>
      <c r="M703" s="342">
        <v>0.16300000000000001</v>
      </c>
    </row>
    <row r="705" spans="1:13">
      <c r="A705" t="s">
        <v>2854</v>
      </c>
    </row>
    <row r="707" spans="1:13">
      <c r="A707" t="s">
        <v>158</v>
      </c>
      <c r="B707" t="s">
        <v>2806</v>
      </c>
      <c r="E707">
        <v>2017</v>
      </c>
      <c r="H707">
        <v>2018</v>
      </c>
      <c r="K707">
        <v>2019</v>
      </c>
    </row>
    <row r="708" spans="1:13">
      <c r="B708" t="s">
        <v>1623</v>
      </c>
      <c r="C708" t="s">
        <v>1624</v>
      </c>
      <c r="D708" t="s">
        <v>1622</v>
      </c>
      <c r="E708" t="s">
        <v>1623</v>
      </c>
      <c r="F708" t="s">
        <v>1624</v>
      </c>
      <c r="G708" t="s">
        <v>1622</v>
      </c>
      <c r="H708" t="s">
        <v>1623</v>
      </c>
      <c r="I708" t="s">
        <v>1624</v>
      </c>
      <c r="J708" t="s">
        <v>1622</v>
      </c>
      <c r="K708" t="s">
        <v>1623</v>
      </c>
      <c r="L708" t="s">
        <v>1624</v>
      </c>
      <c r="M708" t="s">
        <v>1622</v>
      </c>
    </row>
    <row r="709" spans="1:13">
      <c r="A709" t="s">
        <v>2807</v>
      </c>
      <c r="B709" s="342">
        <v>0.64700000000000002</v>
      </c>
      <c r="C709" s="342">
        <v>0.872</v>
      </c>
      <c r="D709" s="342">
        <v>0.78500000000000003</v>
      </c>
      <c r="E709" s="342">
        <v>0.64700000000000002</v>
      </c>
      <c r="F709" s="342">
        <v>0.85099999999999998</v>
      </c>
      <c r="G709" s="342">
        <v>0.78100000000000003</v>
      </c>
      <c r="H709" s="342">
        <v>0.64800000000000002</v>
      </c>
      <c r="I709" s="342">
        <v>0.88400000000000001</v>
      </c>
      <c r="J709" s="342">
        <v>0.79800000000000004</v>
      </c>
      <c r="K709" s="342">
        <v>0.64700000000000002</v>
      </c>
      <c r="L709" s="342">
        <v>0.86899999999999999</v>
      </c>
      <c r="M709" s="342">
        <v>0.77500000000000002</v>
      </c>
    </row>
    <row r="710" spans="1:13">
      <c r="A710" t="s">
        <v>1618</v>
      </c>
      <c r="B710" s="342">
        <v>0.14599999999999999</v>
      </c>
      <c r="C710" s="342">
        <v>0.106</v>
      </c>
      <c r="D710" s="342">
        <v>0.11600000000000001</v>
      </c>
      <c r="E710" s="342">
        <v>0.14799999999999999</v>
      </c>
      <c r="F710" s="342">
        <v>0.125</v>
      </c>
      <c r="G710" s="342">
        <v>0.11700000000000001</v>
      </c>
      <c r="H710" s="342">
        <v>0.152</v>
      </c>
      <c r="I710" s="342">
        <v>9.1999999999999998E-2</v>
      </c>
      <c r="J710" s="342">
        <v>0.114</v>
      </c>
      <c r="K710" s="342">
        <v>0.14000000000000001</v>
      </c>
      <c r="L710" s="342">
        <v>0.112</v>
      </c>
      <c r="M710" s="342">
        <v>0.11600000000000001</v>
      </c>
    </row>
    <row r="711" spans="1:13">
      <c r="A711" t="s">
        <v>1619</v>
      </c>
      <c r="B711" s="342">
        <v>8.9999999999999993E-3</v>
      </c>
      <c r="C711" s="342">
        <v>8.9999999999999993E-3</v>
      </c>
      <c r="D711" s="342">
        <v>7.0000000000000001E-3</v>
      </c>
      <c r="E711" s="342">
        <v>5.0000000000000001E-3</v>
      </c>
      <c r="F711" s="342">
        <v>6.0000000000000001E-3</v>
      </c>
      <c r="G711" s="342">
        <v>4.0000000000000001E-3</v>
      </c>
      <c r="H711" s="342">
        <v>1.0999999999999999E-2</v>
      </c>
      <c r="I711" s="342">
        <v>7.0000000000000001E-3</v>
      </c>
      <c r="J711" s="342">
        <v>8.0000000000000002E-3</v>
      </c>
      <c r="K711" s="342">
        <v>0.01</v>
      </c>
      <c r="L711" s="342">
        <v>1.2999999999999999E-2</v>
      </c>
      <c r="M711" s="342">
        <v>8.9999999999999993E-3</v>
      </c>
    </row>
    <row r="712" spans="1:13">
      <c r="A712" t="s">
        <v>1620</v>
      </c>
      <c r="B712" s="342">
        <v>0.56100000000000005</v>
      </c>
      <c r="C712" s="342">
        <v>1.1359999999999999</v>
      </c>
      <c r="D712" s="342">
        <v>0.83499999999999996</v>
      </c>
      <c r="E712" s="342">
        <v>0.54100000000000004</v>
      </c>
      <c r="F712" s="342">
        <v>1.034</v>
      </c>
      <c r="G712" s="342">
        <v>0.83799999999999997</v>
      </c>
      <c r="H712" s="342">
        <v>0.57599999999999996</v>
      </c>
      <c r="I712" s="342">
        <v>1.1519999999999999</v>
      </c>
      <c r="J712" s="342">
        <v>0.87</v>
      </c>
      <c r="K712" s="342">
        <v>0.56399999999999995</v>
      </c>
      <c r="L712" s="342">
        <v>1.1970000000000001</v>
      </c>
      <c r="M712" s="342">
        <v>0.8</v>
      </c>
    </row>
    <row r="713" spans="1:13">
      <c r="A713" t="s">
        <v>2808</v>
      </c>
      <c r="B713" s="342">
        <v>0.19900000000000001</v>
      </c>
      <c r="C713" s="342">
        <v>0.432</v>
      </c>
      <c r="D713" s="342">
        <v>0.34899999999999998</v>
      </c>
      <c r="E713" s="342">
        <v>0.19900000000000001</v>
      </c>
      <c r="F713" s="342">
        <v>0.41399999999999998</v>
      </c>
      <c r="G713" s="342">
        <v>0.36699999999999999</v>
      </c>
      <c r="H713" s="342">
        <v>0.186</v>
      </c>
      <c r="I713" s="342">
        <v>0.45</v>
      </c>
      <c r="J713" s="342">
        <v>0.35099999999999998</v>
      </c>
      <c r="K713" s="342">
        <v>0.21099999999999999</v>
      </c>
      <c r="L713" s="342">
        <v>0.41799999999999998</v>
      </c>
      <c r="M713" s="342">
        <v>0.33200000000000002</v>
      </c>
    </row>
    <row r="714" spans="1:13">
      <c r="A714" t="s">
        <v>2809</v>
      </c>
      <c r="B714" s="342">
        <v>0.06</v>
      </c>
      <c r="C714" s="342">
        <v>1.6E-2</v>
      </c>
      <c r="D714" s="342">
        <v>2.8000000000000001E-2</v>
      </c>
      <c r="E714" s="342">
        <v>6.6000000000000003E-2</v>
      </c>
      <c r="F714" s="342">
        <v>1.6E-2</v>
      </c>
      <c r="G714" s="342">
        <v>2.9000000000000001E-2</v>
      </c>
      <c r="H714" s="342">
        <v>0.06</v>
      </c>
      <c r="I714" s="342">
        <v>1.4E-2</v>
      </c>
      <c r="J714" s="342">
        <v>2.8000000000000001E-2</v>
      </c>
      <c r="K714" s="342">
        <v>5.6000000000000001E-2</v>
      </c>
      <c r="L714" s="342">
        <v>1.9E-2</v>
      </c>
      <c r="M714" s="342">
        <v>2.8000000000000001E-2</v>
      </c>
    </row>
    <row r="715" spans="1:13">
      <c r="A715" t="s">
        <v>2810</v>
      </c>
      <c r="B715" s="342">
        <v>0.46200000000000002</v>
      </c>
      <c r="C715" s="342">
        <v>0.39400000000000002</v>
      </c>
      <c r="D715" s="342">
        <v>0.45200000000000001</v>
      </c>
      <c r="E715" s="342">
        <v>0.49</v>
      </c>
      <c r="F715" s="342">
        <v>0.41599999999999998</v>
      </c>
      <c r="G715" s="342">
        <v>0.47399999999999998</v>
      </c>
      <c r="H715" s="342">
        <v>0.42799999999999999</v>
      </c>
      <c r="I715" s="342">
        <v>0.40300000000000002</v>
      </c>
      <c r="J715" s="342">
        <v>0.436</v>
      </c>
      <c r="K715" s="342">
        <v>0.47199999999999998</v>
      </c>
      <c r="L715" s="342">
        <v>0.36499999999999999</v>
      </c>
      <c r="M715" s="342">
        <v>0.44900000000000001</v>
      </c>
    </row>
    <row r="716" spans="1:13">
      <c r="A716" t="s">
        <v>9</v>
      </c>
      <c r="B716">
        <v>6.04</v>
      </c>
      <c r="C716">
        <v>6.11</v>
      </c>
      <c r="D716">
        <v>5.97</v>
      </c>
      <c r="E716">
        <v>5.86</v>
      </c>
      <c r="F716">
        <v>5.86</v>
      </c>
      <c r="G716">
        <v>5.92</v>
      </c>
      <c r="H716">
        <v>5.94</v>
      </c>
      <c r="I716">
        <v>6.21</v>
      </c>
      <c r="J716">
        <v>6.05</v>
      </c>
      <c r="K716">
        <v>6.29</v>
      </c>
      <c r="L716">
        <v>6.16</v>
      </c>
      <c r="M716">
        <v>5.94</v>
      </c>
    </row>
    <row r="717" spans="1:13">
      <c r="A717" t="s">
        <v>8</v>
      </c>
      <c r="B717">
        <v>9.4</v>
      </c>
      <c r="C717">
        <v>8.68</v>
      </c>
      <c r="D717">
        <v>9</v>
      </c>
      <c r="E717">
        <v>10.23</v>
      </c>
      <c r="F717">
        <v>9.02</v>
      </c>
      <c r="G717">
        <v>9.64</v>
      </c>
      <c r="H717">
        <v>8.75</v>
      </c>
      <c r="I717">
        <v>7.94</v>
      </c>
      <c r="J717">
        <v>9.08</v>
      </c>
      <c r="K717">
        <v>9.4499999999999993</v>
      </c>
      <c r="L717">
        <v>9.84</v>
      </c>
      <c r="M717">
        <v>8.41</v>
      </c>
    </row>
    <row r="718" spans="1:13">
      <c r="A718" t="s">
        <v>10</v>
      </c>
      <c r="B718">
        <v>13.13</v>
      </c>
      <c r="C718">
        <v>11.9</v>
      </c>
      <c r="D718">
        <v>12.89</v>
      </c>
      <c r="E718">
        <v>12.88</v>
      </c>
      <c r="F718">
        <v>9.7899999999999991</v>
      </c>
      <c r="G718">
        <v>12.53</v>
      </c>
      <c r="H718">
        <v>13.13</v>
      </c>
      <c r="I718">
        <v>12.86</v>
      </c>
      <c r="J718">
        <v>12.83</v>
      </c>
      <c r="K718">
        <v>13.33</v>
      </c>
      <c r="L718">
        <v>12.43</v>
      </c>
      <c r="M718">
        <v>13.29</v>
      </c>
    </row>
    <row r="719" spans="1:13">
      <c r="A719" t="s">
        <v>1621</v>
      </c>
      <c r="B719" s="342">
        <v>0.19600000000000001</v>
      </c>
      <c r="C719" s="342">
        <v>0.19500000000000001</v>
      </c>
      <c r="D719" s="342">
        <v>0.20100000000000001</v>
      </c>
      <c r="E719" s="342">
        <v>0.191</v>
      </c>
      <c r="F719" s="342">
        <v>0.17899999999999999</v>
      </c>
      <c r="G719" s="342">
        <v>0.193</v>
      </c>
      <c r="H719" s="342">
        <v>0.20599999999999999</v>
      </c>
      <c r="I719" s="342">
        <v>0.20899999999999999</v>
      </c>
      <c r="J719" s="342">
        <v>0.19800000000000001</v>
      </c>
      <c r="K719" s="342">
        <v>0.19</v>
      </c>
      <c r="L719" s="342">
        <v>0.184</v>
      </c>
      <c r="M719" s="342">
        <v>0.21199999999999999</v>
      </c>
    </row>
    <row r="721" spans="1:13">
      <c r="A721" t="s">
        <v>2855</v>
      </c>
    </row>
    <row r="723" spans="1:13">
      <c r="A723" t="s">
        <v>158</v>
      </c>
      <c r="B723" t="s">
        <v>2806</v>
      </c>
      <c r="E723">
        <v>2017</v>
      </c>
      <c r="H723">
        <v>2018</v>
      </c>
      <c r="K723">
        <v>2019</v>
      </c>
    </row>
    <row r="724" spans="1:13">
      <c r="B724" t="s">
        <v>1623</v>
      </c>
      <c r="C724" t="s">
        <v>1624</v>
      </c>
      <c r="D724" t="s">
        <v>1622</v>
      </c>
      <c r="E724" t="s">
        <v>1623</v>
      </c>
      <c r="F724" t="s">
        <v>1624</v>
      </c>
      <c r="G724" t="s">
        <v>1622</v>
      </c>
      <c r="H724" t="s">
        <v>1623</v>
      </c>
      <c r="I724" t="s">
        <v>1624</v>
      </c>
      <c r="J724" t="s">
        <v>1622</v>
      </c>
      <c r="K724" t="s">
        <v>1623</v>
      </c>
      <c r="L724" t="s">
        <v>1624</v>
      </c>
      <c r="M724" t="s">
        <v>1622</v>
      </c>
    </row>
    <row r="725" spans="1:13">
      <c r="A725" t="s">
        <v>2807</v>
      </c>
      <c r="B725" s="342">
        <v>0.78</v>
      </c>
      <c r="C725" s="342">
        <v>0.85899999999999999</v>
      </c>
      <c r="D725" s="342">
        <v>0.83</v>
      </c>
      <c r="E725" s="342">
        <v>0.78200000000000003</v>
      </c>
      <c r="F725" s="342">
        <v>0.91200000000000003</v>
      </c>
      <c r="G725" s="342">
        <v>0.81699999999999995</v>
      </c>
      <c r="H725" s="342">
        <v>0.78300000000000003</v>
      </c>
      <c r="I725" s="342">
        <v>0.90800000000000003</v>
      </c>
      <c r="J725" s="342">
        <v>0.83199999999999996</v>
      </c>
      <c r="K725" s="342">
        <v>0.75700000000000001</v>
      </c>
      <c r="L725" s="342">
        <v>0.83799999999999997</v>
      </c>
      <c r="M725" s="342">
        <v>0.84</v>
      </c>
    </row>
    <row r="726" spans="1:13">
      <c r="A726" t="s">
        <v>1618</v>
      </c>
      <c r="B726" s="342">
        <v>9.0999999999999998E-2</v>
      </c>
      <c r="C726" s="342">
        <v>0.11700000000000001</v>
      </c>
      <c r="D726" s="342">
        <v>9.6000000000000002E-2</v>
      </c>
      <c r="E726" s="342">
        <v>9.8000000000000004E-2</v>
      </c>
      <c r="F726" s="342">
        <v>6.2E-2</v>
      </c>
      <c r="G726" s="342">
        <v>8.6999999999999994E-2</v>
      </c>
      <c r="H726" s="342">
        <v>5.8999999999999997E-2</v>
      </c>
      <c r="I726" s="342">
        <v>7.2999999999999995E-2</v>
      </c>
      <c r="J726" s="342">
        <v>8.8999999999999996E-2</v>
      </c>
      <c r="K726" s="342">
        <v>8.5999999999999993E-2</v>
      </c>
      <c r="L726" s="342">
        <v>0.13700000000000001</v>
      </c>
      <c r="M726" s="342">
        <v>0.112</v>
      </c>
    </row>
    <row r="727" spans="1:13">
      <c r="A727" t="s">
        <v>1619</v>
      </c>
      <c r="B727" s="342">
        <v>6.0000000000000001E-3</v>
      </c>
      <c r="C727" s="342">
        <v>8.9999999999999993E-3</v>
      </c>
      <c r="D727" s="342">
        <v>7.0000000000000001E-3</v>
      </c>
      <c r="E727" s="342">
        <v>6.0000000000000001E-3</v>
      </c>
      <c r="F727" s="342">
        <v>3.0000000000000001E-3</v>
      </c>
      <c r="G727" s="342">
        <v>5.0000000000000001E-3</v>
      </c>
      <c r="H727" s="342">
        <v>3.0000000000000001E-3</v>
      </c>
      <c r="I727" s="342">
        <v>6.0000000000000001E-3</v>
      </c>
      <c r="J727" s="342">
        <v>6.0000000000000001E-3</v>
      </c>
      <c r="K727" s="342">
        <v>8.0000000000000002E-3</v>
      </c>
      <c r="L727" s="342">
        <v>0.01</v>
      </c>
      <c r="M727" s="342">
        <v>1.0999999999999999E-2</v>
      </c>
    </row>
    <row r="728" spans="1:13">
      <c r="A728" t="s">
        <v>1620</v>
      </c>
      <c r="B728" s="342">
        <v>1.0649999999999999</v>
      </c>
      <c r="C728" s="342">
        <v>0.90300000000000002</v>
      </c>
      <c r="D728" s="342">
        <v>1.02</v>
      </c>
      <c r="E728" s="342">
        <v>1.042</v>
      </c>
      <c r="F728" s="342">
        <v>1.1060000000000001</v>
      </c>
      <c r="G728" s="342">
        <v>1.085</v>
      </c>
      <c r="H728" s="342">
        <v>1.262</v>
      </c>
      <c r="I728" s="342">
        <v>0.85199999999999998</v>
      </c>
      <c r="J728" s="342">
        <v>1.0549999999999999</v>
      </c>
      <c r="K728" s="342">
        <v>0.99</v>
      </c>
      <c r="L728" s="342">
        <v>0.88500000000000001</v>
      </c>
      <c r="M728" s="342">
        <v>0.93600000000000005</v>
      </c>
    </row>
    <row r="729" spans="1:13">
      <c r="A729" t="s">
        <v>2808</v>
      </c>
      <c r="B729" s="342">
        <v>0.41199999999999998</v>
      </c>
      <c r="C729" s="342">
        <v>0.38900000000000001</v>
      </c>
      <c r="D729" s="342">
        <v>0.40699999999999997</v>
      </c>
      <c r="E729" s="342">
        <v>0.40400000000000003</v>
      </c>
      <c r="F729" s="342">
        <v>0.39300000000000002</v>
      </c>
      <c r="G729" s="342">
        <v>0.40500000000000003</v>
      </c>
      <c r="H729" s="342">
        <v>0.505</v>
      </c>
      <c r="I729" s="342">
        <v>0.39100000000000001</v>
      </c>
      <c r="J729" s="342">
        <v>0.40300000000000002</v>
      </c>
      <c r="K729" s="342">
        <v>0.35399999999999998</v>
      </c>
      <c r="L729" s="342">
        <v>0.38800000000000001</v>
      </c>
      <c r="M729" s="342">
        <v>0.41199999999999998</v>
      </c>
    </row>
    <row r="730" spans="1:13">
      <c r="A730" t="s">
        <v>2809</v>
      </c>
      <c r="B730" s="342">
        <v>4.5999999999999999E-2</v>
      </c>
      <c r="C730" s="342">
        <v>4.8000000000000001E-2</v>
      </c>
      <c r="D730" s="342">
        <v>4.2000000000000003E-2</v>
      </c>
      <c r="E730" s="342">
        <v>5.7000000000000002E-2</v>
      </c>
      <c r="F730" s="342">
        <v>0.02</v>
      </c>
      <c r="G730" s="342">
        <v>4.2999999999999997E-2</v>
      </c>
      <c r="H730" s="342">
        <v>5.0000000000000001E-3</v>
      </c>
      <c r="I730" s="342">
        <v>2.5000000000000001E-2</v>
      </c>
      <c r="J730" s="342">
        <v>4.1000000000000002E-2</v>
      </c>
      <c r="K730" s="342">
        <v>6.0000000000000001E-3</v>
      </c>
      <c r="L730" s="342">
        <v>5.7000000000000002E-2</v>
      </c>
      <c r="M730" s="342">
        <v>4.2000000000000003E-2</v>
      </c>
    </row>
    <row r="731" spans="1:13">
      <c r="A731" t="s">
        <v>2810</v>
      </c>
      <c r="B731" s="342">
        <v>0.43</v>
      </c>
      <c r="C731" s="342">
        <v>0.48399999999999999</v>
      </c>
      <c r="D731" s="342">
        <v>0.44</v>
      </c>
      <c r="E731" s="342">
        <v>0.442</v>
      </c>
      <c r="F731" s="342">
        <v>0.374</v>
      </c>
      <c r="G731" s="342">
        <v>0.41299999999999998</v>
      </c>
      <c r="H731" s="342">
        <v>0.40400000000000003</v>
      </c>
      <c r="I731" s="342">
        <v>0.48799999999999999</v>
      </c>
      <c r="J731" s="342">
        <v>0.42</v>
      </c>
      <c r="K731" s="342">
        <v>0.36299999999999999</v>
      </c>
      <c r="L731" s="342">
        <v>0.503</v>
      </c>
      <c r="M731" s="342">
        <v>0.48499999999999999</v>
      </c>
    </row>
    <row r="732" spans="1:13">
      <c r="A732" t="s">
        <v>9</v>
      </c>
      <c r="B732">
        <v>6.39</v>
      </c>
      <c r="C732">
        <v>5.33</v>
      </c>
      <c r="D732">
        <v>5.99</v>
      </c>
      <c r="E732">
        <v>5.94</v>
      </c>
      <c r="F732">
        <v>5.95</v>
      </c>
      <c r="G732">
        <v>6.12</v>
      </c>
      <c r="H732">
        <v>10</v>
      </c>
      <c r="I732">
        <v>3.79</v>
      </c>
      <c r="J732">
        <v>6</v>
      </c>
      <c r="K732">
        <v>6.8</v>
      </c>
      <c r="L732">
        <v>5.74</v>
      </c>
      <c r="M732">
        <v>5.87</v>
      </c>
    </row>
    <row r="733" spans="1:13">
      <c r="A733" t="s">
        <v>8</v>
      </c>
      <c r="B733">
        <v>10.38</v>
      </c>
      <c r="C733">
        <v>8.6300000000000008</v>
      </c>
      <c r="D733">
        <v>9.43</v>
      </c>
      <c r="E733">
        <v>10.59</v>
      </c>
      <c r="F733">
        <v>10.07</v>
      </c>
      <c r="G733">
        <v>10.49</v>
      </c>
      <c r="H733">
        <v>10.87</v>
      </c>
      <c r="I733">
        <v>7.94</v>
      </c>
      <c r="J733">
        <v>9.4600000000000009</v>
      </c>
      <c r="K733">
        <v>8.1999999999999993</v>
      </c>
      <c r="L733">
        <v>8.57</v>
      </c>
      <c r="M733">
        <v>8.59</v>
      </c>
    </row>
    <row r="734" spans="1:13">
      <c r="A734" t="s">
        <v>10</v>
      </c>
      <c r="B734">
        <v>15.62</v>
      </c>
      <c r="C734">
        <v>11.19</v>
      </c>
      <c r="D734">
        <v>12.47</v>
      </c>
      <c r="E734">
        <v>14.96</v>
      </c>
      <c r="F734">
        <v>10.75</v>
      </c>
      <c r="G734">
        <v>13.29</v>
      </c>
      <c r="H734">
        <v>21.69</v>
      </c>
      <c r="I734">
        <v>7.83</v>
      </c>
      <c r="J734">
        <v>12.08</v>
      </c>
      <c r="K734">
        <v>14.26</v>
      </c>
      <c r="L734">
        <v>12.47</v>
      </c>
      <c r="M734">
        <v>12.17</v>
      </c>
    </row>
    <row r="735" spans="1:13">
      <c r="A735" t="s">
        <v>1621</v>
      </c>
      <c r="B735" s="342">
        <v>0.189</v>
      </c>
      <c r="C735" s="342">
        <v>0.214</v>
      </c>
      <c r="D735" s="342">
        <v>0.193</v>
      </c>
      <c r="E735" s="342">
        <v>0.19600000000000001</v>
      </c>
      <c r="F735" s="342">
        <v>0.17399999999999999</v>
      </c>
      <c r="G735" s="342">
        <v>0.184</v>
      </c>
      <c r="H735" s="342">
        <v>0.14599999999999999</v>
      </c>
      <c r="I735" s="342">
        <v>0.26200000000000001</v>
      </c>
      <c r="J735" s="342">
        <v>0.19</v>
      </c>
      <c r="K735" s="342">
        <v>0.19900000000000001</v>
      </c>
      <c r="L735" s="342">
        <v>0.21099999999999999</v>
      </c>
      <c r="M735" s="342">
        <v>0.20499999999999999</v>
      </c>
    </row>
    <row r="737" spans="1:13">
      <c r="A737" t="s">
        <v>2856</v>
      </c>
    </row>
    <row r="739" spans="1:13">
      <c r="A739" t="s">
        <v>158</v>
      </c>
      <c r="B739" t="s">
        <v>2806</v>
      </c>
      <c r="E739">
        <v>2017</v>
      </c>
      <c r="H739">
        <v>2018</v>
      </c>
      <c r="K739">
        <v>2019</v>
      </c>
    </row>
    <row r="740" spans="1:13">
      <c r="B740" t="s">
        <v>1623</v>
      </c>
      <c r="C740" t="s">
        <v>1624</v>
      </c>
      <c r="D740" t="s">
        <v>1622</v>
      </c>
      <c r="E740" t="s">
        <v>1623</v>
      </c>
      <c r="F740" t="s">
        <v>1624</v>
      </c>
      <c r="G740" t="s">
        <v>1622</v>
      </c>
      <c r="H740" t="s">
        <v>1623</v>
      </c>
      <c r="I740" t="s">
        <v>1624</v>
      </c>
      <c r="J740" t="s">
        <v>1622</v>
      </c>
      <c r="K740" t="s">
        <v>1623</v>
      </c>
      <c r="L740" t="s">
        <v>1624</v>
      </c>
      <c r="M740" t="s">
        <v>1622</v>
      </c>
    </row>
    <row r="741" spans="1:13">
      <c r="A741" t="s">
        <v>2807</v>
      </c>
      <c r="B741" s="342">
        <v>0.55700000000000005</v>
      </c>
      <c r="C741" s="342">
        <v>0.83199999999999996</v>
      </c>
      <c r="D741" s="342">
        <v>0.77100000000000002</v>
      </c>
      <c r="E741" s="342">
        <v>0.55700000000000005</v>
      </c>
      <c r="F741" s="342">
        <v>0.84499999999999997</v>
      </c>
      <c r="G741" s="342">
        <v>0.76100000000000001</v>
      </c>
      <c r="H741" s="342">
        <v>0.57699999999999996</v>
      </c>
      <c r="I741" s="342">
        <v>0.82699999999999996</v>
      </c>
      <c r="J741" s="342">
        <v>0.77600000000000002</v>
      </c>
      <c r="K741" s="342">
        <v>0.53100000000000003</v>
      </c>
      <c r="L741" s="342">
        <v>0.82699999999999996</v>
      </c>
      <c r="M741" s="342">
        <v>0.77500000000000002</v>
      </c>
    </row>
    <row r="742" spans="1:13">
      <c r="A742" t="s">
        <v>1618</v>
      </c>
      <c r="B742" s="342">
        <v>0.255</v>
      </c>
      <c r="C742" s="342">
        <v>0.14599999999999999</v>
      </c>
      <c r="D742" s="342">
        <v>0.17799999999999999</v>
      </c>
      <c r="E742" s="342">
        <v>0.26600000000000001</v>
      </c>
      <c r="F742" s="342">
        <v>0.13</v>
      </c>
      <c r="G742" s="342">
        <v>0.182</v>
      </c>
      <c r="H742" s="342">
        <v>0.23100000000000001</v>
      </c>
      <c r="I742" s="342">
        <v>0.153</v>
      </c>
      <c r="J742" s="342">
        <v>0.17499999999999999</v>
      </c>
      <c r="K742" s="342">
        <v>0.26</v>
      </c>
      <c r="L742" s="342">
        <v>0.15</v>
      </c>
      <c r="M742" s="342">
        <v>0.17799999999999999</v>
      </c>
    </row>
    <row r="743" spans="1:13">
      <c r="A743" t="s">
        <v>1619</v>
      </c>
      <c r="B743" s="342">
        <v>2.5000000000000001E-2</v>
      </c>
      <c r="C743" s="342">
        <v>8.9999999999999993E-3</v>
      </c>
      <c r="D743" s="342">
        <v>1.2E-2</v>
      </c>
      <c r="E743" s="342">
        <v>6.0000000000000001E-3</v>
      </c>
      <c r="F743" s="342">
        <v>3.0000000000000001E-3</v>
      </c>
      <c r="G743" s="342">
        <v>5.0000000000000001E-3</v>
      </c>
      <c r="H743" s="342">
        <v>4.4999999999999998E-2</v>
      </c>
      <c r="I743" s="342">
        <v>8.9999999999999993E-3</v>
      </c>
      <c r="J743" s="342">
        <v>1.2999999999999999E-2</v>
      </c>
      <c r="K743" s="342">
        <v>3.7999999999999999E-2</v>
      </c>
      <c r="L743" s="342">
        <v>1.4E-2</v>
      </c>
      <c r="M743" s="342">
        <v>1.7999999999999999E-2</v>
      </c>
    </row>
    <row r="744" spans="1:13">
      <c r="A744" t="s">
        <v>1620</v>
      </c>
      <c r="B744" s="342">
        <v>0.68600000000000005</v>
      </c>
      <c r="C744" s="342">
        <v>1.0509999999999999</v>
      </c>
      <c r="D744" s="342">
        <v>0.88100000000000001</v>
      </c>
      <c r="E744" s="342">
        <v>0.94599999999999995</v>
      </c>
      <c r="F744" s="342">
        <v>1.218</v>
      </c>
      <c r="G744" s="342">
        <v>0.9</v>
      </c>
      <c r="H744" s="342">
        <v>0.55700000000000005</v>
      </c>
      <c r="I744" s="342">
        <v>0.98</v>
      </c>
      <c r="J744" s="342">
        <v>0.877</v>
      </c>
      <c r="K744" s="342">
        <v>0.55300000000000005</v>
      </c>
      <c r="L744" s="342">
        <v>1.0229999999999999</v>
      </c>
      <c r="M744" s="342">
        <v>0.86499999999999999</v>
      </c>
    </row>
    <row r="745" spans="1:13">
      <c r="A745" t="s">
        <v>2808</v>
      </c>
      <c r="B745" s="342">
        <v>0.373</v>
      </c>
      <c r="C745" s="342">
        <v>0.374</v>
      </c>
      <c r="D745" s="342">
        <v>0.36599999999999999</v>
      </c>
      <c r="E745" s="342">
        <v>0.38200000000000001</v>
      </c>
      <c r="F745" s="342">
        <v>0.36299999999999999</v>
      </c>
      <c r="G745" s="342">
        <v>0.39100000000000001</v>
      </c>
      <c r="H745" s="342">
        <v>0.38900000000000001</v>
      </c>
      <c r="I745" s="342">
        <v>0.38</v>
      </c>
      <c r="J745" s="342">
        <v>0.35199999999999998</v>
      </c>
      <c r="K745" s="342">
        <v>0.34300000000000003</v>
      </c>
      <c r="L745" s="342">
        <v>0.374</v>
      </c>
      <c r="M745" s="342">
        <v>0.35499999999999998</v>
      </c>
    </row>
    <row r="746" spans="1:13">
      <c r="A746" t="s">
        <v>2809</v>
      </c>
      <c r="B746" s="342">
        <v>3.6999999999999998E-2</v>
      </c>
      <c r="C746" s="342">
        <v>1.7000000000000001E-2</v>
      </c>
      <c r="D746" s="342">
        <v>2.1000000000000001E-2</v>
      </c>
      <c r="E746" s="342">
        <v>3.3000000000000002E-2</v>
      </c>
      <c r="F746" s="342">
        <v>6.0000000000000001E-3</v>
      </c>
      <c r="G746" s="342">
        <v>2.4E-2</v>
      </c>
      <c r="H746" s="342">
        <v>3.5999999999999997E-2</v>
      </c>
      <c r="I746" s="342">
        <v>2.5999999999999999E-2</v>
      </c>
      <c r="J746" s="342">
        <v>2.1999999999999999E-2</v>
      </c>
      <c r="K746" s="342">
        <v>4.3999999999999997E-2</v>
      </c>
      <c r="L746" s="342">
        <v>1.4999999999999999E-2</v>
      </c>
      <c r="M746" s="342">
        <v>1.7999999999999999E-2</v>
      </c>
    </row>
    <row r="747" spans="1:13">
      <c r="A747" t="s">
        <v>2810</v>
      </c>
      <c r="B747" s="342">
        <v>0.59799999999999998</v>
      </c>
      <c r="C747" s="342">
        <v>0.372</v>
      </c>
      <c r="D747" s="342">
        <v>0.44</v>
      </c>
      <c r="E747" s="342">
        <v>0.439</v>
      </c>
      <c r="F747" s="342">
        <v>0.30299999999999999</v>
      </c>
      <c r="G747" s="342">
        <v>0.46100000000000002</v>
      </c>
      <c r="H747" s="342">
        <v>0.76300000000000001</v>
      </c>
      <c r="I747" s="342">
        <v>0.41399999999999998</v>
      </c>
      <c r="J747" s="342">
        <v>0.42699999999999999</v>
      </c>
      <c r="K747" s="342">
        <v>0.7</v>
      </c>
      <c r="L747" s="342">
        <v>0.38100000000000001</v>
      </c>
      <c r="M747" s="342">
        <v>0.43099999999999999</v>
      </c>
    </row>
    <row r="748" spans="1:13">
      <c r="A748" t="s">
        <v>9</v>
      </c>
      <c r="B748">
        <v>5.52</v>
      </c>
      <c r="C748">
        <v>9.36</v>
      </c>
      <c r="D748">
        <v>8.18</v>
      </c>
      <c r="E748">
        <v>7.39</v>
      </c>
      <c r="F748">
        <v>8.31</v>
      </c>
      <c r="G748">
        <v>8.25</v>
      </c>
      <c r="H748">
        <v>4.04</v>
      </c>
      <c r="I748">
        <v>9.6999999999999993</v>
      </c>
      <c r="J748">
        <v>8.5</v>
      </c>
      <c r="K748">
        <v>5.27</v>
      </c>
      <c r="L748">
        <v>9.93</v>
      </c>
      <c r="M748">
        <v>7.8</v>
      </c>
    </row>
    <row r="749" spans="1:13">
      <c r="A749" t="s">
        <v>8</v>
      </c>
      <c r="B749">
        <v>6.13</v>
      </c>
      <c r="C749">
        <v>4.18</v>
      </c>
      <c r="D749">
        <v>3.53</v>
      </c>
      <c r="E749">
        <v>6.61</v>
      </c>
      <c r="F749">
        <v>5.44</v>
      </c>
      <c r="G749">
        <v>3.67</v>
      </c>
      <c r="H749">
        <v>6.29</v>
      </c>
      <c r="I749">
        <v>4.2</v>
      </c>
      <c r="J749">
        <v>3.53</v>
      </c>
      <c r="K749">
        <v>5.25</v>
      </c>
      <c r="L749">
        <v>3.57</v>
      </c>
      <c r="M749">
        <v>3.39</v>
      </c>
    </row>
    <row r="750" spans="1:13">
      <c r="A750" t="s">
        <v>10</v>
      </c>
      <c r="B750">
        <v>13</v>
      </c>
      <c r="C750">
        <v>12.07</v>
      </c>
      <c r="D750">
        <v>10.32</v>
      </c>
      <c r="E750">
        <v>9.24</v>
      </c>
      <c r="F750">
        <v>14.52</v>
      </c>
      <c r="G750">
        <v>9.82</v>
      </c>
      <c r="H750">
        <v>19.670000000000002</v>
      </c>
      <c r="I750">
        <v>12.52</v>
      </c>
      <c r="J750">
        <v>11.12</v>
      </c>
      <c r="K750">
        <v>20.32</v>
      </c>
      <c r="L750">
        <v>10.48</v>
      </c>
      <c r="M750">
        <v>10.1</v>
      </c>
    </row>
    <row r="751" spans="1:13">
      <c r="A751" t="s">
        <v>1621</v>
      </c>
      <c r="B751" s="342">
        <v>0.26800000000000002</v>
      </c>
      <c r="C751" s="342">
        <v>0.26300000000000001</v>
      </c>
      <c r="D751" s="342">
        <v>0.309</v>
      </c>
      <c r="E751" s="342">
        <v>0.17799999999999999</v>
      </c>
      <c r="F751" s="342">
        <v>0.23499999999999999</v>
      </c>
      <c r="G751" s="342">
        <v>0.29199999999999998</v>
      </c>
      <c r="H751" s="342">
        <v>0.35499999999999998</v>
      </c>
      <c r="I751" s="342">
        <v>0.26100000000000001</v>
      </c>
      <c r="J751" s="342">
        <v>0.311</v>
      </c>
      <c r="K751" s="342">
        <v>0.33100000000000002</v>
      </c>
      <c r="L751" s="342">
        <v>0.28499999999999998</v>
      </c>
      <c r="M751" s="342">
        <v>0.32400000000000001</v>
      </c>
    </row>
    <row r="753" spans="1:13">
      <c r="A753" t="s">
        <v>2857</v>
      </c>
    </row>
    <row r="755" spans="1:13">
      <c r="A755" t="s">
        <v>158</v>
      </c>
      <c r="B755" t="s">
        <v>2806</v>
      </c>
      <c r="E755">
        <v>2017</v>
      </c>
      <c r="H755">
        <v>2018</v>
      </c>
      <c r="K755">
        <v>2019</v>
      </c>
    </row>
    <row r="756" spans="1:13">
      <c r="B756" t="s">
        <v>1623</v>
      </c>
      <c r="C756" t="s">
        <v>1624</v>
      </c>
      <c r="D756" t="s">
        <v>1622</v>
      </c>
      <c r="E756" t="s">
        <v>1623</v>
      </c>
      <c r="F756" t="s">
        <v>1624</v>
      </c>
      <c r="G756" t="s">
        <v>1622</v>
      </c>
      <c r="H756" t="s">
        <v>1623</v>
      </c>
      <c r="I756" t="s">
        <v>1624</v>
      </c>
      <c r="J756" t="s">
        <v>1622</v>
      </c>
      <c r="K756" t="s">
        <v>1623</v>
      </c>
      <c r="L756" t="s">
        <v>1624</v>
      </c>
      <c r="M756" t="s">
        <v>1622</v>
      </c>
    </row>
    <row r="757" spans="1:13">
      <c r="A757" t="s">
        <v>2807</v>
      </c>
      <c r="B757" s="342">
        <v>0.73399999999999999</v>
      </c>
      <c r="C757" s="342">
        <v>0.86899999999999999</v>
      </c>
      <c r="D757" s="342">
        <v>0.83</v>
      </c>
      <c r="E757" s="342">
        <v>0.746</v>
      </c>
      <c r="F757" s="342">
        <v>0.873</v>
      </c>
      <c r="G757" s="342">
        <v>0.82699999999999996</v>
      </c>
      <c r="H757" s="342">
        <v>0.72199999999999998</v>
      </c>
      <c r="I757" s="342">
        <v>0.873</v>
      </c>
      <c r="J757" s="342">
        <v>0.83499999999999996</v>
      </c>
      <c r="K757" s="342">
        <v>0.72899999999999998</v>
      </c>
      <c r="L757" s="342">
        <v>0.86199999999999999</v>
      </c>
      <c r="M757" s="342">
        <v>0.82799999999999996</v>
      </c>
    </row>
    <row r="758" spans="1:13">
      <c r="A758" t="s">
        <v>1618</v>
      </c>
      <c r="B758" s="342">
        <v>0.111</v>
      </c>
      <c r="C758" s="342">
        <v>0.111</v>
      </c>
      <c r="D758" s="342">
        <v>0.108</v>
      </c>
      <c r="E758" s="342">
        <v>0.105</v>
      </c>
      <c r="F758" s="342">
        <v>0.106</v>
      </c>
      <c r="G758" s="342">
        <v>0.107</v>
      </c>
      <c r="H758" s="342">
        <v>0.11600000000000001</v>
      </c>
      <c r="I758" s="342">
        <v>0.108</v>
      </c>
      <c r="J758" s="342">
        <v>0.105</v>
      </c>
      <c r="K758" s="342">
        <v>0.11600000000000001</v>
      </c>
      <c r="L758" s="342">
        <v>0.11899999999999999</v>
      </c>
      <c r="M758" s="342">
        <v>0.112</v>
      </c>
    </row>
    <row r="759" spans="1:13">
      <c r="A759" t="s">
        <v>1619</v>
      </c>
      <c r="B759" s="342">
        <v>1.0999999999999999E-2</v>
      </c>
      <c r="C759" s="342">
        <v>1.2999999999999999E-2</v>
      </c>
      <c r="D759" s="342">
        <v>1.2E-2</v>
      </c>
      <c r="E759" s="342">
        <v>4.0000000000000001E-3</v>
      </c>
      <c r="F759" s="342">
        <v>5.0000000000000001E-3</v>
      </c>
      <c r="G759" s="342">
        <v>5.0000000000000001E-3</v>
      </c>
      <c r="H759" s="342">
        <v>1.6E-2</v>
      </c>
      <c r="I759" s="342">
        <v>1.4E-2</v>
      </c>
      <c r="J759" s="342">
        <v>1.4999999999999999E-2</v>
      </c>
      <c r="K759" s="342">
        <v>1.6E-2</v>
      </c>
      <c r="L759" s="342">
        <v>1.7999999999999999E-2</v>
      </c>
      <c r="M759" s="342">
        <v>1.7000000000000001E-2</v>
      </c>
    </row>
    <row r="760" spans="1:13">
      <c r="A760" t="s">
        <v>1620</v>
      </c>
      <c r="B760" s="342">
        <v>0.79800000000000004</v>
      </c>
      <c r="C760" s="342">
        <v>1.24</v>
      </c>
      <c r="D760" s="342">
        <v>1.0169999999999999</v>
      </c>
      <c r="E760" s="342">
        <v>0.78400000000000003</v>
      </c>
      <c r="F760" s="342">
        <v>1.1910000000000001</v>
      </c>
      <c r="G760" s="342">
        <v>1.034</v>
      </c>
      <c r="H760" s="342">
        <v>0.83</v>
      </c>
      <c r="I760" s="342">
        <v>1.2929999999999999</v>
      </c>
      <c r="J760" s="342">
        <v>1.0389999999999999</v>
      </c>
      <c r="K760" s="342">
        <v>0.78700000000000003</v>
      </c>
      <c r="L760" s="342">
        <v>1.2210000000000001</v>
      </c>
      <c r="M760" s="342">
        <v>0.97899999999999998</v>
      </c>
    </row>
    <row r="761" spans="1:13">
      <c r="A761" t="s">
        <v>2808</v>
      </c>
      <c r="B761" s="342">
        <v>0.42399999999999999</v>
      </c>
      <c r="C761" s="342">
        <v>0.42399999999999999</v>
      </c>
      <c r="D761" s="342">
        <v>0.436</v>
      </c>
      <c r="E761" s="342">
        <v>0.41599999999999998</v>
      </c>
      <c r="F761" s="342">
        <v>0.41299999999999998</v>
      </c>
      <c r="G761" s="342">
        <v>0.42799999999999999</v>
      </c>
      <c r="H761" s="342">
        <v>0.42199999999999999</v>
      </c>
      <c r="I761" s="342">
        <v>0.42499999999999999</v>
      </c>
      <c r="J761" s="342">
        <v>0.432</v>
      </c>
      <c r="K761" s="342">
        <v>0.435</v>
      </c>
      <c r="L761" s="342">
        <v>0.433</v>
      </c>
      <c r="M761" s="342">
        <v>0.44700000000000001</v>
      </c>
    </row>
    <row r="762" spans="1:13">
      <c r="A762" t="s">
        <v>2809</v>
      </c>
      <c r="B762" s="342">
        <v>2.1999999999999999E-2</v>
      </c>
      <c r="C762" s="342">
        <v>1.0999999999999999E-2</v>
      </c>
      <c r="D762" s="342">
        <v>1.7000000000000001E-2</v>
      </c>
      <c r="E762" s="342">
        <v>2.5999999999999999E-2</v>
      </c>
      <c r="F762" s="342">
        <v>0.01</v>
      </c>
      <c r="G762" s="342">
        <v>1.6E-2</v>
      </c>
      <c r="H762" s="342">
        <v>7.0000000000000001E-3</v>
      </c>
      <c r="I762" s="342">
        <v>1.2E-2</v>
      </c>
      <c r="J762" s="342">
        <v>1.4999999999999999E-2</v>
      </c>
      <c r="K762" s="342">
        <v>0.03</v>
      </c>
      <c r="L762" s="342">
        <v>1.0999999999999999E-2</v>
      </c>
      <c r="M762" s="342">
        <v>0.02</v>
      </c>
    </row>
    <row r="763" spans="1:13">
      <c r="A763" t="s">
        <v>2810</v>
      </c>
      <c r="B763" s="342">
        <v>0.55800000000000005</v>
      </c>
      <c r="C763" s="342">
        <v>0.35099999999999998</v>
      </c>
      <c r="D763" s="342">
        <v>0.44500000000000001</v>
      </c>
      <c r="E763" s="342">
        <v>0.56399999999999995</v>
      </c>
      <c r="F763" s="342">
        <v>0.35499999999999998</v>
      </c>
      <c r="G763" s="342">
        <v>0.42899999999999999</v>
      </c>
      <c r="H763" s="342">
        <v>0.51700000000000002</v>
      </c>
      <c r="I763" s="342">
        <v>0.33800000000000002</v>
      </c>
      <c r="J763" s="342">
        <v>0.43099999999999999</v>
      </c>
      <c r="K763" s="342">
        <v>0.59099999999999997</v>
      </c>
      <c r="L763" s="342">
        <v>0.36299999999999999</v>
      </c>
      <c r="M763" s="342">
        <v>0.47699999999999998</v>
      </c>
    </row>
    <row r="764" spans="1:13">
      <c r="A764" t="s">
        <v>9</v>
      </c>
      <c r="B764">
        <v>5.56</v>
      </c>
      <c r="C764">
        <v>6.25</v>
      </c>
      <c r="D764">
        <v>5.82</v>
      </c>
      <c r="E764">
        <v>5.46</v>
      </c>
      <c r="F764">
        <v>6.38</v>
      </c>
      <c r="G764">
        <v>5.71</v>
      </c>
      <c r="H764">
        <v>5.37</v>
      </c>
      <c r="I764">
        <v>6.13</v>
      </c>
      <c r="J764">
        <v>5.84</v>
      </c>
      <c r="K764">
        <v>5.91</v>
      </c>
      <c r="L764">
        <v>6.28</v>
      </c>
      <c r="M764">
        <v>5.91</v>
      </c>
    </row>
    <row r="765" spans="1:13">
      <c r="A765" t="s">
        <v>8</v>
      </c>
      <c r="B765">
        <v>12.57</v>
      </c>
      <c r="C765">
        <v>11.53</v>
      </c>
      <c r="D765">
        <v>11.06</v>
      </c>
      <c r="E765">
        <v>12.07</v>
      </c>
      <c r="F765">
        <v>10.4</v>
      </c>
      <c r="G765">
        <v>11.61</v>
      </c>
      <c r="H765">
        <v>12.87</v>
      </c>
      <c r="I765">
        <v>12.4</v>
      </c>
      <c r="J765">
        <v>11.23</v>
      </c>
      <c r="K765">
        <v>12.96</v>
      </c>
      <c r="L765">
        <v>11.55</v>
      </c>
      <c r="M765">
        <v>10.41</v>
      </c>
    </row>
    <row r="766" spans="1:13">
      <c r="A766" t="s">
        <v>10</v>
      </c>
      <c r="B766">
        <v>14.24</v>
      </c>
      <c r="C766">
        <v>10.4</v>
      </c>
      <c r="D766">
        <v>11.46</v>
      </c>
      <c r="E766">
        <v>12.97</v>
      </c>
      <c r="F766">
        <v>9.24</v>
      </c>
      <c r="G766">
        <v>10.74</v>
      </c>
      <c r="H766">
        <v>13.35</v>
      </c>
      <c r="I766">
        <v>10.72</v>
      </c>
      <c r="J766">
        <v>11.61</v>
      </c>
      <c r="K766">
        <v>17.68</v>
      </c>
      <c r="L766">
        <v>11.06</v>
      </c>
      <c r="M766">
        <v>12.1</v>
      </c>
    </row>
    <row r="767" spans="1:13">
      <c r="A767" t="s">
        <v>1621</v>
      </c>
      <c r="B767" s="342">
        <v>0.189</v>
      </c>
      <c r="C767" s="342">
        <v>0.151</v>
      </c>
      <c r="D767" s="342">
        <v>0.17499999999999999</v>
      </c>
      <c r="E767" s="342">
        <v>0.189</v>
      </c>
      <c r="F767" s="342">
        <v>0.14499999999999999</v>
      </c>
      <c r="G767" s="342">
        <v>0.16800000000000001</v>
      </c>
      <c r="H767" s="342">
        <v>0.189</v>
      </c>
      <c r="I767" s="342">
        <v>0.15</v>
      </c>
      <c r="J767" s="342">
        <v>0.17399999999999999</v>
      </c>
      <c r="K767" s="342">
        <v>0.19</v>
      </c>
      <c r="L767" s="342">
        <v>0.155</v>
      </c>
      <c r="M767" s="342">
        <v>0.183</v>
      </c>
    </row>
    <row r="769" spans="1:13">
      <c r="A769" t="s">
        <v>2858</v>
      </c>
    </row>
    <row r="771" spans="1:13">
      <c r="A771" t="s">
        <v>158</v>
      </c>
      <c r="B771" t="s">
        <v>2806</v>
      </c>
      <c r="E771">
        <v>2017</v>
      </c>
      <c r="H771">
        <v>2018</v>
      </c>
      <c r="K771">
        <v>2019</v>
      </c>
    </row>
    <row r="772" spans="1:13">
      <c r="B772" t="s">
        <v>1623</v>
      </c>
      <c r="C772" t="s">
        <v>1624</v>
      </c>
      <c r="D772" t="s">
        <v>1622</v>
      </c>
      <c r="E772" t="s">
        <v>1623</v>
      </c>
      <c r="F772" t="s">
        <v>1624</v>
      </c>
      <c r="G772" t="s">
        <v>1622</v>
      </c>
      <c r="H772" t="s">
        <v>1623</v>
      </c>
      <c r="I772" t="s">
        <v>1624</v>
      </c>
      <c r="J772" t="s">
        <v>1622</v>
      </c>
      <c r="K772" t="s">
        <v>1623</v>
      </c>
      <c r="L772" t="s">
        <v>1624</v>
      </c>
      <c r="M772" t="s">
        <v>1622</v>
      </c>
    </row>
    <row r="773" spans="1:13">
      <c r="A773" t="s">
        <v>2807</v>
      </c>
      <c r="B773" s="342">
        <v>0.70899999999999996</v>
      </c>
      <c r="C773" s="342">
        <v>0.88500000000000001</v>
      </c>
      <c r="D773" s="342">
        <v>0.83499999999999996</v>
      </c>
      <c r="E773" s="342">
        <v>0.71399999999999997</v>
      </c>
      <c r="F773" s="342">
        <v>0.88700000000000001</v>
      </c>
      <c r="G773" s="342">
        <v>0.83199999999999996</v>
      </c>
      <c r="H773" s="342">
        <v>0.70799999999999996</v>
      </c>
      <c r="I773" s="342">
        <v>0.88600000000000001</v>
      </c>
      <c r="J773" s="342">
        <v>0.83599999999999997</v>
      </c>
      <c r="K773" s="342">
        <v>0.70199999999999996</v>
      </c>
      <c r="L773" s="342">
        <v>0.88400000000000001</v>
      </c>
      <c r="M773" s="342">
        <v>0.83799999999999997</v>
      </c>
    </row>
    <row r="774" spans="1:13">
      <c r="A774" t="s">
        <v>1618</v>
      </c>
      <c r="B774" s="342">
        <v>0.121</v>
      </c>
      <c r="C774" s="342">
        <v>9.2999999999999999E-2</v>
      </c>
      <c r="D774" s="342">
        <v>0.105</v>
      </c>
      <c r="E774" s="342">
        <v>0.11799999999999999</v>
      </c>
      <c r="F774" s="342">
        <v>9.1999999999999998E-2</v>
      </c>
      <c r="G774" s="342">
        <v>0.104</v>
      </c>
      <c r="H774" s="342">
        <v>0.123</v>
      </c>
      <c r="I774" s="342">
        <v>9.1999999999999998E-2</v>
      </c>
      <c r="J774" s="342">
        <v>0.105</v>
      </c>
      <c r="K774" s="342">
        <v>0.123</v>
      </c>
      <c r="L774" s="342">
        <v>9.4E-2</v>
      </c>
      <c r="M774" s="342">
        <v>0.105</v>
      </c>
    </row>
    <row r="775" spans="1:13">
      <c r="A775" t="s">
        <v>1619</v>
      </c>
      <c r="B775" s="342">
        <v>1.6E-2</v>
      </c>
      <c r="C775" s="342">
        <v>1.2999999999999999E-2</v>
      </c>
      <c r="D775" s="342">
        <v>1.4E-2</v>
      </c>
      <c r="E775" s="342">
        <v>6.0000000000000001E-3</v>
      </c>
      <c r="F775" s="342">
        <v>4.0000000000000001E-3</v>
      </c>
      <c r="G775" s="342">
        <v>4.0000000000000001E-3</v>
      </c>
      <c r="H775" s="342">
        <v>2.3E-2</v>
      </c>
      <c r="I775" s="342">
        <v>1.6E-2</v>
      </c>
      <c r="J775" s="342">
        <v>1.9E-2</v>
      </c>
      <c r="K775" s="342">
        <v>2.5000000000000001E-2</v>
      </c>
      <c r="L775" s="342">
        <v>1.7999999999999999E-2</v>
      </c>
      <c r="M775" s="342">
        <v>1.7999999999999999E-2</v>
      </c>
    </row>
    <row r="776" spans="1:13">
      <c r="A776" t="s">
        <v>1620</v>
      </c>
      <c r="B776" s="342">
        <v>0.72199999999999998</v>
      </c>
      <c r="C776" s="342">
        <v>1.0509999999999999</v>
      </c>
      <c r="D776" s="342">
        <v>0.91900000000000004</v>
      </c>
      <c r="E776" s="342">
        <v>0.78500000000000003</v>
      </c>
      <c r="F776" s="342">
        <v>1.0509999999999999</v>
      </c>
      <c r="G776" s="342">
        <v>0.93799999999999994</v>
      </c>
      <c r="H776" s="342">
        <v>0.69099999999999995</v>
      </c>
      <c r="I776" s="342">
        <v>1.06</v>
      </c>
      <c r="J776" s="342">
        <v>0.93100000000000005</v>
      </c>
      <c r="K776" s="342">
        <v>0.67700000000000005</v>
      </c>
      <c r="L776" s="342">
        <v>1.0409999999999999</v>
      </c>
      <c r="M776" s="342">
        <v>0.89100000000000001</v>
      </c>
    </row>
    <row r="777" spans="1:13">
      <c r="A777" t="s">
        <v>2808</v>
      </c>
      <c r="B777" s="342">
        <v>0.49399999999999999</v>
      </c>
      <c r="C777" s="342">
        <v>0.39200000000000002</v>
      </c>
      <c r="D777" s="342">
        <v>0.41899999999999998</v>
      </c>
      <c r="E777" s="342">
        <v>0.49399999999999999</v>
      </c>
      <c r="F777" s="342">
        <v>0.39</v>
      </c>
      <c r="G777" s="342">
        <v>0.42199999999999999</v>
      </c>
      <c r="H777" s="342">
        <v>0.49099999999999999</v>
      </c>
      <c r="I777" s="342">
        <v>0.378</v>
      </c>
      <c r="J777" s="342">
        <v>0.41799999999999998</v>
      </c>
      <c r="K777" s="342">
        <v>0.498</v>
      </c>
      <c r="L777" s="342">
        <v>0.41</v>
      </c>
      <c r="M777" s="342">
        <v>0.41599999999999998</v>
      </c>
    </row>
    <row r="778" spans="1:13">
      <c r="A778" t="s">
        <v>2809</v>
      </c>
      <c r="B778" s="342">
        <v>8.0000000000000002E-3</v>
      </c>
      <c r="C778" s="342">
        <v>1.2999999999999999E-2</v>
      </c>
      <c r="D778" s="342">
        <v>1.4E-2</v>
      </c>
      <c r="E778" s="342">
        <v>8.9999999999999993E-3</v>
      </c>
      <c r="F778" s="342">
        <v>1.2E-2</v>
      </c>
      <c r="G778" s="342">
        <v>1.0999999999999999E-2</v>
      </c>
      <c r="H778" s="342">
        <v>7.0000000000000001E-3</v>
      </c>
      <c r="I778" s="342">
        <v>1.2E-2</v>
      </c>
      <c r="J778" s="342">
        <v>1.2E-2</v>
      </c>
      <c r="K778" s="342">
        <v>7.0000000000000001E-3</v>
      </c>
      <c r="L778" s="342">
        <v>1.4E-2</v>
      </c>
      <c r="M778" s="342">
        <v>1.7999999999999999E-2</v>
      </c>
    </row>
    <row r="779" spans="1:13">
      <c r="A779" t="s">
        <v>2810</v>
      </c>
      <c r="B779" s="342">
        <v>0.69499999999999995</v>
      </c>
      <c r="C779" s="342">
        <v>0.38600000000000001</v>
      </c>
      <c r="D779" s="342">
        <v>0.47</v>
      </c>
      <c r="E779" s="342">
        <v>0.64100000000000001</v>
      </c>
      <c r="F779" s="342">
        <v>0.38200000000000001</v>
      </c>
      <c r="G779" s="342">
        <v>0.46100000000000002</v>
      </c>
      <c r="H779" s="342">
        <v>0.72099999999999997</v>
      </c>
      <c r="I779" s="342">
        <v>0.36799999999999999</v>
      </c>
      <c r="J779" s="342">
        <v>0.46200000000000002</v>
      </c>
      <c r="K779" s="342">
        <v>0.745</v>
      </c>
      <c r="L779" s="342">
        <v>0.40799999999999997</v>
      </c>
      <c r="M779" s="342">
        <v>0.48799999999999999</v>
      </c>
    </row>
    <row r="780" spans="1:13">
      <c r="A780" t="s">
        <v>9</v>
      </c>
      <c r="B780">
        <v>4.9400000000000004</v>
      </c>
      <c r="C780">
        <v>6.08</v>
      </c>
      <c r="D780">
        <v>5.53</v>
      </c>
      <c r="E780">
        <v>4.87</v>
      </c>
      <c r="F780">
        <v>5.96</v>
      </c>
      <c r="G780">
        <v>5.48</v>
      </c>
      <c r="H780">
        <v>4.92</v>
      </c>
      <c r="I780">
        <v>5.87</v>
      </c>
      <c r="J780">
        <v>5.5</v>
      </c>
      <c r="K780">
        <v>5.09</v>
      </c>
      <c r="L780">
        <v>6.44</v>
      </c>
      <c r="M780">
        <v>5.61</v>
      </c>
    </row>
    <row r="781" spans="1:13">
      <c r="A781" t="s">
        <v>8</v>
      </c>
      <c r="B781">
        <v>10.48</v>
      </c>
      <c r="C781">
        <v>8.0500000000000007</v>
      </c>
      <c r="D781">
        <v>8.09</v>
      </c>
      <c r="E781">
        <v>10.41</v>
      </c>
      <c r="F781">
        <v>7.51</v>
      </c>
      <c r="G781">
        <v>8.19</v>
      </c>
      <c r="H781">
        <v>9.6199999999999992</v>
      </c>
      <c r="I781">
        <v>8.43</v>
      </c>
      <c r="J781">
        <v>8.25</v>
      </c>
      <c r="K781">
        <v>12.05</v>
      </c>
      <c r="L781">
        <v>8.25</v>
      </c>
      <c r="M781">
        <v>7.85</v>
      </c>
    </row>
    <row r="782" spans="1:13">
      <c r="A782" t="s">
        <v>10</v>
      </c>
      <c r="B782">
        <v>14.16</v>
      </c>
      <c r="C782">
        <v>9.5</v>
      </c>
      <c r="D782">
        <v>10.51</v>
      </c>
      <c r="E782">
        <v>13.98</v>
      </c>
      <c r="F782">
        <v>8.77</v>
      </c>
      <c r="G782">
        <v>10</v>
      </c>
      <c r="H782">
        <v>13.42</v>
      </c>
      <c r="I782">
        <v>9.52</v>
      </c>
      <c r="J782">
        <v>10.41</v>
      </c>
      <c r="K782">
        <v>15.64</v>
      </c>
      <c r="L782">
        <v>10.33</v>
      </c>
      <c r="M782">
        <v>11.16</v>
      </c>
    </row>
    <row r="783" spans="1:13">
      <c r="A783" t="s">
        <v>1621</v>
      </c>
      <c r="B783" s="342">
        <v>0.22700000000000001</v>
      </c>
      <c r="C783" s="342">
        <v>0.184</v>
      </c>
      <c r="D783" s="342">
        <v>0.20899999999999999</v>
      </c>
      <c r="E783" s="342">
        <v>0.23</v>
      </c>
      <c r="F783" s="342">
        <v>0.187</v>
      </c>
      <c r="G783" s="342">
        <v>0.20499999999999999</v>
      </c>
      <c r="H783" s="342">
        <v>0.23300000000000001</v>
      </c>
      <c r="I783" s="342">
        <v>0.184</v>
      </c>
      <c r="J783" s="342">
        <v>0.20699999999999999</v>
      </c>
      <c r="K783" s="342">
        <v>0.215</v>
      </c>
      <c r="L783" s="342">
        <v>0.18</v>
      </c>
      <c r="M783" s="342">
        <v>0.216</v>
      </c>
    </row>
    <row r="785" spans="1:13">
      <c r="A785" t="s">
        <v>2859</v>
      </c>
    </row>
    <row r="787" spans="1:13">
      <c r="A787" t="s">
        <v>158</v>
      </c>
      <c r="B787" t="s">
        <v>2806</v>
      </c>
      <c r="E787">
        <v>2017</v>
      </c>
      <c r="H787">
        <v>2018</v>
      </c>
      <c r="K787">
        <v>2019</v>
      </c>
    </row>
    <row r="788" spans="1:13">
      <c r="B788" t="s">
        <v>1623</v>
      </c>
      <c r="C788" t="s">
        <v>1624</v>
      </c>
      <c r="D788" t="s">
        <v>1622</v>
      </c>
      <c r="E788" t="s">
        <v>1623</v>
      </c>
      <c r="F788" t="s">
        <v>1624</v>
      </c>
      <c r="G788" t="s">
        <v>1622</v>
      </c>
      <c r="H788" t="s">
        <v>1623</v>
      </c>
      <c r="I788" t="s">
        <v>1624</v>
      </c>
      <c r="J788" t="s">
        <v>1622</v>
      </c>
      <c r="K788" t="s">
        <v>1623</v>
      </c>
      <c r="L788" t="s">
        <v>1624</v>
      </c>
      <c r="M788" t="s">
        <v>1622</v>
      </c>
    </row>
    <row r="789" spans="1:13">
      <c r="A789" t="s">
        <v>2807</v>
      </c>
      <c r="B789" s="342">
        <v>0.70899999999999996</v>
      </c>
      <c r="C789" s="342">
        <v>0.83399999999999996</v>
      </c>
      <c r="D789" s="342">
        <v>0.81499999999999995</v>
      </c>
      <c r="E789" s="342">
        <v>0.72399999999999998</v>
      </c>
      <c r="F789" s="342">
        <v>0.83799999999999997</v>
      </c>
      <c r="G789" s="342">
        <v>0.81899999999999995</v>
      </c>
      <c r="H789" s="342">
        <v>0.69199999999999995</v>
      </c>
      <c r="I789" s="342">
        <v>0.83899999999999997</v>
      </c>
      <c r="J789" s="342">
        <v>0.81399999999999995</v>
      </c>
      <c r="K789" s="342">
        <v>0.70499999999999996</v>
      </c>
      <c r="L789" s="342">
        <v>0.82599999999999996</v>
      </c>
      <c r="M789" s="342">
        <v>0.80900000000000005</v>
      </c>
    </row>
    <row r="790" spans="1:13">
      <c r="A790" t="s">
        <v>1618</v>
      </c>
      <c r="B790" s="342">
        <v>0.13500000000000001</v>
      </c>
      <c r="C790" s="342">
        <v>0.14599999999999999</v>
      </c>
      <c r="D790" s="342">
        <v>0.14199999999999999</v>
      </c>
      <c r="E790" s="342">
        <v>0.13300000000000001</v>
      </c>
      <c r="F790" s="342">
        <v>0.14399999999999999</v>
      </c>
      <c r="G790" s="342">
        <v>0.14299999999999999</v>
      </c>
      <c r="H790" s="342">
        <v>0.13100000000000001</v>
      </c>
      <c r="I790" s="342">
        <v>0.14000000000000001</v>
      </c>
      <c r="J790" s="342">
        <v>0.13300000000000001</v>
      </c>
      <c r="K790" s="342">
        <v>0.14099999999999999</v>
      </c>
      <c r="L790" s="342">
        <v>0.15</v>
      </c>
      <c r="M790" s="342">
        <v>0.14699999999999999</v>
      </c>
    </row>
    <row r="791" spans="1:13">
      <c r="A791" t="s">
        <v>1619</v>
      </c>
      <c r="B791" s="342">
        <v>1.7999999999999999E-2</v>
      </c>
      <c r="C791" s="342">
        <v>0.01</v>
      </c>
      <c r="D791" s="342">
        <v>1.2E-2</v>
      </c>
      <c r="E791" s="342">
        <v>6.0000000000000001E-3</v>
      </c>
      <c r="F791" s="342">
        <v>1.0999999999999999E-2</v>
      </c>
      <c r="G791" s="342">
        <v>0.01</v>
      </c>
      <c r="H791" s="342">
        <v>2.8000000000000001E-2</v>
      </c>
      <c r="I791" s="342">
        <v>1.0999999999999999E-2</v>
      </c>
      <c r="J791" s="342">
        <v>1.4E-2</v>
      </c>
      <c r="K791" s="342">
        <v>2.1999999999999999E-2</v>
      </c>
      <c r="L791" s="342">
        <v>0.01</v>
      </c>
      <c r="M791" s="342">
        <v>1.4E-2</v>
      </c>
    </row>
    <row r="792" spans="1:13">
      <c r="A792" t="s">
        <v>1620</v>
      </c>
      <c r="B792" s="342">
        <v>0.626</v>
      </c>
      <c r="C792" s="342">
        <v>0.94699999999999995</v>
      </c>
      <c r="D792" s="342">
        <v>0.90100000000000002</v>
      </c>
      <c r="E792" s="342">
        <v>0.68</v>
      </c>
      <c r="F792" s="342">
        <v>0.83899999999999997</v>
      </c>
      <c r="G792" s="342">
        <v>0.84299999999999997</v>
      </c>
      <c r="H792" s="342">
        <v>0.65800000000000003</v>
      </c>
      <c r="I792" s="342">
        <v>1.0569999999999999</v>
      </c>
      <c r="J792" s="342">
        <v>0.95099999999999996</v>
      </c>
      <c r="K792" s="342">
        <v>0.56299999999999994</v>
      </c>
      <c r="L792" s="342">
        <v>1.0489999999999999</v>
      </c>
      <c r="M792" s="342">
        <v>0.94299999999999995</v>
      </c>
    </row>
    <row r="793" spans="1:13">
      <c r="A793" t="s">
        <v>2808</v>
      </c>
      <c r="B793" s="342">
        <v>0.39600000000000002</v>
      </c>
      <c r="C793" s="342">
        <v>0.30599999999999999</v>
      </c>
      <c r="D793" s="342">
        <v>0.34200000000000003</v>
      </c>
      <c r="E793" s="342">
        <v>0.36</v>
      </c>
      <c r="F793" s="342">
        <v>0.26100000000000001</v>
      </c>
      <c r="G793" s="342">
        <v>0.29599999999999999</v>
      </c>
      <c r="H793" s="342">
        <v>0.44</v>
      </c>
      <c r="I793" s="342">
        <v>0.36899999999999999</v>
      </c>
      <c r="J793" s="342">
        <v>0.38800000000000001</v>
      </c>
      <c r="K793" s="342">
        <v>0.4</v>
      </c>
      <c r="L793" s="342">
        <v>0.34</v>
      </c>
      <c r="M793" s="342">
        <v>0.371</v>
      </c>
    </row>
    <row r="794" spans="1:13">
      <c r="A794" t="s">
        <v>2809</v>
      </c>
      <c r="B794" s="342">
        <v>7.0000000000000001E-3</v>
      </c>
      <c r="C794" s="342">
        <v>0.02</v>
      </c>
      <c r="D794" s="342">
        <v>1.7000000000000001E-2</v>
      </c>
      <c r="E794" s="342">
        <v>6.0000000000000001E-3</v>
      </c>
      <c r="F794" s="342">
        <v>3.1E-2</v>
      </c>
      <c r="G794" s="342">
        <v>2.5999999999999999E-2</v>
      </c>
      <c r="H794" s="342">
        <v>5.0000000000000001E-3</v>
      </c>
      <c r="I794" s="342">
        <v>8.0000000000000002E-3</v>
      </c>
      <c r="J794" s="342">
        <v>0.01</v>
      </c>
      <c r="K794" s="342">
        <v>8.9999999999999993E-3</v>
      </c>
      <c r="L794" s="342">
        <v>8.9999999999999993E-3</v>
      </c>
      <c r="M794" s="342">
        <v>1.0999999999999999E-2</v>
      </c>
    </row>
    <row r="795" spans="1:13">
      <c r="A795" t="s">
        <v>2810</v>
      </c>
      <c r="B795" s="342">
        <v>0.64400000000000002</v>
      </c>
      <c r="C795" s="342">
        <v>0.34499999999999997</v>
      </c>
      <c r="D795" s="342">
        <v>0.39900000000000002</v>
      </c>
      <c r="E795" s="342">
        <v>0.53900000000000003</v>
      </c>
      <c r="F795" s="342">
        <v>0.34799999999999998</v>
      </c>
      <c r="G795" s="342">
        <v>0.38200000000000001</v>
      </c>
      <c r="H795" s="342">
        <v>0.67600000000000005</v>
      </c>
      <c r="I795" s="342">
        <v>0.35699999999999998</v>
      </c>
      <c r="J795" s="342">
        <v>0.41799999999999998</v>
      </c>
      <c r="K795" s="342">
        <v>0.72599999999999998</v>
      </c>
      <c r="L795" s="342">
        <v>0.33400000000000002</v>
      </c>
      <c r="M795" s="342">
        <v>0.40500000000000003</v>
      </c>
    </row>
    <row r="796" spans="1:13">
      <c r="A796" t="s">
        <v>9</v>
      </c>
      <c r="B796">
        <v>6.2</v>
      </c>
      <c r="C796">
        <v>4.05</v>
      </c>
      <c r="D796">
        <v>4.5599999999999996</v>
      </c>
      <c r="E796">
        <v>5.45</v>
      </c>
      <c r="F796">
        <v>3.41</v>
      </c>
      <c r="G796">
        <v>3.82</v>
      </c>
      <c r="H796">
        <v>5.82</v>
      </c>
      <c r="I796">
        <v>5.3</v>
      </c>
      <c r="J796">
        <v>5.76</v>
      </c>
      <c r="K796">
        <v>7.57</v>
      </c>
      <c r="L796">
        <v>4.51</v>
      </c>
      <c r="M796">
        <v>4.97</v>
      </c>
    </row>
    <row r="797" spans="1:13">
      <c r="A797" t="s">
        <v>8</v>
      </c>
      <c r="B797">
        <v>7.39</v>
      </c>
      <c r="C797">
        <v>5.0999999999999996</v>
      </c>
      <c r="D797">
        <v>5.42</v>
      </c>
      <c r="E797">
        <v>7.53</v>
      </c>
      <c r="F797">
        <v>5.41</v>
      </c>
      <c r="G797">
        <v>5.46</v>
      </c>
      <c r="H797">
        <v>9.0399999999999991</v>
      </c>
      <c r="I797">
        <v>4.74</v>
      </c>
      <c r="J797">
        <v>5.56</v>
      </c>
      <c r="K797">
        <v>6.46</v>
      </c>
      <c r="L797">
        <v>4.9800000000000004</v>
      </c>
      <c r="M797">
        <v>5.28</v>
      </c>
    </row>
    <row r="798" spans="1:13">
      <c r="A798" t="s">
        <v>10</v>
      </c>
      <c r="B798">
        <v>8</v>
      </c>
      <c r="C798">
        <v>7.24</v>
      </c>
      <c r="D798">
        <v>7.96</v>
      </c>
      <c r="E798">
        <v>7.8</v>
      </c>
      <c r="F798">
        <v>6.74</v>
      </c>
      <c r="G798">
        <v>7.4</v>
      </c>
      <c r="H798">
        <v>12.49</v>
      </c>
      <c r="I798">
        <v>8.19</v>
      </c>
      <c r="J798">
        <v>9.1199999999999992</v>
      </c>
      <c r="K798">
        <v>6.54</v>
      </c>
      <c r="L798">
        <v>7.44</v>
      </c>
      <c r="M798">
        <v>7.96</v>
      </c>
    </row>
    <row r="799" spans="1:13">
      <c r="A799" t="s">
        <v>1621</v>
      </c>
      <c r="B799" s="342">
        <v>0.17199999999999999</v>
      </c>
      <c r="C799" s="342">
        <v>0.30399999999999999</v>
      </c>
      <c r="D799" s="342">
        <v>0.27800000000000002</v>
      </c>
      <c r="E799" s="342">
        <v>0.188</v>
      </c>
      <c r="F799" s="342">
        <v>0.33</v>
      </c>
      <c r="G799" s="342">
        <v>0.31</v>
      </c>
      <c r="H799" s="342">
        <v>0.20200000000000001</v>
      </c>
      <c r="I799" s="342">
        <v>0.27800000000000002</v>
      </c>
      <c r="J799" s="342">
        <v>0.24399999999999999</v>
      </c>
      <c r="K799" s="342">
        <v>0.13400000000000001</v>
      </c>
      <c r="L799" s="342">
        <v>0.28799999999999998</v>
      </c>
      <c r="M799" s="342">
        <v>0.26500000000000001</v>
      </c>
    </row>
    <row r="801" spans="1:13">
      <c r="A801" t="s">
        <v>2860</v>
      </c>
    </row>
    <row r="803" spans="1:13">
      <c r="A803" t="s">
        <v>158</v>
      </c>
      <c r="B803" t="s">
        <v>2806</v>
      </c>
      <c r="E803">
        <v>2017</v>
      </c>
      <c r="H803">
        <v>2018</v>
      </c>
      <c r="K803">
        <v>2019</v>
      </c>
    </row>
    <row r="804" spans="1:13">
      <c r="B804" t="s">
        <v>1623</v>
      </c>
      <c r="C804" t="s">
        <v>1624</v>
      </c>
      <c r="D804" t="s">
        <v>1622</v>
      </c>
      <c r="E804" t="s">
        <v>1623</v>
      </c>
      <c r="F804" t="s">
        <v>1624</v>
      </c>
      <c r="G804" t="s">
        <v>1622</v>
      </c>
      <c r="H804" t="s">
        <v>1623</v>
      </c>
      <c r="I804" t="s">
        <v>1624</v>
      </c>
      <c r="J804" t="s">
        <v>1622</v>
      </c>
      <c r="K804" t="s">
        <v>1623</v>
      </c>
      <c r="L804" t="s">
        <v>1624</v>
      </c>
      <c r="M804" t="s">
        <v>1622</v>
      </c>
    </row>
    <row r="805" spans="1:13">
      <c r="A805" t="s">
        <v>2807</v>
      </c>
      <c r="B805" s="342">
        <v>0.61399999999999999</v>
      </c>
      <c r="C805" s="342">
        <v>0.82</v>
      </c>
      <c r="D805" s="342">
        <v>0.73699999999999999</v>
      </c>
      <c r="E805" s="342">
        <v>0.624</v>
      </c>
      <c r="F805" s="342">
        <v>0.81799999999999995</v>
      </c>
      <c r="G805" s="342">
        <v>0.74399999999999999</v>
      </c>
      <c r="H805" s="342">
        <v>0.629</v>
      </c>
      <c r="I805" s="342">
        <v>0.81799999999999995</v>
      </c>
      <c r="J805" s="342">
        <v>0.74099999999999999</v>
      </c>
      <c r="K805" s="342">
        <v>0.58699999999999997</v>
      </c>
      <c r="L805" s="342">
        <v>0.82399999999999995</v>
      </c>
      <c r="M805" s="342">
        <v>0.72599999999999998</v>
      </c>
    </row>
    <row r="806" spans="1:13">
      <c r="A806" t="s">
        <v>1618</v>
      </c>
      <c r="B806" s="342">
        <v>0.16400000000000001</v>
      </c>
      <c r="C806" s="342">
        <v>0.156</v>
      </c>
      <c r="D806" s="342">
        <v>0.158</v>
      </c>
      <c r="E806" s="342">
        <v>0.16</v>
      </c>
      <c r="F806" s="342">
        <v>0.158</v>
      </c>
      <c r="G806" s="342">
        <v>0.153</v>
      </c>
      <c r="H806" s="342">
        <v>0.16</v>
      </c>
      <c r="I806" s="342">
        <v>0.158</v>
      </c>
      <c r="J806" s="342">
        <v>0.157</v>
      </c>
      <c r="K806" s="342">
        <v>0.17199999999999999</v>
      </c>
      <c r="L806" s="342">
        <v>0.152</v>
      </c>
      <c r="M806" s="342">
        <v>0.16400000000000001</v>
      </c>
    </row>
    <row r="807" spans="1:13">
      <c r="A807" t="s">
        <v>1619</v>
      </c>
      <c r="B807" s="342">
        <v>1.2E-2</v>
      </c>
      <c r="C807" s="342">
        <v>1.6E-2</v>
      </c>
      <c r="D807" s="342">
        <v>1.2999999999999999E-2</v>
      </c>
      <c r="E807" s="342">
        <v>8.9999999999999993E-3</v>
      </c>
      <c r="F807" s="342">
        <v>1.0999999999999999E-2</v>
      </c>
      <c r="G807" s="342">
        <v>8.9999999999999993E-3</v>
      </c>
      <c r="H807" s="342">
        <v>1.2E-2</v>
      </c>
      <c r="I807" s="342">
        <v>1.7999999999999999E-2</v>
      </c>
      <c r="J807" s="342">
        <v>1.4999999999999999E-2</v>
      </c>
      <c r="K807" s="342">
        <v>1.4E-2</v>
      </c>
      <c r="L807" s="342">
        <v>2.1000000000000001E-2</v>
      </c>
      <c r="M807" s="342">
        <v>1.7000000000000001E-2</v>
      </c>
    </row>
    <row r="808" spans="1:13">
      <c r="A808" t="s">
        <v>1620</v>
      </c>
      <c r="B808" s="342">
        <v>0.71</v>
      </c>
      <c r="C808" s="342">
        <v>1.1040000000000001</v>
      </c>
      <c r="D808" s="342">
        <v>0.89200000000000002</v>
      </c>
      <c r="E808" s="342">
        <v>0.79600000000000004</v>
      </c>
      <c r="F808" s="342">
        <v>1.175</v>
      </c>
      <c r="G808" s="342">
        <v>0.94499999999999995</v>
      </c>
      <c r="H808" s="342">
        <v>0.73</v>
      </c>
      <c r="I808" s="342">
        <v>1.0509999999999999</v>
      </c>
      <c r="J808" s="342">
        <v>0.89600000000000002</v>
      </c>
      <c r="K808" s="342">
        <v>0.624</v>
      </c>
      <c r="L808" s="342">
        <v>1.1000000000000001</v>
      </c>
      <c r="M808" s="342">
        <v>0.83799999999999997</v>
      </c>
    </row>
    <row r="809" spans="1:13">
      <c r="A809" t="s">
        <v>2808</v>
      </c>
      <c r="B809" s="342">
        <v>0.22900000000000001</v>
      </c>
      <c r="C809" s="342">
        <v>0.311</v>
      </c>
      <c r="D809" s="342">
        <v>0.28599999999999998</v>
      </c>
      <c r="E809" s="342">
        <v>0.248</v>
      </c>
      <c r="F809" s="342">
        <v>0.29599999999999999</v>
      </c>
      <c r="G809" s="342">
        <v>0.28799999999999998</v>
      </c>
      <c r="H809" s="342">
        <v>0.23300000000000001</v>
      </c>
      <c r="I809" s="342">
        <v>0.33</v>
      </c>
      <c r="J809" s="342">
        <v>0.28799999999999998</v>
      </c>
      <c r="K809" s="342">
        <v>0.20899999999999999</v>
      </c>
      <c r="L809" s="342">
        <v>0.30099999999999999</v>
      </c>
      <c r="M809" s="342">
        <v>0.28299999999999997</v>
      </c>
    </row>
    <row r="810" spans="1:13">
      <c r="A810" t="s">
        <v>2809</v>
      </c>
      <c r="B810" s="342">
        <v>1.6E-2</v>
      </c>
      <c r="C810" s="342">
        <v>0.06</v>
      </c>
      <c r="D810" s="342">
        <v>0.03</v>
      </c>
      <c r="E810" s="342">
        <v>1.7000000000000001E-2</v>
      </c>
      <c r="F810" s="342">
        <v>7.6999999999999999E-2</v>
      </c>
      <c r="G810" s="342">
        <v>3.4000000000000002E-2</v>
      </c>
      <c r="H810" s="342">
        <v>1.4999999999999999E-2</v>
      </c>
      <c r="I810" s="342">
        <v>4.7E-2</v>
      </c>
      <c r="J810" s="342">
        <v>2.8000000000000001E-2</v>
      </c>
      <c r="K810" s="342">
        <v>1.6E-2</v>
      </c>
      <c r="L810" s="342">
        <v>5.8000000000000003E-2</v>
      </c>
      <c r="M810" s="342">
        <v>2.7E-2</v>
      </c>
    </row>
    <row r="811" spans="1:13">
      <c r="A811" t="s">
        <v>2810</v>
      </c>
      <c r="B811" s="342">
        <v>0.34399999999999997</v>
      </c>
      <c r="C811" s="342">
        <v>0.33600000000000002</v>
      </c>
      <c r="D811" s="342">
        <v>0.35399999999999998</v>
      </c>
      <c r="E811" s="342">
        <v>0.33200000000000002</v>
      </c>
      <c r="F811" s="342">
        <v>0.318</v>
      </c>
      <c r="G811" s="342">
        <v>0.34100000000000003</v>
      </c>
      <c r="H811" s="342">
        <v>0.34</v>
      </c>
      <c r="I811" s="342">
        <v>0.35899999999999999</v>
      </c>
      <c r="J811" s="342">
        <v>0.35299999999999998</v>
      </c>
      <c r="K811" s="342">
        <v>0.36099999999999999</v>
      </c>
      <c r="L811" s="342">
        <v>0.32700000000000001</v>
      </c>
      <c r="M811" s="342">
        <v>0.37</v>
      </c>
    </row>
    <row r="812" spans="1:13">
      <c r="A812" t="s">
        <v>9</v>
      </c>
      <c r="B812">
        <v>4.42</v>
      </c>
      <c r="C812">
        <v>5.6</v>
      </c>
      <c r="D812">
        <v>4.8600000000000003</v>
      </c>
      <c r="E812">
        <v>4.4400000000000004</v>
      </c>
      <c r="F812">
        <v>6.28</v>
      </c>
      <c r="G812">
        <v>4.91</v>
      </c>
      <c r="H812">
        <v>4.5599999999999996</v>
      </c>
      <c r="I812">
        <v>5.47</v>
      </c>
      <c r="J812">
        <v>4.8600000000000003</v>
      </c>
      <c r="K812">
        <v>4.26</v>
      </c>
      <c r="L812">
        <v>5.12</v>
      </c>
      <c r="M812">
        <v>4.79</v>
      </c>
    </row>
    <row r="813" spans="1:13">
      <c r="A813" t="s">
        <v>8</v>
      </c>
      <c r="B813">
        <v>8.1199999999999992</v>
      </c>
      <c r="C813">
        <v>7.11</v>
      </c>
      <c r="D813">
        <v>7.67</v>
      </c>
      <c r="E813">
        <v>10.050000000000001</v>
      </c>
      <c r="F813">
        <v>7.11</v>
      </c>
      <c r="G813">
        <v>8.2200000000000006</v>
      </c>
      <c r="H813">
        <v>10.27</v>
      </c>
      <c r="I813">
        <v>7.12</v>
      </c>
      <c r="J813">
        <v>8.2200000000000006</v>
      </c>
      <c r="K813">
        <v>5.72</v>
      </c>
      <c r="L813">
        <v>7.09</v>
      </c>
      <c r="M813">
        <v>6.7</v>
      </c>
    </row>
    <row r="814" spans="1:13">
      <c r="A814" t="s">
        <v>10</v>
      </c>
      <c r="B814">
        <v>14.83</v>
      </c>
      <c r="C814">
        <v>9.6300000000000008</v>
      </c>
      <c r="D814">
        <v>10.45</v>
      </c>
      <c r="E814">
        <v>15.18</v>
      </c>
      <c r="F814">
        <v>8.6300000000000008</v>
      </c>
      <c r="G814">
        <v>9.7899999999999991</v>
      </c>
      <c r="H814">
        <v>16.87</v>
      </c>
      <c r="I814">
        <v>10.56</v>
      </c>
      <c r="J814">
        <v>11.11</v>
      </c>
      <c r="K814">
        <v>12.88</v>
      </c>
      <c r="L814">
        <v>9.84</v>
      </c>
      <c r="M814">
        <v>10.53</v>
      </c>
    </row>
    <row r="815" spans="1:13">
      <c r="A815" t="s">
        <v>1621</v>
      </c>
      <c r="B815" s="342">
        <v>0.28199999999999997</v>
      </c>
      <c r="C815" s="342">
        <v>0.215</v>
      </c>
      <c r="D815" s="342">
        <v>0.24099999999999999</v>
      </c>
      <c r="E815" s="342">
        <v>0.25900000000000001</v>
      </c>
      <c r="F815" s="342">
        <v>0.184</v>
      </c>
      <c r="G815" s="342">
        <v>0.223</v>
      </c>
      <c r="H815" s="342">
        <v>0.25700000000000001</v>
      </c>
      <c r="I815" s="342">
        <v>0.22800000000000001</v>
      </c>
      <c r="J815" s="342">
        <v>0.23699999999999999</v>
      </c>
      <c r="K815" s="342">
        <v>0.33200000000000002</v>
      </c>
      <c r="L815" s="342">
        <v>0.23499999999999999</v>
      </c>
      <c r="M815" s="342">
        <v>0.26300000000000001</v>
      </c>
    </row>
    <row r="817" spans="1:13">
      <c r="A817" t="s">
        <v>2861</v>
      </c>
    </row>
    <row r="819" spans="1:13">
      <c r="A819" t="s">
        <v>158</v>
      </c>
      <c r="B819" t="s">
        <v>2806</v>
      </c>
      <c r="E819">
        <v>2017</v>
      </c>
      <c r="H819">
        <v>2018</v>
      </c>
      <c r="K819">
        <v>2019</v>
      </c>
    </row>
    <row r="820" spans="1:13">
      <c r="B820" t="s">
        <v>1623</v>
      </c>
      <c r="C820" t="s">
        <v>1624</v>
      </c>
      <c r="D820" t="s">
        <v>1622</v>
      </c>
      <c r="E820" t="s">
        <v>1623</v>
      </c>
      <c r="F820" t="s">
        <v>1624</v>
      </c>
      <c r="G820" t="s">
        <v>1622</v>
      </c>
      <c r="H820" t="s">
        <v>1623</v>
      </c>
      <c r="I820" t="s">
        <v>1624</v>
      </c>
      <c r="J820" t="s">
        <v>1622</v>
      </c>
      <c r="K820" t="s">
        <v>1623</v>
      </c>
      <c r="L820" t="s">
        <v>1624</v>
      </c>
      <c r="M820" t="s">
        <v>1622</v>
      </c>
    </row>
    <row r="821" spans="1:13">
      <c r="A821" t="s">
        <v>2807</v>
      </c>
      <c r="B821" s="342">
        <v>0.46700000000000003</v>
      </c>
      <c r="C821" s="342">
        <v>0.68300000000000005</v>
      </c>
      <c r="D821" s="342">
        <v>0.58399999999999996</v>
      </c>
      <c r="E821" s="342">
        <v>0.46200000000000002</v>
      </c>
      <c r="F821" s="342">
        <v>0.67400000000000004</v>
      </c>
      <c r="G821" s="342">
        <v>0.57399999999999995</v>
      </c>
      <c r="H821" s="342">
        <v>0.46700000000000003</v>
      </c>
      <c r="I821" s="342">
        <v>0.68300000000000005</v>
      </c>
      <c r="J821" s="342">
        <v>0.58599999999999997</v>
      </c>
      <c r="K821" s="342">
        <v>0.47199999999999998</v>
      </c>
      <c r="L821" s="342">
        <v>0.68600000000000005</v>
      </c>
      <c r="M821" s="342">
        <v>0.59099999999999997</v>
      </c>
    </row>
    <row r="822" spans="1:13">
      <c r="A822" t="s">
        <v>1618</v>
      </c>
      <c r="B822" s="342">
        <v>0.28799999999999998</v>
      </c>
      <c r="C822" s="342">
        <v>0.28999999999999998</v>
      </c>
      <c r="D822" s="342">
        <v>0.30599999999999999</v>
      </c>
      <c r="E822" s="342">
        <v>0.25800000000000001</v>
      </c>
      <c r="F822" s="342">
        <v>0.31</v>
      </c>
      <c r="G822" s="342">
        <v>0.30299999999999999</v>
      </c>
      <c r="H822" s="342">
        <v>0.29299999999999998</v>
      </c>
      <c r="I822" s="342">
        <v>0.28499999999999998</v>
      </c>
      <c r="J822" s="342">
        <v>0.309</v>
      </c>
      <c r="K822" s="342">
        <v>0.311</v>
      </c>
      <c r="L822" s="342">
        <v>0.28799999999999998</v>
      </c>
      <c r="M822" s="342">
        <v>0.30599999999999999</v>
      </c>
    </row>
    <row r="823" spans="1:13">
      <c r="A823" t="s">
        <v>1619</v>
      </c>
      <c r="B823" s="342">
        <v>8.0000000000000002E-3</v>
      </c>
      <c r="C823" s="342">
        <v>7.0000000000000001E-3</v>
      </c>
      <c r="D823" s="342">
        <v>8.0000000000000002E-3</v>
      </c>
      <c r="E823" s="342">
        <v>7.0000000000000001E-3</v>
      </c>
      <c r="F823" s="342">
        <v>8.9999999999999993E-3</v>
      </c>
      <c r="G823" s="342">
        <v>6.0000000000000001E-3</v>
      </c>
      <c r="H823" s="342">
        <v>8.0000000000000002E-3</v>
      </c>
      <c r="I823" s="342">
        <v>6.0000000000000001E-3</v>
      </c>
      <c r="J823" s="342">
        <v>8.0000000000000002E-3</v>
      </c>
      <c r="K823" s="342">
        <v>0.01</v>
      </c>
      <c r="L823" s="342">
        <v>8.0000000000000002E-3</v>
      </c>
      <c r="M823" s="342">
        <v>0.01</v>
      </c>
    </row>
    <row r="824" spans="1:13">
      <c r="A824" t="s">
        <v>1620</v>
      </c>
      <c r="B824" s="342">
        <v>0.42499999999999999</v>
      </c>
      <c r="C824" s="342">
        <v>0.79200000000000004</v>
      </c>
      <c r="D824" s="342">
        <v>0.58899999999999997</v>
      </c>
      <c r="E824" s="342">
        <v>0.33400000000000002</v>
      </c>
      <c r="F824" s="342">
        <v>0.71399999999999997</v>
      </c>
      <c r="G824" s="342">
        <v>0.56399999999999995</v>
      </c>
      <c r="H824" s="342">
        <v>0.46899999999999997</v>
      </c>
      <c r="I824" s="342">
        <v>0.80900000000000005</v>
      </c>
      <c r="J824" s="342">
        <v>0.59799999999999998</v>
      </c>
      <c r="K824" s="342">
        <v>0.50800000000000001</v>
      </c>
      <c r="L824" s="342">
        <v>0.80800000000000005</v>
      </c>
      <c r="M824" s="342">
        <v>0.60499999999999998</v>
      </c>
    </row>
    <row r="825" spans="1:13">
      <c r="A825" t="s">
        <v>2808</v>
      </c>
      <c r="B825" s="342">
        <v>0.23599999999999999</v>
      </c>
      <c r="C825" s="342">
        <v>0.27400000000000002</v>
      </c>
      <c r="D825" s="342">
        <v>0.28799999999999998</v>
      </c>
      <c r="E825" s="342">
        <v>0.23699999999999999</v>
      </c>
      <c r="F825" s="342">
        <v>0.33400000000000002</v>
      </c>
      <c r="G825" s="342">
        <v>0.28000000000000003</v>
      </c>
      <c r="H825" s="342">
        <v>0.24</v>
      </c>
      <c r="I825" s="342">
        <v>0.249</v>
      </c>
      <c r="J825" s="342">
        <v>0.28699999999999998</v>
      </c>
      <c r="K825" s="342">
        <v>0.23200000000000001</v>
      </c>
      <c r="L825" s="342">
        <v>0.27200000000000002</v>
      </c>
      <c r="M825" s="342">
        <v>0.29699999999999999</v>
      </c>
    </row>
    <row r="826" spans="1:13">
      <c r="A826" t="s">
        <v>2809</v>
      </c>
      <c r="B826" s="342">
        <v>6.9000000000000006E-2</v>
      </c>
      <c r="C826" s="342">
        <v>3.7999999999999999E-2</v>
      </c>
      <c r="D826" s="342">
        <v>4.7E-2</v>
      </c>
      <c r="E826" s="342">
        <v>5.3999999999999999E-2</v>
      </c>
      <c r="F826" s="342">
        <v>6.2E-2</v>
      </c>
      <c r="G826" s="342">
        <v>4.9000000000000002E-2</v>
      </c>
      <c r="H826" s="342">
        <v>0.08</v>
      </c>
      <c r="I826" s="342">
        <v>3.4000000000000002E-2</v>
      </c>
      <c r="J826" s="342">
        <v>4.7E-2</v>
      </c>
      <c r="K826" s="342">
        <v>0.08</v>
      </c>
      <c r="L826" s="342">
        <v>3.2000000000000001E-2</v>
      </c>
      <c r="M826" s="342">
        <v>4.5999999999999999E-2</v>
      </c>
    </row>
    <row r="827" spans="1:13">
      <c r="A827" t="s">
        <v>2810</v>
      </c>
      <c r="B827" s="342">
        <v>0.72</v>
      </c>
      <c r="C827" s="342">
        <v>0.39400000000000002</v>
      </c>
      <c r="D827" s="342">
        <v>0.56999999999999995</v>
      </c>
      <c r="E827" s="342">
        <v>0.873</v>
      </c>
      <c r="F827" s="342">
        <v>0.55500000000000005</v>
      </c>
      <c r="G827" s="342">
        <v>0.58199999999999996</v>
      </c>
      <c r="H827" s="342">
        <v>0.68200000000000005</v>
      </c>
      <c r="I827" s="342">
        <v>0.35</v>
      </c>
      <c r="J827" s="342">
        <v>0.56000000000000005</v>
      </c>
      <c r="K827" s="342">
        <v>0.61399999999999999</v>
      </c>
      <c r="L827" s="342">
        <v>0.377</v>
      </c>
      <c r="M827" s="342">
        <v>0.56799999999999995</v>
      </c>
    </row>
    <row r="828" spans="1:13">
      <c r="A828" t="s">
        <v>9</v>
      </c>
      <c r="B828">
        <v>3.5</v>
      </c>
      <c r="C828">
        <v>3.69</v>
      </c>
      <c r="D828">
        <v>3.95</v>
      </c>
      <c r="E828">
        <v>3.37</v>
      </c>
      <c r="F828">
        <v>2.9</v>
      </c>
      <c r="G828">
        <v>3.65</v>
      </c>
      <c r="H828">
        <v>3.21</v>
      </c>
      <c r="I828">
        <v>3.69</v>
      </c>
      <c r="J828">
        <v>3.93</v>
      </c>
      <c r="K828">
        <v>3.93</v>
      </c>
      <c r="L828">
        <v>4.0999999999999996</v>
      </c>
      <c r="M828">
        <v>4.29</v>
      </c>
    </row>
    <row r="829" spans="1:13">
      <c r="A829" t="s">
        <v>8</v>
      </c>
      <c r="B829">
        <v>5.83</v>
      </c>
      <c r="C829">
        <v>5.24</v>
      </c>
      <c r="D829">
        <v>5.28</v>
      </c>
      <c r="E829">
        <v>5.79</v>
      </c>
      <c r="F829">
        <v>4.8099999999999996</v>
      </c>
      <c r="G829">
        <v>5.41</v>
      </c>
      <c r="H829">
        <v>5.99</v>
      </c>
      <c r="I829">
        <v>5.35</v>
      </c>
      <c r="J829">
        <v>5.46</v>
      </c>
      <c r="K829">
        <v>5.73</v>
      </c>
      <c r="L829">
        <v>5.31</v>
      </c>
      <c r="M829">
        <v>5.0199999999999996</v>
      </c>
    </row>
    <row r="830" spans="1:13">
      <c r="A830" t="s">
        <v>10</v>
      </c>
      <c r="B830">
        <v>21.12</v>
      </c>
      <c r="C830">
        <v>8.81</v>
      </c>
      <c r="D830">
        <v>13.34</v>
      </c>
      <c r="E830">
        <v>21.1</v>
      </c>
      <c r="F830">
        <v>6.8</v>
      </c>
      <c r="G830">
        <v>13.19</v>
      </c>
      <c r="H830">
        <v>22.5</v>
      </c>
      <c r="I830">
        <v>9.74</v>
      </c>
      <c r="J830">
        <v>13.94</v>
      </c>
      <c r="K830">
        <v>20.100000000000001</v>
      </c>
      <c r="L830">
        <v>8.9700000000000006</v>
      </c>
      <c r="M830">
        <v>12.94</v>
      </c>
    </row>
    <row r="831" spans="1:13">
      <c r="A831" t="s">
        <v>1621</v>
      </c>
      <c r="B831" s="342">
        <v>0.41</v>
      </c>
      <c r="C831" s="342">
        <v>0.34799999999999998</v>
      </c>
      <c r="D831" s="342">
        <v>0.36799999999999999</v>
      </c>
      <c r="E831" s="342">
        <v>0.42199999999999999</v>
      </c>
      <c r="F831" s="342">
        <v>0.40600000000000003</v>
      </c>
      <c r="G831" s="342">
        <v>0.38300000000000001</v>
      </c>
      <c r="H831" s="342">
        <v>0.434</v>
      </c>
      <c r="I831" s="342">
        <v>0.35599999999999998</v>
      </c>
      <c r="J831" s="342">
        <v>0.36599999999999999</v>
      </c>
      <c r="K831" s="342">
        <v>0.379</v>
      </c>
      <c r="L831" s="342">
        <v>0.32</v>
      </c>
      <c r="M831" s="342">
        <v>0.35499999999999998</v>
      </c>
    </row>
    <row r="833" spans="1:13">
      <c r="A833" t="s">
        <v>2862</v>
      </c>
    </row>
    <row r="835" spans="1:13">
      <c r="A835" t="s">
        <v>158</v>
      </c>
      <c r="B835" t="s">
        <v>2806</v>
      </c>
      <c r="E835">
        <v>2017</v>
      </c>
      <c r="H835">
        <v>2018</v>
      </c>
      <c r="K835">
        <v>2019</v>
      </c>
    </row>
    <row r="836" spans="1:13">
      <c r="B836" t="s">
        <v>1623</v>
      </c>
      <c r="C836" t="s">
        <v>1624</v>
      </c>
      <c r="D836" t="s">
        <v>1622</v>
      </c>
      <c r="E836" t="s">
        <v>1623</v>
      </c>
      <c r="F836" t="s">
        <v>1624</v>
      </c>
      <c r="G836" t="s">
        <v>1622</v>
      </c>
      <c r="H836" t="s">
        <v>1623</v>
      </c>
      <c r="I836" t="s">
        <v>1624</v>
      </c>
      <c r="J836" t="s">
        <v>1622</v>
      </c>
      <c r="K836" t="s">
        <v>1623</v>
      </c>
      <c r="L836" t="s">
        <v>1624</v>
      </c>
      <c r="M836" t="s">
        <v>1622</v>
      </c>
    </row>
    <row r="837" spans="1:13">
      <c r="A837" t="s">
        <v>2807</v>
      </c>
      <c r="B837" s="342">
        <v>0.68899999999999995</v>
      </c>
      <c r="C837" s="342">
        <v>0.85399999999999998</v>
      </c>
      <c r="D837" s="342">
        <v>0.81</v>
      </c>
      <c r="E837" s="342">
        <v>0.70199999999999996</v>
      </c>
      <c r="F837" s="342">
        <v>0.85499999999999998</v>
      </c>
      <c r="G837" s="342">
        <v>0.81399999999999995</v>
      </c>
      <c r="H837" s="342">
        <v>0.69599999999999995</v>
      </c>
      <c r="I837" s="342">
        <v>0.84799999999999998</v>
      </c>
      <c r="J837" s="342">
        <v>0.81</v>
      </c>
      <c r="K837" s="342">
        <v>0.66800000000000004</v>
      </c>
      <c r="L837" s="342">
        <v>0.86</v>
      </c>
      <c r="M837" s="342">
        <v>0.80500000000000005</v>
      </c>
    </row>
    <row r="838" spans="1:13">
      <c r="A838" t="s">
        <v>1618</v>
      </c>
      <c r="B838" s="342">
        <v>0.14000000000000001</v>
      </c>
      <c r="C838" s="342">
        <v>0.123</v>
      </c>
      <c r="D838" s="342">
        <v>0.127</v>
      </c>
      <c r="E838" s="342">
        <v>0.13700000000000001</v>
      </c>
      <c r="F838" s="342">
        <v>0.122</v>
      </c>
      <c r="G838" s="342">
        <v>0.124</v>
      </c>
      <c r="H838" s="342">
        <v>0.14099999999999999</v>
      </c>
      <c r="I838" s="342">
        <v>0.126</v>
      </c>
      <c r="J838" s="342">
        <v>0.126</v>
      </c>
      <c r="K838" s="342">
        <v>0.14399999999999999</v>
      </c>
      <c r="L838" s="342">
        <v>0.121</v>
      </c>
      <c r="M838" s="342">
        <v>0.13100000000000001</v>
      </c>
    </row>
    <row r="839" spans="1:13">
      <c r="A839" t="s">
        <v>1619</v>
      </c>
      <c r="B839" s="342">
        <v>1.7999999999999999E-2</v>
      </c>
      <c r="C839" s="342">
        <v>1.0999999999999999E-2</v>
      </c>
      <c r="D839" s="342">
        <v>1.2999999999999999E-2</v>
      </c>
      <c r="E839" s="342">
        <v>7.0000000000000001E-3</v>
      </c>
      <c r="F839" s="342">
        <v>5.0000000000000001E-3</v>
      </c>
      <c r="G839" s="342">
        <v>6.0000000000000001E-3</v>
      </c>
      <c r="H839" s="342">
        <v>2.5999999999999999E-2</v>
      </c>
      <c r="I839" s="342">
        <v>1.4999999999999999E-2</v>
      </c>
      <c r="J839" s="342">
        <v>1.7000000000000001E-2</v>
      </c>
      <c r="K839" s="342">
        <v>0.02</v>
      </c>
      <c r="L839" s="342">
        <v>1.2999999999999999E-2</v>
      </c>
      <c r="M839" s="342">
        <v>1.6E-2</v>
      </c>
    </row>
    <row r="840" spans="1:13">
      <c r="A840" t="s">
        <v>1620</v>
      </c>
      <c r="B840" s="342">
        <v>0.77800000000000002</v>
      </c>
      <c r="C840" s="342">
        <v>1.3759999999999999</v>
      </c>
      <c r="D840" s="342">
        <v>1.0980000000000001</v>
      </c>
      <c r="E840" s="342">
        <v>0.80200000000000005</v>
      </c>
      <c r="F840" s="342">
        <v>1.4039999999999999</v>
      </c>
      <c r="G840" s="342">
        <v>1.1319999999999999</v>
      </c>
      <c r="H840" s="342">
        <v>0.83299999999999996</v>
      </c>
      <c r="I840" s="342">
        <v>1.373</v>
      </c>
      <c r="J840" s="342">
        <v>1.1060000000000001</v>
      </c>
      <c r="K840" s="342">
        <v>0.70499999999999996</v>
      </c>
      <c r="L840" s="342">
        <v>1.3520000000000001</v>
      </c>
      <c r="M840" s="342">
        <v>1.0609999999999999</v>
      </c>
    </row>
    <row r="841" spans="1:13">
      <c r="A841" t="s">
        <v>2808</v>
      </c>
      <c r="B841" s="342">
        <v>0.42299999999999999</v>
      </c>
      <c r="C841" s="342">
        <v>0.35299999999999998</v>
      </c>
      <c r="D841" s="342">
        <v>0.38</v>
      </c>
      <c r="E841" s="342">
        <v>0.42399999999999999</v>
      </c>
      <c r="F841" s="342">
        <v>0.35499999999999998</v>
      </c>
      <c r="G841" s="342">
        <v>0.38200000000000001</v>
      </c>
      <c r="H841" s="342">
        <v>0.42</v>
      </c>
      <c r="I841" s="342">
        <v>0.35099999999999998</v>
      </c>
      <c r="J841" s="342">
        <v>0.376</v>
      </c>
      <c r="K841" s="342">
        <v>0.42399999999999999</v>
      </c>
      <c r="L841" s="342">
        <v>0.35399999999999998</v>
      </c>
      <c r="M841" s="342">
        <v>0.38200000000000001</v>
      </c>
    </row>
    <row r="842" spans="1:13">
      <c r="A842" t="s">
        <v>2809</v>
      </c>
      <c r="B842" s="342">
        <v>1.4999999999999999E-2</v>
      </c>
      <c r="C842" s="342">
        <v>1.7000000000000001E-2</v>
      </c>
      <c r="D842" s="342">
        <v>1.7999999999999999E-2</v>
      </c>
      <c r="E842" s="342">
        <v>1.0999999999999999E-2</v>
      </c>
      <c r="F842" s="342">
        <v>1.7000000000000001E-2</v>
      </c>
      <c r="G842" s="342">
        <v>1.7000000000000001E-2</v>
      </c>
      <c r="H842" s="342">
        <v>1.9E-2</v>
      </c>
      <c r="I842" s="342">
        <v>1.7999999999999999E-2</v>
      </c>
      <c r="J842" s="342">
        <v>0.02</v>
      </c>
      <c r="K842" s="342">
        <v>1.4999999999999999E-2</v>
      </c>
      <c r="L842" s="342">
        <v>1.7000000000000001E-2</v>
      </c>
      <c r="M842" s="342">
        <v>1.7000000000000001E-2</v>
      </c>
    </row>
    <row r="843" spans="1:13">
      <c r="A843" t="s">
        <v>2810</v>
      </c>
      <c r="B843" s="342">
        <v>0.56299999999999994</v>
      </c>
      <c r="C843" s="342">
        <v>0.26900000000000002</v>
      </c>
      <c r="D843" s="342">
        <v>0.36299999999999999</v>
      </c>
      <c r="E843" s="342">
        <v>0.54300000000000004</v>
      </c>
      <c r="F843" s="342">
        <v>0.26500000000000001</v>
      </c>
      <c r="G843" s="342">
        <v>0.35299999999999998</v>
      </c>
      <c r="H843" s="342">
        <v>0.52800000000000002</v>
      </c>
      <c r="I843" s="342">
        <v>0.26900000000000002</v>
      </c>
      <c r="J843" s="342">
        <v>0.35799999999999998</v>
      </c>
      <c r="K843" s="342">
        <v>0.623</v>
      </c>
      <c r="L843" s="342">
        <v>0.27400000000000002</v>
      </c>
      <c r="M843" s="342">
        <v>0.376</v>
      </c>
    </row>
    <row r="844" spans="1:13">
      <c r="A844" t="s">
        <v>9</v>
      </c>
      <c r="B844">
        <v>4.74</v>
      </c>
      <c r="C844">
        <v>6.49</v>
      </c>
      <c r="D844">
        <v>5.62</v>
      </c>
      <c r="E844">
        <v>4.63</v>
      </c>
      <c r="F844">
        <v>6.1</v>
      </c>
      <c r="G844">
        <v>5.51</v>
      </c>
      <c r="H844">
        <v>4.91</v>
      </c>
      <c r="I844">
        <v>6.52</v>
      </c>
      <c r="J844">
        <v>5.7</v>
      </c>
      <c r="K844">
        <v>4.6500000000000004</v>
      </c>
      <c r="L844">
        <v>6.89</v>
      </c>
      <c r="M844">
        <v>5.66</v>
      </c>
    </row>
    <row r="845" spans="1:13">
      <c r="A845" t="s">
        <v>8</v>
      </c>
      <c r="B845">
        <v>11.06</v>
      </c>
      <c r="C845">
        <v>8.44</v>
      </c>
      <c r="D845">
        <v>8.3000000000000007</v>
      </c>
      <c r="E845">
        <v>10.029999999999999</v>
      </c>
      <c r="F845">
        <v>9.3800000000000008</v>
      </c>
      <c r="G845">
        <v>8.68</v>
      </c>
      <c r="H845">
        <v>12.82</v>
      </c>
      <c r="I845">
        <v>7.91</v>
      </c>
      <c r="J845">
        <v>8.1999999999999993</v>
      </c>
      <c r="K845">
        <v>10.38</v>
      </c>
      <c r="L845">
        <v>8.24</v>
      </c>
      <c r="M845">
        <v>8.08</v>
      </c>
    </row>
    <row r="846" spans="1:13">
      <c r="A846" t="s">
        <v>10</v>
      </c>
      <c r="B846">
        <v>13.78</v>
      </c>
      <c r="C846">
        <v>8.93</v>
      </c>
      <c r="D846">
        <v>10.3</v>
      </c>
      <c r="E846">
        <v>12.3</v>
      </c>
      <c r="F846">
        <v>7.75</v>
      </c>
      <c r="G846">
        <v>9.27</v>
      </c>
      <c r="H846">
        <v>13.72</v>
      </c>
      <c r="I846">
        <v>9.77</v>
      </c>
      <c r="J846">
        <v>10.92</v>
      </c>
      <c r="K846">
        <v>15.62</v>
      </c>
      <c r="L846">
        <v>9.4700000000000006</v>
      </c>
      <c r="M846">
        <v>10.86</v>
      </c>
    </row>
    <row r="847" spans="1:13">
      <c r="A847" t="s">
        <v>1621</v>
      </c>
      <c r="B847" s="342">
        <v>0.22900000000000001</v>
      </c>
      <c r="C847" s="342">
        <v>0.161</v>
      </c>
      <c r="D847" s="342">
        <v>0.20100000000000001</v>
      </c>
      <c r="E847" s="342">
        <v>0.23400000000000001</v>
      </c>
      <c r="F847" s="342">
        <v>0.14199999999999999</v>
      </c>
      <c r="G847" s="342">
        <v>0.189</v>
      </c>
      <c r="H847" s="342">
        <v>0.20899999999999999</v>
      </c>
      <c r="I847" s="342">
        <v>0.17799999999999999</v>
      </c>
      <c r="J847" s="342">
        <v>0.20599999999999999</v>
      </c>
      <c r="K847" s="342">
        <v>0.247</v>
      </c>
      <c r="L847" s="342">
        <v>0.161</v>
      </c>
      <c r="M847" s="342">
        <v>0.20799999999999999</v>
      </c>
    </row>
    <row r="849" spans="1:13">
      <c r="A849" t="s">
        <v>2863</v>
      </c>
    </row>
    <row r="851" spans="1:13">
      <c r="A851" t="s">
        <v>158</v>
      </c>
      <c r="B851" t="s">
        <v>2806</v>
      </c>
      <c r="E851">
        <v>2017</v>
      </c>
      <c r="H851">
        <v>2018</v>
      </c>
      <c r="K851">
        <v>2019</v>
      </c>
    </row>
    <row r="852" spans="1:13">
      <c r="B852" t="s">
        <v>1623</v>
      </c>
      <c r="C852" t="s">
        <v>1624</v>
      </c>
      <c r="D852" t="s">
        <v>1622</v>
      </c>
      <c r="E852" t="s">
        <v>1623</v>
      </c>
      <c r="F852" t="s">
        <v>1624</v>
      </c>
      <c r="G852" t="s">
        <v>1622</v>
      </c>
      <c r="H852" t="s">
        <v>1623</v>
      </c>
      <c r="I852" t="s">
        <v>1624</v>
      </c>
      <c r="J852" t="s">
        <v>1622</v>
      </c>
      <c r="K852" t="s">
        <v>1623</v>
      </c>
      <c r="L852" t="s">
        <v>1624</v>
      </c>
      <c r="M852" t="s">
        <v>1622</v>
      </c>
    </row>
    <row r="853" spans="1:13">
      <c r="A853" t="s">
        <v>2807</v>
      </c>
      <c r="B853" s="342">
        <v>0.57499999999999996</v>
      </c>
      <c r="C853" s="342">
        <v>0.92200000000000004</v>
      </c>
      <c r="D853" s="342">
        <v>0.85</v>
      </c>
      <c r="E853" s="342">
        <v>0.40699999999999997</v>
      </c>
      <c r="F853" s="342">
        <v>0.75800000000000001</v>
      </c>
      <c r="G853" s="342">
        <v>0.81799999999999995</v>
      </c>
      <c r="H853" s="342">
        <v>0.70599999999999996</v>
      </c>
      <c r="I853" s="342">
        <v>0.96599999999999997</v>
      </c>
      <c r="J853" s="342">
        <v>0.89800000000000002</v>
      </c>
      <c r="K853" s="342">
        <v>0.60899999999999999</v>
      </c>
      <c r="L853" s="342">
        <v>0.81200000000000006</v>
      </c>
      <c r="M853" s="342">
        <v>0.79100000000000004</v>
      </c>
    </row>
    <row r="854" spans="1:13">
      <c r="A854" t="s">
        <v>1618</v>
      </c>
      <c r="B854" s="342">
        <v>0.247</v>
      </c>
      <c r="C854" s="342">
        <v>6.0999999999999999E-2</v>
      </c>
      <c r="D854" s="342">
        <v>9.5000000000000001E-2</v>
      </c>
      <c r="E854" s="342">
        <v>0.51</v>
      </c>
      <c r="F854" s="342">
        <v>0.218</v>
      </c>
      <c r="G854" s="342">
        <v>0.13100000000000001</v>
      </c>
      <c r="H854" s="342">
        <v>0.16</v>
      </c>
      <c r="I854" s="342">
        <v>0.02</v>
      </c>
      <c r="J854" s="342">
        <v>6.5000000000000002E-2</v>
      </c>
      <c r="K854" s="342">
        <v>0.121</v>
      </c>
      <c r="L854" s="342">
        <v>0.16500000000000001</v>
      </c>
      <c r="M854" s="342">
        <v>0.11899999999999999</v>
      </c>
    </row>
    <row r="855" spans="1:13">
      <c r="A855" t="s">
        <v>1619</v>
      </c>
      <c r="B855" s="342">
        <v>2.3E-2</v>
      </c>
      <c r="C855" s="342">
        <v>1.2999999999999999E-2</v>
      </c>
      <c r="D855" s="342">
        <v>1.2999999999999999E-2</v>
      </c>
      <c r="E855" s="342">
        <v>6.0000000000000001E-3</v>
      </c>
      <c r="F855" s="342">
        <v>5.8999999999999997E-2</v>
      </c>
      <c r="G855" s="342">
        <v>7.0000000000000001E-3</v>
      </c>
      <c r="H855" s="342">
        <v>5.0999999999999997E-2</v>
      </c>
      <c r="I855" s="342">
        <v>3.0000000000000001E-3</v>
      </c>
      <c r="J855" s="342">
        <v>0.01</v>
      </c>
      <c r="K855" s="342">
        <v>1.7000000000000001E-2</v>
      </c>
      <c r="L855" s="342">
        <v>3.3000000000000002E-2</v>
      </c>
      <c r="M855" s="342">
        <v>2.5000000000000001E-2</v>
      </c>
    </row>
    <row r="856" spans="1:13">
      <c r="A856" t="s">
        <v>1620</v>
      </c>
      <c r="B856" s="342">
        <v>0.51200000000000001</v>
      </c>
      <c r="C856" s="342">
        <v>1.875</v>
      </c>
      <c r="D856" s="342">
        <v>1.345</v>
      </c>
      <c r="E856" s="342">
        <v>0.66500000000000004</v>
      </c>
      <c r="F856" s="342">
        <v>0.54</v>
      </c>
      <c r="G856" s="342">
        <v>1.274</v>
      </c>
      <c r="H856" s="342">
        <v>0.42899999999999999</v>
      </c>
      <c r="I856" s="342">
        <v>3.2749999999999999</v>
      </c>
      <c r="J856" s="342">
        <v>1.895</v>
      </c>
      <c r="K856" s="342">
        <v>0.49399999999999999</v>
      </c>
      <c r="L856" s="342">
        <v>1.089</v>
      </c>
      <c r="M856" s="342">
        <v>0.90400000000000003</v>
      </c>
    </row>
    <row r="857" spans="1:13">
      <c r="A857" t="s">
        <v>2808</v>
      </c>
      <c r="B857" s="342">
        <v>0.28499999999999998</v>
      </c>
      <c r="C857" s="342">
        <v>0.66200000000000003</v>
      </c>
      <c r="D857" s="342">
        <v>0.41299999999999998</v>
      </c>
      <c r="E857" s="342">
        <v>0.33900000000000002</v>
      </c>
      <c r="F857" s="342">
        <v>0.79800000000000004</v>
      </c>
      <c r="G857" s="342">
        <v>0.41799999999999998</v>
      </c>
      <c r="H857" s="342">
        <v>0.44</v>
      </c>
      <c r="I857" s="342">
        <v>0.52700000000000002</v>
      </c>
      <c r="J857" s="342">
        <v>0.44800000000000001</v>
      </c>
      <c r="K857" s="342">
        <v>0.14799999999999999</v>
      </c>
      <c r="L857" s="342">
        <v>0.73099999999999998</v>
      </c>
      <c r="M857" s="342">
        <v>0.379</v>
      </c>
    </row>
    <row r="858" spans="1:13">
      <c r="A858" t="s">
        <v>2809</v>
      </c>
      <c r="B858" s="342">
        <v>0</v>
      </c>
      <c r="C858" s="342">
        <v>0</v>
      </c>
      <c r="D858" s="342">
        <v>0</v>
      </c>
      <c r="E858" s="342">
        <v>0</v>
      </c>
      <c r="F858" s="342">
        <v>0</v>
      </c>
      <c r="G858" s="342">
        <v>0</v>
      </c>
      <c r="H858" s="342">
        <v>0</v>
      </c>
      <c r="I858" s="342">
        <v>0</v>
      </c>
      <c r="J858" s="342">
        <v>0</v>
      </c>
      <c r="K858" s="342">
        <v>0</v>
      </c>
      <c r="L858" s="342">
        <v>0</v>
      </c>
      <c r="M858" s="342">
        <v>0</v>
      </c>
    </row>
    <row r="859" spans="1:13">
      <c r="A859" t="s">
        <v>2810</v>
      </c>
      <c r="B859" s="342">
        <v>0.55600000000000005</v>
      </c>
      <c r="C859" s="342">
        <v>0.35299999999999998</v>
      </c>
      <c r="D859" s="342">
        <v>0.307</v>
      </c>
      <c r="E859" s="342">
        <v>0.50900000000000001</v>
      </c>
      <c r="F859" s="342">
        <v>1.4770000000000001</v>
      </c>
      <c r="G859" s="342">
        <v>0.32900000000000001</v>
      </c>
      <c r="H859" s="342">
        <v>1.026</v>
      </c>
      <c r="I859" s="342">
        <v>0.161</v>
      </c>
      <c r="J859" s="342">
        <v>0.23599999999999999</v>
      </c>
      <c r="K859" s="342">
        <v>0.3</v>
      </c>
      <c r="L859" s="342">
        <v>0.67100000000000004</v>
      </c>
      <c r="M859" s="342">
        <v>0.41899999999999998</v>
      </c>
    </row>
    <row r="860" spans="1:13">
      <c r="A860" t="s">
        <v>9</v>
      </c>
      <c r="B860">
        <v>20.79</v>
      </c>
      <c r="C860">
        <v>50.29</v>
      </c>
      <c r="D860">
        <v>12.76</v>
      </c>
      <c r="E860">
        <v>32.020000000000003</v>
      </c>
      <c r="F860" t="s">
        <v>1468</v>
      </c>
      <c r="G860">
        <v>9.1300000000000008</v>
      </c>
      <c r="H860">
        <v>6.89</v>
      </c>
      <c r="I860">
        <v>41.88</v>
      </c>
      <c r="J860">
        <v>13.95</v>
      </c>
      <c r="K860" t="s">
        <v>1468</v>
      </c>
      <c r="L860">
        <v>84</v>
      </c>
      <c r="M860">
        <v>15.83</v>
      </c>
    </row>
    <row r="861" spans="1:13">
      <c r="A861" t="s">
        <v>8</v>
      </c>
      <c r="B861">
        <v>2.16</v>
      </c>
      <c r="C861">
        <v>8.89</v>
      </c>
      <c r="D861">
        <v>7.23</v>
      </c>
      <c r="E861">
        <v>5.18</v>
      </c>
      <c r="F861">
        <v>8.1999999999999993</v>
      </c>
      <c r="G861">
        <v>13.93</v>
      </c>
      <c r="H861">
        <v>3.37</v>
      </c>
      <c r="I861">
        <v>10.73</v>
      </c>
      <c r="J861">
        <v>11.08</v>
      </c>
      <c r="K861">
        <v>1.34</v>
      </c>
      <c r="L861">
        <v>5.4</v>
      </c>
      <c r="M861">
        <v>3.49</v>
      </c>
    </row>
    <row r="862" spans="1:13">
      <c r="A862" t="s">
        <v>10</v>
      </c>
      <c r="B862">
        <v>35.18</v>
      </c>
      <c r="C862">
        <v>90.38</v>
      </c>
      <c r="D862">
        <v>46.33</v>
      </c>
      <c r="E862">
        <v>209.27</v>
      </c>
      <c r="F862">
        <v>29.05</v>
      </c>
      <c r="G862">
        <v>74.17</v>
      </c>
      <c r="H862">
        <v>11.74</v>
      </c>
      <c r="I862">
        <v>232.09</v>
      </c>
      <c r="J862">
        <v>46.28</v>
      </c>
      <c r="K862">
        <v>103.62</v>
      </c>
      <c r="L862">
        <v>34.97</v>
      </c>
      <c r="M862">
        <v>34.82</v>
      </c>
    </row>
    <row r="863" spans="1:13">
      <c r="A863" t="s">
        <v>1621</v>
      </c>
      <c r="B863" s="342">
        <v>0.48199999999999998</v>
      </c>
      <c r="C863" s="342">
        <v>0.121</v>
      </c>
      <c r="D863" s="342">
        <v>0.19500000000000001</v>
      </c>
      <c r="E863" s="342">
        <v>0.22</v>
      </c>
      <c r="F863" t="s">
        <v>1468</v>
      </c>
      <c r="G863" s="342">
        <v>0.16800000000000001</v>
      </c>
      <c r="H863" s="342">
        <v>0.35699999999999998</v>
      </c>
      <c r="I863" s="342">
        <v>0.113</v>
      </c>
      <c r="J863" s="342">
        <v>0.14000000000000001</v>
      </c>
      <c r="K863" t="s">
        <v>1468</v>
      </c>
      <c r="L863" s="342">
        <v>0.16900000000000001</v>
      </c>
      <c r="M863" s="342">
        <v>0.32100000000000001</v>
      </c>
    </row>
    <row r="865" spans="1:13">
      <c r="A865" t="s">
        <v>2864</v>
      </c>
    </row>
    <row r="867" spans="1:13">
      <c r="A867" t="s">
        <v>158</v>
      </c>
      <c r="B867" t="s">
        <v>2806</v>
      </c>
      <c r="E867">
        <v>2017</v>
      </c>
      <c r="H867">
        <v>2018</v>
      </c>
      <c r="K867">
        <v>2019</v>
      </c>
    </row>
    <row r="868" spans="1:13">
      <c r="B868" t="s">
        <v>1623</v>
      </c>
      <c r="C868" t="s">
        <v>1624</v>
      </c>
      <c r="D868" t="s">
        <v>1622</v>
      </c>
      <c r="E868" t="s">
        <v>1623</v>
      </c>
      <c r="F868" t="s">
        <v>1624</v>
      </c>
      <c r="G868" t="s">
        <v>1622</v>
      </c>
      <c r="H868" t="s">
        <v>1623</v>
      </c>
      <c r="I868" t="s">
        <v>1624</v>
      </c>
      <c r="J868" t="s">
        <v>1622</v>
      </c>
      <c r="K868" t="s">
        <v>1623</v>
      </c>
      <c r="L868" t="s">
        <v>1624</v>
      </c>
      <c r="M868" t="s">
        <v>1622</v>
      </c>
    </row>
    <row r="869" spans="1:13">
      <c r="A869" t="s">
        <v>2807</v>
      </c>
      <c r="B869" s="342">
        <v>0.32300000000000001</v>
      </c>
      <c r="C869" s="342">
        <v>0.78800000000000003</v>
      </c>
      <c r="D869" s="342">
        <v>0.73099999999999998</v>
      </c>
      <c r="E869" s="342">
        <v>0.33400000000000002</v>
      </c>
      <c r="F869" s="342">
        <v>0.82799999999999996</v>
      </c>
      <c r="G869" s="342">
        <v>0.72699999999999998</v>
      </c>
      <c r="H869" s="342">
        <v>0.38100000000000001</v>
      </c>
      <c r="I869" s="342">
        <v>0.81299999999999994</v>
      </c>
      <c r="J869" s="342">
        <v>0.75</v>
      </c>
      <c r="K869" s="342">
        <v>0.23699999999999999</v>
      </c>
      <c r="L869" s="342">
        <v>0.64700000000000002</v>
      </c>
      <c r="M869" s="342">
        <v>0.71399999999999997</v>
      </c>
    </row>
    <row r="870" spans="1:13">
      <c r="A870" t="s">
        <v>1618</v>
      </c>
      <c r="B870" s="342">
        <v>0.45300000000000001</v>
      </c>
      <c r="C870" s="342">
        <v>0.19400000000000001</v>
      </c>
      <c r="D870" s="342">
        <v>0.20699999999999999</v>
      </c>
      <c r="E870" s="342">
        <v>0.439</v>
      </c>
      <c r="F870" s="342">
        <v>0.14899999999999999</v>
      </c>
      <c r="G870" s="342">
        <v>0.20799999999999999</v>
      </c>
      <c r="H870" s="342">
        <v>0.39700000000000002</v>
      </c>
      <c r="I870" s="342">
        <v>0.17799999999999999</v>
      </c>
      <c r="J870" s="342">
        <v>0.192</v>
      </c>
      <c r="K870" s="342">
        <v>0.54100000000000004</v>
      </c>
      <c r="L870" s="342">
        <v>0.33200000000000002</v>
      </c>
      <c r="M870" s="342">
        <v>0.222</v>
      </c>
    </row>
    <row r="871" spans="1:13">
      <c r="A871" t="s">
        <v>1619</v>
      </c>
      <c r="B871" s="342">
        <v>1.6E-2</v>
      </c>
      <c r="C871" s="342">
        <v>8.0000000000000002E-3</v>
      </c>
      <c r="D871" s="342">
        <v>8.9999999999999993E-3</v>
      </c>
      <c r="E871" s="342">
        <v>1.2999999999999999E-2</v>
      </c>
      <c r="F871" s="342">
        <v>6.0000000000000001E-3</v>
      </c>
      <c r="G871" s="342">
        <v>8.0000000000000002E-3</v>
      </c>
      <c r="H871" s="342">
        <v>1.6E-2</v>
      </c>
      <c r="I871" s="342">
        <v>8.9999999999999993E-3</v>
      </c>
      <c r="J871" s="342">
        <v>0.01</v>
      </c>
      <c r="K871" s="342">
        <v>1.9E-2</v>
      </c>
      <c r="L871" s="342">
        <v>1.0999999999999999E-2</v>
      </c>
      <c r="M871" s="342">
        <v>0.01</v>
      </c>
    </row>
    <row r="872" spans="1:13">
      <c r="A872" t="s">
        <v>1620</v>
      </c>
      <c r="B872" s="342">
        <v>0.92300000000000004</v>
      </c>
      <c r="C872" s="342">
        <v>1.341</v>
      </c>
      <c r="D872" s="342">
        <v>1.157</v>
      </c>
      <c r="E872" s="342">
        <v>0.996</v>
      </c>
      <c r="F872" s="342">
        <v>1.417</v>
      </c>
      <c r="G872" s="342">
        <v>1.1950000000000001</v>
      </c>
      <c r="H872" s="342">
        <v>0.92500000000000004</v>
      </c>
      <c r="I872" s="342">
        <v>1.226</v>
      </c>
      <c r="J872" s="342">
        <v>1.196</v>
      </c>
      <c r="K872" s="342">
        <v>0.84699999999999998</v>
      </c>
      <c r="L872" s="342">
        <v>1.4279999999999999</v>
      </c>
      <c r="M872" s="342">
        <v>1.0860000000000001</v>
      </c>
    </row>
    <row r="873" spans="1:13">
      <c r="A873" t="s">
        <v>2808</v>
      </c>
      <c r="B873" s="342">
        <v>0.19700000000000001</v>
      </c>
      <c r="C873" s="342">
        <v>0.19600000000000001</v>
      </c>
      <c r="D873" s="342">
        <v>0.157</v>
      </c>
      <c r="E873" s="342">
        <v>0.16200000000000001</v>
      </c>
      <c r="F873" s="342">
        <v>0.24299999999999999</v>
      </c>
      <c r="G873" s="342">
        <v>0.16300000000000001</v>
      </c>
      <c r="H873" s="342">
        <v>0.19700000000000001</v>
      </c>
      <c r="I873" s="342">
        <v>0.13700000000000001</v>
      </c>
      <c r="J873" s="342">
        <v>0.15</v>
      </c>
      <c r="K873" s="342">
        <v>0.23400000000000001</v>
      </c>
      <c r="L873" s="342">
        <v>0.222</v>
      </c>
      <c r="M873" s="342">
        <v>0.158</v>
      </c>
    </row>
    <row r="874" spans="1:13">
      <c r="A874" t="s">
        <v>2809</v>
      </c>
      <c r="B874" s="342">
        <v>2.5000000000000001E-2</v>
      </c>
      <c r="C874" s="342">
        <v>1.9E-2</v>
      </c>
      <c r="D874" s="342">
        <v>4.7E-2</v>
      </c>
      <c r="E874" s="342">
        <v>2.3E-2</v>
      </c>
      <c r="F874" s="342">
        <v>1.6E-2</v>
      </c>
      <c r="G874" s="342">
        <v>0.05</v>
      </c>
      <c r="H874" s="342">
        <v>2.5999999999999999E-2</v>
      </c>
      <c r="I874" s="342">
        <v>1.7000000000000001E-2</v>
      </c>
      <c r="J874" s="342">
        <v>4.7E-2</v>
      </c>
      <c r="K874" s="342">
        <v>2.7E-2</v>
      </c>
      <c r="L874" s="342">
        <v>3.1E-2</v>
      </c>
      <c r="M874" s="342">
        <v>4.3999999999999997E-2</v>
      </c>
    </row>
    <row r="875" spans="1:13">
      <c r="A875" t="s">
        <v>2810</v>
      </c>
      <c r="B875" s="342">
        <v>0.24099999999999999</v>
      </c>
      <c r="C875" s="342">
        <v>0.16</v>
      </c>
      <c r="D875" s="342">
        <v>0.17599999999999999</v>
      </c>
      <c r="E875" s="342">
        <v>0.185</v>
      </c>
      <c r="F875" s="342">
        <v>0.182</v>
      </c>
      <c r="G875" s="342">
        <v>0.17899999999999999</v>
      </c>
      <c r="H875" s="342">
        <v>0.24</v>
      </c>
      <c r="I875" s="342">
        <v>0.125</v>
      </c>
      <c r="J875" s="342">
        <v>0.16400000000000001</v>
      </c>
      <c r="K875" s="342">
        <v>0.308</v>
      </c>
      <c r="L875" s="342">
        <v>0.17699999999999999</v>
      </c>
      <c r="M875" s="342">
        <v>0.186</v>
      </c>
    </row>
    <row r="876" spans="1:13">
      <c r="A876" t="s">
        <v>9</v>
      </c>
      <c r="B876">
        <v>6.92</v>
      </c>
      <c r="C876">
        <v>4.21</v>
      </c>
      <c r="D876">
        <v>5.64</v>
      </c>
      <c r="E876">
        <v>6.87</v>
      </c>
      <c r="F876">
        <v>3.75</v>
      </c>
      <c r="G876">
        <v>4.91</v>
      </c>
      <c r="H876">
        <v>6.77</v>
      </c>
      <c r="I876">
        <v>4.13</v>
      </c>
      <c r="J876">
        <v>6.04</v>
      </c>
      <c r="K876">
        <v>7.18</v>
      </c>
      <c r="L876">
        <v>6.24</v>
      </c>
      <c r="M876">
        <v>6.07</v>
      </c>
    </row>
    <row r="877" spans="1:13">
      <c r="A877" t="s">
        <v>8</v>
      </c>
      <c r="B877">
        <v>16.14</v>
      </c>
      <c r="C877">
        <v>74.78</v>
      </c>
      <c r="D877">
        <v>39.67</v>
      </c>
      <c r="E877">
        <v>12.96</v>
      </c>
      <c r="F877">
        <v>104.07</v>
      </c>
      <c r="G877">
        <v>34.299999999999997</v>
      </c>
      <c r="H877">
        <v>14.73</v>
      </c>
      <c r="I877">
        <v>112.91</v>
      </c>
      <c r="J877">
        <v>43.57</v>
      </c>
      <c r="K877">
        <v>27.56</v>
      </c>
      <c r="L877">
        <v>32.200000000000003</v>
      </c>
      <c r="M877">
        <v>41.8</v>
      </c>
    </row>
    <row r="878" spans="1:13">
      <c r="A878" t="s">
        <v>10</v>
      </c>
      <c r="B878">
        <v>29.22</v>
      </c>
      <c r="C878">
        <v>8.7100000000000009</v>
      </c>
      <c r="D878">
        <v>11.26</v>
      </c>
      <c r="E878">
        <v>33.82</v>
      </c>
      <c r="F878">
        <v>5.53</v>
      </c>
      <c r="G878">
        <v>8.52</v>
      </c>
      <c r="H878">
        <v>27.18</v>
      </c>
      <c r="I878">
        <v>12.71</v>
      </c>
      <c r="J878">
        <v>13.5</v>
      </c>
      <c r="K878">
        <v>27.37</v>
      </c>
      <c r="L878">
        <v>29.68</v>
      </c>
      <c r="M878">
        <v>12.85</v>
      </c>
    </row>
    <row r="879" spans="1:13">
      <c r="A879" t="s">
        <v>1621</v>
      </c>
      <c r="B879" s="342">
        <v>0.17199999999999999</v>
      </c>
      <c r="C879" s="342">
        <v>0.13600000000000001</v>
      </c>
      <c r="D879" s="342">
        <v>0.114</v>
      </c>
      <c r="E879" s="342">
        <v>0.193</v>
      </c>
      <c r="F879" s="342">
        <v>9.5000000000000001E-2</v>
      </c>
      <c r="G879" s="342">
        <v>0.11600000000000001</v>
      </c>
      <c r="H879" s="342">
        <v>0.17899999999999999</v>
      </c>
      <c r="I879" s="342">
        <v>0.17199999999999999</v>
      </c>
      <c r="J879" s="342">
        <v>0.114</v>
      </c>
      <c r="K879" s="342">
        <v>0.13900000000000001</v>
      </c>
      <c r="L879" s="342">
        <v>0.158</v>
      </c>
      <c r="M879" s="342">
        <v>0.111</v>
      </c>
    </row>
    <row r="881" spans="1:13">
      <c r="A881" t="s">
        <v>2865</v>
      </c>
    </row>
    <row r="883" spans="1:13">
      <c r="A883" t="s">
        <v>158</v>
      </c>
      <c r="B883" t="s">
        <v>2806</v>
      </c>
      <c r="E883">
        <v>2017</v>
      </c>
      <c r="H883">
        <v>2018</v>
      </c>
      <c r="K883">
        <v>2019</v>
      </c>
    </row>
    <row r="884" spans="1:13">
      <c r="B884" t="s">
        <v>1623</v>
      </c>
      <c r="C884" t="s">
        <v>1624</v>
      </c>
      <c r="D884" t="s">
        <v>1622</v>
      </c>
      <c r="E884" t="s">
        <v>1623</v>
      </c>
      <c r="F884" t="s">
        <v>1624</v>
      </c>
      <c r="G884" t="s">
        <v>1622</v>
      </c>
      <c r="H884" t="s">
        <v>1623</v>
      </c>
      <c r="I884" t="s">
        <v>1624</v>
      </c>
      <c r="J884" t="s">
        <v>1622</v>
      </c>
      <c r="K884" t="s">
        <v>1623</v>
      </c>
      <c r="L884" t="s">
        <v>1624</v>
      </c>
      <c r="M884" t="s">
        <v>1622</v>
      </c>
    </row>
    <row r="885" spans="1:13">
      <c r="A885" t="s">
        <v>2807</v>
      </c>
      <c r="B885" s="342">
        <v>0.28699999999999998</v>
      </c>
      <c r="C885" s="342">
        <v>0.40100000000000002</v>
      </c>
      <c r="D885" s="342">
        <v>0.434</v>
      </c>
      <c r="E885" s="342">
        <v>0.36099999999999999</v>
      </c>
      <c r="F885" s="342">
        <v>0.33</v>
      </c>
      <c r="G885" s="342">
        <v>0.42499999999999999</v>
      </c>
      <c r="H885" s="342">
        <v>0.38500000000000001</v>
      </c>
      <c r="I885" s="342">
        <v>0.40300000000000002</v>
      </c>
      <c r="J885" s="342">
        <v>0.443</v>
      </c>
      <c r="K885" s="342">
        <v>0.14799999999999999</v>
      </c>
      <c r="L885" s="342">
        <v>0.45300000000000001</v>
      </c>
      <c r="M885" s="342">
        <v>0.433</v>
      </c>
    </row>
    <row r="886" spans="1:13">
      <c r="A886" t="s">
        <v>1618</v>
      </c>
      <c r="B886" s="342">
        <v>0.44</v>
      </c>
      <c r="C886" s="342">
        <v>0.58799999999999997</v>
      </c>
      <c r="D886" s="342">
        <v>0.48</v>
      </c>
      <c r="E886" s="342">
        <v>0.43099999999999999</v>
      </c>
      <c r="F886" s="342">
        <v>0.65900000000000003</v>
      </c>
      <c r="G886" s="342">
        <v>0.50600000000000001</v>
      </c>
      <c r="H886" s="342">
        <v>0.39</v>
      </c>
      <c r="I886" s="342">
        <v>0.58499999999999996</v>
      </c>
      <c r="J886" s="342">
        <v>0.48099999999999998</v>
      </c>
      <c r="K886" s="342">
        <v>0.49099999999999999</v>
      </c>
      <c r="L886" s="342">
        <v>0.53900000000000003</v>
      </c>
      <c r="M886" s="342">
        <v>0.45900000000000002</v>
      </c>
    </row>
    <row r="887" spans="1:13">
      <c r="A887" t="s">
        <v>1619</v>
      </c>
      <c r="B887" s="342">
        <v>0.03</v>
      </c>
      <c r="C887" s="342">
        <v>7.0000000000000001E-3</v>
      </c>
      <c r="D887" s="342">
        <v>1.7999999999999999E-2</v>
      </c>
      <c r="E887" s="342">
        <v>2.4E-2</v>
      </c>
      <c r="F887" s="342">
        <v>7.0000000000000001E-3</v>
      </c>
      <c r="G887" s="342">
        <v>1.6E-2</v>
      </c>
      <c r="H887" s="342">
        <v>2.1999999999999999E-2</v>
      </c>
      <c r="I887" s="342">
        <v>6.0000000000000001E-3</v>
      </c>
      <c r="J887" s="342">
        <v>1.6E-2</v>
      </c>
      <c r="K887" s="342">
        <v>0.04</v>
      </c>
      <c r="L887" s="342">
        <v>8.0000000000000002E-3</v>
      </c>
      <c r="M887" s="342">
        <v>2.1000000000000001E-2</v>
      </c>
    </row>
    <row r="888" spans="1:13">
      <c r="A888" t="s">
        <v>1620</v>
      </c>
      <c r="B888" s="342">
        <v>0.33</v>
      </c>
      <c r="C888" s="342">
        <v>1.909</v>
      </c>
      <c r="D888" s="342">
        <v>0.73399999999999999</v>
      </c>
      <c r="E888" s="342">
        <v>0.38200000000000001</v>
      </c>
      <c r="F888" s="342">
        <v>1.175</v>
      </c>
      <c r="G888" s="342">
        <v>0.746</v>
      </c>
      <c r="H888" s="342">
        <v>0.34</v>
      </c>
      <c r="I888" s="342">
        <v>2.1840000000000002</v>
      </c>
      <c r="J888" s="342">
        <v>0.74199999999999999</v>
      </c>
      <c r="K888" s="342">
        <v>0.29199999999999998</v>
      </c>
      <c r="L888" s="342">
        <v>3.0089999999999999</v>
      </c>
      <c r="M888" s="342">
        <v>0.71799999999999997</v>
      </c>
    </row>
    <row r="889" spans="1:13">
      <c r="A889" t="s">
        <v>2808</v>
      </c>
      <c r="B889" s="342">
        <v>0.54500000000000004</v>
      </c>
      <c r="C889" s="342">
        <v>0.26700000000000002</v>
      </c>
      <c r="D889" s="342">
        <v>0.47699999999999998</v>
      </c>
      <c r="E889" s="342">
        <v>0.66100000000000003</v>
      </c>
      <c r="F889" s="342">
        <v>0.39200000000000002</v>
      </c>
      <c r="G889" s="342">
        <v>0.52300000000000002</v>
      </c>
      <c r="H889" s="342">
        <v>0.629</v>
      </c>
      <c r="I889" s="342">
        <v>0.153</v>
      </c>
      <c r="J889" s="342">
        <v>0.53100000000000003</v>
      </c>
      <c r="K889" s="342">
        <v>0.41499999999999998</v>
      </c>
      <c r="L889" s="342">
        <v>0.152</v>
      </c>
      <c r="M889" s="342">
        <v>0.39800000000000002</v>
      </c>
    </row>
    <row r="890" spans="1:13">
      <c r="A890" t="s">
        <v>2809</v>
      </c>
      <c r="B890" s="342">
        <v>1.0999999999999999E-2</v>
      </c>
      <c r="C890" s="342">
        <v>1.2E-2</v>
      </c>
      <c r="D890" s="342">
        <v>3.1E-2</v>
      </c>
      <c r="E890" s="342">
        <v>2E-3</v>
      </c>
      <c r="F890" s="342">
        <v>6.0000000000000001E-3</v>
      </c>
      <c r="G890" s="342">
        <v>1.0999999999999999E-2</v>
      </c>
      <c r="H890" s="342">
        <v>1.7000000000000001E-2</v>
      </c>
      <c r="I890" s="342">
        <v>2.5999999999999999E-2</v>
      </c>
      <c r="J890" s="342">
        <v>1.2999999999999999E-2</v>
      </c>
      <c r="K890" s="342">
        <v>1.2E-2</v>
      </c>
      <c r="L890" s="342">
        <v>0.01</v>
      </c>
      <c r="M890" s="342">
        <v>6.2E-2</v>
      </c>
    </row>
    <row r="891" spans="1:13">
      <c r="A891" t="s">
        <v>2810</v>
      </c>
      <c r="B891" s="342">
        <v>1.6839999999999999</v>
      </c>
      <c r="C891" s="342">
        <v>0.14599999999999999</v>
      </c>
      <c r="D891" s="342">
        <v>0.69299999999999995</v>
      </c>
      <c r="E891" s="342">
        <v>1.7350000000000001</v>
      </c>
      <c r="F891" s="342">
        <v>0.33900000000000002</v>
      </c>
      <c r="G891" s="342">
        <v>0.71599999999999997</v>
      </c>
      <c r="H891" s="342">
        <v>1.897</v>
      </c>
      <c r="I891" s="342">
        <v>8.2000000000000003E-2</v>
      </c>
      <c r="J891" s="342">
        <v>0.73399999999999999</v>
      </c>
      <c r="K891" s="342">
        <v>1.4610000000000001</v>
      </c>
      <c r="L891" s="342">
        <v>5.3999999999999999E-2</v>
      </c>
      <c r="M891" s="342">
        <v>0.64</v>
      </c>
    </row>
    <row r="892" spans="1:13">
      <c r="A892" t="s">
        <v>9</v>
      </c>
      <c r="B892">
        <v>13.77</v>
      </c>
      <c r="C892">
        <v>14.04</v>
      </c>
      <c r="D892">
        <v>12.16</v>
      </c>
      <c r="E892">
        <v>12.02</v>
      </c>
      <c r="F892">
        <v>15.78</v>
      </c>
      <c r="G892">
        <v>11.59</v>
      </c>
      <c r="H892">
        <v>12.19</v>
      </c>
      <c r="I892">
        <v>14.17</v>
      </c>
      <c r="J892">
        <v>11.66</v>
      </c>
      <c r="K892">
        <v>17.7</v>
      </c>
      <c r="L892">
        <v>12.91</v>
      </c>
      <c r="M892">
        <v>13.14</v>
      </c>
    </row>
    <row r="893" spans="1:13">
      <c r="A893" t="s">
        <v>8</v>
      </c>
      <c r="B893">
        <v>23.78</v>
      </c>
      <c r="C893">
        <v>58.04</v>
      </c>
      <c r="D893">
        <v>26.83</v>
      </c>
      <c r="E893">
        <v>64.13</v>
      </c>
      <c r="F893">
        <v>56.09</v>
      </c>
      <c r="G893">
        <v>42.44</v>
      </c>
      <c r="H893">
        <v>9.57</v>
      </c>
      <c r="I893">
        <v>46.75</v>
      </c>
      <c r="J893">
        <v>21.12</v>
      </c>
      <c r="K893">
        <v>144.32</v>
      </c>
      <c r="L893">
        <v>73.52</v>
      </c>
      <c r="M893">
        <v>24.78</v>
      </c>
    </row>
    <row r="894" spans="1:13">
      <c r="A894" t="s">
        <v>10</v>
      </c>
      <c r="B894">
        <v>39.58</v>
      </c>
      <c r="C894">
        <v>65.319999999999993</v>
      </c>
      <c r="D894">
        <v>49.63</v>
      </c>
      <c r="E894">
        <v>25.15</v>
      </c>
      <c r="F894">
        <v>74.16</v>
      </c>
      <c r="G894">
        <v>49.35</v>
      </c>
      <c r="H894">
        <v>26.93</v>
      </c>
      <c r="I894">
        <v>84.52</v>
      </c>
      <c r="J894">
        <v>46.77</v>
      </c>
      <c r="K894">
        <v>239.65</v>
      </c>
      <c r="L894">
        <v>51.76</v>
      </c>
      <c r="M894">
        <v>52.46</v>
      </c>
    </row>
    <row r="895" spans="1:13">
      <c r="A895" t="s">
        <v>1621</v>
      </c>
      <c r="B895" s="342">
        <v>8.8999999999999996E-2</v>
      </c>
      <c r="C895" s="342">
        <v>7.2999999999999995E-2</v>
      </c>
      <c r="D895" s="342">
        <v>9.9000000000000005E-2</v>
      </c>
      <c r="E895" s="342">
        <v>5.8999999999999997E-2</v>
      </c>
      <c r="F895" s="342">
        <v>6.8000000000000005E-2</v>
      </c>
      <c r="G895" s="342">
        <v>0.09</v>
      </c>
      <c r="H895" s="342">
        <v>0.14899999999999999</v>
      </c>
      <c r="I895" s="342">
        <v>0.08</v>
      </c>
      <c r="J895" s="342">
        <v>0.112</v>
      </c>
      <c r="K895" s="342">
        <v>5.8999999999999997E-2</v>
      </c>
      <c r="L895" s="342">
        <v>7.1999999999999995E-2</v>
      </c>
      <c r="M895" s="342">
        <v>9.7000000000000003E-2</v>
      </c>
    </row>
    <row r="897" spans="1:13">
      <c r="A897" t="s">
        <v>2866</v>
      </c>
    </row>
    <row r="899" spans="1:13">
      <c r="A899" t="s">
        <v>158</v>
      </c>
      <c r="B899" t="s">
        <v>2806</v>
      </c>
      <c r="E899">
        <v>2017</v>
      </c>
      <c r="H899">
        <v>2018</v>
      </c>
      <c r="K899">
        <v>2019</v>
      </c>
    </row>
    <row r="900" spans="1:13">
      <c r="B900" t="s">
        <v>1623</v>
      </c>
      <c r="C900" t="s">
        <v>1624</v>
      </c>
      <c r="D900" t="s">
        <v>1622</v>
      </c>
      <c r="E900" t="s">
        <v>1623</v>
      </c>
      <c r="F900" t="s">
        <v>1624</v>
      </c>
      <c r="G900" t="s">
        <v>1622</v>
      </c>
      <c r="H900" t="s">
        <v>1623</v>
      </c>
      <c r="I900" t="s">
        <v>1624</v>
      </c>
      <c r="J900" t="s">
        <v>1622</v>
      </c>
      <c r="K900" t="s">
        <v>1623</v>
      </c>
      <c r="L900" t="s">
        <v>1624</v>
      </c>
      <c r="M900" t="s">
        <v>1622</v>
      </c>
    </row>
    <row r="901" spans="1:13">
      <c r="A901" t="s">
        <v>2807</v>
      </c>
      <c r="B901" s="342">
        <v>0.2</v>
      </c>
      <c r="C901" s="342">
        <v>0.254</v>
      </c>
      <c r="D901" s="342">
        <v>0.20399999999999999</v>
      </c>
      <c r="E901" s="342">
        <v>0.217</v>
      </c>
      <c r="F901" s="342">
        <v>0.30399999999999999</v>
      </c>
      <c r="G901" s="342">
        <v>0.215</v>
      </c>
      <c r="H901" s="342">
        <v>0.20100000000000001</v>
      </c>
      <c r="I901" s="342">
        <v>0.23599999999999999</v>
      </c>
      <c r="J901" s="342">
        <v>0.20799999999999999</v>
      </c>
      <c r="K901" s="342">
        <v>0.19600000000000001</v>
      </c>
      <c r="L901" s="342">
        <v>0.253</v>
      </c>
      <c r="M901" s="342">
        <v>0.19700000000000001</v>
      </c>
    </row>
    <row r="902" spans="1:13">
      <c r="A902" t="s">
        <v>1618</v>
      </c>
      <c r="B902" s="342">
        <v>0.56200000000000006</v>
      </c>
      <c r="C902" s="342">
        <v>0.71599999999999997</v>
      </c>
      <c r="D902" s="342">
        <v>0.67400000000000004</v>
      </c>
      <c r="E902" s="342">
        <v>0.56299999999999994</v>
      </c>
      <c r="F902" s="342">
        <v>0.65300000000000002</v>
      </c>
      <c r="G902" s="342">
        <v>0.66800000000000004</v>
      </c>
      <c r="H902" s="342">
        <v>0.53900000000000003</v>
      </c>
      <c r="I902" s="342">
        <v>0.73899999999999999</v>
      </c>
      <c r="J902" s="342">
        <v>0.67800000000000005</v>
      </c>
      <c r="K902" s="342">
        <v>0.57099999999999995</v>
      </c>
      <c r="L902" s="342">
        <v>0.71799999999999997</v>
      </c>
      <c r="M902" s="342">
        <v>0.67300000000000004</v>
      </c>
    </row>
    <row r="903" spans="1:13">
      <c r="A903" t="s">
        <v>1619</v>
      </c>
      <c r="B903" s="342">
        <v>5.3999999999999999E-2</v>
      </c>
      <c r="C903" s="342">
        <v>2.7E-2</v>
      </c>
      <c r="D903" s="342">
        <v>4.1000000000000002E-2</v>
      </c>
      <c r="E903" s="342">
        <v>7.6999999999999999E-2</v>
      </c>
      <c r="F903" s="342">
        <v>0.03</v>
      </c>
      <c r="G903" s="342">
        <v>5.8000000000000003E-2</v>
      </c>
      <c r="H903" s="342">
        <v>0.05</v>
      </c>
      <c r="I903" s="342">
        <v>1.7999999999999999E-2</v>
      </c>
      <c r="J903" s="342">
        <v>3.5000000000000003E-2</v>
      </c>
      <c r="K903" s="342">
        <v>5.0999999999999997E-2</v>
      </c>
      <c r="L903" s="342">
        <v>3.2000000000000001E-2</v>
      </c>
      <c r="M903" s="342">
        <v>0.04</v>
      </c>
    </row>
    <row r="904" spans="1:13">
      <c r="A904" t="s">
        <v>1620</v>
      </c>
      <c r="B904" s="342">
        <v>0.624</v>
      </c>
      <c r="C904" s="342">
        <v>2.0150000000000001</v>
      </c>
      <c r="D904" s="342">
        <v>0.94599999999999995</v>
      </c>
      <c r="E904" s="342">
        <v>0.46200000000000002</v>
      </c>
      <c r="F904" s="342">
        <v>2.073</v>
      </c>
      <c r="G904" s="342">
        <v>0.627</v>
      </c>
      <c r="H904" s="342">
        <v>0.54</v>
      </c>
      <c r="I904" s="342">
        <v>1.9370000000000001</v>
      </c>
      <c r="J904" s="342">
        <v>0.95199999999999996</v>
      </c>
      <c r="K904" s="342">
        <v>0.73099999999999998</v>
      </c>
      <c r="L904" s="342">
        <v>2.0649999999999999</v>
      </c>
      <c r="M904" s="342">
        <v>1.119</v>
      </c>
    </row>
    <row r="905" spans="1:13">
      <c r="A905" t="s">
        <v>2808</v>
      </c>
      <c r="B905" s="342">
        <v>0.878</v>
      </c>
      <c r="C905" s="342">
        <v>0.32700000000000001</v>
      </c>
      <c r="D905" s="342">
        <v>0.68200000000000005</v>
      </c>
      <c r="E905" s="342">
        <v>0.95399999999999996</v>
      </c>
      <c r="F905" s="342">
        <v>0.39200000000000002</v>
      </c>
      <c r="G905" s="342">
        <v>0.79500000000000004</v>
      </c>
      <c r="H905" s="342">
        <v>0.84199999999999997</v>
      </c>
      <c r="I905" s="342">
        <v>0.29899999999999999</v>
      </c>
      <c r="J905" s="342">
        <v>0.67100000000000004</v>
      </c>
      <c r="K905" s="342">
        <v>0.86899999999999999</v>
      </c>
      <c r="L905" s="342">
        <v>0.33100000000000002</v>
      </c>
      <c r="M905" s="342">
        <v>0.63</v>
      </c>
    </row>
    <row r="906" spans="1:13">
      <c r="A906" t="s">
        <v>2809</v>
      </c>
      <c r="B906" s="342">
        <v>0</v>
      </c>
      <c r="C906" s="342">
        <v>0</v>
      </c>
      <c r="D906" s="342">
        <v>0</v>
      </c>
      <c r="E906" s="342">
        <v>0</v>
      </c>
      <c r="F906" s="342">
        <v>0</v>
      </c>
      <c r="G906" s="342">
        <v>0</v>
      </c>
      <c r="H906" s="342">
        <v>0</v>
      </c>
      <c r="I906" s="342">
        <v>0</v>
      </c>
      <c r="J906" s="342">
        <v>0</v>
      </c>
      <c r="K906" s="342">
        <v>0</v>
      </c>
      <c r="L906" s="342">
        <v>1E-3</v>
      </c>
      <c r="M906" s="342">
        <v>0</v>
      </c>
    </row>
    <row r="907" spans="1:13">
      <c r="A907" t="s">
        <v>2810</v>
      </c>
      <c r="B907" s="342">
        <v>1.4079999999999999</v>
      </c>
      <c r="C907" s="342">
        <v>0.16300000000000001</v>
      </c>
      <c r="D907" s="342">
        <v>0.72099999999999997</v>
      </c>
      <c r="E907" s="342">
        <v>2.0670000000000002</v>
      </c>
      <c r="F907" s="342">
        <v>0.189</v>
      </c>
      <c r="G907" s="342">
        <v>1.2669999999999999</v>
      </c>
      <c r="H907" s="342">
        <v>1.5609999999999999</v>
      </c>
      <c r="I907" s="342">
        <v>0.154</v>
      </c>
      <c r="J907" s="342">
        <v>0.70499999999999996</v>
      </c>
      <c r="K907" s="342">
        <v>1.19</v>
      </c>
      <c r="L907" s="342">
        <v>0.161</v>
      </c>
      <c r="M907" s="342">
        <v>0.56299999999999994</v>
      </c>
    </row>
    <row r="908" spans="1:13">
      <c r="A908" t="s">
        <v>9</v>
      </c>
      <c r="B908">
        <v>1279.8599999999999</v>
      </c>
      <c r="C908">
        <v>42.25</v>
      </c>
      <c r="D908">
        <v>79.569999999999993</v>
      </c>
      <c r="E908">
        <v>184.68</v>
      </c>
      <c r="F908">
        <v>18.72</v>
      </c>
      <c r="G908">
        <v>46.14</v>
      </c>
      <c r="H908" t="s">
        <v>1468</v>
      </c>
      <c r="I908">
        <v>53.8</v>
      </c>
      <c r="J908">
        <v>94.5</v>
      </c>
      <c r="K908" t="s">
        <v>1468</v>
      </c>
      <c r="L908">
        <v>54.53</v>
      </c>
      <c r="M908">
        <v>89.6</v>
      </c>
    </row>
    <row r="909" spans="1:13">
      <c r="A909" t="s">
        <v>8</v>
      </c>
      <c r="B909">
        <v>60.53</v>
      </c>
      <c r="C909">
        <v>11.82</v>
      </c>
      <c r="D909">
        <v>22.91</v>
      </c>
      <c r="E909">
        <v>43.51</v>
      </c>
      <c r="F909">
        <v>23.96</v>
      </c>
      <c r="G909">
        <v>36.909999999999997</v>
      </c>
      <c r="H909">
        <v>169.09</v>
      </c>
      <c r="I909">
        <v>10.7</v>
      </c>
      <c r="J909">
        <v>19.829999999999998</v>
      </c>
      <c r="K909">
        <v>51.99</v>
      </c>
      <c r="L909">
        <v>10.98</v>
      </c>
      <c r="M909">
        <v>22.76</v>
      </c>
    </row>
    <row r="910" spans="1:13">
      <c r="A910" t="s">
        <v>10</v>
      </c>
      <c r="B910">
        <v>201.69</v>
      </c>
      <c r="C910">
        <v>40.19</v>
      </c>
      <c r="D910">
        <v>63.49</v>
      </c>
      <c r="E910">
        <v>5853.39</v>
      </c>
      <c r="F910">
        <v>148.41</v>
      </c>
      <c r="G910">
        <v>103.88</v>
      </c>
      <c r="H910">
        <v>424.91</v>
      </c>
      <c r="I910">
        <v>92.7</v>
      </c>
      <c r="J910">
        <v>82.62</v>
      </c>
      <c r="K910">
        <v>140.25</v>
      </c>
      <c r="L910">
        <v>23.6</v>
      </c>
      <c r="M910">
        <v>49.35</v>
      </c>
    </row>
    <row r="911" spans="1:13">
      <c r="A911" t="s">
        <v>1621</v>
      </c>
      <c r="B911" s="342">
        <v>1.2E-2</v>
      </c>
      <c r="C911" s="342">
        <v>8.3000000000000004E-2</v>
      </c>
      <c r="D911" s="342">
        <v>0.04</v>
      </c>
      <c r="E911" s="342">
        <v>2.8000000000000001E-2</v>
      </c>
      <c r="F911" s="342">
        <v>8.7999999999999995E-2</v>
      </c>
      <c r="G911" s="342">
        <v>3.9E-2</v>
      </c>
      <c r="H911" t="s">
        <v>1468</v>
      </c>
      <c r="I911" s="342">
        <v>0.10100000000000001</v>
      </c>
      <c r="J911" s="342">
        <v>4.9000000000000002E-2</v>
      </c>
      <c r="K911" t="s">
        <v>1468</v>
      </c>
      <c r="L911" s="342">
        <v>6.7000000000000004E-2</v>
      </c>
      <c r="M911" s="342">
        <v>3.5000000000000003E-2</v>
      </c>
    </row>
    <row r="913" spans="1:13">
      <c r="A913" t="s">
        <v>2867</v>
      </c>
    </row>
    <row r="915" spans="1:13">
      <c r="A915" t="s">
        <v>158</v>
      </c>
      <c r="B915" t="s">
        <v>2806</v>
      </c>
      <c r="E915">
        <v>2017</v>
      </c>
      <c r="H915">
        <v>2018</v>
      </c>
      <c r="K915">
        <v>2019</v>
      </c>
    </row>
    <row r="916" spans="1:13">
      <c r="B916" t="s">
        <v>1623</v>
      </c>
      <c r="C916" t="s">
        <v>1624</v>
      </c>
      <c r="D916" t="s">
        <v>1622</v>
      </c>
      <c r="E916" t="s">
        <v>1623</v>
      </c>
      <c r="F916" t="s">
        <v>1624</v>
      </c>
      <c r="G916" t="s">
        <v>1622</v>
      </c>
      <c r="H916" t="s">
        <v>1623</v>
      </c>
      <c r="I916" t="s">
        <v>1624</v>
      </c>
      <c r="J916" t="s">
        <v>1622</v>
      </c>
      <c r="K916" t="s">
        <v>1623</v>
      </c>
      <c r="L916" t="s">
        <v>1624</v>
      </c>
      <c r="M916" t="s">
        <v>1622</v>
      </c>
    </row>
    <row r="917" spans="1:13">
      <c r="A917" t="s">
        <v>2807</v>
      </c>
      <c r="B917" s="342">
        <v>0.45700000000000002</v>
      </c>
      <c r="C917" s="342">
        <v>0.70299999999999996</v>
      </c>
      <c r="D917" s="342">
        <v>0.42299999999999999</v>
      </c>
      <c r="E917" s="342">
        <v>0.38500000000000001</v>
      </c>
      <c r="F917" s="342">
        <v>0.59599999999999997</v>
      </c>
      <c r="G917" s="342">
        <v>0.41</v>
      </c>
      <c r="H917" s="342">
        <v>0.30099999999999999</v>
      </c>
      <c r="I917" s="342">
        <v>0.72099999999999997</v>
      </c>
      <c r="J917" s="342">
        <v>0.36499999999999999</v>
      </c>
      <c r="K917" s="342">
        <v>0.55800000000000005</v>
      </c>
      <c r="L917" s="342">
        <v>0.751</v>
      </c>
      <c r="M917" s="342">
        <v>0.45600000000000002</v>
      </c>
    </row>
    <row r="918" spans="1:13">
      <c r="A918" t="s">
        <v>1618</v>
      </c>
      <c r="B918" s="342">
        <v>0.35099999999999998</v>
      </c>
      <c r="C918" s="342">
        <v>0.26700000000000002</v>
      </c>
      <c r="D918" s="342">
        <v>0.47199999999999998</v>
      </c>
      <c r="E918" s="342">
        <v>0.39200000000000002</v>
      </c>
      <c r="F918" s="342">
        <v>0.36199999999999999</v>
      </c>
      <c r="G918" s="342">
        <v>0.45700000000000002</v>
      </c>
      <c r="H918" s="342">
        <v>0.495</v>
      </c>
      <c r="I918" s="342">
        <v>0.26200000000000001</v>
      </c>
      <c r="J918" s="342">
        <v>0.54500000000000004</v>
      </c>
      <c r="K918" s="342">
        <v>0.27200000000000002</v>
      </c>
      <c r="L918" s="342">
        <v>0.219</v>
      </c>
      <c r="M918" s="342">
        <v>0.44800000000000001</v>
      </c>
    </row>
    <row r="919" spans="1:13">
      <c r="A919" t="s">
        <v>1619</v>
      </c>
      <c r="B919" s="342">
        <v>1.6E-2</v>
      </c>
      <c r="C919" s="342">
        <v>0.03</v>
      </c>
      <c r="D919" s="342">
        <v>3.4000000000000002E-2</v>
      </c>
      <c r="E919" s="342">
        <v>1.2E-2</v>
      </c>
      <c r="F919" s="342">
        <v>3.0000000000000001E-3</v>
      </c>
      <c r="G919" s="342">
        <v>8.0000000000000002E-3</v>
      </c>
      <c r="H919" s="342">
        <v>1.7999999999999999E-2</v>
      </c>
      <c r="I919" s="342">
        <v>1.7999999999999999E-2</v>
      </c>
      <c r="J919" s="342">
        <v>3.5000000000000003E-2</v>
      </c>
      <c r="K919" s="342">
        <v>1.7999999999999999E-2</v>
      </c>
      <c r="L919" s="342">
        <v>5.0999999999999997E-2</v>
      </c>
      <c r="M919" s="342">
        <v>4.8000000000000001E-2</v>
      </c>
    </row>
    <row r="920" spans="1:13">
      <c r="A920" t="s">
        <v>1620</v>
      </c>
      <c r="B920" s="342">
        <v>1.1759999999999999</v>
      </c>
      <c r="C920" s="342">
        <v>1.07</v>
      </c>
      <c r="D920" s="342">
        <v>1.0880000000000001</v>
      </c>
      <c r="E920" s="342">
        <v>1.2849999999999999</v>
      </c>
      <c r="F920" s="342">
        <v>1.153</v>
      </c>
      <c r="G920" s="342">
        <v>1.3280000000000001</v>
      </c>
      <c r="H920" s="342">
        <v>1.036</v>
      </c>
      <c r="I920" s="342">
        <v>0.94199999999999995</v>
      </c>
      <c r="J920" s="342">
        <v>1.018</v>
      </c>
      <c r="K920" s="342">
        <v>1.1850000000000001</v>
      </c>
      <c r="L920" s="342">
        <v>1.107</v>
      </c>
      <c r="M920" s="342">
        <v>1.02</v>
      </c>
    </row>
    <row r="921" spans="1:13">
      <c r="A921" t="s">
        <v>2808</v>
      </c>
      <c r="B921" s="342">
        <v>0.33800000000000002</v>
      </c>
      <c r="C921" s="342">
        <v>0.372</v>
      </c>
      <c r="D921" s="342">
        <v>0.28799999999999998</v>
      </c>
      <c r="E921" s="342">
        <v>0.313</v>
      </c>
      <c r="F921" s="342">
        <v>0.435</v>
      </c>
      <c r="G921" s="342">
        <v>0.27300000000000002</v>
      </c>
      <c r="H921" s="342">
        <v>0.3</v>
      </c>
      <c r="I921" s="342">
        <v>0.35099999999999998</v>
      </c>
      <c r="J921" s="342">
        <v>0.24199999999999999</v>
      </c>
      <c r="K921" s="342">
        <v>0.36699999999999999</v>
      </c>
      <c r="L921" s="342">
        <v>0.35399999999999998</v>
      </c>
      <c r="M921" s="342">
        <v>0.316</v>
      </c>
    </row>
    <row r="922" spans="1:13">
      <c r="A922" t="s">
        <v>2809</v>
      </c>
      <c r="B922" s="342">
        <v>1.4999999999999999E-2</v>
      </c>
      <c r="C922" s="342">
        <v>6.9000000000000006E-2</v>
      </c>
      <c r="D922" s="342">
        <v>5.2999999999999999E-2</v>
      </c>
      <c r="E922" s="342">
        <v>2.7E-2</v>
      </c>
      <c r="F922" s="342">
        <v>5.3999999999999999E-2</v>
      </c>
      <c r="G922" s="342">
        <v>4.4999999999999998E-2</v>
      </c>
      <c r="H922" s="342">
        <v>1.2E-2</v>
      </c>
      <c r="I922" s="342">
        <v>0.14299999999999999</v>
      </c>
      <c r="J922" s="342">
        <v>7.2999999999999995E-2</v>
      </c>
      <c r="K922" s="342">
        <v>1.0999999999999999E-2</v>
      </c>
      <c r="L922" s="342">
        <v>2.9000000000000001E-2</v>
      </c>
      <c r="M922" s="342">
        <v>4.8000000000000001E-2</v>
      </c>
    </row>
    <row r="923" spans="1:13">
      <c r="A923" t="s">
        <v>2810</v>
      </c>
      <c r="B923" s="342">
        <v>0.3</v>
      </c>
      <c r="C923" s="342">
        <v>0.41199999999999998</v>
      </c>
      <c r="D923" s="342">
        <v>0.314</v>
      </c>
      <c r="E923" s="342">
        <v>0.26500000000000001</v>
      </c>
      <c r="F923" s="342">
        <v>0.42299999999999999</v>
      </c>
      <c r="G923" s="342">
        <v>0.23899999999999999</v>
      </c>
      <c r="H923" s="342">
        <v>0.30099999999999999</v>
      </c>
      <c r="I923" s="342">
        <v>0.52500000000000002</v>
      </c>
      <c r="J923" s="342">
        <v>0.31</v>
      </c>
      <c r="K923" s="342">
        <v>0.31900000000000001</v>
      </c>
      <c r="L923" s="342">
        <v>0.34599999999999997</v>
      </c>
      <c r="M923" s="342">
        <v>0.35699999999999998</v>
      </c>
    </row>
    <row r="924" spans="1:13">
      <c r="A924" t="s">
        <v>9</v>
      </c>
      <c r="B924">
        <v>26.98</v>
      </c>
      <c r="C924">
        <v>11.7</v>
      </c>
      <c r="D924">
        <v>16.7</v>
      </c>
      <c r="E924">
        <v>24.36</v>
      </c>
      <c r="F924">
        <v>12.82</v>
      </c>
      <c r="G924">
        <v>17.25</v>
      </c>
      <c r="H924">
        <v>11.35</v>
      </c>
      <c r="I924">
        <v>8.01</v>
      </c>
      <c r="J924">
        <v>10.8</v>
      </c>
      <c r="K924">
        <v>66.930000000000007</v>
      </c>
      <c r="L924">
        <v>14.65</v>
      </c>
      <c r="M924">
        <v>21.8</v>
      </c>
    </row>
    <row r="925" spans="1:13">
      <c r="A925" t="s">
        <v>8</v>
      </c>
      <c r="B925">
        <v>34.200000000000003</v>
      </c>
      <c r="C925">
        <v>10.18</v>
      </c>
      <c r="D925">
        <v>25.36</v>
      </c>
      <c r="E925">
        <v>39.39</v>
      </c>
      <c r="F925">
        <v>23.39</v>
      </c>
      <c r="G925">
        <v>45.82</v>
      </c>
      <c r="H925">
        <v>31.05</v>
      </c>
      <c r="I925">
        <v>8.74</v>
      </c>
      <c r="J925">
        <v>21.48</v>
      </c>
      <c r="K925">
        <v>33.14</v>
      </c>
      <c r="L925">
        <v>8.3800000000000008</v>
      </c>
      <c r="M925">
        <v>21.83</v>
      </c>
    </row>
    <row r="926" spans="1:13">
      <c r="A926" t="s">
        <v>10</v>
      </c>
      <c r="B926">
        <v>151.51</v>
      </c>
      <c r="C926">
        <v>55.01</v>
      </c>
      <c r="D926">
        <v>117.28</v>
      </c>
      <c r="E926">
        <v>42.85</v>
      </c>
      <c r="F926">
        <v>36.53</v>
      </c>
      <c r="G926">
        <v>59.72</v>
      </c>
      <c r="H926">
        <v>5455.02</v>
      </c>
      <c r="I926">
        <v>69.89</v>
      </c>
      <c r="J926">
        <v>174.94</v>
      </c>
      <c r="K926" t="s">
        <v>1468</v>
      </c>
      <c r="L926">
        <v>65.28</v>
      </c>
      <c r="M926">
        <v>187.98</v>
      </c>
    </row>
    <row r="927" spans="1:13">
      <c r="A927" t="s">
        <v>1621</v>
      </c>
      <c r="B927" s="342">
        <v>0.06</v>
      </c>
      <c r="C927" s="342">
        <v>0.16500000000000001</v>
      </c>
      <c r="D927" s="342">
        <v>9.0999999999999998E-2</v>
      </c>
      <c r="E927" s="342">
        <v>4.2999999999999997E-2</v>
      </c>
      <c r="F927" s="342">
        <v>9.2999999999999999E-2</v>
      </c>
      <c r="G927" s="342">
        <v>6.3E-2</v>
      </c>
      <c r="H927" s="342">
        <v>0.12</v>
      </c>
      <c r="I927" s="342">
        <v>0.22500000000000001</v>
      </c>
      <c r="J927" s="342">
        <v>0.13300000000000001</v>
      </c>
      <c r="K927" t="s">
        <v>1468</v>
      </c>
      <c r="L927" s="342">
        <v>0.17199999999999999</v>
      </c>
      <c r="M927" s="342">
        <v>8.5999999999999993E-2</v>
      </c>
    </row>
    <row r="929" spans="1:13">
      <c r="A929" t="s">
        <v>2868</v>
      </c>
    </row>
    <row r="931" spans="1:13">
      <c r="A931" t="s">
        <v>158</v>
      </c>
      <c r="B931" t="s">
        <v>2806</v>
      </c>
      <c r="E931">
        <v>2017</v>
      </c>
      <c r="H931">
        <v>2018</v>
      </c>
      <c r="K931">
        <v>2019</v>
      </c>
    </row>
    <row r="932" spans="1:13">
      <c r="B932" t="s">
        <v>1623</v>
      </c>
      <c r="C932" t="s">
        <v>1624</v>
      </c>
      <c r="D932" t="s">
        <v>1622</v>
      </c>
      <c r="E932" t="s">
        <v>1623</v>
      </c>
      <c r="F932" t="s">
        <v>1624</v>
      </c>
      <c r="G932" t="s">
        <v>1622</v>
      </c>
      <c r="H932" t="s">
        <v>1623</v>
      </c>
      <c r="I932" t="s">
        <v>1624</v>
      </c>
      <c r="J932" t="s">
        <v>1622</v>
      </c>
      <c r="K932" t="s">
        <v>1623</v>
      </c>
      <c r="L932" t="s">
        <v>1624</v>
      </c>
      <c r="M932" t="s">
        <v>1622</v>
      </c>
    </row>
    <row r="933" spans="1:13">
      <c r="A933" t="s">
        <v>2807</v>
      </c>
      <c r="B933" s="342">
        <v>0.307</v>
      </c>
      <c r="C933" s="342">
        <v>0.66400000000000003</v>
      </c>
      <c r="D933" s="342">
        <v>0.54700000000000004</v>
      </c>
      <c r="E933" s="342">
        <v>0.20799999999999999</v>
      </c>
      <c r="F933" s="342">
        <v>0.64200000000000002</v>
      </c>
      <c r="G933" s="342">
        <v>0.55500000000000005</v>
      </c>
      <c r="H933" s="342">
        <v>0.35299999999999998</v>
      </c>
      <c r="I933" s="342">
        <v>0.66100000000000003</v>
      </c>
      <c r="J933" s="342">
        <v>0.54</v>
      </c>
      <c r="K933" s="342">
        <v>0.32500000000000001</v>
      </c>
      <c r="L933" s="342">
        <v>0.68899999999999995</v>
      </c>
      <c r="M933" s="342">
        <v>0.54700000000000004</v>
      </c>
    </row>
    <row r="934" spans="1:13">
      <c r="A934" t="s">
        <v>1618</v>
      </c>
      <c r="B934" s="342">
        <v>0.45800000000000002</v>
      </c>
      <c r="C934" s="342">
        <v>0.32</v>
      </c>
      <c r="D934" s="342">
        <v>0.35399999999999998</v>
      </c>
      <c r="E934" s="342">
        <v>0.53100000000000003</v>
      </c>
      <c r="F934" s="342">
        <v>0.34300000000000003</v>
      </c>
      <c r="G934" s="342">
        <v>0.34899999999999998</v>
      </c>
      <c r="H934" s="342">
        <v>0.41399999999999998</v>
      </c>
      <c r="I934" s="342">
        <v>0.32400000000000001</v>
      </c>
      <c r="J934" s="342">
        <v>0.35899999999999999</v>
      </c>
      <c r="K934" s="342">
        <v>0.45200000000000001</v>
      </c>
      <c r="L934" s="342">
        <v>0.29499999999999998</v>
      </c>
      <c r="M934" s="342">
        <v>0.35299999999999998</v>
      </c>
    </row>
    <row r="935" spans="1:13">
      <c r="A935" t="s">
        <v>1619</v>
      </c>
      <c r="B935" s="342">
        <v>3.1E-2</v>
      </c>
      <c r="C935" s="342">
        <v>1.0999999999999999E-2</v>
      </c>
      <c r="D935" s="342">
        <v>2.1999999999999999E-2</v>
      </c>
      <c r="E935" s="342">
        <v>2.5999999999999999E-2</v>
      </c>
      <c r="F935" s="342">
        <v>8.9999999999999993E-3</v>
      </c>
      <c r="G935" s="342">
        <v>1.6E-2</v>
      </c>
      <c r="H935" s="342">
        <v>2.8000000000000001E-2</v>
      </c>
      <c r="I935" s="342">
        <v>1.0999999999999999E-2</v>
      </c>
      <c r="J935" s="342">
        <v>2.1999999999999999E-2</v>
      </c>
      <c r="K935" s="342">
        <v>3.5999999999999997E-2</v>
      </c>
      <c r="L935" s="342">
        <v>1.2999999999999999E-2</v>
      </c>
      <c r="M935" s="342">
        <v>2.7E-2</v>
      </c>
    </row>
    <row r="936" spans="1:13">
      <c r="A936" t="s">
        <v>1620</v>
      </c>
      <c r="B936" s="342">
        <v>0.59799999999999998</v>
      </c>
      <c r="C936" s="342">
        <v>1.64</v>
      </c>
      <c r="D936" s="342">
        <v>0.91</v>
      </c>
      <c r="E936" s="342">
        <v>0.61199999999999999</v>
      </c>
      <c r="F936" s="342">
        <v>1.6339999999999999</v>
      </c>
      <c r="G936" s="342">
        <v>0.92900000000000005</v>
      </c>
      <c r="H936" s="342">
        <v>0.67800000000000005</v>
      </c>
      <c r="I936" s="342">
        <v>1.615</v>
      </c>
      <c r="J936" s="342">
        <v>0.92600000000000005</v>
      </c>
      <c r="K936" s="342">
        <v>0.53300000000000003</v>
      </c>
      <c r="L936" s="342">
        <v>1.6739999999999999</v>
      </c>
      <c r="M936" s="342">
        <v>0.88100000000000001</v>
      </c>
    </row>
    <row r="937" spans="1:13">
      <c r="A937" t="s">
        <v>2808</v>
      </c>
      <c r="B937" s="342">
        <v>0.14000000000000001</v>
      </c>
      <c r="C937" s="342">
        <v>0.128</v>
      </c>
      <c r="D937" s="342">
        <v>0.14699999999999999</v>
      </c>
      <c r="E937" s="342">
        <v>0.14899999999999999</v>
      </c>
      <c r="F937" s="342">
        <v>0.11</v>
      </c>
      <c r="G937" s="342">
        <v>0.14099999999999999</v>
      </c>
      <c r="H937" s="342">
        <v>0.13500000000000001</v>
      </c>
      <c r="I937" s="342">
        <v>0.14499999999999999</v>
      </c>
      <c r="J937" s="342">
        <v>0.14199999999999999</v>
      </c>
      <c r="K937" s="342">
        <v>0.13900000000000001</v>
      </c>
      <c r="L937" s="342">
        <v>0.124</v>
      </c>
      <c r="M937" s="342">
        <v>0.158</v>
      </c>
    </row>
    <row r="938" spans="1:13">
      <c r="A938" t="s">
        <v>2809</v>
      </c>
      <c r="B938" s="342">
        <v>7.6999999999999999E-2</v>
      </c>
      <c r="C938" s="342">
        <v>6.4000000000000001E-2</v>
      </c>
      <c r="D938" s="342">
        <v>9.1999999999999998E-2</v>
      </c>
      <c r="E938" s="342">
        <v>4.2999999999999997E-2</v>
      </c>
      <c r="F938" s="342">
        <v>7.2999999999999995E-2</v>
      </c>
      <c r="G938" s="342">
        <v>0.09</v>
      </c>
      <c r="H938" s="342">
        <v>5.8000000000000003E-2</v>
      </c>
      <c r="I938" s="342">
        <v>5.8999999999999997E-2</v>
      </c>
      <c r="J938" s="342">
        <v>0.104</v>
      </c>
      <c r="K938" s="342">
        <v>0.109</v>
      </c>
      <c r="L938" s="342">
        <v>6.2E-2</v>
      </c>
      <c r="M938" s="342">
        <v>8.3000000000000004E-2</v>
      </c>
    </row>
    <row r="939" spans="1:13">
      <c r="A939" t="s">
        <v>2810</v>
      </c>
      <c r="B939" s="342">
        <v>0.36299999999999999</v>
      </c>
      <c r="C939" s="342">
        <v>0.11700000000000001</v>
      </c>
      <c r="D939" s="342">
        <v>0.26300000000000001</v>
      </c>
      <c r="E939" s="342">
        <v>0.315</v>
      </c>
      <c r="F939" s="342">
        <v>0.112</v>
      </c>
      <c r="G939" s="342">
        <v>0.249</v>
      </c>
      <c r="H939" s="342">
        <v>0.28399999999999997</v>
      </c>
      <c r="I939" s="342">
        <v>0.126</v>
      </c>
      <c r="J939" s="342">
        <v>0.26600000000000001</v>
      </c>
      <c r="K939" s="342">
        <v>0.46500000000000002</v>
      </c>
      <c r="L939" s="342">
        <v>0.111</v>
      </c>
      <c r="M939" s="342">
        <v>0.27400000000000002</v>
      </c>
    </row>
    <row r="940" spans="1:13">
      <c r="A940" t="s">
        <v>9</v>
      </c>
      <c r="B940">
        <v>7.05</v>
      </c>
      <c r="C940">
        <v>6.67</v>
      </c>
      <c r="D940">
        <v>6.23</v>
      </c>
      <c r="E940">
        <v>6.96</v>
      </c>
      <c r="F940">
        <v>6.33</v>
      </c>
      <c r="G940">
        <v>6</v>
      </c>
      <c r="H940">
        <v>6.82</v>
      </c>
      <c r="I940">
        <v>7.2</v>
      </c>
      <c r="J940">
        <v>6.34</v>
      </c>
      <c r="K940">
        <v>7.33</v>
      </c>
      <c r="L940">
        <v>6.45</v>
      </c>
      <c r="M940">
        <v>6.33</v>
      </c>
    </row>
    <row r="941" spans="1:13">
      <c r="A941" t="s">
        <v>8</v>
      </c>
      <c r="B941">
        <v>96.63</v>
      </c>
      <c r="C941">
        <v>28.97</v>
      </c>
      <c r="D941">
        <v>43.06</v>
      </c>
      <c r="E941">
        <v>86.55</v>
      </c>
      <c r="F941">
        <v>27.1</v>
      </c>
      <c r="G941">
        <v>42.75</v>
      </c>
      <c r="H941">
        <v>116.97</v>
      </c>
      <c r="I941">
        <v>32.25</v>
      </c>
      <c r="J941">
        <v>42.82</v>
      </c>
      <c r="K941">
        <v>88.77</v>
      </c>
      <c r="L941">
        <v>27.58</v>
      </c>
      <c r="M941">
        <v>43.55</v>
      </c>
    </row>
    <row r="942" spans="1:13">
      <c r="A942" t="s">
        <v>10</v>
      </c>
      <c r="B942">
        <v>40.770000000000003</v>
      </c>
      <c r="C942">
        <v>10.97</v>
      </c>
      <c r="D942">
        <v>14.9</v>
      </c>
      <c r="E942">
        <v>36.340000000000003</v>
      </c>
      <c r="F942">
        <v>11.19</v>
      </c>
      <c r="G942">
        <v>14.01</v>
      </c>
      <c r="H942">
        <v>37.840000000000003</v>
      </c>
      <c r="I942">
        <v>11.02</v>
      </c>
      <c r="J942">
        <v>14.66</v>
      </c>
      <c r="K942">
        <v>47.83</v>
      </c>
      <c r="L942">
        <v>10.72</v>
      </c>
      <c r="M942">
        <v>16.03</v>
      </c>
    </row>
    <row r="943" spans="1:13">
      <c r="A943" t="s">
        <v>1621</v>
      </c>
      <c r="B943" s="342">
        <v>0.128</v>
      </c>
      <c r="C943" s="342">
        <v>9.2999999999999999E-2</v>
      </c>
      <c r="D943" s="342">
        <v>0.11700000000000001</v>
      </c>
      <c r="E943" s="342">
        <v>0.128</v>
      </c>
      <c r="F943" s="342">
        <v>0.105</v>
      </c>
      <c r="G943" s="342">
        <v>0.11899999999999999</v>
      </c>
      <c r="H943" s="342">
        <v>0.129</v>
      </c>
      <c r="I943" s="342">
        <v>7.9000000000000001E-2</v>
      </c>
      <c r="J943" s="342">
        <v>0.113</v>
      </c>
      <c r="K943" s="342">
        <v>0.127</v>
      </c>
      <c r="L943" s="342">
        <v>9.8000000000000004E-2</v>
      </c>
      <c r="M943" s="342">
        <v>0.11799999999999999</v>
      </c>
    </row>
    <row r="945" spans="1:13">
      <c r="A945" t="s">
        <v>2869</v>
      </c>
    </row>
    <row r="947" spans="1:13">
      <c r="A947" t="s">
        <v>158</v>
      </c>
      <c r="B947" t="s">
        <v>2806</v>
      </c>
      <c r="E947">
        <v>2017</v>
      </c>
      <c r="H947">
        <v>2018</v>
      </c>
      <c r="K947">
        <v>2019</v>
      </c>
    </row>
    <row r="948" spans="1:13">
      <c r="B948" t="s">
        <v>1623</v>
      </c>
      <c r="C948" t="s">
        <v>1624</v>
      </c>
      <c r="D948" t="s">
        <v>1622</v>
      </c>
      <c r="E948" t="s">
        <v>1623</v>
      </c>
      <c r="F948" t="s">
        <v>1624</v>
      </c>
      <c r="G948" t="s">
        <v>1622</v>
      </c>
      <c r="H948" t="s">
        <v>1623</v>
      </c>
      <c r="I948" t="s">
        <v>1624</v>
      </c>
      <c r="J948" t="s">
        <v>1622</v>
      </c>
      <c r="K948" t="s">
        <v>1623</v>
      </c>
      <c r="L948" t="s">
        <v>1624</v>
      </c>
      <c r="M948" t="s">
        <v>1622</v>
      </c>
    </row>
    <row r="949" spans="1:13">
      <c r="A949" t="s">
        <v>2807</v>
      </c>
      <c r="B949" s="342">
        <v>0.52100000000000002</v>
      </c>
      <c r="C949" s="342">
        <v>0.83</v>
      </c>
      <c r="D949" s="342">
        <v>0.68</v>
      </c>
      <c r="E949" s="342">
        <v>0.52900000000000003</v>
      </c>
      <c r="F949" s="342">
        <v>0.84199999999999997</v>
      </c>
      <c r="G949" s="342">
        <v>0.69799999999999995</v>
      </c>
      <c r="H949" s="342">
        <v>0.52900000000000003</v>
      </c>
      <c r="I949" s="342">
        <v>0.83499999999999996</v>
      </c>
      <c r="J949" s="342">
        <v>0.68300000000000005</v>
      </c>
      <c r="K949" s="342">
        <v>0.504</v>
      </c>
      <c r="L949" s="342">
        <v>0.80800000000000005</v>
      </c>
      <c r="M949" s="342">
        <v>0.65800000000000003</v>
      </c>
    </row>
    <row r="950" spans="1:13">
      <c r="A950" t="s">
        <v>1618</v>
      </c>
      <c r="B950" s="342">
        <v>0.192</v>
      </c>
      <c r="C950" s="342">
        <v>0.152</v>
      </c>
      <c r="D950" s="342">
        <v>0.20899999999999999</v>
      </c>
      <c r="E950" s="342">
        <v>0.20599999999999999</v>
      </c>
      <c r="F950" s="342">
        <v>0.13900000000000001</v>
      </c>
      <c r="G950" s="342">
        <v>0.20399999999999999</v>
      </c>
      <c r="H950" s="342">
        <v>0.187</v>
      </c>
      <c r="I950" s="342">
        <v>0.14699999999999999</v>
      </c>
      <c r="J950" s="342">
        <v>0.20599999999999999</v>
      </c>
      <c r="K950" s="342">
        <v>0.185</v>
      </c>
      <c r="L950" s="342">
        <v>0.17299999999999999</v>
      </c>
      <c r="M950" s="342">
        <v>0.217</v>
      </c>
    </row>
    <row r="951" spans="1:13">
      <c r="A951" t="s">
        <v>1619</v>
      </c>
      <c r="B951" s="342">
        <v>2.4E-2</v>
      </c>
      <c r="C951" s="342">
        <v>1.0999999999999999E-2</v>
      </c>
      <c r="D951" s="342">
        <v>2.1000000000000001E-2</v>
      </c>
      <c r="E951" s="342">
        <v>1.2E-2</v>
      </c>
      <c r="F951" s="342">
        <v>6.0000000000000001E-3</v>
      </c>
      <c r="G951" s="342">
        <v>1.0999999999999999E-2</v>
      </c>
      <c r="H951" s="342">
        <v>2.5999999999999999E-2</v>
      </c>
      <c r="I951" s="342">
        <v>1.2999999999999999E-2</v>
      </c>
      <c r="J951" s="342">
        <v>2.4E-2</v>
      </c>
      <c r="K951" s="342">
        <v>3.2000000000000001E-2</v>
      </c>
      <c r="L951" s="342">
        <v>1.4999999999999999E-2</v>
      </c>
      <c r="M951" s="342">
        <v>2.8000000000000001E-2</v>
      </c>
    </row>
    <row r="952" spans="1:13">
      <c r="A952" t="s">
        <v>1620</v>
      </c>
      <c r="B952" s="342">
        <v>0.41799999999999998</v>
      </c>
      <c r="C952" s="342">
        <v>1.464</v>
      </c>
      <c r="D952" s="342">
        <v>0.79</v>
      </c>
      <c r="E952" s="342">
        <v>0.39100000000000001</v>
      </c>
      <c r="F952" s="342">
        <v>1.6890000000000001</v>
      </c>
      <c r="G952" s="342">
        <v>0.83299999999999996</v>
      </c>
      <c r="H952" s="342">
        <v>0.42899999999999999</v>
      </c>
      <c r="I952" s="342">
        <v>1.9079999999999999</v>
      </c>
      <c r="J952" s="342">
        <v>0.85499999999999998</v>
      </c>
      <c r="K952" s="342">
        <v>0.432</v>
      </c>
      <c r="L952" s="342">
        <v>1.006</v>
      </c>
      <c r="M952" s="342">
        <v>0.68799999999999994</v>
      </c>
    </row>
    <row r="953" spans="1:13">
      <c r="A953" t="s">
        <v>2808</v>
      </c>
      <c r="B953" s="342">
        <v>0.38100000000000001</v>
      </c>
      <c r="C953" s="342">
        <v>0.46100000000000002</v>
      </c>
      <c r="D953" s="342">
        <v>0.42699999999999999</v>
      </c>
      <c r="E953" s="342">
        <v>0.378</v>
      </c>
      <c r="F953" s="342">
        <v>0.38100000000000001</v>
      </c>
      <c r="G953" s="342">
        <v>0.41199999999999998</v>
      </c>
      <c r="H953" s="342">
        <v>0.39400000000000002</v>
      </c>
      <c r="I953" s="342">
        <v>0.44400000000000001</v>
      </c>
      <c r="J953" s="342">
        <v>0.42399999999999999</v>
      </c>
      <c r="K953" s="342">
        <v>0.37</v>
      </c>
      <c r="L953" s="342">
        <v>0.53100000000000003</v>
      </c>
      <c r="M953" s="342">
        <v>0.443</v>
      </c>
    </row>
    <row r="954" spans="1:13">
      <c r="A954" t="s">
        <v>2809</v>
      </c>
      <c r="B954" s="342">
        <v>6.5000000000000002E-2</v>
      </c>
      <c r="C954" s="342">
        <v>5.6000000000000001E-2</v>
      </c>
      <c r="D954" s="342">
        <v>5.2999999999999999E-2</v>
      </c>
      <c r="E954" s="342">
        <v>8.1000000000000003E-2</v>
      </c>
      <c r="F954" s="342">
        <v>3.6999999999999998E-2</v>
      </c>
      <c r="G954" s="342">
        <v>5.8000000000000003E-2</v>
      </c>
      <c r="H954" s="342">
        <v>6.2E-2</v>
      </c>
      <c r="I954" s="342">
        <v>4.0000000000000001E-3</v>
      </c>
      <c r="J954" s="342">
        <v>4.2999999999999997E-2</v>
      </c>
      <c r="K954" s="342">
        <v>5.1999999999999998E-2</v>
      </c>
      <c r="L954" s="342">
        <v>0.105</v>
      </c>
      <c r="M954" s="342">
        <v>5.8000000000000003E-2</v>
      </c>
    </row>
    <row r="955" spans="1:13">
      <c r="A955" t="s">
        <v>2810</v>
      </c>
      <c r="B955" s="342">
        <v>1.0660000000000001</v>
      </c>
      <c r="C955" s="342">
        <v>0.35299999999999998</v>
      </c>
      <c r="D955" s="342">
        <v>0.60699999999999998</v>
      </c>
      <c r="E955" s="342">
        <v>1.175</v>
      </c>
      <c r="F955" s="342">
        <v>0.248</v>
      </c>
      <c r="G955" s="342">
        <v>0.56399999999999995</v>
      </c>
      <c r="H955" s="342">
        <v>1.0609999999999999</v>
      </c>
      <c r="I955" s="342">
        <v>0.23499999999999999</v>
      </c>
      <c r="J955" s="342">
        <v>0.54600000000000004</v>
      </c>
      <c r="K955" s="342">
        <v>0.97599999999999998</v>
      </c>
      <c r="L955" s="342">
        <v>0.63200000000000001</v>
      </c>
      <c r="M955" s="342">
        <v>0.72799999999999998</v>
      </c>
    </row>
    <row r="956" spans="1:13">
      <c r="A956" t="s">
        <v>9</v>
      </c>
      <c r="B956">
        <v>8.25</v>
      </c>
      <c r="C956">
        <v>16.95</v>
      </c>
      <c r="D956">
        <v>10.64</v>
      </c>
      <c r="E956">
        <v>7.44</v>
      </c>
      <c r="F956">
        <v>15.83</v>
      </c>
      <c r="G956">
        <v>10.17</v>
      </c>
      <c r="H956">
        <v>8.35</v>
      </c>
      <c r="I956">
        <v>18.690000000000001</v>
      </c>
      <c r="J956">
        <v>11.2</v>
      </c>
      <c r="K956">
        <v>9</v>
      </c>
      <c r="L956">
        <v>16.48</v>
      </c>
      <c r="M956">
        <v>10.53</v>
      </c>
    </row>
    <row r="957" spans="1:13">
      <c r="A957" t="s">
        <v>8</v>
      </c>
      <c r="B957">
        <v>84.54</v>
      </c>
      <c r="C957">
        <v>23.27</v>
      </c>
      <c r="D957">
        <v>29.12</v>
      </c>
      <c r="E957">
        <v>92.92</v>
      </c>
      <c r="F957">
        <v>22.18</v>
      </c>
      <c r="G957">
        <v>28.03</v>
      </c>
      <c r="H957">
        <v>61.99</v>
      </c>
      <c r="I957">
        <v>25.14</v>
      </c>
      <c r="J957">
        <v>31.9</v>
      </c>
      <c r="K957">
        <v>127.83</v>
      </c>
      <c r="L957">
        <v>22.54</v>
      </c>
      <c r="M957">
        <v>27.4</v>
      </c>
    </row>
    <row r="958" spans="1:13">
      <c r="A958" t="s">
        <v>10</v>
      </c>
      <c r="B958">
        <v>43.05</v>
      </c>
      <c r="C958">
        <v>33.840000000000003</v>
      </c>
      <c r="D958">
        <v>35.81</v>
      </c>
      <c r="E958">
        <v>43.59</v>
      </c>
      <c r="F958">
        <v>28.25</v>
      </c>
      <c r="G958">
        <v>32.18</v>
      </c>
      <c r="H958">
        <v>41.07</v>
      </c>
      <c r="I958">
        <v>40.42</v>
      </c>
      <c r="J958">
        <v>39.090000000000003</v>
      </c>
      <c r="K958">
        <v>45.06</v>
      </c>
      <c r="L958">
        <v>35.369999999999997</v>
      </c>
      <c r="M958">
        <v>36.64</v>
      </c>
    </row>
    <row r="959" spans="1:13">
      <c r="A959" t="s">
        <v>1621</v>
      </c>
      <c r="B959" s="342">
        <v>0.11</v>
      </c>
      <c r="C959" s="342">
        <v>7.1999999999999995E-2</v>
      </c>
      <c r="D959" s="342">
        <v>0.1</v>
      </c>
      <c r="E959" s="342">
        <v>0.122</v>
      </c>
      <c r="F959" s="342">
        <v>7.2999999999999995E-2</v>
      </c>
      <c r="G959" s="342">
        <v>0.10299999999999999</v>
      </c>
      <c r="H959" s="342">
        <v>0.111</v>
      </c>
      <c r="I959" s="342">
        <v>6.9000000000000006E-2</v>
      </c>
      <c r="J959" s="342">
        <v>9.5000000000000001E-2</v>
      </c>
      <c r="K959" s="342">
        <v>9.7000000000000003E-2</v>
      </c>
      <c r="L959" s="342">
        <v>7.6999999999999999E-2</v>
      </c>
      <c r="M959" s="342">
        <v>0.104</v>
      </c>
    </row>
    <row r="961" spans="1:13">
      <c r="A961" t="s">
        <v>2870</v>
      </c>
    </row>
    <row r="963" spans="1:13">
      <c r="A963" t="s">
        <v>158</v>
      </c>
      <c r="B963" t="s">
        <v>2806</v>
      </c>
      <c r="E963">
        <v>2017</v>
      </c>
      <c r="H963">
        <v>2018</v>
      </c>
      <c r="K963">
        <v>2019</v>
      </c>
    </row>
    <row r="964" spans="1:13">
      <c r="B964" t="s">
        <v>1623</v>
      </c>
      <c r="C964" t="s">
        <v>1624</v>
      </c>
      <c r="D964" t="s">
        <v>1622</v>
      </c>
      <c r="E964" t="s">
        <v>1623</v>
      </c>
      <c r="F964" t="s">
        <v>1624</v>
      </c>
      <c r="G964" t="s">
        <v>1622</v>
      </c>
      <c r="H964" t="s">
        <v>1623</v>
      </c>
      <c r="I964" t="s">
        <v>1624</v>
      </c>
      <c r="J964" t="s">
        <v>1622</v>
      </c>
      <c r="K964" t="s">
        <v>1623</v>
      </c>
      <c r="L964" t="s">
        <v>1624</v>
      </c>
      <c r="M964" t="s">
        <v>1622</v>
      </c>
    </row>
    <row r="965" spans="1:13">
      <c r="A965" t="s">
        <v>2807</v>
      </c>
      <c r="B965" s="342">
        <v>0.32600000000000001</v>
      </c>
      <c r="C965" s="342">
        <v>0.52700000000000002</v>
      </c>
      <c r="D965" s="342">
        <v>0.38100000000000001</v>
      </c>
      <c r="E965" s="342">
        <v>0.28499999999999998</v>
      </c>
      <c r="F965" s="342">
        <v>0.54700000000000004</v>
      </c>
      <c r="G965" s="342">
        <v>0.35599999999999998</v>
      </c>
      <c r="H965" s="342">
        <v>0.36299999999999999</v>
      </c>
      <c r="I965" s="342">
        <v>0.46400000000000002</v>
      </c>
      <c r="J965" s="342">
        <v>0.371</v>
      </c>
      <c r="K965" s="342">
        <v>0.32400000000000001</v>
      </c>
      <c r="L965" s="342">
        <v>0.56599999999999995</v>
      </c>
      <c r="M965" s="342">
        <v>0.40699999999999997</v>
      </c>
    </row>
    <row r="966" spans="1:13">
      <c r="A966" t="s">
        <v>1618</v>
      </c>
      <c r="B966" s="342">
        <v>0.441</v>
      </c>
      <c r="C966" s="342">
        <v>0.45400000000000001</v>
      </c>
      <c r="D966" s="342">
        <v>0.51600000000000001</v>
      </c>
      <c r="E966" s="342">
        <v>0.501</v>
      </c>
      <c r="F966" s="342">
        <v>0.436</v>
      </c>
      <c r="G966" s="342">
        <v>0.55000000000000004</v>
      </c>
      <c r="H966" s="342">
        <v>0.41</v>
      </c>
      <c r="I966" s="342">
        <v>0.51600000000000001</v>
      </c>
      <c r="J966" s="342">
        <v>0.53100000000000003</v>
      </c>
      <c r="K966" s="342">
        <v>0.42699999999999999</v>
      </c>
      <c r="L966" s="342">
        <v>0.41299999999999998</v>
      </c>
      <c r="M966" s="342">
        <v>0.47799999999999998</v>
      </c>
    </row>
    <row r="967" spans="1:13">
      <c r="A967" t="s">
        <v>1619</v>
      </c>
      <c r="B967" s="342">
        <v>3.7999999999999999E-2</v>
      </c>
      <c r="C967" s="342">
        <v>2.3E-2</v>
      </c>
      <c r="D967" s="342">
        <v>3.6999999999999998E-2</v>
      </c>
      <c r="E967" s="342">
        <v>4.2999999999999997E-2</v>
      </c>
      <c r="F967" s="342">
        <v>1.2999999999999999E-2</v>
      </c>
      <c r="G967" s="342">
        <v>3.4000000000000002E-2</v>
      </c>
      <c r="H967" s="342">
        <v>4.5999999999999999E-2</v>
      </c>
      <c r="I967" s="342">
        <v>2.8000000000000001E-2</v>
      </c>
      <c r="J967" s="342">
        <v>4.2999999999999997E-2</v>
      </c>
      <c r="K967" s="342">
        <v>2.9000000000000001E-2</v>
      </c>
      <c r="L967" s="342">
        <v>2.9000000000000001E-2</v>
      </c>
      <c r="M967" s="342">
        <v>3.4000000000000002E-2</v>
      </c>
    </row>
    <row r="968" spans="1:13">
      <c r="A968" t="s">
        <v>1620</v>
      </c>
      <c r="B968" s="342">
        <v>0.65600000000000003</v>
      </c>
      <c r="C968" s="342">
        <v>1.0669999999999999</v>
      </c>
      <c r="D968" s="342">
        <v>0.88</v>
      </c>
      <c r="E968" s="342">
        <v>0.76700000000000002</v>
      </c>
      <c r="F968" s="342">
        <v>1.2250000000000001</v>
      </c>
      <c r="G968" s="342">
        <v>0.89800000000000002</v>
      </c>
      <c r="H968" s="342">
        <v>0.65600000000000003</v>
      </c>
      <c r="I968" s="342">
        <v>1.046</v>
      </c>
      <c r="J968" s="342">
        <v>0.85899999999999999</v>
      </c>
      <c r="K968" s="342">
        <v>0.6</v>
      </c>
      <c r="L968" s="342">
        <v>0.95099999999999996</v>
      </c>
      <c r="M968" s="342">
        <v>0.88300000000000001</v>
      </c>
    </row>
    <row r="969" spans="1:13">
      <c r="A969" t="s">
        <v>2808</v>
      </c>
      <c r="B969" s="342">
        <v>0.47</v>
      </c>
      <c r="C969" s="342">
        <v>0.39600000000000002</v>
      </c>
      <c r="D969" s="342">
        <v>0.44900000000000001</v>
      </c>
      <c r="E969" s="342">
        <v>0.48599999999999999</v>
      </c>
      <c r="F969" s="342">
        <v>0.35499999999999998</v>
      </c>
      <c r="G969" s="342">
        <v>0.437</v>
      </c>
      <c r="H969" s="342">
        <v>0.45900000000000002</v>
      </c>
      <c r="I969" s="342">
        <v>0.499</v>
      </c>
      <c r="J969" s="342">
        <v>0.46800000000000003</v>
      </c>
      <c r="K969" s="342">
        <v>0.46899999999999997</v>
      </c>
      <c r="L969" s="342">
        <v>0.33900000000000002</v>
      </c>
      <c r="M969" s="342">
        <v>0.442</v>
      </c>
    </row>
    <row r="970" spans="1:13">
      <c r="A970" t="s">
        <v>2809</v>
      </c>
      <c r="B970" s="342">
        <v>7.0000000000000001E-3</v>
      </c>
      <c r="C970" s="342">
        <v>2.3E-2</v>
      </c>
      <c r="D970" s="342">
        <v>1.4999999999999999E-2</v>
      </c>
      <c r="E970" s="342">
        <v>5.0000000000000001E-3</v>
      </c>
      <c r="F970" s="342">
        <v>1.9E-2</v>
      </c>
      <c r="G970" s="342">
        <v>1.6E-2</v>
      </c>
      <c r="H970" s="342">
        <v>6.0000000000000001E-3</v>
      </c>
      <c r="I970" s="342">
        <v>1.2999999999999999E-2</v>
      </c>
      <c r="J970" s="342">
        <v>1.4E-2</v>
      </c>
      <c r="K970" s="342">
        <v>8.0000000000000002E-3</v>
      </c>
      <c r="L970" s="342">
        <v>3.5000000000000003E-2</v>
      </c>
      <c r="M970" s="342">
        <v>1.6E-2</v>
      </c>
    </row>
    <row r="971" spans="1:13">
      <c r="A971" t="s">
        <v>2810</v>
      </c>
      <c r="B971" s="342">
        <v>0.72599999999999998</v>
      </c>
      <c r="C971" s="342">
        <v>0.39200000000000002</v>
      </c>
      <c r="D971" s="342">
        <v>0.52700000000000002</v>
      </c>
      <c r="E971" s="342">
        <v>0.64</v>
      </c>
      <c r="F971" s="342">
        <v>0.30499999999999999</v>
      </c>
      <c r="G971" s="342">
        <v>0.504</v>
      </c>
      <c r="H971" s="342">
        <v>0.70899999999999996</v>
      </c>
      <c r="I971" s="342">
        <v>0.48899999999999999</v>
      </c>
      <c r="J971" s="342">
        <v>0.56000000000000005</v>
      </c>
      <c r="K971" s="342">
        <v>0.79400000000000004</v>
      </c>
      <c r="L971" s="342">
        <v>0.39300000000000002</v>
      </c>
      <c r="M971" s="342">
        <v>0.51800000000000002</v>
      </c>
    </row>
    <row r="972" spans="1:13">
      <c r="A972" t="s">
        <v>9</v>
      </c>
      <c r="B972">
        <v>7.27</v>
      </c>
      <c r="C972">
        <v>8.48</v>
      </c>
      <c r="D972">
        <v>7.51</v>
      </c>
      <c r="E972">
        <v>9.7200000000000006</v>
      </c>
      <c r="F972">
        <v>8.2100000000000009</v>
      </c>
      <c r="G972">
        <v>6.66</v>
      </c>
      <c r="H972">
        <v>6.75</v>
      </c>
      <c r="I972">
        <v>10.9</v>
      </c>
      <c r="J972">
        <v>7.48</v>
      </c>
      <c r="K972">
        <v>6.58</v>
      </c>
      <c r="L972">
        <v>7.19</v>
      </c>
      <c r="M972">
        <v>8.35</v>
      </c>
    </row>
    <row r="973" spans="1:13">
      <c r="A973" t="s">
        <v>8</v>
      </c>
      <c r="B973">
        <v>198.95</v>
      </c>
      <c r="C973">
        <v>76.83</v>
      </c>
      <c r="D973">
        <v>68.89</v>
      </c>
      <c r="E973">
        <v>559.38</v>
      </c>
      <c r="F973">
        <v>68.3</v>
      </c>
      <c r="G973">
        <v>81.58</v>
      </c>
      <c r="H973">
        <v>149.30000000000001</v>
      </c>
      <c r="I973">
        <v>83.56</v>
      </c>
      <c r="J973">
        <v>54.98</v>
      </c>
      <c r="K973">
        <v>170.63</v>
      </c>
      <c r="L973">
        <v>81.55</v>
      </c>
      <c r="M973">
        <v>74.88</v>
      </c>
    </row>
    <row r="974" spans="1:13">
      <c r="A974" t="s">
        <v>10</v>
      </c>
      <c r="B974">
        <v>82.23</v>
      </c>
      <c r="C974">
        <v>51.35</v>
      </c>
      <c r="D974">
        <v>62.69</v>
      </c>
      <c r="E974">
        <v>90.31</v>
      </c>
      <c r="F974">
        <v>60.42</v>
      </c>
      <c r="G974">
        <v>68.569999999999993</v>
      </c>
      <c r="H974">
        <v>88.71</v>
      </c>
      <c r="I974">
        <v>56.64</v>
      </c>
      <c r="J974">
        <v>57.65</v>
      </c>
      <c r="K974">
        <v>74.03</v>
      </c>
      <c r="L974">
        <v>40.92</v>
      </c>
      <c r="M974">
        <v>62.93</v>
      </c>
    </row>
    <row r="975" spans="1:13">
      <c r="A975" t="s">
        <v>1621</v>
      </c>
      <c r="B975" s="342">
        <v>0.13</v>
      </c>
      <c r="C975" s="342">
        <v>0.111</v>
      </c>
      <c r="D975" s="342">
        <v>0.13200000000000001</v>
      </c>
      <c r="E975" s="342">
        <v>9.4E-2</v>
      </c>
      <c r="F975" s="342">
        <v>0.12</v>
      </c>
      <c r="G975" s="342">
        <v>0.14799999999999999</v>
      </c>
      <c r="H975" s="342">
        <v>0.14399999999999999</v>
      </c>
      <c r="I975" s="342">
        <v>8.5999999999999993E-2</v>
      </c>
      <c r="J975" s="342">
        <v>0.13500000000000001</v>
      </c>
      <c r="K975" s="342">
        <v>0.14399999999999999</v>
      </c>
      <c r="L975" s="342">
        <v>0.127</v>
      </c>
      <c r="M975" s="342">
        <v>0.11700000000000001</v>
      </c>
    </row>
    <row r="977" spans="1:13">
      <c r="A977" t="s">
        <v>2871</v>
      </c>
    </row>
    <row r="979" spans="1:13">
      <c r="A979" t="s">
        <v>158</v>
      </c>
      <c r="B979" t="s">
        <v>2806</v>
      </c>
      <c r="E979">
        <v>2017</v>
      </c>
      <c r="H979">
        <v>2018</v>
      </c>
      <c r="K979">
        <v>2019</v>
      </c>
    </row>
    <row r="980" spans="1:13">
      <c r="B980" t="s">
        <v>1623</v>
      </c>
      <c r="C980" t="s">
        <v>1624</v>
      </c>
      <c r="D980" t="s">
        <v>1622</v>
      </c>
      <c r="E980" t="s">
        <v>1623</v>
      </c>
      <c r="F980" t="s">
        <v>1624</v>
      </c>
      <c r="G980" t="s">
        <v>1622</v>
      </c>
      <c r="H980" t="s">
        <v>1623</v>
      </c>
      <c r="I980" t="s">
        <v>1624</v>
      </c>
      <c r="J980" t="s">
        <v>1622</v>
      </c>
      <c r="K980" t="s">
        <v>1623</v>
      </c>
      <c r="L980" t="s">
        <v>1624</v>
      </c>
      <c r="M980" t="s">
        <v>1622</v>
      </c>
    </row>
    <row r="981" spans="1:13">
      <c r="A981" t="s">
        <v>2807</v>
      </c>
      <c r="B981" s="342">
        <v>0.51700000000000002</v>
      </c>
      <c r="C981" s="342">
        <v>0.42399999999999999</v>
      </c>
      <c r="D981" s="342">
        <v>0.45200000000000001</v>
      </c>
      <c r="E981" s="342">
        <v>0.47899999999999998</v>
      </c>
      <c r="F981" s="342">
        <v>0.81200000000000006</v>
      </c>
      <c r="G981" s="342">
        <v>0.68899999999999995</v>
      </c>
      <c r="H981" s="342">
        <v>0.47899999999999998</v>
      </c>
      <c r="I981" s="342">
        <v>0.42</v>
      </c>
      <c r="J981" s="342">
        <v>0.52500000000000002</v>
      </c>
      <c r="K981" s="342">
        <v>0.59099999999999997</v>
      </c>
      <c r="L981" s="342">
        <v>0.318</v>
      </c>
      <c r="M981" s="342">
        <v>0.317</v>
      </c>
    </row>
    <row r="982" spans="1:13">
      <c r="A982" t="s">
        <v>1618</v>
      </c>
      <c r="B982" s="342">
        <v>0.26600000000000001</v>
      </c>
      <c r="C982" s="342">
        <v>0.13700000000000001</v>
      </c>
      <c r="D982" s="342">
        <v>0.17799999999999999</v>
      </c>
      <c r="E982" s="342">
        <v>0.30299999999999999</v>
      </c>
      <c r="F982" s="342">
        <v>0.16700000000000001</v>
      </c>
      <c r="G982" s="342">
        <v>0.214</v>
      </c>
      <c r="H982" s="342">
        <v>0.28199999999999997</v>
      </c>
      <c r="I982" s="342">
        <v>0.121</v>
      </c>
      <c r="J982" s="342">
        <v>0.17100000000000001</v>
      </c>
      <c r="K982" s="342">
        <v>0.215</v>
      </c>
      <c r="L982" s="342">
        <v>0.14399999999999999</v>
      </c>
      <c r="M982" s="342">
        <v>0.17100000000000001</v>
      </c>
    </row>
    <row r="983" spans="1:13">
      <c r="A983" t="s">
        <v>1619</v>
      </c>
      <c r="B983" s="342">
        <v>1.0999999999999999E-2</v>
      </c>
      <c r="C983" s="342">
        <v>5.0000000000000001E-3</v>
      </c>
      <c r="D983" s="342">
        <v>8.9999999999999993E-3</v>
      </c>
      <c r="E983" s="342">
        <v>6.0000000000000001E-3</v>
      </c>
      <c r="F983" s="342">
        <v>4.0000000000000001E-3</v>
      </c>
      <c r="G983" s="342">
        <v>5.0000000000000001E-3</v>
      </c>
      <c r="H983" s="342">
        <v>1.7000000000000001E-2</v>
      </c>
      <c r="I983" s="342">
        <v>8.9999999999999993E-3</v>
      </c>
      <c r="J983" s="342">
        <v>1.4E-2</v>
      </c>
      <c r="K983" s="342">
        <v>1.0999999999999999E-2</v>
      </c>
      <c r="L983" s="342">
        <v>2E-3</v>
      </c>
      <c r="M983" s="342">
        <v>6.0000000000000001E-3</v>
      </c>
    </row>
    <row r="984" spans="1:13">
      <c r="A984" t="s">
        <v>1620</v>
      </c>
      <c r="B984" s="342">
        <v>0.74399999999999999</v>
      </c>
      <c r="C984" s="342">
        <v>0.317</v>
      </c>
      <c r="D984" s="342">
        <v>0.35</v>
      </c>
      <c r="E984" s="342">
        <v>1.1160000000000001</v>
      </c>
      <c r="F984" s="342">
        <v>1.603</v>
      </c>
      <c r="G984" s="342">
        <v>1.157</v>
      </c>
      <c r="H984" s="342">
        <v>0.61799999999999999</v>
      </c>
      <c r="I984" s="342">
        <v>0.39400000000000002</v>
      </c>
      <c r="J984" s="342">
        <v>0.495</v>
      </c>
      <c r="K984" s="342">
        <v>0.65400000000000003</v>
      </c>
      <c r="L984" s="342">
        <v>0.222</v>
      </c>
      <c r="M984" s="342">
        <v>0.24</v>
      </c>
    </row>
    <row r="985" spans="1:13">
      <c r="A985" t="s">
        <v>2808</v>
      </c>
      <c r="B985" s="342">
        <v>0.32600000000000001</v>
      </c>
      <c r="C985" s="342">
        <v>0.11700000000000001</v>
      </c>
      <c r="D985" s="342">
        <v>0.14699999999999999</v>
      </c>
      <c r="E985" s="342">
        <v>0.17599999999999999</v>
      </c>
      <c r="F985" s="342">
        <v>0.17799999999999999</v>
      </c>
      <c r="G985" s="342">
        <v>0.22</v>
      </c>
      <c r="H985" s="342">
        <v>0.32600000000000001</v>
      </c>
      <c r="I985" s="342">
        <v>0.18099999999999999</v>
      </c>
      <c r="J985" s="342">
        <v>0.222</v>
      </c>
      <c r="K985" s="342">
        <v>0.41199999999999998</v>
      </c>
      <c r="L985" s="342">
        <v>7.6999999999999999E-2</v>
      </c>
      <c r="M985" s="342">
        <v>0.11600000000000001</v>
      </c>
    </row>
    <row r="986" spans="1:13">
      <c r="A986" t="s">
        <v>2809</v>
      </c>
      <c r="B986" s="342">
        <v>5.8000000000000003E-2</v>
      </c>
      <c r="C986" s="342">
        <v>1E-3</v>
      </c>
      <c r="D986" s="342">
        <v>4.0000000000000001E-3</v>
      </c>
      <c r="E986" s="342">
        <v>8.4000000000000005E-2</v>
      </c>
      <c r="F986" s="342">
        <v>0</v>
      </c>
      <c r="G986" s="342">
        <v>2.3E-2</v>
      </c>
      <c r="H986" s="342">
        <v>6.9000000000000006E-2</v>
      </c>
      <c r="I986" s="342">
        <v>1E-3</v>
      </c>
      <c r="J986" s="342">
        <v>7.0000000000000001E-3</v>
      </c>
      <c r="K986" s="342">
        <v>3.1E-2</v>
      </c>
      <c r="L986" s="342">
        <v>1E-3</v>
      </c>
      <c r="M986" s="342">
        <v>2E-3</v>
      </c>
    </row>
    <row r="987" spans="1:13">
      <c r="A987" t="s">
        <v>2810</v>
      </c>
      <c r="B987" s="342">
        <v>0.51500000000000001</v>
      </c>
      <c r="C987" s="342">
        <v>0.372</v>
      </c>
      <c r="D987" s="342">
        <v>0.433</v>
      </c>
      <c r="E987" s="342">
        <v>0.23300000000000001</v>
      </c>
      <c r="F987" s="342">
        <v>0.111</v>
      </c>
      <c r="G987" s="342">
        <v>0.21</v>
      </c>
      <c r="H987" s="342">
        <v>0.63900000000000001</v>
      </c>
      <c r="I987" s="342">
        <v>0.46100000000000002</v>
      </c>
      <c r="J987" s="342">
        <v>0.46400000000000002</v>
      </c>
      <c r="K987" s="342">
        <v>0.67800000000000005</v>
      </c>
      <c r="L987" s="342">
        <v>0.35199999999999998</v>
      </c>
      <c r="M987" s="342">
        <v>0.48899999999999999</v>
      </c>
    </row>
    <row r="988" spans="1:13">
      <c r="A988" t="s">
        <v>9</v>
      </c>
      <c r="B988">
        <v>14.52</v>
      </c>
      <c r="C988">
        <v>27.63</v>
      </c>
      <c r="D988">
        <v>20.85</v>
      </c>
      <c r="E988">
        <v>25.52</v>
      </c>
      <c r="F988">
        <v>13.72</v>
      </c>
      <c r="G988">
        <v>18.04</v>
      </c>
      <c r="H988">
        <v>9.76</v>
      </c>
      <c r="I988">
        <v>25.3</v>
      </c>
      <c r="J988">
        <v>15.96</v>
      </c>
      <c r="K988">
        <v>15.04</v>
      </c>
      <c r="L988">
        <v>44.55</v>
      </c>
      <c r="M988">
        <v>28.66</v>
      </c>
    </row>
    <row r="989" spans="1:13">
      <c r="A989" t="s">
        <v>8</v>
      </c>
      <c r="B989">
        <v>14.29</v>
      </c>
      <c r="C989">
        <v>25.48</v>
      </c>
      <c r="D989">
        <v>14.1</v>
      </c>
      <c r="E989">
        <v>13.1</v>
      </c>
      <c r="F989">
        <v>13.71</v>
      </c>
      <c r="G989">
        <v>10.96</v>
      </c>
      <c r="H989">
        <v>15.47</v>
      </c>
      <c r="I989">
        <v>22.5</v>
      </c>
      <c r="J989">
        <v>9.81</v>
      </c>
      <c r="K989">
        <v>14.54</v>
      </c>
      <c r="L989">
        <v>40.97</v>
      </c>
      <c r="M989">
        <v>23.99</v>
      </c>
    </row>
    <row r="990" spans="1:13">
      <c r="A990" t="s">
        <v>10</v>
      </c>
      <c r="B990">
        <v>57.12</v>
      </c>
      <c r="C990">
        <v>87.11</v>
      </c>
      <c r="D990">
        <v>60.87</v>
      </c>
      <c r="E990">
        <v>30.35</v>
      </c>
      <c r="F990">
        <v>24.06</v>
      </c>
      <c r="G990">
        <v>34.159999999999997</v>
      </c>
      <c r="H990">
        <v>114.99</v>
      </c>
      <c r="I990">
        <v>90.71</v>
      </c>
      <c r="J990">
        <v>46.97</v>
      </c>
      <c r="K990">
        <v>95.73</v>
      </c>
      <c r="L990">
        <v>284.08999999999997</v>
      </c>
      <c r="M990">
        <v>118.54</v>
      </c>
    </row>
    <row r="991" spans="1:13">
      <c r="A991" t="s">
        <v>1621</v>
      </c>
      <c r="B991" s="342">
        <v>0.121</v>
      </c>
      <c r="C991" s="342">
        <v>6.4000000000000001E-2</v>
      </c>
      <c r="D991" s="342">
        <v>0.10199999999999999</v>
      </c>
      <c r="E991" s="342">
        <v>8.3000000000000004E-2</v>
      </c>
      <c r="F991" s="342">
        <v>0.104</v>
      </c>
      <c r="G991" s="342">
        <v>0.11700000000000001</v>
      </c>
      <c r="H991" s="342">
        <v>0.158</v>
      </c>
      <c r="I991" s="342">
        <v>7.2999999999999995E-2</v>
      </c>
      <c r="J991" s="342">
        <v>0.14299999999999999</v>
      </c>
      <c r="K991" s="342">
        <v>0.125</v>
      </c>
      <c r="L991" s="342">
        <v>4.2999999999999997E-2</v>
      </c>
      <c r="M991" s="342">
        <v>6.8000000000000005E-2</v>
      </c>
    </row>
    <row r="993" spans="1:13">
      <c r="A993" t="s">
        <v>2872</v>
      </c>
    </row>
    <row r="995" spans="1:13">
      <c r="A995" t="s">
        <v>158</v>
      </c>
      <c r="B995" t="s">
        <v>2806</v>
      </c>
      <c r="E995">
        <v>2017</v>
      </c>
      <c r="H995">
        <v>2018</v>
      </c>
      <c r="K995">
        <v>2019</v>
      </c>
    </row>
    <row r="996" spans="1:13">
      <c r="B996" t="s">
        <v>1623</v>
      </c>
      <c r="C996" t="s">
        <v>1624</v>
      </c>
      <c r="D996" t="s">
        <v>1622</v>
      </c>
      <c r="E996" t="s">
        <v>1623</v>
      </c>
      <c r="F996" t="s">
        <v>1624</v>
      </c>
      <c r="G996" t="s">
        <v>1622</v>
      </c>
      <c r="H996" t="s">
        <v>1623</v>
      </c>
      <c r="I996" t="s">
        <v>1624</v>
      </c>
      <c r="J996" t="s">
        <v>1622</v>
      </c>
      <c r="K996" t="s">
        <v>1623</v>
      </c>
      <c r="L996" t="s">
        <v>1624</v>
      </c>
      <c r="M996" t="s">
        <v>1622</v>
      </c>
    </row>
    <row r="997" spans="1:13">
      <c r="A997" t="s">
        <v>2807</v>
      </c>
      <c r="B997" s="342">
        <v>0.71299999999999997</v>
      </c>
      <c r="C997" s="342">
        <v>0.79500000000000004</v>
      </c>
      <c r="D997" s="342">
        <v>0.83199999999999996</v>
      </c>
      <c r="E997" s="342">
        <v>0.65900000000000003</v>
      </c>
      <c r="F997" s="342">
        <v>0.88500000000000001</v>
      </c>
      <c r="G997" s="342">
        <v>0.90400000000000003</v>
      </c>
      <c r="H997" s="342">
        <v>0.80200000000000005</v>
      </c>
      <c r="I997" s="342">
        <v>0.88800000000000001</v>
      </c>
      <c r="J997" s="342">
        <v>0.79</v>
      </c>
      <c r="K997" s="342">
        <v>0.65400000000000003</v>
      </c>
      <c r="L997" s="342">
        <v>0.68500000000000005</v>
      </c>
      <c r="M997" s="342">
        <v>0.69799999999999995</v>
      </c>
    </row>
    <row r="998" spans="1:13">
      <c r="A998" t="s">
        <v>1618</v>
      </c>
      <c r="B998" s="342">
        <v>0.19600000000000001</v>
      </c>
      <c r="C998" s="342">
        <v>0.189</v>
      </c>
      <c r="D998" s="342">
        <v>0.13800000000000001</v>
      </c>
      <c r="E998" s="342">
        <v>0.26600000000000001</v>
      </c>
      <c r="F998" s="342">
        <v>0.104</v>
      </c>
      <c r="G998" s="342">
        <v>7.3999999999999996E-2</v>
      </c>
      <c r="H998" s="342">
        <v>0.13100000000000001</v>
      </c>
      <c r="I998" s="342">
        <v>9.8000000000000004E-2</v>
      </c>
      <c r="J998" s="342">
        <v>0.157</v>
      </c>
      <c r="K998" s="342">
        <v>0.20399999999999999</v>
      </c>
      <c r="L998" s="342">
        <v>0.29499999999999998</v>
      </c>
      <c r="M998" s="342">
        <v>0.26800000000000002</v>
      </c>
    </row>
    <row r="999" spans="1:13">
      <c r="A999" t="s">
        <v>1619</v>
      </c>
      <c r="B999" s="342">
        <v>1.2E-2</v>
      </c>
      <c r="C999" s="342">
        <v>1.9E-2</v>
      </c>
      <c r="D999" s="342">
        <v>1.4999999999999999E-2</v>
      </c>
      <c r="E999" s="342">
        <v>4.0000000000000001E-3</v>
      </c>
      <c r="F999" s="342">
        <v>1.4999999999999999E-2</v>
      </c>
      <c r="G999" s="342">
        <v>5.0000000000000001E-3</v>
      </c>
      <c r="H999" s="342">
        <v>0</v>
      </c>
      <c r="I999" s="342">
        <v>5.0000000000000001E-3</v>
      </c>
      <c r="J999" s="342">
        <v>3.1E-2</v>
      </c>
      <c r="K999" s="342">
        <v>3.5999999999999997E-2</v>
      </c>
      <c r="L999" s="342">
        <v>2.5000000000000001E-2</v>
      </c>
      <c r="M999" s="342">
        <v>2.4E-2</v>
      </c>
    </row>
    <row r="1000" spans="1:13">
      <c r="A1000" t="s">
        <v>1620</v>
      </c>
      <c r="B1000" s="342">
        <v>0.42599999999999999</v>
      </c>
      <c r="C1000" s="342">
        <v>1.2010000000000001</v>
      </c>
      <c r="D1000" s="342">
        <v>1.2270000000000001</v>
      </c>
      <c r="E1000" s="342">
        <v>0.61199999999999999</v>
      </c>
      <c r="F1000" s="342">
        <v>3.6230000000000002</v>
      </c>
      <c r="G1000" s="342">
        <v>3.9039999999999999</v>
      </c>
      <c r="H1000" s="342">
        <v>0.73499999999999999</v>
      </c>
      <c r="I1000" s="342">
        <v>0.55400000000000005</v>
      </c>
      <c r="J1000" s="342">
        <v>0.55500000000000005</v>
      </c>
      <c r="K1000" s="342">
        <v>0.222</v>
      </c>
      <c r="L1000" s="342">
        <v>0.76800000000000002</v>
      </c>
      <c r="M1000" s="342">
        <v>0.72</v>
      </c>
    </row>
    <row r="1001" spans="1:13">
      <c r="A1001" t="s">
        <v>2808</v>
      </c>
      <c r="B1001" s="342">
        <v>0.41899999999999998</v>
      </c>
      <c r="C1001" s="342">
        <v>0.63600000000000001</v>
      </c>
      <c r="D1001" s="342">
        <v>0.56200000000000006</v>
      </c>
      <c r="E1001" s="342">
        <v>2E-3</v>
      </c>
      <c r="F1001" s="342">
        <v>0.112</v>
      </c>
      <c r="G1001" s="342">
        <v>4.3999999999999997E-2</v>
      </c>
      <c r="H1001" s="342">
        <v>2E-3</v>
      </c>
      <c r="I1001" s="342">
        <v>0.73</v>
      </c>
      <c r="J1001" s="342">
        <v>0.64700000000000002</v>
      </c>
      <c r="K1001" s="342">
        <v>0.76300000000000001</v>
      </c>
      <c r="L1001" s="342">
        <v>0.73799999999999999</v>
      </c>
      <c r="M1001" s="342">
        <v>0.7</v>
      </c>
    </row>
    <row r="1002" spans="1:13">
      <c r="A1002" t="s">
        <v>2809</v>
      </c>
      <c r="B1002" s="342">
        <v>0</v>
      </c>
      <c r="C1002" s="342">
        <v>0</v>
      </c>
      <c r="D1002" s="342">
        <v>0</v>
      </c>
      <c r="E1002" s="342">
        <v>0</v>
      </c>
      <c r="F1002" s="342">
        <v>0</v>
      </c>
      <c r="G1002" s="342">
        <v>0</v>
      </c>
      <c r="H1002" s="342">
        <v>0</v>
      </c>
      <c r="I1002" s="342">
        <v>0</v>
      </c>
      <c r="J1002" s="342">
        <v>0</v>
      </c>
      <c r="K1002" s="342">
        <v>0</v>
      </c>
      <c r="L1002" s="342">
        <v>0</v>
      </c>
      <c r="M1002" s="342">
        <v>0</v>
      </c>
    </row>
    <row r="1003" spans="1:13">
      <c r="A1003" t="s">
        <v>2810</v>
      </c>
      <c r="B1003" s="342">
        <v>0.98299999999999998</v>
      </c>
      <c r="C1003" s="342">
        <v>0.53</v>
      </c>
      <c r="D1003" s="342">
        <v>0.45800000000000002</v>
      </c>
      <c r="E1003" s="342">
        <v>3.0000000000000001E-3</v>
      </c>
      <c r="F1003" s="342">
        <v>3.1E-2</v>
      </c>
      <c r="G1003" s="342">
        <v>1.0999999999999999E-2</v>
      </c>
      <c r="H1003" s="342">
        <v>3.0000000000000001E-3</v>
      </c>
      <c r="I1003" s="342">
        <v>1.3169999999999999</v>
      </c>
      <c r="J1003" s="342">
        <v>1.165</v>
      </c>
      <c r="K1003" s="342">
        <v>3.4359999999999999</v>
      </c>
      <c r="L1003" s="342">
        <v>0.96099999999999997</v>
      </c>
      <c r="M1003" s="342">
        <v>0.97299999999999998</v>
      </c>
    </row>
    <row r="1004" spans="1:13">
      <c r="A1004" t="s">
        <v>9</v>
      </c>
      <c r="B1004">
        <v>5.65</v>
      </c>
      <c r="C1004">
        <v>7.77</v>
      </c>
      <c r="D1004">
        <v>10.220000000000001</v>
      </c>
      <c r="E1004">
        <v>25.25</v>
      </c>
      <c r="F1004">
        <v>7.36</v>
      </c>
      <c r="G1004">
        <v>17.36</v>
      </c>
      <c r="H1004" t="s">
        <v>1468</v>
      </c>
      <c r="I1004">
        <v>4.96</v>
      </c>
      <c r="J1004">
        <v>5.57</v>
      </c>
      <c r="K1004">
        <v>1.74</v>
      </c>
      <c r="L1004">
        <v>9.0299999999999994</v>
      </c>
      <c r="M1004">
        <v>7.58</v>
      </c>
    </row>
    <row r="1005" spans="1:13">
      <c r="A1005" t="s">
        <v>8</v>
      </c>
      <c r="B1005">
        <v>9.82</v>
      </c>
      <c r="C1005">
        <v>28.89</v>
      </c>
      <c r="D1005">
        <v>18.190000000000001</v>
      </c>
      <c r="E1005">
        <v>72.45</v>
      </c>
      <c r="F1005">
        <v>68.2</v>
      </c>
      <c r="G1005">
        <v>47.79</v>
      </c>
      <c r="H1005" t="s">
        <v>1468</v>
      </c>
      <c r="I1005">
        <v>5.09</v>
      </c>
      <c r="J1005">
        <v>7.48</v>
      </c>
      <c r="K1005">
        <v>2.93</v>
      </c>
      <c r="L1005">
        <v>29.76</v>
      </c>
      <c r="M1005">
        <v>12.96</v>
      </c>
    </row>
    <row r="1006" spans="1:13">
      <c r="A1006" t="s">
        <v>10</v>
      </c>
      <c r="B1006">
        <v>12.68</v>
      </c>
      <c r="C1006">
        <v>12.23</v>
      </c>
      <c r="D1006">
        <v>18.809999999999999</v>
      </c>
      <c r="E1006">
        <v>35.99</v>
      </c>
      <c r="F1006">
        <v>11.42</v>
      </c>
      <c r="G1006">
        <v>26.47</v>
      </c>
      <c r="H1006">
        <v>7.32</v>
      </c>
      <c r="I1006">
        <v>71.55</v>
      </c>
      <c r="J1006">
        <v>19.98</v>
      </c>
      <c r="K1006">
        <v>17.16</v>
      </c>
      <c r="L1006">
        <v>11.76</v>
      </c>
      <c r="M1006">
        <v>11.11</v>
      </c>
    </row>
    <row r="1007" spans="1:13">
      <c r="A1007" t="s">
        <v>1621</v>
      </c>
      <c r="B1007" s="342">
        <v>0.2</v>
      </c>
      <c r="C1007" s="342">
        <v>8.2000000000000003E-2</v>
      </c>
      <c r="D1007" s="342">
        <v>0.1</v>
      </c>
      <c r="E1007" s="342">
        <v>2.5999999999999999E-2</v>
      </c>
      <c r="F1007" s="342">
        <v>6.3E-2</v>
      </c>
      <c r="G1007" s="342">
        <v>4.1000000000000002E-2</v>
      </c>
      <c r="H1007" t="s">
        <v>1468</v>
      </c>
      <c r="I1007" s="342">
        <v>0.38400000000000001</v>
      </c>
      <c r="J1007" s="342">
        <v>0.26300000000000001</v>
      </c>
      <c r="K1007" s="342">
        <v>0.85699999999999998</v>
      </c>
      <c r="L1007" s="342">
        <v>5.8999999999999997E-2</v>
      </c>
      <c r="M1007" s="342">
        <v>0.11899999999999999</v>
      </c>
    </row>
    <row r="1009" spans="1:13">
      <c r="A1009" t="s">
        <v>2873</v>
      </c>
    </row>
    <row r="1011" spans="1:13">
      <c r="A1011" t="s">
        <v>158</v>
      </c>
      <c r="B1011" t="s">
        <v>2806</v>
      </c>
      <c r="E1011">
        <v>2017</v>
      </c>
      <c r="H1011">
        <v>2018</v>
      </c>
      <c r="K1011">
        <v>2019</v>
      </c>
    </row>
    <row r="1012" spans="1:13">
      <c r="B1012" t="s">
        <v>1623</v>
      </c>
      <c r="C1012" t="s">
        <v>1624</v>
      </c>
      <c r="D1012" t="s">
        <v>1622</v>
      </c>
      <c r="E1012" t="s">
        <v>1623</v>
      </c>
      <c r="F1012" t="s">
        <v>1624</v>
      </c>
      <c r="G1012" t="s">
        <v>1622</v>
      </c>
      <c r="H1012" t="s">
        <v>1623</v>
      </c>
      <c r="I1012" t="s">
        <v>1624</v>
      </c>
      <c r="J1012" t="s">
        <v>1622</v>
      </c>
      <c r="K1012" t="s">
        <v>1623</v>
      </c>
      <c r="L1012" t="s">
        <v>1624</v>
      </c>
      <c r="M1012" t="s">
        <v>1622</v>
      </c>
    </row>
    <row r="1013" spans="1:13">
      <c r="A1013" t="s">
        <v>2807</v>
      </c>
      <c r="B1013" s="342">
        <v>0.22900000000000001</v>
      </c>
      <c r="C1013" s="342">
        <v>0.74399999999999999</v>
      </c>
      <c r="D1013" s="342">
        <v>0.61599999999999999</v>
      </c>
      <c r="E1013" s="342">
        <v>0</v>
      </c>
      <c r="F1013" s="342">
        <v>0.64800000000000002</v>
      </c>
      <c r="G1013" s="342">
        <v>0.62</v>
      </c>
      <c r="H1013" s="342">
        <v>0.26800000000000002</v>
      </c>
      <c r="I1013" s="342">
        <v>0.78200000000000003</v>
      </c>
      <c r="J1013" s="342">
        <v>0.58399999999999996</v>
      </c>
      <c r="K1013" s="342">
        <v>0</v>
      </c>
      <c r="L1013" s="342">
        <v>0.75900000000000001</v>
      </c>
      <c r="M1013" s="342">
        <v>0.64300000000000002</v>
      </c>
    </row>
    <row r="1014" spans="1:13">
      <c r="A1014" t="s">
        <v>1618</v>
      </c>
      <c r="B1014" s="342">
        <v>0.24299999999999999</v>
      </c>
      <c r="C1014" s="342">
        <v>0.23799999999999999</v>
      </c>
      <c r="D1014" s="342">
        <v>0.24</v>
      </c>
      <c r="E1014" s="342">
        <v>0.23899999999999999</v>
      </c>
      <c r="F1014" s="342">
        <v>0.33900000000000002</v>
      </c>
      <c r="G1014" s="342">
        <v>0.33500000000000002</v>
      </c>
      <c r="H1014" s="342">
        <v>0.27200000000000002</v>
      </c>
      <c r="I1014" s="342">
        <v>0.20300000000000001</v>
      </c>
      <c r="J1014" s="342">
        <v>0.23</v>
      </c>
      <c r="K1014" s="342">
        <v>1.4999999999999999E-2</v>
      </c>
      <c r="L1014" s="342">
        <v>0.216</v>
      </c>
      <c r="M1014" s="342">
        <v>0.217</v>
      </c>
    </row>
    <row r="1015" spans="1:13">
      <c r="A1015" t="s">
        <v>1619</v>
      </c>
      <c r="B1015" s="342">
        <v>0</v>
      </c>
      <c r="C1015" s="342">
        <v>5.0000000000000001E-3</v>
      </c>
      <c r="D1015" s="342">
        <v>3.0000000000000001E-3</v>
      </c>
      <c r="E1015" s="342">
        <v>0</v>
      </c>
      <c r="F1015" s="342">
        <v>0</v>
      </c>
      <c r="G1015" s="342">
        <v>0</v>
      </c>
      <c r="H1015" s="342">
        <v>0</v>
      </c>
      <c r="I1015" s="342">
        <v>8.0000000000000002E-3</v>
      </c>
      <c r="J1015" s="342">
        <v>5.0000000000000001E-3</v>
      </c>
      <c r="K1015" s="342">
        <v>0</v>
      </c>
      <c r="L1015" s="342">
        <v>4.0000000000000001E-3</v>
      </c>
      <c r="M1015" s="342">
        <v>2E-3</v>
      </c>
    </row>
    <row r="1016" spans="1:13">
      <c r="A1016" t="s">
        <v>1620</v>
      </c>
      <c r="B1016" s="342">
        <v>6.3E-2</v>
      </c>
      <c r="C1016" s="342">
        <v>0.82199999999999995</v>
      </c>
      <c r="D1016" s="342">
        <v>0.17</v>
      </c>
      <c r="E1016" s="342">
        <v>2.1999999999999999E-2</v>
      </c>
      <c r="F1016" s="342">
        <v>0.51800000000000002</v>
      </c>
      <c r="G1016" s="342">
        <v>0.26300000000000001</v>
      </c>
      <c r="H1016" s="342">
        <v>6.9000000000000006E-2</v>
      </c>
      <c r="I1016" s="342">
        <v>0.90500000000000003</v>
      </c>
      <c r="J1016" s="342">
        <v>0.16</v>
      </c>
      <c r="K1016" s="342">
        <v>6.0999999999999999E-2</v>
      </c>
      <c r="L1016" s="342">
        <v>1.048</v>
      </c>
      <c r="M1016" s="342">
        <v>0.161</v>
      </c>
    </row>
    <row r="1017" spans="1:13">
      <c r="A1017" t="s">
        <v>2808</v>
      </c>
      <c r="B1017" s="342">
        <v>0.61799999999999999</v>
      </c>
      <c r="C1017" s="342">
        <v>1.2999999999999999E-2</v>
      </c>
      <c r="D1017" s="342">
        <v>0.55000000000000004</v>
      </c>
      <c r="E1017" s="342">
        <v>8.8999999999999996E-2</v>
      </c>
      <c r="F1017" s="342">
        <v>1.7999999999999999E-2</v>
      </c>
      <c r="G1017" s="342">
        <v>5.3999999999999999E-2</v>
      </c>
      <c r="H1017" s="342">
        <v>0.66</v>
      </c>
      <c r="I1017" s="342">
        <v>1.0999999999999999E-2</v>
      </c>
      <c r="J1017" s="342">
        <v>0.58899999999999997</v>
      </c>
      <c r="K1017" s="342">
        <v>0.8</v>
      </c>
      <c r="L1017" s="342">
        <v>1.2E-2</v>
      </c>
      <c r="M1017" s="342">
        <v>0.61199999999999999</v>
      </c>
    </row>
    <row r="1018" spans="1:13">
      <c r="A1018" t="s">
        <v>2809</v>
      </c>
      <c r="B1018" s="342">
        <v>0</v>
      </c>
      <c r="C1018" s="342">
        <v>0</v>
      </c>
      <c r="D1018" s="342">
        <v>0</v>
      </c>
      <c r="E1018" s="342">
        <v>0</v>
      </c>
      <c r="F1018" s="342">
        <v>0</v>
      </c>
      <c r="G1018" s="342">
        <v>0</v>
      </c>
      <c r="H1018" s="342">
        <v>0</v>
      </c>
      <c r="I1018" s="342">
        <v>0</v>
      </c>
      <c r="J1018" s="342">
        <v>0</v>
      </c>
      <c r="K1018" s="342">
        <v>0</v>
      </c>
      <c r="L1018" s="342">
        <v>0</v>
      </c>
      <c r="M1018" s="342">
        <v>0</v>
      </c>
    </row>
    <row r="1019" spans="1:13">
      <c r="A1019" t="s">
        <v>2810</v>
      </c>
      <c r="B1019" s="342">
        <v>9.7449999999999992</v>
      </c>
      <c r="C1019" s="342">
        <v>1.6E-2</v>
      </c>
      <c r="D1019" s="342">
        <v>3.2330000000000001</v>
      </c>
      <c r="E1019" s="342">
        <v>3.9929999999999999</v>
      </c>
      <c r="F1019" s="342">
        <v>3.4000000000000002E-2</v>
      </c>
      <c r="G1019" s="342">
        <v>0.20699999999999999</v>
      </c>
      <c r="H1019" s="342">
        <v>9.5549999999999997</v>
      </c>
      <c r="I1019" s="342">
        <v>1.2E-2</v>
      </c>
      <c r="J1019" s="342">
        <v>3.6880000000000002</v>
      </c>
      <c r="K1019" s="342">
        <v>13.112</v>
      </c>
      <c r="L1019" s="342">
        <v>1.0999999999999999E-2</v>
      </c>
      <c r="M1019" s="342">
        <v>3.81</v>
      </c>
    </row>
    <row r="1020" spans="1:13">
      <c r="A1020" t="s">
        <v>9</v>
      </c>
      <c r="B1020">
        <v>6.93</v>
      </c>
      <c r="C1020" t="s">
        <v>1468</v>
      </c>
      <c r="D1020">
        <v>38.54</v>
      </c>
      <c r="E1020">
        <v>1</v>
      </c>
      <c r="F1020" t="s">
        <v>1468</v>
      </c>
      <c r="G1020">
        <v>22.99</v>
      </c>
      <c r="H1020" t="s">
        <v>1468</v>
      </c>
      <c r="I1020" t="s">
        <v>1468</v>
      </c>
      <c r="J1020" t="s">
        <v>1468</v>
      </c>
      <c r="K1020">
        <v>1</v>
      </c>
      <c r="L1020" t="s">
        <v>1468</v>
      </c>
      <c r="M1020">
        <v>23.2</v>
      </c>
    </row>
    <row r="1021" spans="1:13">
      <c r="A1021" t="s">
        <v>8</v>
      </c>
      <c r="B1021">
        <v>1.28</v>
      </c>
      <c r="C1021" t="s">
        <v>1468</v>
      </c>
      <c r="D1021">
        <v>3.38</v>
      </c>
      <c r="E1021" t="s">
        <v>1468</v>
      </c>
      <c r="F1021" t="s">
        <v>1468</v>
      </c>
      <c r="G1021" t="s">
        <v>1468</v>
      </c>
      <c r="H1021">
        <v>1.0900000000000001</v>
      </c>
      <c r="I1021" t="s">
        <v>1468</v>
      </c>
      <c r="J1021">
        <v>2.83</v>
      </c>
      <c r="K1021" t="s">
        <v>1468</v>
      </c>
      <c r="L1021" t="s">
        <v>1468</v>
      </c>
      <c r="M1021">
        <v>2.93</v>
      </c>
    </row>
    <row r="1022" spans="1:13">
      <c r="A1022" t="s">
        <v>10</v>
      </c>
      <c r="B1022">
        <v>36.64</v>
      </c>
      <c r="C1022" t="s">
        <v>1468</v>
      </c>
      <c r="D1022">
        <v>101.86</v>
      </c>
      <c r="E1022" t="s">
        <v>1468</v>
      </c>
      <c r="F1022" t="s">
        <v>1468</v>
      </c>
      <c r="G1022" t="s">
        <v>1468</v>
      </c>
      <c r="H1022">
        <v>31.35</v>
      </c>
      <c r="I1022" t="s">
        <v>1468</v>
      </c>
      <c r="J1022">
        <v>81.37</v>
      </c>
      <c r="K1022" t="s">
        <v>1468</v>
      </c>
      <c r="L1022" t="s">
        <v>1468</v>
      </c>
      <c r="M1022">
        <v>92.5</v>
      </c>
    </row>
    <row r="1023" spans="1:13">
      <c r="A1023" t="s">
        <v>1621</v>
      </c>
      <c r="B1023" s="342">
        <v>0.90100000000000002</v>
      </c>
      <c r="C1023" t="s">
        <v>1468</v>
      </c>
      <c r="D1023" s="342">
        <v>0.312</v>
      </c>
      <c r="E1023" t="s">
        <v>1468</v>
      </c>
      <c r="F1023" t="s">
        <v>1468</v>
      </c>
      <c r="G1023" t="s">
        <v>1468</v>
      </c>
      <c r="H1023" t="s">
        <v>1468</v>
      </c>
      <c r="I1023" t="s">
        <v>1468</v>
      </c>
      <c r="J1023" t="s">
        <v>1468</v>
      </c>
      <c r="K1023" t="s">
        <v>1468</v>
      </c>
      <c r="L1023" t="s">
        <v>1468</v>
      </c>
      <c r="M1023" s="342">
        <v>0.374</v>
      </c>
    </row>
    <row r="1025" spans="1:13">
      <c r="A1025" t="s">
        <v>2874</v>
      </c>
    </row>
    <row r="1027" spans="1:13">
      <c r="A1027" t="s">
        <v>158</v>
      </c>
      <c r="B1027" t="s">
        <v>2806</v>
      </c>
      <c r="E1027">
        <v>2017</v>
      </c>
      <c r="H1027">
        <v>2018</v>
      </c>
      <c r="K1027">
        <v>2019</v>
      </c>
    </row>
    <row r="1028" spans="1:13">
      <c r="B1028" t="s">
        <v>1623</v>
      </c>
      <c r="C1028" t="s">
        <v>1624</v>
      </c>
      <c r="D1028" t="s">
        <v>1622</v>
      </c>
      <c r="E1028" t="s">
        <v>1623</v>
      </c>
      <c r="F1028" t="s">
        <v>1624</v>
      </c>
      <c r="G1028" t="s">
        <v>1622</v>
      </c>
      <c r="H1028" t="s">
        <v>1623</v>
      </c>
      <c r="I1028" t="s">
        <v>1624</v>
      </c>
      <c r="J1028" t="s">
        <v>1622</v>
      </c>
      <c r="K1028" t="s">
        <v>1623</v>
      </c>
      <c r="L1028" t="s">
        <v>1624</v>
      </c>
      <c r="M1028" t="s">
        <v>1622</v>
      </c>
    </row>
    <row r="1029" spans="1:13">
      <c r="A1029" t="s">
        <v>2807</v>
      </c>
      <c r="B1029" s="342">
        <v>0.66900000000000004</v>
      </c>
      <c r="C1029" s="342">
        <v>0.90200000000000002</v>
      </c>
      <c r="D1029" s="342">
        <v>0.84</v>
      </c>
      <c r="E1029" s="342">
        <v>0.72</v>
      </c>
      <c r="F1029" s="342">
        <v>0.90400000000000003</v>
      </c>
      <c r="G1029" s="342">
        <v>0.83699999999999997</v>
      </c>
      <c r="H1029" s="342">
        <v>0.629</v>
      </c>
      <c r="I1029" s="342">
        <v>0.90900000000000003</v>
      </c>
      <c r="J1029" s="342">
        <v>0.84499999999999997</v>
      </c>
      <c r="K1029" s="342">
        <v>0.65100000000000002</v>
      </c>
      <c r="L1029" s="342">
        <v>0.89200000000000002</v>
      </c>
      <c r="M1029" s="342">
        <v>0.83699999999999997</v>
      </c>
    </row>
    <row r="1030" spans="1:13">
      <c r="A1030" t="s">
        <v>1618</v>
      </c>
      <c r="B1030" s="342">
        <v>0.152</v>
      </c>
      <c r="C1030" s="342">
        <v>7.6999999999999999E-2</v>
      </c>
      <c r="D1030" s="342">
        <v>0.105</v>
      </c>
      <c r="E1030" s="342">
        <v>0.14699999999999999</v>
      </c>
      <c r="F1030" s="342">
        <v>7.2999999999999995E-2</v>
      </c>
      <c r="G1030" s="342">
        <v>0.108</v>
      </c>
      <c r="H1030" s="342">
        <v>0.13600000000000001</v>
      </c>
      <c r="I1030" s="342">
        <v>7.0999999999999994E-2</v>
      </c>
      <c r="J1030" s="342">
        <v>9.5000000000000001E-2</v>
      </c>
      <c r="K1030" s="342">
        <v>0.17899999999999999</v>
      </c>
      <c r="L1030" s="342">
        <v>8.7999999999999995E-2</v>
      </c>
      <c r="M1030" s="342">
        <v>0.114</v>
      </c>
    </row>
    <row r="1031" spans="1:13">
      <c r="A1031" t="s">
        <v>1619</v>
      </c>
      <c r="B1031" s="342">
        <v>0.02</v>
      </c>
      <c r="C1031" s="342">
        <v>8.9999999999999993E-3</v>
      </c>
      <c r="D1031" s="342">
        <v>1.2999999999999999E-2</v>
      </c>
      <c r="E1031" s="342">
        <v>6.0000000000000001E-3</v>
      </c>
      <c r="F1031" s="342">
        <v>3.0000000000000001E-3</v>
      </c>
      <c r="G1031" s="342">
        <v>4.0000000000000001E-3</v>
      </c>
      <c r="H1031" s="342">
        <v>2.4E-2</v>
      </c>
      <c r="I1031" s="342">
        <v>8.9999999999999993E-3</v>
      </c>
      <c r="J1031" s="342">
        <v>1.6E-2</v>
      </c>
      <c r="K1031" s="342">
        <v>3.4000000000000002E-2</v>
      </c>
      <c r="L1031" s="342">
        <v>1.4999999999999999E-2</v>
      </c>
      <c r="M1031" s="342">
        <v>1.7000000000000001E-2</v>
      </c>
    </row>
    <row r="1032" spans="1:13">
      <c r="A1032" t="s">
        <v>1620</v>
      </c>
      <c r="B1032" s="342">
        <v>0.45800000000000002</v>
      </c>
      <c r="C1032" s="342">
        <v>1.3660000000000001</v>
      </c>
      <c r="D1032" s="342">
        <v>1.0149999999999999</v>
      </c>
      <c r="E1032" s="342">
        <v>0.59199999999999997</v>
      </c>
      <c r="F1032" s="342">
        <v>1.4159999999999999</v>
      </c>
      <c r="G1032" s="342">
        <v>1.056</v>
      </c>
      <c r="H1032" s="342">
        <v>0.46700000000000003</v>
      </c>
      <c r="I1032" s="342">
        <v>1.3839999999999999</v>
      </c>
      <c r="J1032" s="342">
        <v>1.0529999999999999</v>
      </c>
      <c r="K1032" s="342">
        <v>0.33800000000000002</v>
      </c>
      <c r="L1032" s="342">
        <v>1.304</v>
      </c>
      <c r="M1032" s="342">
        <v>0.93500000000000005</v>
      </c>
    </row>
    <row r="1033" spans="1:13">
      <c r="A1033" t="s">
        <v>2808</v>
      </c>
      <c r="B1033" s="342">
        <v>0.29299999999999998</v>
      </c>
      <c r="C1033" s="342">
        <v>0.35699999999999998</v>
      </c>
      <c r="D1033" s="342">
        <v>0.41599999999999998</v>
      </c>
      <c r="E1033" s="342">
        <v>0.32500000000000001</v>
      </c>
      <c r="F1033" s="342">
        <v>0.36199999999999999</v>
      </c>
      <c r="G1033" s="342">
        <v>0.42899999999999999</v>
      </c>
      <c r="H1033" s="342">
        <v>0.28699999999999998</v>
      </c>
      <c r="I1033" s="342">
        <v>0.36799999999999999</v>
      </c>
      <c r="J1033" s="342">
        <v>0.41599999999999998</v>
      </c>
      <c r="K1033" s="342">
        <v>0.27200000000000002</v>
      </c>
      <c r="L1033" s="342">
        <v>0.34100000000000003</v>
      </c>
      <c r="M1033" s="342">
        <v>0.40300000000000002</v>
      </c>
    </row>
    <row r="1034" spans="1:13">
      <c r="A1034" t="s">
        <v>2809</v>
      </c>
      <c r="B1034" s="342">
        <v>5.0000000000000001E-3</v>
      </c>
      <c r="C1034" s="342">
        <v>8.9999999999999993E-3</v>
      </c>
      <c r="D1034" s="342">
        <v>7.0000000000000001E-3</v>
      </c>
      <c r="E1034" s="342">
        <v>3.0000000000000001E-3</v>
      </c>
      <c r="F1034" s="342">
        <v>1.0999999999999999E-2</v>
      </c>
      <c r="G1034" s="342">
        <v>8.0000000000000002E-3</v>
      </c>
      <c r="H1034" s="342">
        <v>6.0000000000000001E-3</v>
      </c>
      <c r="I1034" s="342">
        <v>1.0999999999999999E-2</v>
      </c>
      <c r="J1034" s="342">
        <v>7.0000000000000001E-3</v>
      </c>
      <c r="K1034" s="342">
        <v>5.0000000000000001E-3</v>
      </c>
      <c r="L1034" s="342">
        <v>6.0000000000000001E-3</v>
      </c>
      <c r="M1034" s="342">
        <v>6.0000000000000001E-3</v>
      </c>
    </row>
    <row r="1035" spans="1:13">
      <c r="A1035" t="s">
        <v>2810</v>
      </c>
      <c r="B1035" s="342">
        <v>0.65</v>
      </c>
      <c r="C1035" s="342">
        <v>0.26800000000000002</v>
      </c>
      <c r="D1035" s="342">
        <v>0.41599999999999998</v>
      </c>
      <c r="E1035" s="342">
        <v>0.55400000000000005</v>
      </c>
      <c r="F1035" s="342">
        <v>0.26300000000000001</v>
      </c>
      <c r="G1035" s="342">
        <v>0.41299999999999998</v>
      </c>
      <c r="H1035" s="342">
        <v>0.628</v>
      </c>
      <c r="I1035" s="342">
        <v>0.27400000000000002</v>
      </c>
      <c r="J1035" s="342">
        <v>0.40200000000000002</v>
      </c>
      <c r="K1035" s="342">
        <v>0.82099999999999995</v>
      </c>
      <c r="L1035" s="342">
        <v>0.26600000000000001</v>
      </c>
      <c r="M1035" s="342">
        <v>0.438</v>
      </c>
    </row>
    <row r="1036" spans="1:13">
      <c r="A1036" t="s">
        <v>9</v>
      </c>
      <c r="B1036">
        <v>6.38</v>
      </c>
      <c r="C1036">
        <v>7.14</v>
      </c>
      <c r="D1036">
        <v>7.1</v>
      </c>
      <c r="E1036">
        <v>7.75</v>
      </c>
      <c r="F1036">
        <v>7.36</v>
      </c>
      <c r="G1036">
        <v>7.17</v>
      </c>
      <c r="H1036">
        <v>5.95</v>
      </c>
      <c r="I1036">
        <v>6.74</v>
      </c>
      <c r="J1036">
        <v>6.87</v>
      </c>
      <c r="K1036">
        <v>5.52</v>
      </c>
      <c r="L1036">
        <v>7.4</v>
      </c>
      <c r="M1036">
        <v>7.33</v>
      </c>
    </row>
    <row r="1037" spans="1:13">
      <c r="A1037" t="s">
        <v>8</v>
      </c>
      <c r="B1037">
        <v>11.87</v>
      </c>
      <c r="C1037">
        <v>6.08</v>
      </c>
      <c r="D1037">
        <v>7.05</v>
      </c>
      <c r="E1037">
        <v>16.2</v>
      </c>
      <c r="F1037">
        <v>6.39</v>
      </c>
      <c r="G1037">
        <v>7.73</v>
      </c>
      <c r="H1037">
        <v>11.96</v>
      </c>
      <c r="I1037">
        <v>6.54</v>
      </c>
      <c r="J1037">
        <v>7.37</v>
      </c>
      <c r="K1037">
        <v>8.49</v>
      </c>
      <c r="L1037">
        <v>5.41</v>
      </c>
      <c r="M1037">
        <v>6.15</v>
      </c>
    </row>
    <row r="1038" spans="1:13">
      <c r="A1038" t="s">
        <v>10</v>
      </c>
      <c r="B1038">
        <v>20.65</v>
      </c>
      <c r="C1038">
        <v>13.3</v>
      </c>
      <c r="D1038">
        <v>14.16</v>
      </c>
      <c r="E1038">
        <v>26.21</v>
      </c>
      <c r="F1038">
        <v>18.079999999999998</v>
      </c>
      <c r="G1038">
        <v>14.64</v>
      </c>
      <c r="H1038">
        <v>20.55</v>
      </c>
      <c r="I1038">
        <v>16.809999999999999</v>
      </c>
      <c r="J1038">
        <v>16.86</v>
      </c>
      <c r="K1038">
        <v>15.88</v>
      </c>
      <c r="L1038">
        <v>8.98</v>
      </c>
      <c r="M1038">
        <v>11.53</v>
      </c>
    </row>
    <row r="1039" spans="1:13">
      <c r="A1039" t="s">
        <v>1621</v>
      </c>
      <c r="B1039" s="342">
        <v>0.193</v>
      </c>
      <c r="C1039" s="342">
        <v>0.22900000000000001</v>
      </c>
      <c r="D1039" s="342">
        <v>0.21199999999999999</v>
      </c>
      <c r="E1039" s="342">
        <v>0.153</v>
      </c>
      <c r="F1039" s="342">
        <v>0.23699999999999999</v>
      </c>
      <c r="G1039" s="342">
        <v>0.20100000000000001</v>
      </c>
      <c r="H1039" s="342">
        <v>0.20300000000000001</v>
      </c>
      <c r="I1039" s="342">
        <v>0.24199999999999999</v>
      </c>
      <c r="J1039" s="342">
        <v>0.222</v>
      </c>
      <c r="K1039" s="342">
        <v>0.23599999999999999</v>
      </c>
      <c r="L1039" s="342">
        <v>0.20899999999999999</v>
      </c>
      <c r="M1039" s="342">
        <v>0.21199999999999999</v>
      </c>
    </row>
    <row r="1041" spans="1:13">
      <c r="A1041" t="s">
        <v>2875</v>
      </c>
    </row>
    <row r="1043" spans="1:13">
      <c r="A1043" t="s">
        <v>158</v>
      </c>
      <c r="B1043" t="s">
        <v>2806</v>
      </c>
      <c r="E1043">
        <v>2017</v>
      </c>
      <c r="H1043">
        <v>2018</v>
      </c>
      <c r="K1043">
        <v>2019</v>
      </c>
    </row>
    <row r="1044" spans="1:13">
      <c r="B1044" t="s">
        <v>1623</v>
      </c>
      <c r="C1044" t="s">
        <v>1624</v>
      </c>
      <c r="D1044" t="s">
        <v>1622</v>
      </c>
      <c r="E1044" t="s">
        <v>1623</v>
      </c>
      <c r="F1044" t="s">
        <v>1624</v>
      </c>
      <c r="G1044" t="s">
        <v>1622</v>
      </c>
      <c r="H1044" t="s">
        <v>1623</v>
      </c>
      <c r="I1044" t="s">
        <v>1624</v>
      </c>
      <c r="J1044" t="s">
        <v>1622</v>
      </c>
      <c r="K1044" t="s">
        <v>1623</v>
      </c>
      <c r="L1044" t="s">
        <v>1624</v>
      </c>
      <c r="M1044" t="s">
        <v>1622</v>
      </c>
    </row>
    <row r="1045" spans="1:13">
      <c r="A1045" t="s">
        <v>2807</v>
      </c>
      <c r="B1045" s="342">
        <v>0.755</v>
      </c>
      <c r="C1045" s="342">
        <v>0.89300000000000002</v>
      </c>
      <c r="D1045" s="342">
        <v>0.83499999999999996</v>
      </c>
      <c r="E1045" s="342">
        <v>0.754</v>
      </c>
      <c r="F1045" s="342">
        <v>0.89300000000000002</v>
      </c>
      <c r="G1045" s="342">
        <v>0.82799999999999996</v>
      </c>
      <c r="H1045" s="342">
        <v>0.76</v>
      </c>
      <c r="I1045" s="342">
        <v>0.89400000000000002</v>
      </c>
      <c r="J1045" s="342">
        <v>0.84399999999999997</v>
      </c>
      <c r="K1045" s="342">
        <v>0.68500000000000005</v>
      </c>
      <c r="L1045" s="342">
        <v>0.89200000000000002</v>
      </c>
      <c r="M1045" s="342">
        <v>0.83199999999999996</v>
      </c>
    </row>
    <row r="1046" spans="1:13">
      <c r="A1046" t="s">
        <v>1618</v>
      </c>
      <c r="B1046" s="342">
        <v>0.13300000000000001</v>
      </c>
      <c r="C1046" s="342">
        <v>8.4000000000000005E-2</v>
      </c>
      <c r="D1046" s="342">
        <v>0.107</v>
      </c>
      <c r="E1046" s="342">
        <v>0.129</v>
      </c>
      <c r="F1046" s="342">
        <v>8.4000000000000005E-2</v>
      </c>
      <c r="G1046" s="342">
        <v>0.108</v>
      </c>
      <c r="H1046" s="342">
        <v>0.13400000000000001</v>
      </c>
      <c r="I1046" s="342">
        <v>8.4000000000000005E-2</v>
      </c>
      <c r="J1046" s="342">
        <v>9.9000000000000005E-2</v>
      </c>
      <c r="K1046" s="342">
        <v>0.154</v>
      </c>
      <c r="L1046" s="342">
        <v>8.3000000000000004E-2</v>
      </c>
      <c r="M1046" s="342">
        <v>0.11799999999999999</v>
      </c>
    </row>
    <row r="1047" spans="1:13">
      <c r="A1047" t="s">
        <v>1619</v>
      </c>
      <c r="B1047" s="342">
        <v>2.1999999999999999E-2</v>
      </c>
      <c r="C1047" s="342">
        <v>1.0999999999999999E-2</v>
      </c>
      <c r="D1047" s="342">
        <v>1.7000000000000001E-2</v>
      </c>
      <c r="E1047" s="342">
        <v>4.0000000000000001E-3</v>
      </c>
      <c r="F1047" s="342">
        <v>2E-3</v>
      </c>
      <c r="G1047" s="342">
        <v>3.0000000000000001E-3</v>
      </c>
      <c r="H1047" s="342">
        <v>3.9E-2</v>
      </c>
      <c r="I1047" s="342">
        <v>1.7000000000000001E-2</v>
      </c>
      <c r="J1047" s="342">
        <v>2.4E-2</v>
      </c>
      <c r="K1047" s="342">
        <v>0.04</v>
      </c>
      <c r="L1047" s="342">
        <v>8.9999999999999993E-3</v>
      </c>
      <c r="M1047" s="342">
        <v>2.8000000000000001E-2</v>
      </c>
    </row>
    <row r="1048" spans="1:13">
      <c r="A1048" t="s">
        <v>1620</v>
      </c>
      <c r="B1048" s="342">
        <v>0.48099999999999998</v>
      </c>
      <c r="C1048" s="342">
        <v>0.90100000000000002</v>
      </c>
      <c r="D1048" s="342">
        <v>0.67100000000000004</v>
      </c>
      <c r="E1048" s="342">
        <v>0.48399999999999999</v>
      </c>
      <c r="F1048" s="342">
        <v>0.874</v>
      </c>
      <c r="G1048" s="342">
        <v>0.72099999999999997</v>
      </c>
      <c r="H1048" s="342">
        <v>0.46700000000000003</v>
      </c>
      <c r="I1048" s="342">
        <v>0.96699999999999997</v>
      </c>
      <c r="J1048" s="342">
        <v>0.74199999999999999</v>
      </c>
      <c r="K1048" s="342">
        <v>0.77500000000000002</v>
      </c>
      <c r="L1048" s="342">
        <v>0.80300000000000005</v>
      </c>
      <c r="M1048" s="342">
        <v>0.53600000000000003</v>
      </c>
    </row>
    <row r="1049" spans="1:13">
      <c r="A1049" t="s">
        <v>2808</v>
      </c>
      <c r="B1049" s="342">
        <v>0.46100000000000002</v>
      </c>
      <c r="C1049" s="342">
        <v>0.49</v>
      </c>
      <c r="D1049" s="342">
        <v>0.45900000000000002</v>
      </c>
      <c r="E1049" s="342">
        <v>0.46300000000000002</v>
      </c>
      <c r="F1049" s="342">
        <v>0.5</v>
      </c>
      <c r="G1049" s="342">
        <v>0.48299999999999998</v>
      </c>
      <c r="H1049" s="342">
        <v>0.45500000000000002</v>
      </c>
      <c r="I1049" s="342">
        <v>0.51600000000000001</v>
      </c>
      <c r="J1049" s="342">
        <v>0.48199999999999998</v>
      </c>
      <c r="K1049" s="342">
        <v>0.58399999999999996</v>
      </c>
      <c r="L1049" s="342">
        <v>0.42699999999999999</v>
      </c>
      <c r="M1049" s="342">
        <v>0.40600000000000003</v>
      </c>
    </row>
    <row r="1050" spans="1:13">
      <c r="A1050" t="s">
        <v>2809</v>
      </c>
      <c r="B1050" s="342">
        <v>2.1000000000000001E-2</v>
      </c>
      <c r="C1050" s="342">
        <v>6.0000000000000001E-3</v>
      </c>
      <c r="D1050" s="342">
        <v>1.4999999999999999E-2</v>
      </c>
      <c r="E1050" s="342">
        <v>0.02</v>
      </c>
      <c r="F1050" s="342">
        <v>4.0000000000000001E-3</v>
      </c>
      <c r="G1050" s="342">
        <v>1.2999999999999999E-2</v>
      </c>
      <c r="H1050" s="342">
        <v>2.3E-2</v>
      </c>
      <c r="I1050" s="342">
        <v>7.0000000000000001E-3</v>
      </c>
      <c r="J1050" s="342">
        <v>1.6E-2</v>
      </c>
      <c r="K1050" s="342">
        <v>6.0000000000000001E-3</v>
      </c>
      <c r="L1050" s="342">
        <v>7.0000000000000001E-3</v>
      </c>
      <c r="M1050" s="342">
        <v>1.6E-2</v>
      </c>
    </row>
    <row r="1051" spans="1:13">
      <c r="A1051" t="s">
        <v>2810</v>
      </c>
      <c r="B1051" s="342">
        <v>1.0029999999999999</v>
      </c>
      <c r="C1051" s="342">
        <v>0.55100000000000005</v>
      </c>
      <c r="D1051" s="342">
        <v>0.70599999999999996</v>
      </c>
      <c r="E1051" s="342">
        <v>0.997</v>
      </c>
      <c r="F1051" s="342">
        <v>0.57699999999999996</v>
      </c>
      <c r="G1051" s="342">
        <v>0.68700000000000006</v>
      </c>
      <c r="H1051" s="342">
        <v>1.026</v>
      </c>
      <c r="I1051" s="342">
        <v>0.54100000000000004</v>
      </c>
      <c r="J1051" s="342">
        <v>0.67100000000000004</v>
      </c>
      <c r="K1051" s="342">
        <v>0.76200000000000001</v>
      </c>
      <c r="L1051" s="342">
        <v>0.54</v>
      </c>
      <c r="M1051" s="342">
        <v>0.78700000000000003</v>
      </c>
    </row>
    <row r="1052" spans="1:13">
      <c r="A1052" t="s">
        <v>9</v>
      </c>
      <c r="B1052">
        <v>6.63</v>
      </c>
      <c r="C1052">
        <v>5.77</v>
      </c>
      <c r="D1052">
        <v>5.95</v>
      </c>
      <c r="E1052">
        <v>6.25</v>
      </c>
      <c r="F1052">
        <v>5.52</v>
      </c>
      <c r="G1052">
        <v>5.72</v>
      </c>
      <c r="H1052">
        <v>7.1</v>
      </c>
      <c r="I1052">
        <v>6.93</v>
      </c>
      <c r="J1052">
        <v>6.61</v>
      </c>
      <c r="K1052">
        <v>6.25</v>
      </c>
      <c r="L1052">
        <v>4.3099999999999996</v>
      </c>
      <c r="M1052">
        <v>5.43</v>
      </c>
    </row>
    <row r="1053" spans="1:13">
      <c r="A1053" t="s">
        <v>8</v>
      </c>
      <c r="B1053">
        <v>10.97</v>
      </c>
      <c r="C1053">
        <v>8.0500000000000007</v>
      </c>
      <c r="D1053">
        <v>8.51</v>
      </c>
      <c r="E1053">
        <v>11.72</v>
      </c>
      <c r="F1053">
        <v>7.71</v>
      </c>
      <c r="G1053">
        <v>9.19</v>
      </c>
      <c r="H1053">
        <v>10.06</v>
      </c>
      <c r="I1053">
        <v>8.0399999999999991</v>
      </c>
      <c r="J1053">
        <v>8.6199999999999992</v>
      </c>
      <c r="K1053">
        <v>17.79</v>
      </c>
      <c r="L1053">
        <v>8.57</v>
      </c>
      <c r="M1053">
        <v>7.53</v>
      </c>
    </row>
    <row r="1054" spans="1:13">
      <c r="A1054" t="s">
        <v>10</v>
      </c>
      <c r="B1054">
        <v>11.23</v>
      </c>
      <c r="C1054">
        <v>8.35</v>
      </c>
      <c r="D1054">
        <v>9.8800000000000008</v>
      </c>
      <c r="E1054">
        <v>11.93</v>
      </c>
      <c r="F1054">
        <v>7.8</v>
      </c>
      <c r="G1054">
        <v>9.1</v>
      </c>
      <c r="H1054">
        <v>10.38</v>
      </c>
      <c r="I1054">
        <v>8.86</v>
      </c>
      <c r="J1054">
        <v>10.02</v>
      </c>
      <c r="K1054">
        <v>16.8</v>
      </c>
      <c r="L1054">
        <v>7.99</v>
      </c>
      <c r="M1054">
        <v>11.04</v>
      </c>
    </row>
    <row r="1055" spans="1:13">
      <c r="A1055" t="s">
        <v>1621</v>
      </c>
      <c r="B1055" s="342">
        <v>0.153</v>
      </c>
      <c r="C1055" s="342">
        <v>0.17799999999999999</v>
      </c>
      <c r="D1055" s="342">
        <v>0.185</v>
      </c>
      <c r="E1055" s="342">
        <v>0.161</v>
      </c>
      <c r="F1055" s="342">
        <v>0.183</v>
      </c>
      <c r="G1055" s="342">
        <v>0.17399999999999999</v>
      </c>
      <c r="H1055" s="342">
        <v>0.14399999999999999</v>
      </c>
      <c r="I1055" s="342">
        <v>0.156</v>
      </c>
      <c r="J1055" s="342">
        <v>0.16700000000000001</v>
      </c>
      <c r="K1055" s="342">
        <v>0.157</v>
      </c>
      <c r="L1055" s="342">
        <v>0.224</v>
      </c>
      <c r="M1055" s="342">
        <v>0.22600000000000001</v>
      </c>
    </row>
    <row r="1057" spans="1:13">
      <c r="A1057" t="s">
        <v>2876</v>
      </c>
    </row>
    <row r="1059" spans="1:13">
      <c r="A1059" t="s">
        <v>158</v>
      </c>
      <c r="B1059" t="s">
        <v>2806</v>
      </c>
      <c r="E1059">
        <v>2017</v>
      </c>
      <c r="H1059">
        <v>2018</v>
      </c>
      <c r="K1059">
        <v>2019</v>
      </c>
    </row>
    <row r="1060" spans="1:13">
      <c r="B1060" t="s">
        <v>1623</v>
      </c>
      <c r="C1060" t="s">
        <v>1624</v>
      </c>
      <c r="D1060" t="s">
        <v>1622</v>
      </c>
      <c r="E1060" t="s">
        <v>1623</v>
      </c>
      <c r="F1060" t="s">
        <v>1624</v>
      </c>
      <c r="G1060" t="s">
        <v>1622</v>
      </c>
      <c r="H1060" t="s">
        <v>1623</v>
      </c>
      <c r="I1060" t="s">
        <v>1624</v>
      </c>
      <c r="J1060" t="s">
        <v>1622</v>
      </c>
      <c r="K1060" t="s">
        <v>1623</v>
      </c>
      <c r="L1060" t="s">
        <v>1624</v>
      </c>
      <c r="M1060" t="s">
        <v>1622</v>
      </c>
    </row>
    <row r="1061" spans="1:13">
      <c r="A1061" t="s">
        <v>2807</v>
      </c>
      <c r="B1061" s="342">
        <v>0.71399999999999997</v>
      </c>
      <c r="C1061" s="342">
        <v>0.82699999999999996</v>
      </c>
      <c r="D1061" s="342">
        <v>0.80100000000000005</v>
      </c>
      <c r="E1061" s="342">
        <v>0.72599999999999998</v>
      </c>
      <c r="F1061" s="342">
        <v>0.84</v>
      </c>
      <c r="G1061" s="342">
        <v>0.80600000000000005</v>
      </c>
      <c r="H1061" s="342">
        <v>0.73099999999999998</v>
      </c>
      <c r="I1061" s="342">
        <v>0.84</v>
      </c>
      <c r="J1061" s="342">
        <v>0.81</v>
      </c>
      <c r="K1061" s="342">
        <v>0.68899999999999995</v>
      </c>
      <c r="L1061" s="342">
        <v>0.78500000000000003</v>
      </c>
      <c r="M1061" s="342">
        <v>0.78400000000000003</v>
      </c>
    </row>
    <row r="1062" spans="1:13">
      <c r="A1062" t="s">
        <v>1618</v>
      </c>
      <c r="B1062" s="342">
        <v>0.14799999999999999</v>
      </c>
      <c r="C1062" s="342">
        <v>0.14699999999999999</v>
      </c>
      <c r="D1062" s="342">
        <v>0.14199999999999999</v>
      </c>
      <c r="E1062" s="342">
        <v>0.14299999999999999</v>
      </c>
      <c r="F1062" s="342">
        <v>0.126</v>
      </c>
      <c r="G1062" s="342">
        <v>0.13300000000000001</v>
      </c>
      <c r="H1062" s="342">
        <v>0.128</v>
      </c>
      <c r="I1062" s="342">
        <v>0.13800000000000001</v>
      </c>
      <c r="J1062" s="342">
        <v>0.13500000000000001</v>
      </c>
      <c r="K1062" s="342">
        <v>0.17199999999999999</v>
      </c>
      <c r="L1062" s="342">
        <v>0.19</v>
      </c>
      <c r="M1062" s="342">
        <v>0.158</v>
      </c>
    </row>
    <row r="1063" spans="1:13">
      <c r="A1063" t="s">
        <v>1619</v>
      </c>
      <c r="B1063" s="342">
        <v>3.3000000000000002E-2</v>
      </c>
      <c r="C1063" s="342">
        <v>0.01</v>
      </c>
      <c r="D1063" s="342">
        <v>1.4999999999999999E-2</v>
      </c>
      <c r="E1063" s="342">
        <v>1.7000000000000001E-2</v>
      </c>
      <c r="F1063" s="342">
        <v>2E-3</v>
      </c>
      <c r="G1063" s="342">
        <v>4.0000000000000001E-3</v>
      </c>
      <c r="H1063" s="342">
        <v>2.5000000000000001E-2</v>
      </c>
      <c r="I1063" s="342">
        <v>1.7999999999999999E-2</v>
      </c>
      <c r="J1063" s="342">
        <v>1.9E-2</v>
      </c>
      <c r="K1063" s="342">
        <v>5.0999999999999997E-2</v>
      </c>
      <c r="L1063" s="342">
        <v>0.01</v>
      </c>
      <c r="M1063" s="342">
        <v>1.9E-2</v>
      </c>
    </row>
    <row r="1064" spans="1:13">
      <c r="A1064" t="s">
        <v>1620</v>
      </c>
      <c r="B1064" s="342">
        <v>0.72599999999999998</v>
      </c>
      <c r="C1064" s="342">
        <v>1.139</v>
      </c>
      <c r="D1064" s="342">
        <v>1.115</v>
      </c>
      <c r="E1064" s="342">
        <v>0.92300000000000004</v>
      </c>
      <c r="F1064" s="342">
        <v>1.679</v>
      </c>
      <c r="G1064" s="342">
        <v>1.2689999999999999</v>
      </c>
      <c r="H1064" s="342">
        <v>0.86599999999999999</v>
      </c>
      <c r="I1064" s="342">
        <v>0.85399999999999998</v>
      </c>
      <c r="J1064" s="342">
        <v>1.0860000000000001</v>
      </c>
      <c r="K1064" s="342">
        <v>0.55500000000000005</v>
      </c>
      <c r="L1064" s="342">
        <v>1.2270000000000001</v>
      </c>
      <c r="M1064" s="342">
        <v>1.0349999999999999</v>
      </c>
    </row>
    <row r="1065" spans="1:13">
      <c r="A1065" t="s">
        <v>2808</v>
      </c>
      <c r="B1065" s="342">
        <v>0.61199999999999999</v>
      </c>
      <c r="C1065" s="342">
        <v>0.49399999999999999</v>
      </c>
      <c r="D1065" s="342">
        <v>0.47199999999999998</v>
      </c>
      <c r="E1065" s="342">
        <v>0.49</v>
      </c>
      <c r="F1065" s="342">
        <v>0.36499999999999999</v>
      </c>
      <c r="G1065" s="342">
        <v>0.432</v>
      </c>
      <c r="H1065" s="342">
        <v>0.63700000000000001</v>
      </c>
      <c r="I1065" s="342">
        <v>0.61199999999999999</v>
      </c>
      <c r="J1065" s="342">
        <v>0.502</v>
      </c>
      <c r="K1065" s="342">
        <v>0.64800000000000002</v>
      </c>
      <c r="L1065" s="342">
        <v>0.35499999999999998</v>
      </c>
      <c r="M1065" s="342">
        <v>0.46300000000000002</v>
      </c>
    </row>
    <row r="1066" spans="1:13">
      <c r="A1066" t="s">
        <v>2809</v>
      </c>
      <c r="B1066" s="342">
        <v>1.2E-2</v>
      </c>
      <c r="C1066" s="342">
        <v>6.0000000000000001E-3</v>
      </c>
      <c r="D1066" s="342">
        <v>8.9999999999999993E-3</v>
      </c>
      <c r="E1066" s="342">
        <v>4.4999999999999998E-2</v>
      </c>
      <c r="F1066" s="342">
        <v>4.0000000000000001E-3</v>
      </c>
      <c r="G1066" s="342">
        <v>8.9999999999999993E-3</v>
      </c>
      <c r="H1066" s="342">
        <v>6.0000000000000001E-3</v>
      </c>
      <c r="I1066" s="342">
        <v>7.0000000000000001E-3</v>
      </c>
      <c r="J1066" s="342">
        <v>7.0000000000000001E-3</v>
      </c>
      <c r="K1066" s="342">
        <v>2E-3</v>
      </c>
      <c r="L1066" s="342">
        <v>0.01</v>
      </c>
      <c r="M1066" s="342">
        <v>1.2E-2</v>
      </c>
    </row>
    <row r="1067" spans="1:13">
      <c r="A1067" t="s">
        <v>2810</v>
      </c>
      <c r="B1067" s="342">
        <v>0.86</v>
      </c>
      <c r="C1067" s="342">
        <v>0.439</v>
      </c>
      <c r="D1067" s="342">
        <v>0.43099999999999999</v>
      </c>
      <c r="E1067" s="342">
        <v>0.57999999999999996</v>
      </c>
      <c r="F1067" s="342">
        <v>0.219</v>
      </c>
      <c r="G1067" s="342">
        <v>0.34799999999999998</v>
      </c>
      <c r="H1067" s="342">
        <v>0.74299999999999999</v>
      </c>
      <c r="I1067" s="342">
        <v>0.72499999999999998</v>
      </c>
      <c r="J1067" s="342">
        <v>0.46899999999999997</v>
      </c>
      <c r="K1067" s="342">
        <v>1.1719999999999999</v>
      </c>
      <c r="L1067" s="342">
        <v>0.29699999999999999</v>
      </c>
      <c r="M1067" s="342">
        <v>0.45900000000000002</v>
      </c>
    </row>
    <row r="1068" spans="1:13">
      <c r="A1068" t="s">
        <v>9</v>
      </c>
      <c r="B1068">
        <v>5.16</v>
      </c>
      <c r="C1068">
        <v>7.64</v>
      </c>
      <c r="D1068">
        <v>6.79</v>
      </c>
      <c r="E1068">
        <v>5.67</v>
      </c>
      <c r="F1068">
        <v>7.96</v>
      </c>
      <c r="G1068">
        <v>7.08</v>
      </c>
      <c r="H1068">
        <v>5.0599999999999996</v>
      </c>
      <c r="I1068">
        <v>9.27</v>
      </c>
      <c r="J1068">
        <v>7.15</v>
      </c>
      <c r="K1068">
        <v>4.9400000000000004</v>
      </c>
      <c r="L1068">
        <v>5.67</v>
      </c>
      <c r="M1068">
        <v>6.14</v>
      </c>
    </row>
    <row r="1069" spans="1:13">
      <c r="A1069" t="s">
        <v>8</v>
      </c>
      <c r="B1069">
        <v>12.81</v>
      </c>
      <c r="C1069">
        <v>7.98</v>
      </c>
      <c r="D1069">
        <v>8.8800000000000008</v>
      </c>
      <c r="E1069">
        <v>18.05</v>
      </c>
      <c r="F1069">
        <v>17.21</v>
      </c>
      <c r="G1069">
        <v>10.91</v>
      </c>
      <c r="H1069">
        <v>14.22</v>
      </c>
      <c r="I1069">
        <v>6.1</v>
      </c>
      <c r="J1069">
        <v>8.66</v>
      </c>
      <c r="K1069">
        <v>9.85</v>
      </c>
      <c r="L1069">
        <v>6.2</v>
      </c>
      <c r="M1069">
        <v>7.78</v>
      </c>
    </row>
    <row r="1070" spans="1:13">
      <c r="A1070" t="s">
        <v>10</v>
      </c>
      <c r="B1070">
        <v>25.51</v>
      </c>
      <c r="C1070">
        <v>15.04</v>
      </c>
      <c r="D1070">
        <v>15.42</v>
      </c>
      <c r="E1070">
        <v>25.87</v>
      </c>
      <c r="F1070">
        <v>14.93</v>
      </c>
      <c r="G1070">
        <v>14.94</v>
      </c>
      <c r="H1070">
        <v>21.66</v>
      </c>
      <c r="I1070">
        <v>14.14</v>
      </c>
      <c r="J1070">
        <v>16.18</v>
      </c>
      <c r="K1070">
        <v>30.57</v>
      </c>
      <c r="L1070">
        <v>17.010000000000002</v>
      </c>
      <c r="M1070">
        <v>14.92</v>
      </c>
    </row>
    <row r="1071" spans="1:13">
      <c r="A1071" t="s">
        <v>1621</v>
      </c>
      <c r="B1071" s="342">
        <v>0.23300000000000001</v>
      </c>
      <c r="C1071" s="342">
        <v>0.19</v>
      </c>
      <c r="D1071" s="342">
        <v>0.19500000000000001</v>
      </c>
      <c r="E1071" s="342">
        <v>0.193</v>
      </c>
      <c r="F1071" s="342">
        <v>0.11700000000000001</v>
      </c>
      <c r="G1071" s="342">
        <v>0.16600000000000001</v>
      </c>
      <c r="H1071" s="342">
        <v>0.222</v>
      </c>
      <c r="I1071" s="342">
        <v>0.20100000000000001</v>
      </c>
      <c r="J1071" s="342">
        <v>0.19400000000000001</v>
      </c>
      <c r="K1071" s="342">
        <v>0.27100000000000002</v>
      </c>
      <c r="L1071" s="342">
        <v>0.27900000000000003</v>
      </c>
      <c r="M1071" s="342">
        <v>0.224</v>
      </c>
    </row>
    <row r="1073" spans="1:13">
      <c r="A1073" t="s">
        <v>2877</v>
      </c>
    </row>
    <row r="1075" spans="1:13">
      <c r="A1075" t="s">
        <v>158</v>
      </c>
      <c r="B1075" t="s">
        <v>2806</v>
      </c>
      <c r="E1075">
        <v>2017</v>
      </c>
      <c r="H1075">
        <v>2018</v>
      </c>
      <c r="K1075">
        <v>2019</v>
      </c>
    </row>
    <row r="1076" spans="1:13">
      <c r="B1076" t="s">
        <v>1623</v>
      </c>
      <c r="C1076" t="s">
        <v>1624</v>
      </c>
      <c r="D1076" t="s">
        <v>1622</v>
      </c>
      <c r="E1076" t="s">
        <v>1623</v>
      </c>
      <c r="F1076" t="s">
        <v>1624</v>
      </c>
      <c r="G1076" t="s">
        <v>1622</v>
      </c>
      <c r="H1076" t="s">
        <v>1623</v>
      </c>
      <c r="I1076" t="s">
        <v>1624</v>
      </c>
      <c r="J1076" t="s">
        <v>1622</v>
      </c>
      <c r="K1076" t="s">
        <v>1623</v>
      </c>
      <c r="L1076" t="s">
        <v>1624</v>
      </c>
      <c r="M1076" t="s">
        <v>1622</v>
      </c>
    </row>
    <row r="1077" spans="1:13">
      <c r="A1077" t="s">
        <v>2807</v>
      </c>
      <c r="B1077" s="342">
        <v>0.58299999999999996</v>
      </c>
      <c r="C1077" s="342">
        <v>0.88</v>
      </c>
      <c r="D1077" s="342">
        <v>0.81699999999999995</v>
      </c>
      <c r="E1077" s="342">
        <v>0.61099999999999999</v>
      </c>
      <c r="F1077" s="342">
        <v>0.88200000000000001</v>
      </c>
      <c r="G1077" s="342">
        <v>0.81399999999999995</v>
      </c>
      <c r="H1077" s="342">
        <v>0.57099999999999995</v>
      </c>
      <c r="I1077" s="342">
        <v>0.82199999999999995</v>
      </c>
      <c r="J1077" s="342">
        <v>0.82199999999999995</v>
      </c>
      <c r="K1077" s="342">
        <v>0.57099999999999995</v>
      </c>
      <c r="L1077" s="342">
        <v>0.90500000000000003</v>
      </c>
      <c r="M1077" s="342">
        <v>0.81499999999999995</v>
      </c>
    </row>
    <row r="1078" spans="1:13">
      <c r="A1078" t="s">
        <v>1618</v>
      </c>
      <c r="B1078" s="342">
        <v>0.20499999999999999</v>
      </c>
      <c r="C1078" s="342">
        <v>8.4000000000000005E-2</v>
      </c>
      <c r="D1078" s="342">
        <v>0.12</v>
      </c>
      <c r="E1078" s="342">
        <v>0.16200000000000001</v>
      </c>
      <c r="F1078" s="342">
        <v>7.0000000000000007E-2</v>
      </c>
      <c r="G1078" s="342">
        <v>0.113</v>
      </c>
      <c r="H1078" s="342">
        <v>0.221</v>
      </c>
      <c r="I1078" s="342">
        <v>0.152</v>
      </c>
      <c r="J1078" s="342">
        <v>0.11600000000000001</v>
      </c>
      <c r="K1078" s="342">
        <v>0.22800000000000001</v>
      </c>
      <c r="L1078" s="342">
        <v>6.8000000000000005E-2</v>
      </c>
      <c r="M1078" s="342">
        <v>0.13100000000000001</v>
      </c>
    </row>
    <row r="1079" spans="1:13">
      <c r="A1079" t="s">
        <v>1619</v>
      </c>
      <c r="B1079" s="342">
        <v>3.2000000000000001E-2</v>
      </c>
      <c r="C1079" s="342">
        <v>1.0999999999999999E-2</v>
      </c>
      <c r="D1079" s="342">
        <v>1.2E-2</v>
      </c>
      <c r="E1079" s="342">
        <v>4.0000000000000001E-3</v>
      </c>
      <c r="F1079" s="342">
        <v>2E-3</v>
      </c>
      <c r="G1079" s="342">
        <v>3.0000000000000001E-3</v>
      </c>
      <c r="H1079" s="342">
        <v>4.4999999999999998E-2</v>
      </c>
      <c r="I1079" s="342">
        <v>3.1E-2</v>
      </c>
      <c r="J1079" s="342">
        <v>1.4999999999999999E-2</v>
      </c>
      <c r="K1079" s="342">
        <v>4.3999999999999997E-2</v>
      </c>
      <c r="L1079" s="342">
        <v>1.2E-2</v>
      </c>
      <c r="M1079" s="342">
        <v>1.4999999999999999E-2</v>
      </c>
    </row>
    <row r="1080" spans="1:13">
      <c r="A1080" t="s">
        <v>1620</v>
      </c>
      <c r="B1080" s="342">
        <v>0.40200000000000002</v>
      </c>
      <c r="C1080" s="342">
        <v>1.272</v>
      </c>
      <c r="D1080" s="342">
        <v>0.97499999999999998</v>
      </c>
      <c r="E1080" s="342">
        <v>0.69599999999999995</v>
      </c>
      <c r="F1080" s="342">
        <v>1.2430000000000001</v>
      </c>
      <c r="G1080" s="342">
        <v>1.0109999999999999</v>
      </c>
      <c r="H1080" s="342">
        <v>0.34699999999999998</v>
      </c>
      <c r="I1080" s="342">
        <v>1.171</v>
      </c>
      <c r="J1080" s="342">
        <v>0.94799999999999995</v>
      </c>
      <c r="K1080" s="342">
        <v>0.32900000000000001</v>
      </c>
      <c r="L1080" s="342">
        <v>1.3620000000000001</v>
      </c>
      <c r="M1080" s="342">
        <v>0.97899999999999998</v>
      </c>
    </row>
    <row r="1081" spans="1:13">
      <c r="A1081" t="s">
        <v>2808</v>
      </c>
      <c r="B1081" s="342">
        <v>0.55700000000000005</v>
      </c>
      <c r="C1081" s="342">
        <v>0.33100000000000002</v>
      </c>
      <c r="D1081" s="342">
        <v>0.378</v>
      </c>
      <c r="E1081" s="342">
        <v>0.44600000000000001</v>
      </c>
      <c r="F1081" s="342">
        <v>0.34100000000000003</v>
      </c>
      <c r="G1081" s="342">
        <v>0.40799999999999997</v>
      </c>
      <c r="H1081" s="342">
        <v>0.57899999999999996</v>
      </c>
      <c r="I1081" s="342">
        <v>0.3</v>
      </c>
      <c r="J1081" s="342">
        <v>0.36399999999999999</v>
      </c>
      <c r="K1081" s="342">
        <v>0.58299999999999996</v>
      </c>
      <c r="L1081" s="342">
        <v>0.33700000000000002</v>
      </c>
      <c r="M1081" s="342">
        <v>0.37</v>
      </c>
    </row>
    <row r="1082" spans="1:13">
      <c r="A1082" t="s">
        <v>2809</v>
      </c>
      <c r="B1082" s="342">
        <v>2E-3</v>
      </c>
      <c r="C1082" s="342">
        <v>0.01</v>
      </c>
      <c r="D1082" s="342">
        <v>1.4999999999999999E-2</v>
      </c>
      <c r="E1082" s="342">
        <v>3.0000000000000001E-3</v>
      </c>
      <c r="F1082" s="342">
        <v>0</v>
      </c>
      <c r="G1082" s="342">
        <v>5.0000000000000001E-3</v>
      </c>
      <c r="H1082" s="342">
        <v>2E-3</v>
      </c>
      <c r="I1082" s="342">
        <v>2E-3</v>
      </c>
      <c r="J1082" s="342">
        <v>0.02</v>
      </c>
      <c r="K1082" s="342">
        <v>2E-3</v>
      </c>
      <c r="L1082" s="342">
        <v>2.5000000000000001E-2</v>
      </c>
      <c r="M1082" s="342">
        <v>1.7000000000000001E-2</v>
      </c>
    </row>
    <row r="1083" spans="1:13">
      <c r="A1083" t="s">
        <v>2810</v>
      </c>
      <c r="B1083" s="342">
        <v>1.391</v>
      </c>
      <c r="C1083" s="342">
        <v>0.26800000000000002</v>
      </c>
      <c r="D1083" s="342">
        <v>0.40300000000000002</v>
      </c>
      <c r="E1083" s="342">
        <v>0.64500000000000002</v>
      </c>
      <c r="F1083" s="342">
        <v>0.27400000000000002</v>
      </c>
      <c r="G1083" s="342">
        <v>0.40799999999999997</v>
      </c>
      <c r="H1083" s="342">
        <v>1.675</v>
      </c>
      <c r="I1083" s="342">
        <v>0.25900000000000001</v>
      </c>
      <c r="J1083" s="342">
        <v>0.40500000000000003</v>
      </c>
      <c r="K1083" s="342">
        <v>1.7769999999999999</v>
      </c>
      <c r="L1083" s="342">
        <v>0.26600000000000001</v>
      </c>
      <c r="M1083" s="342">
        <v>0.39500000000000002</v>
      </c>
    </row>
    <row r="1084" spans="1:13">
      <c r="A1084" t="s">
        <v>9</v>
      </c>
      <c r="B1084">
        <v>2.15</v>
      </c>
      <c r="C1084">
        <v>5.22</v>
      </c>
      <c r="D1084">
        <v>4.63</v>
      </c>
      <c r="E1084">
        <v>2.81</v>
      </c>
      <c r="F1084">
        <v>5.14</v>
      </c>
      <c r="G1084">
        <v>5.18</v>
      </c>
      <c r="H1084">
        <v>1.95</v>
      </c>
      <c r="I1084">
        <v>3.95</v>
      </c>
      <c r="J1084">
        <v>4.8600000000000003</v>
      </c>
      <c r="K1084">
        <v>1.93</v>
      </c>
      <c r="L1084">
        <v>6.25</v>
      </c>
      <c r="M1084">
        <v>4</v>
      </c>
    </row>
    <row r="1085" spans="1:13">
      <c r="A1085" t="s">
        <v>8</v>
      </c>
      <c r="B1085">
        <v>3.97</v>
      </c>
      <c r="C1085">
        <v>11.54</v>
      </c>
      <c r="D1085">
        <v>9.1999999999999993</v>
      </c>
      <c r="E1085">
        <v>52.69</v>
      </c>
      <c r="F1085">
        <v>15.27</v>
      </c>
      <c r="G1085">
        <v>10.06</v>
      </c>
      <c r="H1085">
        <v>2.88</v>
      </c>
      <c r="I1085">
        <v>5.69</v>
      </c>
      <c r="J1085">
        <v>8.0399999999999991</v>
      </c>
      <c r="K1085">
        <v>2.74</v>
      </c>
      <c r="L1085">
        <v>14.68</v>
      </c>
      <c r="M1085">
        <v>10.27</v>
      </c>
    </row>
    <row r="1086" spans="1:13">
      <c r="A1086" t="s">
        <v>10</v>
      </c>
      <c r="B1086">
        <v>32.090000000000003</v>
      </c>
      <c r="C1086">
        <v>7.9</v>
      </c>
      <c r="D1086">
        <v>9.33</v>
      </c>
      <c r="E1086">
        <v>31.37</v>
      </c>
      <c r="F1086">
        <v>5.31</v>
      </c>
      <c r="G1086">
        <v>7.1</v>
      </c>
      <c r="H1086">
        <v>36.520000000000003</v>
      </c>
      <c r="I1086">
        <v>22.96</v>
      </c>
      <c r="J1086">
        <v>9.7200000000000006</v>
      </c>
      <c r="K1086">
        <v>29.09</v>
      </c>
      <c r="L1086">
        <v>10.119999999999999</v>
      </c>
      <c r="M1086">
        <v>12.3</v>
      </c>
    </row>
    <row r="1087" spans="1:13">
      <c r="A1087" t="s">
        <v>1621</v>
      </c>
      <c r="B1087" s="342">
        <v>0.68700000000000006</v>
      </c>
      <c r="C1087" s="342">
        <v>0.152</v>
      </c>
      <c r="D1087" s="342">
        <v>0.218</v>
      </c>
      <c r="E1087" s="342">
        <v>0.34200000000000003</v>
      </c>
      <c r="F1087" s="342">
        <v>7.1999999999999995E-2</v>
      </c>
      <c r="G1087" s="342">
        <v>0.151</v>
      </c>
      <c r="H1087" s="342">
        <v>0.83299999999999996</v>
      </c>
      <c r="I1087" s="342">
        <v>0.38500000000000001</v>
      </c>
      <c r="J1087" s="342">
        <v>0.22700000000000001</v>
      </c>
      <c r="K1087" s="342">
        <v>0.84899999999999998</v>
      </c>
      <c r="L1087" s="342">
        <v>0.129</v>
      </c>
      <c r="M1087" s="342">
        <v>0.26600000000000001</v>
      </c>
    </row>
    <row r="1089" spans="1:13">
      <c r="A1089" t="s">
        <v>2878</v>
      </c>
    </row>
    <row r="1091" spans="1:13">
      <c r="A1091" t="s">
        <v>158</v>
      </c>
      <c r="B1091" t="s">
        <v>2806</v>
      </c>
      <c r="E1091">
        <v>2017</v>
      </c>
      <c r="H1091">
        <v>2018</v>
      </c>
      <c r="K1091">
        <v>2019</v>
      </c>
    </row>
    <row r="1092" spans="1:13">
      <c r="B1092" t="s">
        <v>1623</v>
      </c>
      <c r="C1092" t="s">
        <v>1624</v>
      </c>
      <c r="D1092" t="s">
        <v>1622</v>
      </c>
      <c r="E1092" t="s">
        <v>1623</v>
      </c>
      <c r="F1092" t="s">
        <v>1624</v>
      </c>
      <c r="G1092" t="s">
        <v>1622</v>
      </c>
      <c r="H1092" t="s">
        <v>1623</v>
      </c>
      <c r="I1092" t="s">
        <v>1624</v>
      </c>
      <c r="J1092" t="s">
        <v>1622</v>
      </c>
      <c r="K1092" t="s">
        <v>1623</v>
      </c>
      <c r="L1092" t="s">
        <v>1624</v>
      </c>
      <c r="M1092" t="s">
        <v>1622</v>
      </c>
    </row>
    <row r="1093" spans="1:13">
      <c r="A1093" t="s">
        <v>2807</v>
      </c>
      <c r="B1093" s="342">
        <v>0.72899999999999998</v>
      </c>
      <c r="C1093" s="342">
        <v>0.83899999999999997</v>
      </c>
      <c r="D1093" s="342">
        <v>0.81899999999999995</v>
      </c>
      <c r="E1093" s="342">
        <v>0.73799999999999999</v>
      </c>
      <c r="F1093" s="342">
        <v>0.83199999999999996</v>
      </c>
      <c r="G1093" s="342">
        <v>0.81200000000000006</v>
      </c>
      <c r="H1093" s="342">
        <v>0.73499999999999999</v>
      </c>
      <c r="I1093" s="342">
        <v>0.85</v>
      </c>
      <c r="J1093" s="342">
        <v>0.83199999999999996</v>
      </c>
      <c r="K1093" s="342">
        <v>0.70699999999999996</v>
      </c>
      <c r="L1093" s="342">
        <v>0.82599999999999996</v>
      </c>
      <c r="M1093" s="342">
        <v>0.80900000000000005</v>
      </c>
    </row>
    <row r="1094" spans="1:13">
      <c r="A1094" t="s">
        <v>1618</v>
      </c>
      <c r="B1094" s="342">
        <v>0.126</v>
      </c>
      <c r="C1094" s="342">
        <v>0.14000000000000001</v>
      </c>
      <c r="D1094" s="342">
        <v>0.13700000000000001</v>
      </c>
      <c r="E1094" s="342">
        <v>0.121</v>
      </c>
      <c r="F1094" s="342">
        <v>0.14899999999999999</v>
      </c>
      <c r="G1094" s="342">
        <v>0.14000000000000001</v>
      </c>
      <c r="H1094" s="342">
        <v>0.11899999999999999</v>
      </c>
      <c r="I1094" s="342">
        <v>0.126</v>
      </c>
      <c r="J1094" s="342">
        <v>0.126</v>
      </c>
      <c r="K1094" s="342">
        <v>0.14399999999999999</v>
      </c>
      <c r="L1094" s="342">
        <v>0.153</v>
      </c>
      <c r="M1094" s="342">
        <v>0.14899999999999999</v>
      </c>
    </row>
    <row r="1095" spans="1:13">
      <c r="A1095" t="s">
        <v>1619</v>
      </c>
      <c r="B1095" s="342">
        <v>1.4999999999999999E-2</v>
      </c>
      <c r="C1095" s="342">
        <v>0.01</v>
      </c>
      <c r="D1095" s="342">
        <v>0.01</v>
      </c>
      <c r="E1095" s="342">
        <v>7.0000000000000001E-3</v>
      </c>
      <c r="F1095" s="342">
        <v>4.0000000000000001E-3</v>
      </c>
      <c r="G1095" s="342">
        <v>5.0000000000000001E-3</v>
      </c>
      <c r="H1095" s="342">
        <v>1.7999999999999999E-2</v>
      </c>
      <c r="I1095" s="342">
        <v>8.0000000000000002E-3</v>
      </c>
      <c r="J1095" s="342">
        <v>0.01</v>
      </c>
      <c r="K1095" s="342">
        <v>2.4E-2</v>
      </c>
      <c r="L1095" s="342">
        <v>1.4999999999999999E-2</v>
      </c>
      <c r="M1095" s="342">
        <v>1.6E-2</v>
      </c>
    </row>
    <row r="1096" spans="1:13">
      <c r="A1096" t="s">
        <v>1620</v>
      </c>
      <c r="B1096" s="342">
        <v>0.86</v>
      </c>
      <c r="C1096" s="342">
        <v>1.59</v>
      </c>
      <c r="D1096" s="342">
        <v>1.3049999999999999</v>
      </c>
      <c r="E1096" s="342">
        <v>0.877</v>
      </c>
      <c r="F1096" s="342">
        <v>1.728</v>
      </c>
      <c r="G1096" s="342">
        <v>1.306</v>
      </c>
      <c r="H1096" s="342">
        <v>0.90100000000000002</v>
      </c>
      <c r="I1096" s="342">
        <v>1.7529999999999999</v>
      </c>
      <c r="J1096" s="342">
        <v>1.4359999999999999</v>
      </c>
      <c r="K1096" s="342">
        <v>0.78500000000000003</v>
      </c>
      <c r="L1096" s="342">
        <v>1.333</v>
      </c>
      <c r="M1096" s="342">
        <v>1.1659999999999999</v>
      </c>
    </row>
    <row r="1097" spans="1:13">
      <c r="A1097" t="s">
        <v>2808</v>
      </c>
      <c r="B1097" s="342">
        <v>0.59899999999999998</v>
      </c>
      <c r="C1097" s="342">
        <v>0.38700000000000001</v>
      </c>
      <c r="D1097" s="342">
        <v>0.39200000000000002</v>
      </c>
      <c r="E1097" s="342">
        <v>0.59199999999999997</v>
      </c>
      <c r="F1097" s="342">
        <v>0.34899999999999998</v>
      </c>
      <c r="G1097" s="342">
        <v>0.36499999999999999</v>
      </c>
      <c r="H1097" s="342">
        <v>0.59</v>
      </c>
      <c r="I1097" s="342">
        <v>0.34699999999999998</v>
      </c>
      <c r="J1097" s="342">
        <v>0.373</v>
      </c>
      <c r="K1097" s="342">
        <v>0.622</v>
      </c>
      <c r="L1097" s="342">
        <v>0.45300000000000001</v>
      </c>
      <c r="M1097" s="342">
        <v>0.439</v>
      </c>
    </row>
    <row r="1098" spans="1:13">
      <c r="A1098" t="s">
        <v>2809</v>
      </c>
      <c r="B1098" s="342">
        <v>0.01</v>
      </c>
      <c r="C1098" s="342">
        <v>1.7999999999999999E-2</v>
      </c>
      <c r="D1098" s="342">
        <v>1.6E-2</v>
      </c>
      <c r="E1098" s="342">
        <v>1.4E-2</v>
      </c>
      <c r="F1098" s="342">
        <v>0.01</v>
      </c>
      <c r="G1098" s="342">
        <v>1.7000000000000001E-2</v>
      </c>
      <c r="H1098" s="342">
        <v>0.01</v>
      </c>
      <c r="I1098" s="342">
        <v>1.9E-2</v>
      </c>
      <c r="J1098" s="342">
        <v>1.6E-2</v>
      </c>
      <c r="K1098" s="342">
        <v>6.0000000000000001E-3</v>
      </c>
      <c r="L1098" s="342">
        <v>0.02</v>
      </c>
      <c r="M1098" s="342">
        <v>1.6E-2</v>
      </c>
    </row>
    <row r="1099" spans="1:13">
      <c r="A1099" t="s">
        <v>2810</v>
      </c>
      <c r="B1099" s="342">
        <v>0.70899999999999996</v>
      </c>
      <c r="C1099" s="342">
        <v>0.255</v>
      </c>
      <c r="D1099" s="342">
        <v>0.313</v>
      </c>
      <c r="E1099" s="342">
        <v>0.69</v>
      </c>
      <c r="F1099" s="342">
        <v>0.20699999999999999</v>
      </c>
      <c r="G1099" s="342">
        <v>0.29199999999999998</v>
      </c>
      <c r="H1099" s="342">
        <v>0.66600000000000004</v>
      </c>
      <c r="I1099" s="342">
        <v>0.20899999999999999</v>
      </c>
      <c r="J1099" s="342">
        <v>0.27</v>
      </c>
      <c r="K1099" s="342">
        <v>0.80100000000000005</v>
      </c>
      <c r="L1099" s="342">
        <v>0.35499999999999998</v>
      </c>
      <c r="M1099" s="342">
        <v>0.39100000000000001</v>
      </c>
    </row>
    <row r="1100" spans="1:13">
      <c r="A1100" t="s">
        <v>9</v>
      </c>
      <c r="B1100">
        <v>6.62</v>
      </c>
      <c r="C1100">
        <v>6.85</v>
      </c>
      <c r="D1100">
        <v>6.71</v>
      </c>
      <c r="E1100">
        <v>6.15</v>
      </c>
      <c r="F1100">
        <v>7.51</v>
      </c>
      <c r="G1100">
        <v>5.85</v>
      </c>
      <c r="H1100">
        <v>6.84</v>
      </c>
      <c r="I1100">
        <v>6.92</v>
      </c>
      <c r="J1100">
        <v>7.25</v>
      </c>
      <c r="K1100">
        <v>7.06</v>
      </c>
      <c r="L1100">
        <v>6.37</v>
      </c>
      <c r="M1100">
        <v>7.2</v>
      </c>
    </row>
    <row r="1101" spans="1:13">
      <c r="A1101" t="s">
        <v>8</v>
      </c>
      <c r="B1101">
        <v>16.34</v>
      </c>
      <c r="C1101">
        <v>9.48</v>
      </c>
      <c r="D1101">
        <v>10.050000000000001</v>
      </c>
      <c r="E1101">
        <v>17.98</v>
      </c>
      <c r="F1101">
        <v>9.2100000000000009</v>
      </c>
      <c r="G1101">
        <v>10.18</v>
      </c>
      <c r="H1101">
        <v>15.66</v>
      </c>
      <c r="I1101">
        <v>9.89</v>
      </c>
      <c r="J1101">
        <v>10.24</v>
      </c>
      <c r="K1101">
        <v>15.29</v>
      </c>
      <c r="L1101">
        <v>9.1300000000000008</v>
      </c>
      <c r="M1101">
        <v>9.67</v>
      </c>
    </row>
    <row r="1102" spans="1:13">
      <c r="A1102" t="s">
        <v>10</v>
      </c>
      <c r="B1102">
        <v>16.57</v>
      </c>
      <c r="C1102">
        <v>7.79</v>
      </c>
      <c r="D1102">
        <v>8.51</v>
      </c>
      <c r="E1102">
        <v>13.57</v>
      </c>
      <c r="F1102">
        <v>7.19</v>
      </c>
      <c r="G1102">
        <v>7.26</v>
      </c>
      <c r="H1102">
        <v>21.73</v>
      </c>
      <c r="I1102">
        <v>8.07</v>
      </c>
      <c r="J1102">
        <v>9.16</v>
      </c>
      <c r="K1102">
        <v>16.059999999999999</v>
      </c>
      <c r="L1102">
        <v>7.89</v>
      </c>
      <c r="M1102">
        <v>9.4600000000000009</v>
      </c>
    </row>
    <row r="1103" spans="1:13">
      <c r="A1103" t="s">
        <v>1621</v>
      </c>
      <c r="B1103" s="342">
        <v>0.152</v>
      </c>
      <c r="C1103" s="342">
        <v>0.123</v>
      </c>
      <c r="D1103" s="342">
        <v>0.13100000000000001</v>
      </c>
      <c r="E1103" s="342">
        <v>0.14499999999999999</v>
      </c>
      <c r="F1103" s="342">
        <v>0.10299999999999999</v>
      </c>
      <c r="G1103" s="342">
        <v>0.13200000000000001</v>
      </c>
      <c r="H1103" s="342">
        <v>0.16400000000000001</v>
      </c>
      <c r="I1103" s="342">
        <v>0.122</v>
      </c>
      <c r="J1103" s="342">
        <v>0.126</v>
      </c>
      <c r="K1103" s="342">
        <v>0.14499999999999999</v>
      </c>
      <c r="L1103" s="342">
        <v>0.14000000000000001</v>
      </c>
      <c r="M1103" s="342">
        <v>0.13700000000000001</v>
      </c>
    </row>
    <row r="1105" spans="1:13">
      <c r="A1105" t="s">
        <v>2879</v>
      </c>
    </row>
    <row r="1107" spans="1:13">
      <c r="A1107" t="s">
        <v>158</v>
      </c>
      <c r="B1107" t="s">
        <v>2806</v>
      </c>
      <c r="E1107">
        <v>2017</v>
      </c>
      <c r="H1107">
        <v>2018</v>
      </c>
      <c r="K1107">
        <v>2019</v>
      </c>
    </row>
    <row r="1108" spans="1:13">
      <c r="B1108" t="s">
        <v>1623</v>
      </c>
      <c r="C1108" t="s">
        <v>1624</v>
      </c>
      <c r="D1108" t="s">
        <v>1622</v>
      </c>
      <c r="E1108" t="s">
        <v>1623</v>
      </c>
      <c r="F1108" t="s">
        <v>1624</v>
      </c>
      <c r="G1108" t="s">
        <v>1622</v>
      </c>
      <c r="H1108" t="s">
        <v>1623</v>
      </c>
      <c r="I1108" t="s">
        <v>1624</v>
      </c>
      <c r="J1108" t="s">
        <v>1622</v>
      </c>
      <c r="K1108" t="s">
        <v>1623</v>
      </c>
      <c r="L1108" t="s">
        <v>1624</v>
      </c>
      <c r="M1108" t="s">
        <v>1622</v>
      </c>
    </row>
    <row r="1109" spans="1:13">
      <c r="A1109" t="s">
        <v>2807</v>
      </c>
      <c r="B1109" s="342">
        <v>0.70799999999999996</v>
      </c>
      <c r="C1109" s="342">
        <v>0.871</v>
      </c>
      <c r="D1109" s="342">
        <v>0.81200000000000006</v>
      </c>
      <c r="E1109" s="342">
        <v>0.68700000000000006</v>
      </c>
      <c r="F1109" s="342">
        <v>0.88300000000000001</v>
      </c>
      <c r="G1109" s="342">
        <v>0.81299999999999994</v>
      </c>
      <c r="H1109" s="342">
        <v>0.71399999999999997</v>
      </c>
      <c r="I1109" s="342">
        <v>0.879</v>
      </c>
      <c r="J1109" s="342">
        <v>0.81599999999999995</v>
      </c>
      <c r="K1109" s="342">
        <v>0.74399999999999999</v>
      </c>
      <c r="L1109" s="342">
        <v>0.85299999999999998</v>
      </c>
      <c r="M1109" s="342">
        <v>0.80800000000000005</v>
      </c>
    </row>
    <row r="1110" spans="1:13">
      <c r="A1110" t="s">
        <v>1618</v>
      </c>
      <c r="B1110" s="342">
        <v>0.16</v>
      </c>
      <c r="C1110" s="342">
        <v>0.108</v>
      </c>
      <c r="D1110" s="342">
        <v>0.124</v>
      </c>
      <c r="E1110" s="342">
        <v>0.17699999999999999</v>
      </c>
      <c r="F1110" s="342">
        <v>9.4E-2</v>
      </c>
      <c r="G1110" s="342">
        <v>0.11700000000000001</v>
      </c>
      <c r="H1110" s="342">
        <v>0.158</v>
      </c>
      <c r="I1110" s="342">
        <v>0.10100000000000001</v>
      </c>
      <c r="J1110" s="342">
        <v>0.121</v>
      </c>
      <c r="K1110" s="342">
        <v>0.123</v>
      </c>
      <c r="L1110" s="342">
        <v>0.127</v>
      </c>
      <c r="M1110" s="342">
        <v>0.13500000000000001</v>
      </c>
    </row>
    <row r="1111" spans="1:13">
      <c r="A1111" t="s">
        <v>1619</v>
      </c>
      <c r="B1111" s="342">
        <v>1.4E-2</v>
      </c>
      <c r="C1111" s="342">
        <v>1.4E-2</v>
      </c>
      <c r="D1111" s="342">
        <v>1.2E-2</v>
      </c>
      <c r="E1111" s="342">
        <v>7.0000000000000001E-3</v>
      </c>
      <c r="F1111" s="342">
        <v>3.0000000000000001E-3</v>
      </c>
      <c r="G1111" s="342">
        <v>4.0000000000000001E-3</v>
      </c>
      <c r="H1111" s="342">
        <v>0.02</v>
      </c>
      <c r="I1111" s="342">
        <v>1.9E-2</v>
      </c>
      <c r="J1111" s="342">
        <v>1.6E-2</v>
      </c>
      <c r="K1111" s="342">
        <v>0.02</v>
      </c>
      <c r="L1111" s="342">
        <v>1.9E-2</v>
      </c>
      <c r="M1111" s="342">
        <v>1.6E-2</v>
      </c>
    </row>
    <row r="1112" spans="1:13">
      <c r="A1112" t="s">
        <v>1620</v>
      </c>
      <c r="B1112" s="342">
        <v>0.84899999999999998</v>
      </c>
      <c r="C1112" s="342">
        <v>1.296</v>
      </c>
      <c r="D1112" s="342">
        <v>1.1060000000000001</v>
      </c>
      <c r="E1112" s="342">
        <v>0.86199999999999999</v>
      </c>
      <c r="F1112" s="342">
        <v>1.657</v>
      </c>
      <c r="G1112" s="342">
        <v>1.2</v>
      </c>
      <c r="H1112" s="342">
        <v>0.85399999999999998</v>
      </c>
      <c r="I1112" s="342">
        <v>1.248</v>
      </c>
      <c r="J1112" s="342">
        <v>1.125</v>
      </c>
      <c r="K1112" s="342">
        <v>0.81</v>
      </c>
      <c r="L1112" s="342">
        <v>1.119</v>
      </c>
      <c r="M1112" s="342">
        <v>1.008</v>
      </c>
    </row>
    <row r="1113" spans="1:13">
      <c r="A1113" t="s">
        <v>2808</v>
      </c>
      <c r="B1113" s="342">
        <v>0.55000000000000004</v>
      </c>
      <c r="C1113" s="342">
        <v>0.45</v>
      </c>
      <c r="D1113" s="342">
        <v>0.47199999999999998</v>
      </c>
      <c r="E1113" s="342">
        <v>0.61199999999999999</v>
      </c>
      <c r="F1113" s="342">
        <v>0.38</v>
      </c>
      <c r="G1113" s="342">
        <v>0.47499999999999998</v>
      </c>
      <c r="H1113" s="342">
        <v>0.54</v>
      </c>
      <c r="I1113" s="342">
        <v>0.45100000000000001</v>
      </c>
      <c r="J1113" s="342">
        <v>0.46800000000000003</v>
      </c>
      <c r="K1113" s="342">
        <v>0.435</v>
      </c>
      <c r="L1113" s="342">
        <v>0.49099999999999999</v>
      </c>
      <c r="M1113" s="342">
        <v>0.47299999999999998</v>
      </c>
    </row>
    <row r="1114" spans="1:13">
      <c r="A1114" t="s">
        <v>2809</v>
      </c>
      <c r="B1114" s="342">
        <v>2E-3</v>
      </c>
      <c r="C1114" s="342">
        <v>0.01</v>
      </c>
      <c r="D1114" s="342">
        <v>8.9999999999999993E-3</v>
      </c>
      <c r="E1114" s="342">
        <v>0</v>
      </c>
      <c r="F1114" s="342">
        <v>1.0999999999999999E-2</v>
      </c>
      <c r="G1114" s="342">
        <v>8.0000000000000002E-3</v>
      </c>
      <c r="H1114" s="342">
        <v>1E-3</v>
      </c>
      <c r="I1114" s="342">
        <v>0.01</v>
      </c>
      <c r="J1114" s="342">
        <v>0.01</v>
      </c>
      <c r="K1114" s="342">
        <v>6.0000000000000001E-3</v>
      </c>
      <c r="L1114" s="342">
        <v>8.0000000000000002E-3</v>
      </c>
      <c r="M1114" s="342">
        <v>0.01</v>
      </c>
    </row>
    <row r="1115" spans="1:13">
      <c r="A1115" t="s">
        <v>2810</v>
      </c>
      <c r="B1115" s="342">
        <v>0.65</v>
      </c>
      <c r="C1115" s="342">
        <v>0.35399999999999998</v>
      </c>
      <c r="D1115" s="342">
        <v>0.435</v>
      </c>
      <c r="E1115" s="342">
        <v>0.71099999999999997</v>
      </c>
      <c r="F1115" s="342">
        <v>0.23599999999999999</v>
      </c>
      <c r="G1115" s="342">
        <v>0.40300000000000002</v>
      </c>
      <c r="H1115" s="342">
        <v>0.63300000000000001</v>
      </c>
      <c r="I1115" s="342">
        <v>0.36899999999999999</v>
      </c>
      <c r="J1115" s="342">
        <v>0.42399999999999999</v>
      </c>
      <c r="K1115" s="342">
        <v>0.54500000000000004</v>
      </c>
      <c r="L1115" s="342">
        <v>0.44600000000000001</v>
      </c>
      <c r="M1115" s="342">
        <v>0.47899999999999998</v>
      </c>
    </row>
    <row r="1116" spans="1:13">
      <c r="A1116" t="s">
        <v>9</v>
      </c>
      <c r="B1116">
        <v>6.73</v>
      </c>
      <c r="C1116">
        <v>8.17</v>
      </c>
      <c r="D1116">
        <v>6.94</v>
      </c>
      <c r="E1116">
        <v>6.87</v>
      </c>
      <c r="F1116">
        <v>9.84</v>
      </c>
      <c r="G1116">
        <v>7.2</v>
      </c>
      <c r="H1116">
        <v>6.95</v>
      </c>
      <c r="I1116">
        <v>7.75</v>
      </c>
      <c r="J1116">
        <v>6.61</v>
      </c>
      <c r="K1116">
        <v>5.98</v>
      </c>
      <c r="L1116">
        <v>7.42</v>
      </c>
      <c r="M1116">
        <v>7.08</v>
      </c>
    </row>
    <row r="1117" spans="1:13">
      <c r="A1117" t="s">
        <v>8</v>
      </c>
      <c r="B1117">
        <v>14.46</v>
      </c>
      <c r="C1117">
        <v>7.41</v>
      </c>
      <c r="D1117">
        <v>9.2799999999999994</v>
      </c>
      <c r="E1117">
        <v>18.239999999999998</v>
      </c>
      <c r="F1117">
        <v>7.37</v>
      </c>
      <c r="G1117">
        <v>10.23</v>
      </c>
      <c r="H1117">
        <v>14.04</v>
      </c>
      <c r="I1117">
        <v>7.07</v>
      </c>
      <c r="J1117">
        <v>9.4700000000000006</v>
      </c>
      <c r="K1117">
        <v>10.17</v>
      </c>
      <c r="L1117">
        <v>7.83</v>
      </c>
      <c r="M1117">
        <v>8.32</v>
      </c>
    </row>
    <row r="1118" spans="1:13">
      <c r="A1118" t="s">
        <v>10</v>
      </c>
      <c r="B1118">
        <v>22.55</v>
      </c>
      <c r="C1118">
        <v>11.53</v>
      </c>
      <c r="D1118">
        <v>13.96</v>
      </c>
      <c r="E1118">
        <v>24.51</v>
      </c>
      <c r="F1118">
        <v>13.28</v>
      </c>
      <c r="G1118">
        <v>15.13</v>
      </c>
      <c r="H1118">
        <v>23.94</v>
      </c>
      <c r="I1118">
        <v>11.41</v>
      </c>
      <c r="J1118">
        <v>13.36</v>
      </c>
      <c r="K1118">
        <v>17.04</v>
      </c>
      <c r="L1118">
        <v>10.39</v>
      </c>
      <c r="M1118">
        <v>13.6</v>
      </c>
    </row>
    <row r="1119" spans="1:13">
      <c r="A1119" t="s">
        <v>1621</v>
      </c>
      <c r="B1119" s="342">
        <v>0.17299999999999999</v>
      </c>
      <c r="C1119" s="342">
        <v>0.17100000000000001</v>
      </c>
      <c r="D1119" s="342">
        <v>0.18</v>
      </c>
      <c r="E1119" s="342">
        <v>0.159</v>
      </c>
      <c r="F1119" s="342">
        <v>0.16200000000000001</v>
      </c>
      <c r="G1119" s="342">
        <v>0.17</v>
      </c>
      <c r="H1119" s="342">
        <v>0.17299999999999999</v>
      </c>
      <c r="I1119" s="342">
        <v>0.183</v>
      </c>
      <c r="J1119" s="342">
        <v>0.182</v>
      </c>
      <c r="K1119" s="342">
        <v>0.20699999999999999</v>
      </c>
      <c r="L1119" s="342">
        <v>0.16600000000000001</v>
      </c>
      <c r="M1119" s="342">
        <v>0.188</v>
      </c>
    </row>
    <row r="1121" spans="1:13">
      <c r="A1121" t="s">
        <v>2880</v>
      </c>
    </row>
    <row r="1123" spans="1:13">
      <c r="A1123" t="s">
        <v>158</v>
      </c>
      <c r="B1123" t="s">
        <v>2806</v>
      </c>
      <c r="E1123">
        <v>2017</v>
      </c>
      <c r="H1123">
        <v>2018</v>
      </c>
      <c r="K1123">
        <v>2019</v>
      </c>
    </row>
    <row r="1124" spans="1:13">
      <c r="B1124" t="s">
        <v>1623</v>
      </c>
      <c r="C1124" t="s">
        <v>1624</v>
      </c>
      <c r="D1124" t="s">
        <v>1622</v>
      </c>
      <c r="E1124" t="s">
        <v>1623</v>
      </c>
      <c r="F1124" t="s">
        <v>1624</v>
      </c>
      <c r="G1124" t="s">
        <v>1622</v>
      </c>
      <c r="H1124" t="s">
        <v>1623</v>
      </c>
      <c r="I1124" t="s">
        <v>1624</v>
      </c>
      <c r="J1124" t="s">
        <v>1622</v>
      </c>
      <c r="K1124" t="s">
        <v>1623</v>
      </c>
      <c r="L1124" t="s">
        <v>1624</v>
      </c>
      <c r="M1124" t="s">
        <v>1622</v>
      </c>
    </row>
    <row r="1125" spans="1:13">
      <c r="A1125" t="s">
        <v>2807</v>
      </c>
      <c r="B1125" s="342">
        <v>0.81899999999999995</v>
      </c>
      <c r="C1125" s="342">
        <v>0.879</v>
      </c>
      <c r="D1125" s="342">
        <v>0.85899999999999999</v>
      </c>
      <c r="E1125" s="342">
        <v>0.84599999999999997</v>
      </c>
      <c r="F1125" s="342">
        <v>0.873</v>
      </c>
      <c r="G1125" s="342">
        <v>0.85599999999999998</v>
      </c>
      <c r="H1125" s="342">
        <v>0.76600000000000001</v>
      </c>
      <c r="I1125" s="342">
        <v>0.88100000000000001</v>
      </c>
      <c r="J1125" s="342">
        <v>0.86099999999999999</v>
      </c>
      <c r="K1125" s="342">
        <v>0.73099999999999998</v>
      </c>
      <c r="L1125" s="342">
        <v>0.88200000000000001</v>
      </c>
      <c r="M1125" s="342">
        <v>0.86</v>
      </c>
    </row>
    <row r="1126" spans="1:13">
      <c r="A1126" t="s">
        <v>1618</v>
      </c>
      <c r="B1126" s="342">
        <v>6.4000000000000001E-2</v>
      </c>
      <c r="C1126" s="342">
        <v>9.7000000000000003E-2</v>
      </c>
      <c r="D1126" s="342">
        <v>7.9000000000000001E-2</v>
      </c>
      <c r="E1126" s="342">
        <v>5.2999999999999999E-2</v>
      </c>
      <c r="F1126" s="342">
        <v>0.10199999999999999</v>
      </c>
      <c r="G1126" s="342">
        <v>7.6999999999999999E-2</v>
      </c>
      <c r="H1126" s="342">
        <v>6.6000000000000003E-2</v>
      </c>
      <c r="I1126" s="342">
        <v>9.2999999999999999E-2</v>
      </c>
      <c r="J1126" s="342">
        <v>7.5999999999999998E-2</v>
      </c>
      <c r="K1126" s="342">
        <v>0.125</v>
      </c>
      <c r="L1126" s="342">
        <v>9.6000000000000002E-2</v>
      </c>
      <c r="M1126" s="342">
        <v>8.5000000000000006E-2</v>
      </c>
    </row>
    <row r="1127" spans="1:13">
      <c r="A1127" t="s">
        <v>1619</v>
      </c>
      <c r="B1127" s="342">
        <v>5.0000000000000001E-3</v>
      </c>
      <c r="C1127" s="342">
        <v>8.0000000000000002E-3</v>
      </c>
      <c r="D1127" s="342">
        <v>7.0000000000000001E-3</v>
      </c>
      <c r="E1127" s="342">
        <v>2E-3</v>
      </c>
      <c r="F1127" s="342">
        <v>4.0000000000000001E-3</v>
      </c>
      <c r="G1127" s="342">
        <v>3.0000000000000001E-3</v>
      </c>
      <c r="H1127" s="342">
        <v>0.01</v>
      </c>
      <c r="I1127" s="342">
        <v>0.01</v>
      </c>
      <c r="J1127" s="342">
        <v>8.0000000000000002E-3</v>
      </c>
      <c r="K1127" s="342">
        <v>1.4999999999999999E-2</v>
      </c>
      <c r="L1127" s="342">
        <v>8.0000000000000002E-3</v>
      </c>
      <c r="M1127" s="342">
        <v>8.9999999999999993E-3</v>
      </c>
    </row>
    <row r="1128" spans="1:13">
      <c r="A1128" t="s">
        <v>1620</v>
      </c>
      <c r="B1128" s="342">
        <v>0.73799999999999999</v>
      </c>
      <c r="C1128" s="342">
        <v>1.2</v>
      </c>
      <c r="D1128" s="342">
        <v>0.96199999999999997</v>
      </c>
      <c r="E1128" s="342">
        <v>0.79600000000000004</v>
      </c>
      <c r="F1128" s="342">
        <v>1.101</v>
      </c>
      <c r="G1128" s="342">
        <v>0.95599999999999996</v>
      </c>
      <c r="H1128" s="342">
        <v>0.67</v>
      </c>
      <c r="I1128" s="342">
        <v>1.3360000000000001</v>
      </c>
      <c r="J1128" s="342">
        <v>0.94599999999999995</v>
      </c>
      <c r="K1128" s="342">
        <v>0.57999999999999996</v>
      </c>
      <c r="L1128" s="342">
        <v>1.165</v>
      </c>
      <c r="M1128" s="342">
        <v>0.98599999999999999</v>
      </c>
    </row>
    <row r="1129" spans="1:13">
      <c r="A1129" t="s">
        <v>2808</v>
      </c>
      <c r="B1129" s="342">
        <v>0.50600000000000001</v>
      </c>
      <c r="C1129" s="342">
        <v>0.45900000000000002</v>
      </c>
      <c r="D1129" s="342">
        <v>0.53100000000000003</v>
      </c>
      <c r="E1129" s="342">
        <v>0.505</v>
      </c>
      <c r="F1129" s="342">
        <v>0.49099999999999999</v>
      </c>
      <c r="G1129" s="342">
        <v>0.50800000000000001</v>
      </c>
      <c r="H1129" s="342">
        <v>0.434</v>
      </c>
      <c r="I1129" s="342">
        <v>0.44400000000000001</v>
      </c>
      <c r="J1129" s="342">
        <v>0.503</v>
      </c>
      <c r="K1129" s="342">
        <v>0.58299999999999996</v>
      </c>
      <c r="L1129" s="342">
        <v>0.443</v>
      </c>
      <c r="M1129" s="342">
        <v>0.58499999999999996</v>
      </c>
    </row>
    <row r="1130" spans="1:13">
      <c r="A1130" t="s">
        <v>2809</v>
      </c>
      <c r="B1130" s="342">
        <v>1E-3</v>
      </c>
      <c r="C1130" s="342">
        <v>1.2999999999999999E-2</v>
      </c>
      <c r="D1130" s="342">
        <v>6.0000000000000001E-3</v>
      </c>
      <c r="E1130" s="342">
        <v>1E-3</v>
      </c>
      <c r="F1130" s="342">
        <v>2.1000000000000001E-2</v>
      </c>
      <c r="G1130" s="342">
        <v>8.0000000000000002E-3</v>
      </c>
      <c r="H1130" s="342">
        <v>0</v>
      </c>
      <c r="I1130" s="342">
        <v>1.7000000000000001E-2</v>
      </c>
      <c r="J1130" s="342">
        <v>7.0000000000000001E-3</v>
      </c>
      <c r="K1130" s="342">
        <v>2E-3</v>
      </c>
      <c r="L1130" s="342">
        <v>3.0000000000000001E-3</v>
      </c>
      <c r="M1130" s="342">
        <v>2E-3</v>
      </c>
    </row>
    <row r="1131" spans="1:13">
      <c r="A1131" t="s">
        <v>2810</v>
      </c>
      <c r="B1131" s="342">
        <v>0.68600000000000005</v>
      </c>
      <c r="C1131" s="342">
        <v>0.39400000000000002</v>
      </c>
      <c r="D1131" s="342">
        <v>0.55800000000000005</v>
      </c>
      <c r="E1131" s="342">
        <v>0.63600000000000001</v>
      </c>
      <c r="F1131" s="342">
        <v>0.46500000000000002</v>
      </c>
      <c r="G1131" s="342">
        <v>0.54</v>
      </c>
      <c r="H1131" s="342">
        <v>0.64700000000000002</v>
      </c>
      <c r="I1131" s="342">
        <v>0.34499999999999997</v>
      </c>
      <c r="J1131" s="342">
        <v>0.53900000000000003</v>
      </c>
      <c r="K1131" s="342">
        <v>1.0089999999999999</v>
      </c>
      <c r="L1131" s="342">
        <v>0.38200000000000001</v>
      </c>
      <c r="M1131" s="342">
        <v>0.59599999999999997</v>
      </c>
    </row>
    <row r="1132" spans="1:13">
      <c r="A1132" t="s">
        <v>9</v>
      </c>
      <c r="B1132">
        <v>5.93</v>
      </c>
      <c r="C1132">
        <v>7.53</v>
      </c>
      <c r="D1132">
        <v>6.39</v>
      </c>
      <c r="E1132">
        <v>7.11</v>
      </c>
      <c r="F1132">
        <v>7.78</v>
      </c>
      <c r="G1132">
        <v>6.71</v>
      </c>
      <c r="H1132">
        <v>3.45</v>
      </c>
      <c r="I1132">
        <v>8.23</v>
      </c>
      <c r="J1132">
        <v>6.27</v>
      </c>
      <c r="K1132">
        <v>5.55</v>
      </c>
      <c r="L1132">
        <v>6.71</v>
      </c>
      <c r="M1132">
        <v>6.21</v>
      </c>
    </row>
    <row r="1133" spans="1:13">
      <c r="A1133" t="s">
        <v>8</v>
      </c>
      <c r="B1133">
        <v>32.93</v>
      </c>
      <c r="C1133">
        <v>7.61</v>
      </c>
      <c r="D1133">
        <v>13.47</v>
      </c>
      <c r="E1133">
        <v>53.29</v>
      </c>
      <c r="F1133">
        <v>8.6300000000000008</v>
      </c>
      <c r="G1133">
        <v>13.59</v>
      </c>
      <c r="H1133">
        <v>23.64</v>
      </c>
      <c r="I1133">
        <v>7.38</v>
      </c>
      <c r="J1133">
        <v>14.83</v>
      </c>
      <c r="K1133">
        <v>12.51</v>
      </c>
      <c r="L1133">
        <v>7.08</v>
      </c>
      <c r="M1133">
        <v>12.21</v>
      </c>
    </row>
    <row r="1134" spans="1:13">
      <c r="A1134" t="s">
        <v>10</v>
      </c>
      <c r="B1134">
        <v>13.6</v>
      </c>
      <c r="C1134">
        <v>16.64</v>
      </c>
      <c r="D1134">
        <v>13.8</v>
      </c>
      <c r="E1134">
        <v>13.4</v>
      </c>
      <c r="F1134">
        <v>15.13</v>
      </c>
      <c r="G1134">
        <v>13.46</v>
      </c>
      <c r="H1134">
        <v>11.5</v>
      </c>
      <c r="I1134">
        <v>16.079999999999998</v>
      </c>
      <c r="J1134">
        <v>13.34</v>
      </c>
      <c r="K1134">
        <v>19.36</v>
      </c>
      <c r="L1134">
        <v>19.170000000000002</v>
      </c>
      <c r="M1134">
        <v>14.68</v>
      </c>
    </row>
    <row r="1135" spans="1:13">
      <c r="A1135" t="s">
        <v>1621</v>
      </c>
      <c r="B1135" s="342">
        <v>0.125</v>
      </c>
      <c r="C1135" s="342">
        <v>0.20399999999999999</v>
      </c>
      <c r="D1135" s="342">
        <v>0.158</v>
      </c>
      <c r="E1135" s="342">
        <v>8.5000000000000006E-2</v>
      </c>
      <c r="F1135" s="342">
        <v>0.17799999999999999</v>
      </c>
      <c r="G1135" s="342">
        <v>0.14799999999999999</v>
      </c>
      <c r="H1135" s="342">
        <v>0.245</v>
      </c>
      <c r="I1135" s="342">
        <v>0.19500000000000001</v>
      </c>
      <c r="J1135" s="342">
        <v>0.152</v>
      </c>
      <c r="K1135" s="342">
        <v>0.20799999999999999</v>
      </c>
      <c r="L1135" s="342">
        <v>0.23799999999999999</v>
      </c>
      <c r="M1135" s="342">
        <v>0.17499999999999999</v>
      </c>
    </row>
    <row r="1137" spans="1:13">
      <c r="A1137" t="s">
        <v>2881</v>
      </c>
    </row>
    <row r="1139" spans="1:13">
      <c r="A1139" t="s">
        <v>158</v>
      </c>
      <c r="B1139" t="s">
        <v>2806</v>
      </c>
      <c r="E1139">
        <v>2017</v>
      </c>
      <c r="H1139">
        <v>2018</v>
      </c>
      <c r="K1139">
        <v>2019</v>
      </c>
    </row>
    <row r="1140" spans="1:13">
      <c r="B1140" t="s">
        <v>1623</v>
      </c>
      <c r="C1140" t="s">
        <v>1624</v>
      </c>
      <c r="D1140" t="s">
        <v>1622</v>
      </c>
      <c r="E1140" t="s">
        <v>1623</v>
      </c>
      <c r="F1140" t="s">
        <v>1624</v>
      </c>
      <c r="G1140" t="s">
        <v>1622</v>
      </c>
      <c r="H1140" t="s">
        <v>1623</v>
      </c>
      <c r="I1140" t="s">
        <v>1624</v>
      </c>
      <c r="J1140" t="s">
        <v>1622</v>
      </c>
      <c r="K1140" t="s">
        <v>1623</v>
      </c>
      <c r="L1140" t="s">
        <v>1624</v>
      </c>
      <c r="M1140" t="s">
        <v>1622</v>
      </c>
    </row>
    <row r="1141" spans="1:13">
      <c r="A1141" t="s">
        <v>2807</v>
      </c>
      <c r="B1141" s="342">
        <v>0.81499999999999995</v>
      </c>
      <c r="C1141" s="342">
        <v>0.84899999999999998</v>
      </c>
      <c r="D1141" s="342">
        <v>0.82399999999999995</v>
      </c>
      <c r="E1141" s="342">
        <v>0.78900000000000003</v>
      </c>
      <c r="F1141" s="342">
        <v>0.879</v>
      </c>
      <c r="G1141" s="342">
        <v>0.84499999999999997</v>
      </c>
      <c r="H1141" s="342">
        <v>0.77800000000000002</v>
      </c>
      <c r="I1141" s="342">
        <v>0.51600000000000001</v>
      </c>
      <c r="J1141" s="342">
        <v>0.77900000000000003</v>
      </c>
      <c r="K1141" s="342">
        <v>0.85499999999999998</v>
      </c>
      <c r="L1141" s="342">
        <v>0.83499999999999996</v>
      </c>
      <c r="M1141" s="342">
        <v>0.85399999999999998</v>
      </c>
    </row>
    <row r="1142" spans="1:13">
      <c r="A1142" t="s">
        <v>1618</v>
      </c>
      <c r="B1142" s="342">
        <v>6.8000000000000005E-2</v>
      </c>
      <c r="C1142" s="342">
        <v>0.124</v>
      </c>
      <c r="D1142" s="342">
        <v>7.3999999999999996E-2</v>
      </c>
      <c r="E1142" s="342">
        <v>6.0999999999999999E-2</v>
      </c>
      <c r="F1142" s="342">
        <v>9.0999999999999998E-2</v>
      </c>
      <c r="G1142" s="342">
        <v>8.2000000000000003E-2</v>
      </c>
      <c r="H1142" s="342">
        <v>6.4000000000000001E-2</v>
      </c>
      <c r="I1142" s="342">
        <v>0.47899999999999998</v>
      </c>
      <c r="J1142" s="342">
        <v>6.6000000000000003E-2</v>
      </c>
      <c r="K1142" s="342">
        <v>7.1999999999999995E-2</v>
      </c>
      <c r="L1142" s="342">
        <v>0.14199999999999999</v>
      </c>
      <c r="M1142" s="342">
        <v>7.3999999999999996E-2</v>
      </c>
    </row>
    <row r="1143" spans="1:13">
      <c r="A1143" t="s">
        <v>1619</v>
      </c>
      <c r="B1143" s="342">
        <v>1E-3</v>
      </c>
      <c r="C1143" s="342">
        <v>4.0000000000000001E-3</v>
      </c>
      <c r="D1143" s="342">
        <v>2E-3</v>
      </c>
      <c r="E1143" s="342">
        <v>0</v>
      </c>
      <c r="F1143" s="342">
        <v>4.0000000000000001E-3</v>
      </c>
      <c r="G1143" s="342">
        <v>1E-3</v>
      </c>
      <c r="H1143" s="342">
        <v>1E-3</v>
      </c>
      <c r="I1143" s="342">
        <v>0</v>
      </c>
      <c r="J1143" s="342">
        <v>2E-3</v>
      </c>
      <c r="K1143" s="342">
        <v>2E-3</v>
      </c>
      <c r="L1143" s="342">
        <v>6.0000000000000001E-3</v>
      </c>
      <c r="M1143" s="342">
        <v>2E-3</v>
      </c>
    </row>
    <row r="1144" spans="1:13">
      <c r="A1144" t="s">
        <v>1620</v>
      </c>
      <c r="B1144" s="342">
        <v>0.54200000000000004</v>
      </c>
      <c r="C1144" s="342">
        <v>0.79200000000000004</v>
      </c>
      <c r="D1144" s="342">
        <v>0.55000000000000004</v>
      </c>
      <c r="E1144" s="342">
        <v>1.48</v>
      </c>
      <c r="F1144" s="342">
        <v>0.67900000000000005</v>
      </c>
      <c r="G1144" s="342">
        <v>0.55900000000000005</v>
      </c>
      <c r="H1144" s="342">
        <v>0.55500000000000005</v>
      </c>
      <c r="I1144" s="342">
        <v>2.3769999999999998</v>
      </c>
      <c r="J1144" s="342">
        <v>0.55900000000000005</v>
      </c>
      <c r="K1144" s="342">
        <v>0.52800000000000002</v>
      </c>
      <c r="L1144" s="342">
        <v>1.518</v>
      </c>
      <c r="M1144" s="342">
        <v>0.53100000000000003</v>
      </c>
    </row>
    <row r="1145" spans="1:13">
      <c r="A1145" t="s">
        <v>2808</v>
      </c>
      <c r="B1145" s="342">
        <v>0.64400000000000002</v>
      </c>
      <c r="C1145" s="342">
        <v>0.51900000000000002</v>
      </c>
      <c r="D1145" s="342">
        <v>0.65600000000000003</v>
      </c>
      <c r="E1145" s="342">
        <v>0.20399999999999999</v>
      </c>
      <c r="F1145" s="342">
        <v>0.52900000000000003</v>
      </c>
      <c r="G1145" s="342">
        <v>0.68700000000000006</v>
      </c>
      <c r="H1145" s="342">
        <v>0.64100000000000001</v>
      </c>
      <c r="I1145" s="342">
        <v>1.4999999999999999E-2</v>
      </c>
      <c r="J1145" s="342">
        <v>0.63900000000000001</v>
      </c>
      <c r="K1145" s="342">
        <v>0.64700000000000002</v>
      </c>
      <c r="L1145" s="342">
        <v>0.53500000000000003</v>
      </c>
      <c r="M1145" s="342">
        <v>0.64400000000000002</v>
      </c>
    </row>
    <row r="1146" spans="1:13">
      <c r="A1146" t="s">
        <v>2809</v>
      </c>
      <c r="B1146" s="342">
        <v>3.0000000000000001E-3</v>
      </c>
      <c r="C1146" s="342">
        <v>0</v>
      </c>
      <c r="D1146" s="342">
        <v>3.0000000000000001E-3</v>
      </c>
      <c r="E1146" s="342">
        <v>0</v>
      </c>
      <c r="F1146" s="342">
        <v>0</v>
      </c>
      <c r="G1146" s="342">
        <v>3.0000000000000001E-3</v>
      </c>
      <c r="H1146" s="342">
        <v>3.0000000000000001E-3</v>
      </c>
      <c r="I1146" s="342">
        <v>2E-3</v>
      </c>
      <c r="J1146" s="342">
        <v>3.0000000000000001E-3</v>
      </c>
      <c r="K1146" s="342">
        <v>3.0000000000000001E-3</v>
      </c>
      <c r="L1146" s="342">
        <v>0</v>
      </c>
      <c r="M1146" s="342">
        <v>3.0000000000000001E-3</v>
      </c>
    </row>
    <row r="1147" spans="1:13">
      <c r="A1147" t="s">
        <v>2810</v>
      </c>
      <c r="B1147" s="342">
        <v>1.1930000000000001</v>
      </c>
      <c r="C1147" s="342">
        <v>0.65500000000000003</v>
      </c>
      <c r="D1147" s="342">
        <v>1.2</v>
      </c>
      <c r="E1147" s="342">
        <v>0.13800000000000001</v>
      </c>
      <c r="F1147" s="342">
        <v>0.77900000000000003</v>
      </c>
      <c r="G1147" s="342">
        <v>1.2330000000000001</v>
      </c>
      <c r="H1147" s="342">
        <v>1.1619999999999999</v>
      </c>
      <c r="I1147" s="342">
        <v>7.0000000000000001E-3</v>
      </c>
      <c r="J1147" s="342">
        <v>1.149</v>
      </c>
      <c r="K1147" s="342">
        <v>1.2310000000000001</v>
      </c>
      <c r="L1147" s="342">
        <v>0.35299999999999998</v>
      </c>
      <c r="M1147" s="342">
        <v>1.22</v>
      </c>
    </row>
    <row r="1148" spans="1:13">
      <c r="A1148" t="s">
        <v>9</v>
      </c>
      <c r="B1148">
        <v>6.26</v>
      </c>
      <c r="C1148">
        <v>3.68</v>
      </c>
      <c r="D1148">
        <v>6.14</v>
      </c>
      <c r="E1148">
        <v>2.09</v>
      </c>
      <c r="F1148">
        <v>2.99</v>
      </c>
      <c r="G1148">
        <v>6.15</v>
      </c>
      <c r="H1148">
        <v>5.88</v>
      </c>
      <c r="I1148">
        <v>10.44</v>
      </c>
      <c r="J1148">
        <v>5.79</v>
      </c>
      <c r="K1148">
        <v>6.78</v>
      </c>
      <c r="L1148">
        <v>15.33</v>
      </c>
      <c r="M1148">
        <v>6.59</v>
      </c>
    </row>
    <row r="1149" spans="1:13">
      <c r="A1149" t="s">
        <v>8</v>
      </c>
      <c r="B1149">
        <v>5.14</v>
      </c>
      <c r="C1149">
        <v>3.98</v>
      </c>
      <c r="D1149">
        <v>5.22</v>
      </c>
      <c r="E1149">
        <v>19.14</v>
      </c>
      <c r="F1149">
        <v>3.56</v>
      </c>
      <c r="G1149">
        <v>5.62</v>
      </c>
      <c r="H1149">
        <v>5.54</v>
      </c>
      <c r="I1149">
        <v>6.83</v>
      </c>
      <c r="J1149">
        <v>5.44</v>
      </c>
      <c r="K1149">
        <v>4.75</v>
      </c>
      <c r="L1149">
        <v>6.25</v>
      </c>
      <c r="M1149">
        <v>4.66</v>
      </c>
    </row>
    <row r="1150" spans="1:13">
      <c r="A1150" t="s">
        <v>10</v>
      </c>
      <c r="B1150">
        <v>22.63</v>
      </c>
      <c r="C1150">
        <v>7.92</v>
      </c>
      <c r="D1150">
        <v>21.56</v>
      </c>
      <c r="E1150">
        <v>2.33</v>
      </c>
      <c r="F1150">
        <v>6.87</v>
      </c>
      <c r="G1150">
        <v>20.58</v>
      </c>
      <c r="H1150">
        <v>24.81</v>
      </c>
      <c r="I1150">
        <v>137.96</v>
      </c>
      <c r="J1150">
        <v>23.6</v>
      </c>
      <c r="K1150">
        <v>21.21</v>
      </c>
      <c r="L1150">
        <v>11.77</v>
      </c>
      <c r="M1150">
        <v>20.61</v>
      </c>
    </row>
    <row r="1151" spans="1:13">
      <c r="A1151" t="s">
        <v>1621</v>
      </c>
      <c r="B1151" s="342">
        <v>0.31</v>
      </c>
      <c r="C1151" s="342">
        <v>0.39600000000000002</v>
      </c>
      <c r="D1151" s="342">
        <v>0.308</v>
      </c>
      <c r="E1151" s="342">
        <v>0.10199999999999999</v>
      </c>
      <c r="F1151" s="342">
        <v>0.47</v>
      </c>
      <c r="G1151" s="342">
        <v>0.29199999999999998</v>
      </c>
      <c r="H1151" s="342">
        <v>0.31</v>
      </c>
      <c r="I1151" s="342">
        <v>0.23499999999999999</v>
      </c>
      <c r="J1151" s="342">
        <v>0.314</v>
      </c>
      <c r="K1151" s="342">
        <v>0.311</v>
      </c>
      <c r="L1151" s="342">
        <v>0.14000000000000001</v>
      </c>
      <c r="M1151" s="342">
        <v>0.318</v>
      </c>
    </row>
    <row r="1153" spans="1:13">
      <c r="A1153" t="s">
        <v>2882</v>
      </c>
    </row>
    <row r="1155" spans="1:13">
      <c r="A1155" t="s">
        <v>158</v>
      </c>
      <c r="B1155" t="s">
        <v>2806</v>
      </c>
      <c r="E1155">
        <v>2017</v>
      </c>
      <c r="H1155">
        <v>2018</v>
      </c>
      <c r="K1155">
        <v>2019</v>
      </c>
    </row>
    <row r="1156" spans="1:13">
      <c r="B1156" t="s">
        <v>1623</v>
      </c>
      <c r="C1156" t="s">
        <v>1624</v>
      </c>
      <c r="D1156" t="s">
        <v>1622</v>
      </c>
      <c r="E1156" t="s">
        <v>1623</v>
      </c>
      <c r="F1156" t="s">
        <v>1624</v>
      </c>
      <c r="G1156" t="s">
        <v>1622</v>
      </c>
      <c r="H1156" t="s">
        <v>1623</v>
      </c>
      <c r="I1156" t="s">
        <v>1624</v>
      </c>
      <c r="J1156" t="s">
        <v>1622</v>
      </c>
      <c r="K1156" t="s">
        <v>1623</v>
      </c>
      <c r="L1156" t="s">
        <v>1624</v>
      </c>
      <c r="M1156" t="s">
        <v>1622</v>
      </c>
    </row>
    <row r="1157" spans="1:13">
      <c r="A1157" t="s">
        <v>2807</v>
      </c>
      <c r="B1157" s="342">
        <v>0.40400000000000003</v>
      </c>
      <c r="C1157" s="342">
        <v>0.67800000000000005</v>
      </c>
      <c r="D1157" s="342">
        <v>0.48099999999999998</v>
      </c>
      <c r="E1157" s="342">
        <v>0.40899999999999997</v>
      </c>
      <c r="F1157" s="342">
        <v>0.66900000000000004</v>
      </c>
      <c r="G1157" s="342">
        <v>0.47</v>
      </c>
      <c r="H1157" s="342">
        <v>0.40799999999999997</v>
      </c>
      <c r="I1157" s="342">
        <v>0.69599999999999995</v>
      </c>
      <c r="J1157" s="342">
        <v>0.49</v>
      </c>
      <c r="K1157" s="342">
        <v>0.39700000000000002</v>
      </c>
      <c r="L1157" s="342">
        <v>0.66900000000000004</v>
      </c>
      <c r="M1157" s="342">
        <v>0.48</v>
      </c>
    </row>
    <row r="1158" spans="1:13">
      <c r="A1158" t="s">
        <v>1618</v>
      </c>
      <c r="B1158" s="342">
        <v>0.38500000000000001</v>
      </c>
      <c r="C1158" s="342">
        <v>0.3</v>
      </c>
      <c r="D1158" s="342">
        <v>0.38800000000000001</v>
      </c>
      <c r="E1158" s="342">
        <v>0.36899999999999999</v>
      </c>
      <c r="F1158" s="342">
        <v>0.30599999999999999</v>
      </c>
      <c r="G1158" s="342">
        <v>0.39200000000000002</v>
      </c>
      <c r="H1158" s="342">
        <v>0.38100000000000001</v>
      </c>
      <c r="I1158" s="342">
        <v>0.27900000000000003</v>
      </c>
      <c r="J1158" s="342">
        <v>0.38100000000000001</v>
      </c>
      <c r="K1158" s="342">
        <v>0.40200000000000002</v>
      </c>
      <c r="L1158" s="342">
        <v>0.316</v>
      </c>
      <c r="M1158" s="342">
        <v>0.39</v>
      </c>
    </row>
    <row r="1159" spans="1:13">
      <c r="A1159" t="s">
        <v>1619</v>
      </c>
      <c r="B1159" s="342">
        <v>0.01</v>
      </c>
      <c r="C1159" s="342">
        <v>1.0999999999999999E-2</v>
      </c>
      <c r="D1159" s="342">
        <v>1.6E-2</v>
      </c>
      <c r="E1159" s="342">
        <v>7.0000000000000001E-3</v>
      </c>
      <c r="F1159" s="342">
        <v>8.0000000000000002E-3</v>
      </c>
      <c r="G1159" s="342">
        <v>1.0999999999999999E-2</v>
      </c>
      <c r="H1159" s="342">
        <v>8.9999999999999993E-3</v>
      </c>
      <c r="I1159" s="342">
        <v>1.0999999999999999E-2</v>
      </c>
      <c r="J1159" s="342">
        <v>1.4E-2</v>
      </c>
      <c r="K1159" s="342">
        <v>1.2999999999999999E-2</v>
      </c>
      <c r="L1159" s="342">
        <v>1.6E-2</v>
      </c>
      <c r="M1159" s="342">
        <v>0.02</v>
      </c>
    </row>
    <row r="1160" spans="1:13">
      <c r="A1160" t="s">
        <v>1620</v>
      </c>
      <c r="B1160" s="342">
        <v>1.1279999999999999</v>
      </c>
      <c r="C1160" s="342">
        <v>1.0289999999999999</v>
      </c>
      <c r="D1160" s="342">
        <v>0.99099999999999999</v>
      </c>
      <c r="E1160" s="342">
        <v>1.1259999999999999</v>
      </c>
      <c r="F1160" s="342">
        <v>1.0609999999999999</v>
      </c>
      <c r="G1160" s="342">
        <v>0.995</v>
      </c>
      <c r="H1160" s="342">
        <v>1.1579999999999999</v>
      </c>
      <c r="I1160" s="342">
        <v>0.96899999999999997</v>
      </c>
      <c r="J1160" s="342">
        <v>1.008</v>
      </c>
      <c r="K1160" s="342">
        <v>1.103</v>
      </c>
      <c r="L1160" s="342">
        <v>1.0669999999999999</v>
      </c>
      <c r="M1160" s="342">
        <v>0.97299999999999998</v>
      </c>
    </row>
    <row r="1161" spans="1:13">
      <c r="A1161" t="s">
        <v>2808</v>
      </c>
      <c r="B1161" s="342">
        <v>0.23799999999999999</v>
      </c>
      <c r="C1161" s="342">
        <v>0.28399999999999997</v>
      </c>
      <c r="D1161" s="342">
        <v>0.32700000000000001</v>
      </c>
      <c r="E1161" s="342">
        <v>0.22</v>
      </c>
      <c r="F1161" s="342">
        <v>0.25700000000000001</v>
      </c>
      <c r="G1161" s="342">
        <v>0.314</v>
      </c>
      <c r="H1161" s="342">
        <v>0.23599999999999999</v>
      </c>
      <c r="I1161" s="342">
        <v>0.24399999999999999</v>
      </c>
      <c r="J1161" s="342">
        <v>0.32800000000000001</v>
      </c>
      <c r="K1161" s="342">
        <v>0.253</v>
      </c>
      <c r="L1161" s="342">
        <v>0.373</v>
      </c>
      <c r="M1161" s="342">
        <v>0.33800000000000002</v>
      </c>
    </row>
    <row r="1162" spans="1:13">
      <c r="A1162" t="s">
        <v>2809</v>
      </c>
      <c r="B1162" s="342">
        <v>0.03</v>
      </c>
      <c r="C1162" s="342">
        <v>1.7000000000000001E-2</v>
      </c>
      <c r="D1162" s="342">
        <v>3.1E-2</v>
      </c>
      <c r="E1162" s="342">
        <v>3.3000000000000002E-2</v>
      </c>
      <c r="F1162" s="342">
        <v>1.7999999999999999E-2</v>
      </c>
      <c r="G1162" s="342">
        <v>3.2000000000000001E-2</v>
      </c>
      <c r="H1162" s="342">
        <v>0.03</v>
      </c>
      <c r="I1162" s="342">
        <v>1.4E-2</v>
      </c>
      <c r="J1162" s="342">
        <v>3.1E-2</v>
      </c>
      <c r="K1162" s="342">
        <v>2.8000000000000001E-2</v>
      </c>
      <c r="L1162" s="342">
        <v>1.7999999999999999E-2</v>
      </c>
      <c r="M1162" s="342">
        <v>2.9000000000000001E-2</v>
      </c>
    </row>
    <row r="1163" spans="1:13">
      <c r="A1163" t="s">
        <v>2810</v>
      </c>
      <c r="B1163" s="342">
        <v>0.23699999999999999</v>
      </c>
      <c r="C1163" s="342">
        <v>0.29199999999999998</v>
      </c>
      <c r="D1163" s="342">
        <v>0.36099999999999999</v>
      </c>
      <c r="E1163" s="342">
        <v>0.224</v>
      </c>
      <c r="F1163" s="342">
        <v>0.25900000000000001</v>
      </c>
      <c r="G1163" s="342">
        <v>0.34799999999999998</v>
      </c>
      <c r="H1163" s="342">
        <v>0.22900000000000001</v>
      </c>
      <c r="I1163" s="342">
        <v>0.26700000000000002</v>
      </c>
      <c r="J1163" s="342">
        <v>0.35599999999999998</v>
      </c>
      <c r="K1163" s="342">
        <v>0.255</v>
      </c>
      <c r="L1163" s="342">
        <v>0.36599999999999999</v>
      </c>
      <c r="M1163" s="342">
        <v>0.377</v>
      </c>
    </row>
    <row r="1164" spans="1:13">
      <c r="A1164" t="s">
        <v>9</v>
      </c>
      <c r="B1164">
        <v>9.73</v>
      </c>
      <c r="C1164">
        <v>5.9</v>
      </c>
      <c r="D1164">
        <v>8.2200000000000006</v>
      </c>
      <c r="E1164">
        <v>8.83</v>
      </c>
      <c r="F1164">
        <v>5.71</v>
      </c>
      <c r="G1164">
        <v>8.02</v>
      </c>
      <c r="H1164">
        <v>10.23</v>
      </c>
      <c r="I1164">
        <v>5.53</v>
      </c>
      <c r="J1164">
        <v>8.4</v>
      </c>
      <c r="K1164">
        <v>10.119999999999999</v>
      </c>
      <c r="L1164">
        <v>6.74</v>
      </c>
      <c r="M1164">
        <v>8.2100000000000009</v>
      </c>
    </row>
    <row r="1165" spans="1:13">
      <c r="A1165" t="s">
        <v>8</v>
      </c>
      <c r="B1165">
        <v>12.98</v>
      </c>
      <c r="C1165">
        <v>7.35</v>
      </c>
      <c r="D1165">
        <v>11.22</v>
      </c>
      <c r="E1165">
        <v>13.27</v>
      </c>
      <c r="F1165">
        <v>7.31</v>
      </c>
      <c r="G1165">
        <v>11.33</v>
      </c>
      <c r="H1165">
        <v>13.03</v>
      </c>
      <c r="I1165">
        <v>7.39</v>
      </c>
      <c r="J1165">
        <v>10.94</v>
      </c>
      <c r="K1165">
        <v>12.72</v>
      </c>
      <c r="L1165">
        <v>7.35</v>
      </c>
      <c r="M1165">
        <v>11.39</v>
      </c>
    </row>
    <row r="1166" spans="1:13">
      <c r="A1166" t="s">
        <v>10</v>
      </c>
      <c r="B1166">
        <v>23.39</v>
      </c>
      <c r="C1166">
        <v>9.35</v>
      </c>
      <c r="D1166">
        <v>17.82</v>
      </c>
      <c r="E1166">
        <v>19.96</v>
      </c>
      <c r="F1166">
        <v>7.83</v>
      </c>
      <c r="G1166">
        <v>15.41</v>
      </c>
      <c r="H1166">
        <v>26.61</v>
      </c>
      <c r="I1166">
        <v>9.4</v>
      </c>
      <c r="J1166">
        <v>19.48</v>
      </c>
      <c r="K1166">
        <v>24.11</v>
      </c>
      <c r="L1166">
        <v>12.47</v>
      </c>
      <c r="M1166">
        <v>18.87</v>
      </c>
    </row>
    <row r="1167" spans="1:13">
      <c r="A1167" t="s">
        <v>1621</v>
      </c>
      <c r="B1167" s="342">
        <v>0.13700000000000001</v>
      </c>
      <c r="C1167" s="342">
        <v>0.19900000000000001</v>
      </c>
      <c r="D1167" s="342">
        <v>0.155</v>
      </c>
      <c r="E1167" s="342">
        <v>0.13900000000000001</v>
      </c>
      <c r="F1167" s="342">
        <v>0.184</v>
      </c>
      <c r="G1167" s="342">
        <v>0.14799999999999999</v>
      </c>
      <c r="H1167" s="342">
        <v>0.13700000000000001</v>
      </c>
      <c r="I1167" s="342">
        <v>0.21</v>
      </c>
      <c r="J1167" s="342">
        <v>0.159</v>
      </c>
      <c r="K1167" s="342">
        <v>0.13600000000000001</v>
      </c>
      <c r="L1167" s="342">
        <v>0.20399999999999999</v>
      </c>
      <c r="M1167" s="342">
        <v>0.157</v>
      </c>
    </row>
    <row r="1169" spans="1:13">
      <c r="A1169" t="s">
        <v>2883</v>
      </c>
    </row>
    <row r="1171" spans="1:13">
      <c r="A1171" t="s">
        <v>158</v>
      </c>
      <c r="B1171" t="s">
        <v>2806</v>
      </c>
      <c r="E1171">
        <v>2017</v>
      </c>
      <c r="H1171">
        <v>2018</v>
      </c>
      <c r="K1171">
        <v>2019</v>
      </c>
    </row>
    <row r="1172" spans="1:13">
      <c r="B1172" t="s">
        <v>1623</v>
      </c>
      <c r="C1172" t="s">
        <v>1624</v>
      </c>
      <c r="D1172" t="s">
        <v>1622</v>
      </c>
      <c r="E1172" t="s">
        <v>1623</v>
      </c>
      <c r="F1172" t="s">
        <v>1624</v>
      </c>
      <c r="G1172" t="s">
        <v>1622</v>
      </c>
      <c r="H1172" t="s">
        <v>1623</v>
      </c>
      <c r="I1172" t="s">
        <v>1624</v>
      </c>
      <c r="J1172" t="s">
        <v>1622</v>
      </c>
      <c r="K1172" t="s">
        <v>1623</v>
      </c>
      <c r="L1172" t="s">
        <v>1624</v>
      </c>
      <c r="M1172" t="s">
        <v>1622</v>
      </c>
    </row>
    <row r="1173" spans="1:13">
      <c r="A1173" t="s">
        <v>2807</v>
      </c>
      <c r="B1173" s="342">
        <v>0.36199999999999999</v>
      </c>
      <c r="C1173" s="342">
        <v>0.91800000000000004</v>
      </c>
      <c r="D1173" s="342">
        <v>0.88</v>
      </c>
      <c r="E1173" s="342">
        <v>0.32600000000000001</v>
      </c>
      <c r="F1173" s="342">
        <v>0.82699999999999996</v>
      </c>
      <c r="G1173" s="342">
        <v>0.73</v>
      </c>
      <c r="H1173" s="342">
        <v>0.34200000000000003</v>
      </c>
      <c r="I1173" s="342">
        <v>0.93899999999999995</v>
      </c>
      <c r="J1173" s="342">
        <v>0.89300000000000002</v>
      </c>
      <c r="K1173" s="342">
        <v>0.41799999999999998</v>
      </c>
      <c r="L1173" s="342">
        <v>0.9</v>
      </c>
      <c r="M1173" s="342">
        <v>0.88400000000000001</v>
      </c>
    </row>
    <row r="1174" spans="1:13">
      <c r="A1174" t="s">
        <v>1618</v>
      </c>
      <c r="B1174" s="342">
        <v>0.26600000000000001</v>
      </c>
      <c r="C1174" s="342">
        <v>7.4999999999999997E-2</v>
      </c>
      <c r="D1174" s="342">
        <v>9.1999999999999998E-2</v>
      </c>
      <c r="E1174" s="342">
        <v>0.25</v>
      </c>
      <c r="F1174" s="342">
        <v>0.121</v>
      </c>
      <c r="G1174" s="342">
        <v>0.14099999999999999</v>
      </c>
      <c r="H1174" s="342">
        <v>0.25900000000000001</v>
      </c>
      <c r="I1174" s="342">
        <v>5.5E-2</v>
      </c>
      <c r="J1174" s="342">
        <v>8.1000000000000003E-2</v>
      </c>
      <c r="K1174" s="342">
        <v>0.28899999999999998</v>
      </c>
      <c r="L1174" s="342">
        <v>9.4E-2</v>
      </c>
      <c r="M1174" s="342">
        <v>9.9000000000000005E-2</v>
      </c>
    </row>
    <row r="1175" spans="1:13">
      <c r="A1175" t="s">
        <v>1619</v>
      </c>
      <c r="B1175" s="342">
        <v>1.7999999999999999E-2</v>
      </c>
      <c r="C1175" s="342">
        <v>3.0000000000000001E-3</v>
      </c>
      <c r="D1175" s="342">
        <v>8.0000000000000002E-3</v>
      </c>
      <c r="E1175" s="342">
        <v>0.01</v>
      </c>
      <c r="F1175" s="342">
        <v>0</v>
      </c>
      <c r="G1175" s="342">
        <v>2E-3</v>
      </c>
      <c r="H1175" s="342">
        <v>1.4E-2</v>
      </c>
      <c r="I1175" s="342">
        <v>3.0000000000000001E-3</v>
      </c>
      <c r="J1175" s="342">
        <v>1.2E-2</v>
      </c>
      <c r="K1175" s="342">
        <v>2.9000000000000001E-2</v>
      </c>
      <c r="L1175" s="342">
        <v>2E-3</v>
      </c>
      <c r="M1175" s="342">
        <v>3.0000000000000001E-3</v>
      </c>
    </row>
    <row r="1176" spans="1:13">
      <c r="A1176" t="s">
        <v>1620</v>
      </c>
      <c r="B1176" s="342">
        <v>0.38500000000000001</v>
      </c>
      <c r="C1176" s="342">
        <v>0.52500000000000002</v>
      </c>
      <c r="D1176" s="342">
        <v>0.51600000000000001</v>
      </c>
      <c r="E1176" s="342">
        <v>0.60699999999999998</v>
      </c>
      <c r="F1176" s="342">
        <v>0.69799999999999995</v>
      </c>
      <c r="G1176" s="342">
        <v>0.48099999999999998</v>
      </c>
      <c r="H1176" s="342">
        <v>0.42</v>
      </c>
      <c r="I1176" s="342">
        <v>0.58899999999999997</v>
      </c>
      <c r="J1176" s="342">
        <v>0.58199999999999996</v>
      </c>
      <c r="K1176" s="342">
        <v>0.27600000000000002</v>
      </c>
      <c r="L1176" s="342">
        <v>0.46600000000000003</v>
      </c>
      <c r="M1176" s="342">
        <v>0.45400000000000001</v>
      </c>
    </row>
    <row r="1177" spans="1:13">
      <c r="A1177" t="s">
        <v>2808</v>
      </c>
      <c r="B1177" s="342">
        <v>0.52100000000000002</v>
      </c>
      <c r="C1177" s="342">
        <v>0.25600000000000001</v>
      </c>
      <c r="D1177" s="342">
        <v>0.30299999999999999</v>
      </c>
      <c r="E1177" s="342">
        <v>0.433</v>
      </c>
      <c r="F1177" s="342">
        <v>0.40500000000000003</v>
      </c>
      <c r="G1177" s="342">
        <v>0.61299999999999999</v>
      </c>
      <c r="H1177" s="342">
        <v>0.51200000000000001</v>
      </c>
      <c r="I1177" s="342">
        <v>0.255</v>
      </c>
      <c r="J1177" s="342">
        <v>0.28999999999999998</v>
      </c>
      <c r="K1177" s="342">
        <v>0.56000000000000005</v>
      </c>
      <c r="L1177" s="342">
        <v>0.252</v>
      </c>
      <c r="M1177" s="342">
        <v>0.27700000000000002</v>
      </c>
    </row>
    <row r="1178" spans="1:13">
      <c r="A1178" t="s">
        <v>2809</v>
      </c>
      <c r="B1178" s="342">
        <v>0</v>
      </c>
      <c r="C1178" s="342">
        <v>8.0000000000000002E-3</v>
      </c>
      <c r="D1178" s="342">
        <v>8.0000000000000002E-3</v>
      </c>
      <c r="E1178" s="342">
        <v>0</v>
      </c>
      <c r="F1178" s="342">
        <v>6.0000000000000001E-3</v>
      </c>
      <c r="G1178" s="342">
        <v>1E-3</v>
      </c>
      <c r="H1178" s="342">
        <v>0</v>
      </c>
      <c r="I1178" s="342">
        <v>0</v>
      </c>
      <c r="J1178" s="342">
        <v>3.0000000000000001E-3</v>
      </c>
      <c r="K1178" s="342">
        <v>0</v>
      </c>
      <c r="L1178" s="342">
        <v>1.4E-2</v>
      </c>
      <c r="M1178" s="342">
        <v>1.2999999999999999E-2</v>
      </c>
    </row>
    <row r="1179" spans="1:13">
      <c r="A1179" t="s">
        <v>2810</v>
      </c>
      <c r="B1179" s="342">
        <v>1.353</v>
      </c>
      <c r="C1179" s="342">
        <v>0.502</v>
      </c>
      <c r="D1179" s="342">
        <v>0.60199999999999998</v>
      </c>
      <c r="E1179" s="342">
        <v>0.71399999999999997</v>
      </c>
      <c r="F1179" s="342">
        <v>0.58899999999999997</v>
      </c>
      <c r="G1179" s="342">
        <v>1.2769999999999999</v>
      </c>
      <c r="H1179" s="342">
        <v>1.2190000000000001</v>
      </c>
      <c r="I1179" s="342">
        <v>0.433</v>
      </c>
      <c r="J1179" s="342">
        <v>0.504</v>
      </c>
      <c r="K1179" s="342">
        <v>2.0289999999999999</v>
      </c>
      <c r="L1179" s="342">
        <v>0.57099999999999995</v>
      </c>
      <c r="M1179" s="342">
        <v>0.63700000000000001</v>
      </c>
    </row>
    <row r="1180" spans="1:13">
      <c r="A1180" t="s">
        <v>9</v>
      </c>
      <c r="B1180">
        <v>22.01</v>
      </c>
      <c r="C1180">
        <v>3.99</v>
      </c>
      <c r="D1180">
        <v>4.3499999999999996</v>
      </c>
      <c r="E1180">
        <v>11.84</v>
      </c>
      <c r="F1180">
        <v>6.89</v>
      </c>
      <c r="G1180">
        <v>12.94</v>
      </c>
      <c r="H1180">
        <v>35.08</v>
      </c>
      <c r="I1180">
        <v>4.1500000000000004</v>
      </c>
      <c r="J1180">
        <v>4.43</v>
      </c>
      <c r="K1180">
        <v>25.42</v>
      </c>
      <c r="L1180">
        <v>3.75</v>
      </c>
      <c r="M1180">
        <v>3.91</v>
      </c>
    </row>
    <row r="1181" spans="1:13">
      <c r="A1181" t="s">
        <v>8</v>
      </c>
      <c r="B1181">
        <v>5.83</v>
      </c>
      <c r="C1181">
        <v>4.62</v>
      </c>
      <c r="D1181">
        <v>4.25</v>
      </c>
      <c r="E1181">
        <v>33.96</v>
      </c>
      <c r="F1181">
        <v>1.69</v>
      </c>
      <c r="G1181">
        <v>2.04</v>
      </c>
      <c r="H1181">
        <v>3.51</v>
      </c>
      <c r="I1181">
        <v>4.8499999999999996</v>
      </c>
      <c r="J1181">
        <v>4.45</v>
      </c>
      <c r="K1181">
        <v>8.27</v>
      </c>
      <c r="L1181">
        <v>4.7699999999999996</v>
      </c>
      <c r="M1181">
        <v>4.6500000000000004</v>
      </c>
    </row>
    <row r="1182" spans="1:13">
      <c r="A1182" t="s">
        <v>10</v>
      </c>
      <c r="B1182">
        <v>175.32</v>
      </c>
      <c r="C1182">
        <v>6.75</v>
      </c>
      <c r="D1182">
        <v>7.54</v>
      </c>
      <c r="E1182">
        <v>87.85</v>
      </c>
      <c r="F1182">
        <v>7.42</v>
      </c>
      <c r="G1182">
        <v>5.0999999999999996</v>
      </c>
      <c r="H1182">
        <v>189.6</v>
      </c>
      <c r="I1182">
        <v>7.56</v>
      </c>
      <c r="J1182">
        <v>9.48</v>
      </c>
      <c r="K1182">
        <v>509.32</v>
      </c>
      <c r="L1182">
        <v>6.04</v>
      </c>
      <c r="M1182">
        <v>6.31</v>
      </c>
    </row>
    <row r="1183" spans="1:13">
      <c r="A1183" t="s">
        <v>1621</v>
      </c>
      <c r="B1183" s="342">
        <v>0.21099999999999999</v>
      </c>
      <c r="C1183" s="342">
        <v>0.31900000000000001</v>
      </c>
      <c r="D1183" s="342">
        <v>0.33300000000000002</v>
      </c>
      <c r="E1183" s="342">
        <v>0.10199999999999999</v>
      </c>
      <c r="F1183" s="342">
        <v>0.60199999999999998</v>
      </c>
      <c r="G1183" s="342">
        <v>0.371</v>
      </c>
      <c r="H1183" s="342">
        <v>0.308</v>
      </c>
      <c r="I1183" s="342">
        <v>0.315</v>
      </c>
      <c r="J1183" s="342">
        <v>0.34499999999999997</v>
      </c>
      <c r="K1183" s="342">
        <v>0.158</v>
      </c>
      <c r="L1183" s="342">
        <v>0.31</v>
      </c>
      <c r="M1183" s="342">
        <v>0.312</v>
      </c>
    </row>
    <row r="1185" spans="1:13">
      <c r="A1185" t="s">
        <v>2884</v>
      </c>
    </row>
    <row r="1187" spans="1:13">
      <c r="A1187" t="s">
        <v>158</v>
      </c>
      <c r="B1187" t="s">
        <v>2806</v>
      </c>
      <c r="E1187">
        <v>2017</v>
      </c>
      <c r="H1187">
        <v>2018</v>
      </c>
      <c r="K1187">
        <v>2019</v>
      </c>
    </row>
    <row r="1188" spans="1:13">
      <c r="B1188" t="s">
        <v>1623</v>
      </c>
      <c r="C1188" t="s">
        <v>1624</v>
      </c>
      <c r="D1188" t="s">
        <v>1622</v>
      </c>
      <c r="E1188" t="s">
        <v>1623</v>
      </c>
      <c r="F1188" t="s">
        <v>1624</v>
      </c>
      <c r="G1188" t="s">
        <v>1622</v>
      </c>
      <c r="H1188" t="s">
        <v>1623</v>
      </c>
      <c r="I1188" t="s">
        <v>1624</v>
      </c>
      <c r="J1188" t="s">
        <v>1622</v>
      </c>
      <c r="K1188" t="s">
        <v>1623</v>
      </c>
      <c r="L1188" t="s">
        <v>1624</v>
      </c>
      <c r="M1188" t="s">
        <v>1622</v>
      </c>
    </row>
    <row r="1189" spans="1:13">
      <c r="A1189" t="s">
        <v>2807</v>
      </c>
      <c r="B1189" s="342">
        <v>0.77100000000000002</v>
      </c>
      <c r="C1189" s="342">
        <v>0.89700000000000002</v>
      </c>
      <c r="D1189" s="342">
        <v>0.84499999999999997</v>
      </c>
      <c r="E1189" s="342">
        <v>0.80600000000000005</v>
      </c>
      <c r="F1189" s="342">
        <v>0.89200000000000002</v>
      </c>
      <c r="G1189" s="342">
        <v>0.85799999999999998</v>
      </c>
      <c r="H1189" s="342">
        <v>0.75800000000000001</v>
      </c>
      <c r="I1189" s="342">
        <v>0.91400000000000003</v>
      </c>
      <c r="J1189" s="342">
        <v>0.83699999999999997</v>
      </c>
      <c r="K1189" s="342">
        <v>0.77100000000000002</v>
      </c>
      <c r="L1189" s="342">
        <v>0.88800000000000001</v>
      </c>
      <c r="M1189" s="342">
        <v>0.84099999999999997</v>
      </c>
    </row>
    <row r="1190" spans="1:13">
      <c r="A1190" t="s">
        <v>1618</v>
      </c>
      <c r="B1190" s="342">
        <v>7.0000000000000007E-2</v>
      </c>
      <c r="C1190" s="342">
        <v>8.7999999999999995E-2</v>
      </c>
      <c r="D1190" s="342">
        <v>8.8999999999999996E-2</v>
      </c>
      <c r="E1190" s="342">
        <v>9.5000000000000001E-2</v>
      </c>
      <c r="F1190" s="342">
        <v>9.1999999999999998E-2</v>
      </c>
      <c r="G1190" s="342">
        <v>9.4E-2</v>
      </c>
      <c r="H1190" s="342">
        <v>6.3E-2</v>
      </c>
      <c r="I1190" s="342">
        <v>7.5999999999999998E-2</v>
      </c>
      <c r="J1190" s="342">
        <v>8.3000000000000004E-2</v>
      </c>
      <c r="K1190" s="342">
        <v>6.8000000000000005E-2</v>
      </c>
      <c r="L1190" s="342">
        <v>9.5000000000000001E-2</v>
      </c>
      <c r="M1190" s="342">
        <v>9.0999999999999998E-2</v>
      </c>
    </row>
    <row r="1191" spans="1:13">
      <c r="A1191" t="s">
        <v>1619</v>
      </c>
      <c r="B1191" s="342">
        <v>3.0000000000000001E-3</v>
      </c>
      <c r="C1191" s="342">
        <v>3.0000000000000001E-3</v>
      </c>
      <c r="D1191" s="342">
        <v>4.0000000000000001E-3</v>
      </c>
      <c r="E1191" s="342">
        <v>2E-3</v>
      </c>
      <c r="F1191" s="342">
        <v>2E-3</v>
      </c>
      <c r="G1191" s="342">
        <v>2E-3</v>
      </c>
      <c r="H1191" s="342">
        <v>2E-3</v>
      </c>
      <c r="I1191" s="342">
        <v>4.0000000000000001E-3</v>
      </c>
      <c r="J1191" s="342">
        <v>5.0000000000000001E-3</v>
      </c>
      <c r="K1191" s="342">
        <v>4.0000000000000001E-3</v>
      </c>
      <c r="L1191" s="342">
        <v>4.0000000000000001E-3</v>
      </c>
      <c r="M1191" s="342">
        <v>5.0000000000000001E-3</v>
      </c>
    </row>
    <row r="1192" spans="1:13">
      <c r="A1192" t="s">
        <v>1620</v>
      </c>
      <c r="B1192" s="342">
        <v>1.01</v>
      </c>
      <c r="C1192" s="342">
        <v>0.74</v>
      </c>
      <c r="D1192" s="342">
        <v>0.91400000000000003</v>
      </c>
      <c r="E1192" s="342">
        <v>0.95399999999999996</v>
      </c>
      <c r="F1192" s="342">
        <v>0.76500000000000001</v>
      </c>
      <c r="G1192" s="342">
        <v>0.89500000000000002</v>
      </c>
      <c r="H1192" s="342">
        <v>1.103</v>
      </c>
      <c r="I1192" s="342">
        <v>0.67800000000000005</v>
      </c>
      <c r="J1192" s="342">
        <v>0.94299999999999995</v>
      </c>
      <c r="K1192" s="342">
        <v>0.93899999999999995</v>
      </c>
      <c r="L1192" s="342">
        <v>0.77500000000000002</v>
      </c>
      <c r="M1192" s="342">
        <v>0.90400000000000003</v>
      </c>
    </row>
    <row r="1193" spans="1:13">
      <c r="A1193" t="s">
        <v>2808</v>
      </c>
      <c r="B1193" s="342">
        <v>0.499</v>
      </c>
      <c r="C1193" s="342">
        <v>0.36599999999999999</v>
      </c>
      <c r="D1193" s="342">
        <v>0.49099999999999999</v>
      </c>
      <c r="E1193" s="342">
        <v>0.55600000000000005</v>
      </c>
      <c r="F1193" s="342">
        <v>0.40200000000000002</v>
      </c>
      <c r="G1193" s="342">
        <v>0.50800000000000001</v>
      </c>
      <c r="H1193" s="342">
        <v>0.50800000000000001</v>
      </c>
      <c r="I1193" s="342">
        <v>0.311</v>
      </c>
      <c r="J1193" s="342">
        <v>0.48799999999999999</v>
      </c>
      <c r="K1193" s="342">
        <v>0.46600000000000003</v>
      </c>
      <c r="L1193" s="342">
        <v>0.38700000000000001</v>
      </c>
      <c r="M1193" s="342">
        <v>0.47899999999999998</v>
      </c>
    </row>
    <row r="1194" spans="1:13">
      <c r="A1194" t="s">
        <v>2809</v>
      </c>
      <c r="B1194" s="342">
        <v>4.0000000000000001E-3</v>
      </c>
      <c r="C1194" s="342">
        <v>2E-3</v>
      </c>
      <c r="D1194" s="342">
        <v>4.0000000000000001E-3</v>
      </c>
      <c r="E1194" s="342">
        <v>4.0000000000000001E-3</v>
      </c>
      <c r="F1194" s="342">
        <v>2E-3</v>
      </c>
      <c r="G1194" s="342">
        <v>4.0000000000000001E-3</v>
      </c>
      <c r="H1194" s="342">
        <v>4.0000000000000001E-3</v>
      </c>
      <c r="I1194" s="342">
        <v>1E-3</v>
      </c>
      <c r="J1194" s="342">
        <v>4.0000000000000001E-3</v>
      </c>
      <c r="K1194" s="342">
        <v>3.0000000000000001E-3</v>
      </c>
      <c r="L1194" s="342">
        <v>3.0000000000000001E-3</v>
      </c>
      <c r="M1194" s="342">
        <v>3.0000000000000001E-3</v>
      </c>
    </row>
    <row r="1195" spans="1:13">
      <c r="A1195" t="s">
        <v>2810</v>
      </c>
      <c r="B1195" s="342">
        <v>0.498</v>
      </c>
      <c r="C1195" s="342">
        <v>0.497</v>
      </c>
      <c r="D1195" s="342">
        <v>0.54100000000000004</v>
      </c>
      <c r="E1195" s="342">
        <v>0.58599999999999997</v>
      </c>
      <c r="F1195" s="342">
        <v>0.52800000000000002</v>
      </c>
      <c r="G1195" s="342">
        <v>0.57099999999999995</v>
      </c>
      <c r="H1195" s="342">
        <v>0.46400000000000002</v>
      </c>
      <c r="I1195" s="342">
        <v>0.46100000000000002</v>
      </c>
      <c r="J1195" s="342">
        <v>0.52200000000000002</v>
      </c>
      <c r="K1195" s="342">
        <v>0.5</v>
      </c>
      <c r="L1195" s="342">
        <v>0.502</v>
      </c>
      <c r="M1195" s="342">
        <v>0.53400000000000003</v>
      </c>
    </row>
    <row r="1196" spans="1:13">
      <c r="A1196" t="s">
        <v>9</v>
      </c>
      <c r="B1196">
        <v>7.24</v>
      </c>
      <c r="C1196">
        <v>5.46</v>
      </c>
      <c r="D1196">
        <v>6.31</v>
      </c>
      <c r="E1196">
        <v>5.26</v>
      </c>
      <c r="F1196">
        <v>5.01</v>
      </c>
      <c r="G1196">
        <v>5.86</v>
      </c>
      <c r="H1196">
        <v>7.7</v>
      </c>
      <c r="I1196">
        <v>4.99</v>
      </c>
      <c r="J1196">
        <v>6.33</v>
      </c>
      <c r="K1196">
        <v>7.93</v>
      </c>
      <c r="L1196">
        <v>6.34</v>
      </c>
      <c r="M1196">
        <v>6.72</v>
      </c>
    </row>
    <row r="1197" spans="1:13">
      <c r="A1197" t="s">
        <v>8</v>
      </c>
      <c r="B1197">
        <v>15.61</v>
      </c>
      <c r="C1197">
        <v>6.59</v>
      </c>
      <c r="D1197">
        <v>8.1300000000000008</v>
      </c>
      <c r="E1197">
        <v>9.81</v>
      </c>
      <c r="F1197">
        <v>6.92</v>
      </c>
      <c r="G1197">
        <v>8.26</v>
      </c>
      <c r="H1197">
        <v>18.21</v>
      </c>
      <c r="I1197">
        <v>5.18</v>
      </c>
      <c r="J1197">
        <v>7.64</v>
      </c>
      <c r="K1197">
        <v>16.899999999999999</v>
      </c>
      <c r="L1197">
        <v>7.99</v>
      </c>
      <c r="M1197">
        <v>8.5500000000000007</v>
      </c>
    </row>
    <row r="1198" spans="1:13">
      <c r="A1198" t="s">
        <v>10</v>
      </c>
      <c r="B1198">
        <v>33.07</v>
      </c>
      <c r="C1198">
        <v>14.23</v>
      </c>
      <c r="D1198">
        <v>16.54</v>
      </c>
      <c r="E1198">
        <v>16.18</v>
      </c>
      <c r="F1198">
        <v>13.81</v>
      </c>
      <c r="G1198">
        <v>15.15</v>
      </c>
      <c r="H1198">
        <v>41.03</v>
      </c>
      <c r="I1198">
        <v>13.58</v>
      </c>
      <c r="J1198">
        <v>17.64</v>
      </c>
      <c r="K1198">
        <v>41.39</v>
      </c>
      <c r="L1198">
        <v>15.14</v>
      </c>
      <c r="M1198">
        <v>16.809999999999999</v>
      </c>
    </row>
    <row r="1199" spans="1:13">
      <c r="A1199" t="s">
        <v>1621</v>
      </c>
      <c r="B1199" s="342">
        <v>0.17199999999999999</v>
      </c>
      <c r="C1199" s="342">
        <v>0.26500000000000001</v>
      </c>
      <c r="D1199" s="342">
        <v>0.221</v>
      </c>
      <c r="E1199" s="342">
        <v>0.23</v>
      </c>
      <c r="F1199" s="342">
        <v>0.27200000000000002</v>
      </c>
      <c r="G1199" s="342">
        <v>0.22600000000000001</v>
      </c>
      <c r="H1199" s="342">
        <v>0.16</v>
      </c>
      <c r="I1199" s="342">
        <v>0.32</v>
      </c>
      <c r="J1199" s="342">
        <v>0.23200000000000001</v>
      </c>
      <c r="K1199" s="342">
        <v>0.161</v>
      </c>
      <c r="L1199" s="342">
        <v>0.217</v>
      </c>
      <c r="M1199" s="342">
        <v>0.20599999999999999</v>
      </c>
    </row>
    <row r="1201" spans="1:13">
      <c r="A1201" t="s">
        <v>2885</v>
      </c>
    </row>
    <row r="1203" spans="1:13">
      <c r="A1203" t="s">
        <v>158</v>
      </c>
      <c r="B1203" t="s">
        <v>2806</v>
      </c>
      <c r="E1203">
        <v>2017</v>
      </c>
      <c r="H1203">
        <v>2018</v>
      </c>
      <c r="K1203">
        <v>2019</v>
      </c>
    </row>
    <row r="1204" spans="1:13">
      <c r="B1204" t="s">
        <v>1623</v>
      </c>
      <c r="C1204" t="s">
        <v>1624</v>
      </c>
      <c r="D1204" t="s">
        <v>1622</v>
      </c>
      <c r="E1204" t="s">
        <v>1623</v>
      </c>
      <c r="F1204" t="s">
        <v>1624</v>
      </c>
      <c r="G1204" t="s">
        <v>1622</v>
      </c>
      <c r="H1204" t="s">
        <v>1623</v>
      </c>
      <c r="I1204" t="s">
        <v>1624</v>
      </c>
      <c r="J1204" t="s">
        <v>1622</v>
      </c>
      <c r="K1204" t="s">
        <v>1623</v>
      </c>
      <c r="L1204" t="s">
        <v>1624</v>
      </c>
      <c r="M1204" t="s">
        <v>1622</v>
      </c>
    </row>
    <row r="1205" spans="1:13">
      <c r="A1205" t="s">
        <v>2807</v>
      </c>
      <c r="B1205" s="342">
        <v>0.69699999999999995</v>
      </c>
      <c r="C1205" s="342">
        <v>0.84499999999999997</v>
      </c>
      <c r="D1205" s="342">
        <v>0.77500000000000002</v>
      </c>
      <c r="E1205" s="342">
        <v>0.70299999999999996</v>
      </c>
      <c r="F1205" s="342">
        <v>0.84399999999999997</v>
      </c>
      <c r="G1205" s="342">
        <v>0.76700000000000002</v>
      </c>
      <c r="H1205" s="342">
        <v>0.69299999999999995</v>
      </c>
      <c r="I1205" s="342">
        <v>0.83799999999999997</v>
      </c>
      <c r="J1205" s="342">
        <v>0.77400000000000002</v>
      </c>
      <c r="K1205" s="342">
        <v>0.69</v>
      </c>
      <c r="L1205" s="342">
        <v>0.85299999999999998</v>
      </c>
      <c r="M1205" s="342">
        <v>0.78300000000000003</v>
      </c>
    </row>
    <row r="1206" spans="1:13">
      <c r="A1206" t="s">
        <v>1618</v>
      </c>
      <c r="B1206" s="342">
        <v>0.129</v>
      </c>
      <c r="C1206" s="342">
        <v>0.128</v>
      </c>
      <c r="D1206" s="342">
        <v>0.13600000000000001</v>
      </c>
      <c r="E1206" s="342">
        <v>0.126</v>
      </c>
      <c r="F1206" s="342">
        <v>0.124</v>
      </c>
      <c r="G1206" s="342">
        <v>0.13500000000000001</v>
      </c>
      <c r="H1206" s="342">
        <v>0.13800000000000001</v>
      </c>
      <c r="I1206" s="342">
        <v>0.13500000000000001</v>
      </c>
      <c r="J1206" s="342">
        <v>0.13200000000000001</v>
      </c>
      <c r="K1206" s="342">
        <v>0.12</v>
      </c>
      <c r="L1206" s="342">
        <v>0.124</v>
      </c>
      <c r="M1206" s="342">
        <v>0.14000000000000001</v>
      </c>
    </row>
    <row r="1207" spans="1:13">
      <c r="A1207" t="s">
        <v>1619</v>
      </c>
      <c r="B1207" s="342">
        <v>0.01</v>
      </c>
      <c r="C1207" s="342">
        <v>1.2999999999999999E-2</v>
      </c>
      <c r="D1207" s="342">
        <v>1.2999999999999999E-2</v>
      </c>
      <c r="E1207" s="342">
        <v>5.0000000000000001E-3</v>
      </c>
      <c r="F1207" s="342">
        <v>4.0000000000000001E-3</v>
      </c>
      <c r="G1207" s="342">
        <v>5.0000000000000001E-3</v>
      </c>
      <c r="H1207" s="342">
        <v>1.2999999999999999E-2</v>
      </c>
      <c r="I1207" s="342">
        <v>1.7999999999999999E-2</v>
      </c>
      <c r="J1207" s="342">
        <v>1.9E-2</v>
      </c>
      <c r="K1207" s="342">
        <v>1.7000000000000001E-2</v>
      </c>
      <c r="L1207" s="342">
        <v>1.7000000000000001E-2</v>
      </c>
      <c r="M1207" s="342">
        <v>1.4999999999999999E-2</v>
      </c>
    </row>
    <row r="1208" spans="1:13">
      <c r="A1208" t="s">
        <v>1620</v>
      </c>
      <c r="B1208" s="342">
        <v>0.74199999999999999</v>
      </c>
      <c r="C1208" s="342">
        <v>0.98299999999999998</v>
      </c>
      <c r="D1208" s="342">
        <v>0.78700000000000003</v>
      </c>
      <c r="E1208" s="342">
        <v>0.73399999999999999</v>
      </c>
      <c r="F1208" s="342">
        <v>1.095</v>
      </c>
      <c r="G1208" s="342">
        <v>0.82499999999999996</v>
      </c>
      <c r="H1208" s="342">
        <v>0.75900000000000001</v>
      </c>
      <c r="I1208" s="342">
        <v>0.94199999999999995</v>
      </c>
      <c r="J1208" s="342">
        <v>0.8</v>
      </c>
      <c r="K1208" s="342">
        <v>0.72899999999999998</v>
      </c>
      <c r="L1208" s="342">
        <v>0.91900000000000004</v>
      </c>
      <c r="M1208" s="342">
        <v>0.74199999999999999</v>
      </c>
    </row>
    <row r="1209" spans="1:13">
      <c r="A1209" t="s">
        <v>2808</v>
      </c>
      <c r="B1209" s="342">
        <v>0.41199999999999998</v>
      </c>
      <c r="C1209" s="342">
        <v>0.312</v>
      </c>
      <c r="D1209" s="342">
        <v>0.36299999999999999</v>
      </c>
      <c r="E1209" s="342">
        <v>0.43</v>
      </c>
      <c r="F1209" s="342">
        <v>0.3</v>
      </c>
      <c r="G1209" s="342">
        <v>0.36499999999999999</v>
      </c>
      <c r="H1209" s="342">
        <v>0.38</v>
      </c>
      <c r="I1209" s="342">
        <v>0.30099999999999999</v>
      </c>
      <c r="J1209" s="342">
        <v>0.36199999999999999</v>
      </c>
      <c r="K1209" s="342">
        <v>0.42699999999999999</v>
      </c>
      <c r="L1209" s="342">
        <v>0.33300000000000002</v>
      </c>
      <c r="M1209" s="342">
        <v>0.36199999999999999</v>
      </c>
    </row>
    <row r="1210" spans="1:13">
      <c r="A1210" t="s">
        <v>2809</v>
      </c>
      <c r="B1210" s="342">
        <v>4.0000000000000001E-3</v>
      </c>
      <c r="C1210" s="342">
        <v>0.01</v>
      </c>
      <c r="D1210" s="342">
        <v>8.0000000000000002E-3</v>
      </c>
      <c r="E1210" s="342">
        <v>4.0000000000000001E-3</v>
      </c>
      <c r="F1210" s="342">
        <v>7.0000000000000001E-3</v>
      </c>
      <c r="G1210" s="342">
        <v>5.0000000000000001E-3</v>
      </c>
      <c r="H1210" s="342">
        <v>5.0000000000000001E-3</v>
      </c>
      <c r="I1210" s="342">
        <v>1.0999999999999999E-2</v>
      </c>
      <c r="J1210" s="342">
        <v>1.2E-2</v>
      </c>
      <c r="K1210" s="342">
        <v>6.0000000000000001E-3</v>
      </c>
      <c r="L1210" s="342">
        <v>1.2E-2</v>
      </c>
      <c r="M1210" s="342">
        <v>7.0000000000000001E-3</v>
      </c>
    </row>
    <row r="1211" spans="1:13">
      <c r="A1211" t="s">
        <v>2810</v>
      </c>
      <c r="B1211" s="342">
        <v>0.56100000000000005</v>
      </c>
      <c r="C1211" s="342">
        <v>0.32700000000000001</v>
      </c>
      <c r="D1211" s="342">
        <v>0.47099999999999997</v>
      </c>
      <c r="E1211" s="342">
        <v>0.59</v>
      </c>
      <c r="F1211" s="342">
        <v>0.28000000000000003</v>
      </c>
      <c r="G1211" s="342">
        <v>0.44900000000000001</v>
      </c>
      <c r="H1211" s="342">
        <v>0.50700000000000001</v>
      </c>
      <c r="I1211" s="342">
        <v>0.33100000000000002</v>
      </c>
      <c r="J1211" s="342">
        <v>0.46700000000000003</v>
      </c>
      <c r="K1211" s="342">
        <v>0.59299999999999997</v>
      </c>
      <c r="L1211" s="342">
        <v>0.375</v>
      </c>
      <c r="M1211" s="342">
        <v>0.497</v>
      </c>
    </row>
    <row r="1212" spans="1:13">
      <c r="A1212" t="s">
        <v>9</v>
      </c>
      <c r="B1212">
        <v>4.75</v>
      </c>
      <c r="C1212">
        <v>5.48</v>
      </c>
      <c r="D1212">
        <v>4.5199999999999996</v>
      </c>
      <c r="E1212">
        <v>4.43</v>
      </c>
      <c r="F1212">
        <v>5.18</v>
      </c>
      <c r="G1212">
        <v>4.66</v>
      </c>
      <c r="H1212">
        <v>4.6500000000000004</v>
      </c>
      <c r="I1212">
        <v>5.45</v>
      </c>
      <c r="J1212">
        <v>4.5</v>
      </c>
      <c r="K1212">
        <v>5.94</v>
      </c>
      <c r="L1212">
        <v>5.88</v>
      </c>
      <c r="M1212">
        <v>4.3899999999999997</v>
      </c>
    </row>
    <row r="1213" spans="1:13">
      <c r="A1213" t="s">
        <v>8</v>
      </c>
      <c r="B1213">
        <v>6.22</v>
      </c>
      <c r="C1213">
        <v>6.66</v>
      </c>
      <c r="D1213">
        <v>5.66</v>
      </c>
      <c r="E1213">
        <v>4.43</v>
      </c>
      <c r="F1213">
        <v>6.72</v>
      </c>
      <c r="G1213">
        <v>5.93</v>
      </c>
      <c r="H1213">
        <v>9.01</v>
      </c>
      <c r="I1213">
        <v>6.17</v>
      </c>
      <c r="J1213">
        <v>5.64</v>
      </c>
      <c r="K1213">
        <v>9.34</v>
      </c>
      <c r="L1213">
        <v>7.17</v>
      </c>
      <c r="M1213">
        <v>5.44</v>
      </c>
    </row>
    <row r="1214" spans="1:13">
      <c r="A1214" t="s">
        <v>10</v>
      </c>
      <c r="B1214">
        <v>15.63</v>
      </c>
      <c r="C1214">
        <v>14.09</v>
      </c>
      <c r="D1214">
        <v>12.23</v>
      </c>
      <c r="E1214">
        <v>12.34</v>
      </c>
      <c r="F1214">
        <v>11.91</v>
      </c>
      <c r="G1214">
        <v>11.63</v>
      </c>
      <c r="H1214">
        <v>17.8</v>
      </c>
      <c r="I1214">
        <v>15.81</v>
      </c>
      <c r="J1214">
        <v>11.76</v>
      </c>
      <c r="K1214">
        <v>24.69</v>
      </c>
      <c r="L1214">
        <v>15.5</v>
      </c>
      <c r="M1214">
        <v>13.5</v>
      </c>
    </row>
    <row r="1215" spans="1:13">
      <c r="A1215" t="s">
        <v>1621</v>
      </c>
      <c r="B1215" s="342">
        <v>0.307</v>
      </c>
      <c r="C1215" s="342">
        <v>0.26200000000000001</v>
      </c>
      <c r="D1215" s="342">
        <v>0.316</v>
      </c>
      <c r="E1215" s="342">
        <v>0.37</v>
      </c>
      <c r="F1215" s="342">
        <v>0.25800000000000001</v>
      </c>
      <c r="G1215" s="342">
        <v>0.29699999999999999</v>
      </c>
      <c r="H1215" s="342">
        <v>0.27</v>
      </c>
      <c r="I1215" s="342">
        <v>0.28199999999999997</v>
      </c>
      <c r="J1215" s="342">
        <v>0.314</v>
      </c>
      <c r="K1215" s="342">
        <v>0.23499999999999999</v>
      </c>
      <c r="L1215" s="342">
        <v>0.245</v>
      </c>
      <c r="M1215" s="342">
        <v>0.33700000000000002</v>
      </c>
    </row>
    <row r="1217" spans="1:13">
      <c r="A1217" t="s">
        <v>2886</v>
      </c>
    </row>
    <row r="1219" spans="1:13">
      <c r="A1219" t="s">
        <v>158</v>
      </c>
      <c r="B1219" t="s">
        <v>2806</v>
      </c>
      <c r="E1219">
        <v>2017</v>
      </c>
      <c r="H1219">
        <v>2018</v>
      </c>
      <c r="K1219">
        <v>2019</v>
      </c>
    </row>
    <row r="1220" spans="1:13">
      <c r="B1220" t="s">
        <v>1623</v>
      </c>
      <c r="C1220" t="s">
        <v>1624</v>
      </c>
      <c r="D1220" t="s">
        <v>1622</v>
      </c>
      <c r="E1220" t="s">
        <v>1623</v>
      </c>
      <c r="F1220" t="s">
        <v>1624</v>
      </c>
      <c r="G1220" t="s">
        <v>1622</v>
      </c>
      <c r="H1220" t="s">
        <v>1623</v>
      </c>
      <c r="I1220" t="s">
        <v>1624</v>
      </c>
      <c r="J1220" t="s">
        <v>1622</v>
      </c>
      <c r="K1220" t="s">
        <v>1623</v>
      </c>
      <c r="L1220" t="s">
        <v>1624</v>
      </c>
      <c r="M1220" t="s">
        <v>1622</v>
      </c>
    </row>
    <row r="1221" spans="1:13">
      <c r="A1221" t="s">
        <v>2807</v>
      </c>
      <c r="B1221" s="342">
        <v>0.73199999999999998</v>
      </c>
      <c r="C1221" s="342">
        <v>0.89100000000000001</v>
      </c>
      <c r="D1221" s="342">
        <v>0.84499999999999997</v>
      </c>
      <c r="E1221" s="342">
        <v>0.746</v>
      </c>
      <c r="F1221" s="342">
        <v>0.88900000000000001</v>
      </c>
      <c r="G1221" s="342">
        <v>0.84199999999999997</v>
      </c>
      <c r="H1221" s="342">
        <v>0.72099999999999997</v>
      </c>
      <c r="I1221" s="342">
        <v>0.89600000000000002</v>
      </c>
      <c r="J1221" s="342">
        <v>0.84599999999999997</v>
      </c>
      <c r="K1221" s="342">
        <v>0.72399999999999998</v>
      </c>
      <c r="L1221" s="342">
        <v>0.88800000000000001</v>
      </c>
      <c r="M1221" s="342">
        <v>0.84599999999999997</v>
      </c>
    </row>
    <row r="1222" spans="1:13">
      <c r="A1222" t="s">
        <v>1618</v>
      </c>
      <c r="B1222" s="342">
        <v>0.113</v>
      </c>
      <c r="C1222" s="342">
        <v>8.6999999999999994E-2</v>
      </c>
      <c r="D1222" s="342">
        <v>9.7000000000000003E-2</v>
      </c>
      <c r="E1222" s="342">
        <v>0.107</v>
      </c>
      <c r="F1222" s="342">
        <v>8.7999999999999995E-2</v>
      </c>
      <c r="G1222" s="342">
        <v>9.6000000000000002E-2</v>
      </c>
      <c r="H1222" s="342">
        <v>0.11799999999999999</v>
      </c>
      <c r="I1222" s="342">
        <v>8.3000000000000004E-2</v>
      </c>
      <c r="J1222" s="342">
        <v>9.7000000000000003E-2</v>
      </c>
      <c r="K1222" s="342">
        <v>0.115</v>
      </c>
      <c r="L1222" s="342">
        <v>0.09</v>
      </c>
      <c r="M1222" s="342">
        <v>9.7000000000000003E-2</v>
      </c>
    </row>
    <row r="1223" spans="1:13">
      <c r="A1223" t="s">
        <v>1619</v>
      </c>
      <c r="B1223" s="342">
        <v>1.4999999999999999E-2</v>
      </c>
      <c r="C1223" s="342">
        <v>1.0999999999999999E-2</v>
      </c>
      <c r="D1223" s="342">
        <v>1.2999999999999999E-2</v>
      </c>
      <c r="E1223" s="342">
        <v>5.0000000000000001E-3</v>
      </c>
      <c r="F1223" s="342">
        <v>3.0000000000000001E-3</v>
      </c>
      <c r="G1223" s="342">
        <v>4.0000000000000001E-3</v>
      </c>
      <c r="H1223" s="342">
        <v>2.1000000000000001E-2</v>
      </c>
      <c r="I1223" s="342">
        <v>1.4E-2</v>
      </c>
      <c r="J1223" s="342">
        <v>1.7999999999999999E-2</v>
      </c>
      <c r="K1223" s="342">
        <v>2.4E-2</v>
      </c>
      <c r="L1223" s="342">
        <v>1.4999999999999999E-2</v>
      </c>
      <c r="M1223" s="342">
        <v>1.7999999999999999E-2</v>
      </c>
    </row>
    <row r="1224" spans="1:13">
      <c r="A1224" t="s">
        <v>1620</v>
      </c>
      <c r="B1224" s="342">
        <v>0.80600000000000005</v>
      </c>
      <c r="C1224" s="342">
        <v>1.1739999999999999</v>
      </c>
      <c r="D1224" s="342">
        <v>1.022</v>
      </c>
      <c r="E1224" s="342">
        <v>0.85599999999999998</v>
      </c>
      <c r="F1224" s="342">
        <v>1.179</v>
      </c>
      <c r="G1224" s="342">
        <v>1.042</v>
      </c>
      <c r="H1224" s="342">
        <v>0.77400000000000002</v>
      </c>
      <c r="I1224" s="342">
        <v>1.1639999999999999</v>
      </c>
      <c r="J1224" s="342">
        <v>1.0349999999999999</v>
      </c>
      <c r="K1224" s="342">
        <v>0.77</v>
      </c>
      <c r="L1224" s="342">
        <v>1.179</v>
      </c>
      <c r="M1224" s="342">
        <v>0.99</v>
      </c>
    </row>
    <row r="1225" spans="1:13">
      <c r="A1225" t="s">
        <v>2808</v>
      </c>
      <c r="B1225" s="342">
        <v>0.51800000000000002</v>
      </c>
      <c r="C1225" s="342">
        <v>0.38400000000000001</v>
      </c>
      <c r="D1225" s="342">
        <v>0.433</v>
      </c>
      <c r="E1225" s="342">
        <v>0.53700000000000003</v>
      </c>
      <c r="F1225" s="342">
        <v>0.34799999999999998</v>
      </c>
      <c r="G1225" s="342">
        <v>0.42899999999999999</v>
      </c>
      <c r="H1225" s="342">
        <v>0.499</v>
      </c>
      <c r="I1225" s="342">
        <v>0.38800000000000001</v>
      </c>
      <c r="J1225" s="342">
        <v>0.438</v>
      </c>
      <c r="K1225" s="342">
        <v>0.51400000000000001</v>
      </c>
      <c r="L1225" s="342">
        <v>0.41699999999999998</v>
      </c>
      <c r="M1225" s="342">
        <v>0.43099999999999999</v>
      </c>
    </row>
    <row r="1226" spans="1:13">
      <c r="A1226" t="s">
        <v>2809</v>
      </c>
      <c r="B1226" s="342">
        <v>8.0000000000000002E-3</v>
      </c>
      <c r="C1226" s="342">
        <v>0.01</v>
      </c>
      <c r="D1226" s="342">
        <v>1.0999999999999999E-2</v>
      </c>
      <c r="E1226" s="342">
        <v>0.01</v>
      </c>
      <c r="F1226" s="342">
        <v>8.9999999999999993E-3</v>
      </c>
      <c r="G1226" s="342">
        <v>0.01</v>
      </c>
      <c r="H1226" s="342">
        <v>7.0000000000000001E-3</v>
      </c>
      <c r="I1226" s="342">
        <v>8.9999999999999993E-3</v>
      </c>
      <c r="J1226" s="342">
        <v>1.0999999999999999E-2</v>
      </c>
      <c r="K1226" s="342">
        <v>7.0000000000000001E-3</v>
      </c>
      <c r="L1226" s="342">
        <v>1.2E-2</v>
      </c>
      <c r="M1226" s="342">
        <v>1.2E-2</v>
      </c>
    </row>
    <row r="1227" spans="1:13">
      <c r="A1227" t="s">
        <v>2810</v>
      </c>
      <c r="B1227" s="342">
        <v>0.65200000000000002</v>
      </c>
      <c r="C1227" s="342">
        <v>0.33500000000000002</v>
      </c>
      <c r="D1227" s="342">
        <v>0.434</v>
      </c>
      <c r="E1227" s="342">
        <v>0.63800000000000001</v>
      </c>
      <c r="F1227" s="342">
        <v>0.30199999999999999</v>
      </c>
      <c r="G1227" s="342">
        <v>0.42099999999999999</v>
      </c>
      <c r="H1227" s="342">
        <v>0.65400000000000003</v>
      </c>
      <c r="I1227" s="342">
        <v>0.34</v>
      </c>
      <c r="J1227" s="342">
        <v>0.434</v>
      </c>
      <c r="K1227" s="342">
        <v>0.67700000000000005</v>
      </c>
      <c r="L1227" s="342">
        <v>0.36299999999999999</v>
      </c>
      <c r="M1227" s="342">
        <v>0.44700000000000001</v>
      </c>
    </row>
    <row r="1228" spans="1:13">
      <c r="A1228" t="s">
        <v>9</v>
      </c>
      <c r="B1228">
        <v>5.26</v>
      </c>
      <c r="C1228">
        <v>5.78</v>
      </c>
      <c r="D1228">
        <v>5.55</v>
      </c>
      <c r="E1228">
        <v>5.37</v>
      </c>
      <c r="F1228">
        <v>5.52</v>
      </c>
      <c r="G1228">
        <v>5.36</v>
      </c>
      <c r="H1228">
        <v>5.61</v>
      </c>
      <c r="I1228">
        <v>5.81</v>
      </c>
      <c r="J1228">
        <v>5.61</v>
      </c>
      <c r="K1228">
        <v>4.6399999999999997</v>
      </c>
      <c r="L1228">
        <v>6.02</v>
      </c>
      <c r="M1228">
        <v>5.71</v>
      </c>
    </row>
    <row r="1229" spans="1:13">
      <c r="A1229" t="s">
        <v>8</v>
      </c>
      <c r="B1229">
        <v>14.55</v>
      </c>
      <c r="C1229">
        <v>8.89</v>
      </c>
      <c r="D1229">
        <v>9.48</v>
      </c>
      <c r="E1229">
        <v>15.46</v>
      </c>
      <c r="F1229">
        <v>8.34</v>
      </c>
      <c r="G1229">
        <v>9.39</v>
      </c>
      <c r="H1229">
        <v>12.39</v>
      </c>
      <c r="I1229">
        <v>8.9499999999999993</v>
      </c>
      <c r="J1229">
        <v>9.49</v>
      </c>
      <c r="K1229">
        <v>17.11</v>
      </c>
      <c r="L1229">
        <v>9.4600000000000009</v>
      </c>
      <c r="M1229">
        <v>9.5500000000000007</v>
      </c>
    </row>
    <row r="1230" spans="1:13">
      <c r="A1230" t="s">
        <v>10</v>
      </c>
      <c r="B1230">
        <v>11.54</v>
      </c>
      <c r="C1230">
        <v>8.9499999999999993</v>
      </c>
      <c r="D1230">
        <v>10.06</v>
      </c>
      <c r="E1230">
        <v>11.14</v>
      </c>
      <c r="F1230">
        <v>8.17</v>
      </c>
      <c r="G1230">
        <v>9.69</v>
      </c>
      <c r="H1230">
        <v>11.07</v>
      </c>
      <c r="I1230">
        <v>9.02</v>
      </c>
      <c r="J1230">
        <v>10.01</v>
      </c>
      <c r="K1230">
        <v>13.28</v>
      </c>
      <c r="L1230">
        <v>9.7899999999999991</v>
      </c>
      <c r="M1230">
        <v>10.54</v>
      </c>
    </row>
    <row r="1231" spans="1:13">
      <c r="A1231" t="s">
        <v>1621</v>
      </c>
      <c r="B1231" s="342">
        <v>0.17199999999999999</v>
      </c>
      <c r="C1231" s="342">
        <v>0.17399999999999999</v>
      </c>
      <c r="D1231" s="342">
        <v>0.186</v>
      </c>
      <c r="E1231" s="342">
        <v>0.161</v>
      </c>
      <c r="F1231" s="342">
        <v>0.17899999999999999</v>
      </c>
      <c r="G1231" s="342">
        <v>0.19</v>
      </c>
      <c r="H1231" s="342">
        <v>0.16900000000000001</v>
      </c>
      <c r="I1231" s="342">
        <v>0.17299999999999999</v>
      </c>
      <c r="J1231" s="342">
        <v>0.184</v>
      </c>
      <c r="K1231" s="342">
        <v>0.19900000000000001</v>
      </c>
      <c r="L1231" s="342">
        <v>0.16900000000000001</v>
      </c>
      <c r="M1231" s="342">
        <v>0.185</v>
      </c>
    </row>
    <row r="1233" spans="1:13">
      <c r="A1233" t="s">
        <v>2887</v>
      </c>
    </row>
    <row r="1235" spans="1:13">
      <c r="A1235" t="s">
        <v>158</v>
      </c>
      <c r="B1235" t="s">
        <v>2806</v>
      </c>
      <c r="E1235">
        <v>2017</v>
      </c>
      <c r="H1235">
        <v>2018</v>
      </c>
      <c r="K1235">
        <v>2019</v>
      </c>
    </row>
    <row r="1236" spans="1:13">
      <c r="B1236" t="s">
        <v>1623</v>
      </c>
      <c r="C1236" t="s">
        <v>1624</v>
      </c>
      <c r="D1236" t="s">
        <v>1622</v>
      </c>
      <c r="E1236" t="s">
        <v>1623</v>
      </c>
      <c r="F1236" t="s">
        <v>1624</v>
      </c>
      <c r="G1236" t="s">
        <v>1622</v>
      </c>
      <c r="H1236" t="s">
        <v>1623</v>
      </c>
      <c r="I1236" t="s">
        <v>1624</v>
      </c>
      <c r="J1236" t="s">
        <v>1622</v>
      </c>
      <c r="K1236" t="s">
        <v>1623</v>
      </c>
      <c r="L1236" t="s">
        <v>1624</v>
      </c>
      <c r="M1236" t="s">
        <v>1622</v>
      </c>
    </row>
    <row r="1237" spans="1:13">
      <c r="A1237" t="s">
        <v>2807</v>
      </c>
      <c r="B1237" s="342">
        <v>0.68700000000000006</v>
      </c>
      <c r="C1237" s="342">
        <v>0.83</v>
      </c>
      <c r="D1237" s="342">
        <v>0.80700000000000005</v>
      </c>
      <c r="E1237" s="342">
        <v>0.69899999999999995</v>
      </c>
      <c r="F1237" s="342">
        <v>0.83199999999999996</v>
      </c>
      <c r="G1237" s="342">
        <v>0.81200000000000006</v>
      </c>
      <c r="H1237" s="342">
        <v>0.67700000000000005</v>
      </c>
      <c r="I1237" s="342">
        <v>0.83199999999999996</v>
      </c>
      <c r="J1237" s="342">
        <v>0.80600000000000005</v>
      </c>
      <c r="K1237" s="342">
        <v>0.68500000000000005</v>
      </c>
      <c r="L1237" s="342">
        <v>0.82499999999999996</v>
      </c>
      <c r="M1237" s="342">
        <v>0.80300000000000005</v>
      </c>
    </row>
    <row r="1238" spans="1:13">
      <c r="A1238" t="s">
        <v>1618</v>
      </c>
      <c r="B1238" s="342">
        <v>0.14699999999999999</v>
      </c>
      <c r="C1238" s="342">
        <v>0.14799999999999999</v>
      </c>
      <c r="D1238" s="342">
        <v>0.14499999999999999</v>
      </c>
      <c r="E1238" s="342">
        <v>0.13900000000000001</v>
      </c>
      <c r="F1238" s="342">
        <v>0.14699999999999999</v>
      </c>
      <c r="G1238" s="342">
        <v>0.14499999999999999</v>
      </c>
      <c r="H1238" s="342">
        <v>0.14599999999999999</v>
      </c>
      <c r="I1238" s="342">
        <v>0.14399999999999999</v>
      </c>
      <c r="J1238" s="342">
        <v>0.13800000000000001</v>
      </c>
      <c r="K1238" s="342">
        <v>0.155</v>
      </c>
      <c r="L1238" s="342">
        <v>0.152</v>
      </c>
      <c r="M1238" s="342">
        <v>0.15</v>
      </c>
    </row>
    <row r="1239" spans="1:13">
      <c r="A1239" t="s">
        <v>1619</v>
      </c>
      <c r="B1239" s="342">
        <v>1.9E-2</v>
      </c>
      <c r="C1239" s="342">
        <v>1.0999999999999999E-2</v>
      </c>
      <c r="D1239" s="342">
        <v>1.2999999999999999E-2</v>
      </c>
      <c r="E1239" s="342">
        <v>6.0000000000000001E-3</v>
      </c>
      <c r="F1239" s="342">
        <v>0.01</v>
      </c>
      <c r="G1239" s="342">
        <v>8.9999999999999993E-3</v>
      </c>
      <c r="H1239" s="342">
        <v>2.5000000000000001E-2</v>
      </c>
      <c r="I1239" s="342">
        <v>0.01</v>
      </c>
      <c r="J1239" s="342">
        <v>1.4999999999999999E-2</v>
      </c>
      <c r="K1239" s="342">
        <v>2.5000000000000001E-2</v>
      </c>
      <c r="L1239" s="342">
        <v>1.2999999999999999E-2</v>
      </c>
      <c r="M1239" s="342">
        <v>1.7000000000000001E-2</v>
      </c>
    </row>
    <row r="1240" spans="1:13">
      <c r="A1240" t="s">
        <v>1620</v>
      </c>
      <c r="B1240" s="342">
        <v>0.60299999999999998</v>
      </c>
      <c r="C1240" s="342">
        <v>0.997</v>
      </c>
      <c r="D1240" s="342">
        <v>0.91200000000000003</v>
      </c>
      <c r="E1240" s="342">
        <v>0.65200000000000002</v>
      </c>
      <c r="F1240" s="342">
        <v>0.88900000000000001</v>
      </c>
      <c r="G1240" s="342">
        <v>0.874</v>
      </c>
      <c r="H1240" s="342">
        <v>0.626</v>
      </c>
      <c r="I1240" s="342">
        <v>1.093</v>
      </c>
      <c r="J1240" s="342">
        <v>0.94799999999999995</v>
      </c>
      <c r="K1240" s="342">
        <v>0.54900000000000004</v>
      </c>
      <c r="L1240" s="342">
        <v>1.087</v>
      </c>
      <c r="M1240" s="342">
        <v>0.93200000000000005</v>
      </c>
    </row>
    <row r="1241" spans="1:13">
      <c r="A1241" t="s">
        <v>2808</v>
      </c>
      <c r="B1241" s="342">
        <v>0.41199999999999998</v>
      </c>
      <c r="C1241" s="342">
        <v>0.315</v>
      </c>
      <c r="D1241" s="342">
        <v>0.35399999999999998</v>
      </c>
      <c r="E1241" s="342">
        <v>0.39300000000000002</v>
      </c>
      <c r="F1241" s="342">
        <v>0.27600000000000002</v>
      </c>
      <c r="G1241" s="342">
        <v>0.312</v>
      </c>
      <c r="H1241" s="342">
        <v>0.44600000000000001</v>
      </c>
      <c r="I1241" s="342">
        <v>0.36799999999999999</v>
      </c>
      <c r="J1241" s="342">
        <v>0.39300000000000002</v>
      </c>
      <c r="K1241" s="342">
        <v>0.40400000000000003</v>
      </c>
      <c r="L1241" s="342">
        <v>0.33600000000000002</v>
      </c>
      <c r="M1241" s="342">
        <v>0.375</v>
      </c>
    </row>
    <row r="1242" spans="1:13">
      <c r="A1242" t="s">
        <v>2809</v>
      </c>
      <c r="B1242" s="342">
        <v>1.2E-2</v>
      </c>
      <c r="C1242" s="342">
        <v>2.1000000000000001E-2</v>
      </c>
      <c r="D1242" s="342">
        <v>1.9E-2</v>
      </c>
      <c r="E1242" s="342">
        <v>1.4E-2</v>
      </c>
      <c r="F1242" s="342">
        <v>3.1E-2</v>
      </c>
      <c r="G1242" s="342">
        <v>2.5999999999999999E-2</v>
      </c>
      <c r="H1242" s="342">
        <v>0.01</v>
      </c>
      <c r="I1242" s="342">
        <v>1.4E-2</v>
      </c>
      <c r="J1242" s="342">
        <v>1.4999999999999999E-2</v>
      </c>
      <c r="K1242" s="342">
        <v>1.0999999999999999E-2</v>
      </c>
      <c r="L1242" s="342">
        <v>1.0999999999999999E-2</v>
      </c>
      <c r="M1242" s="342">
        <v>1.4E-2</v>
      </c>
    </row>
    <row r="1243" spans="1:13">
      <c r="A1243" t="s">
        <v>2810</v>
      </c>
      <c r="B1243" s="342">
        <v>0.70299999999999996</v>
      </c>
      <c r="C1243" s="342">
        <v>0.33700000000000002</v>
      </c>
      <c r="D1243" s="342">
        <v>0.40899999999999997</v>
      </c>
      <c r="E1243" s="342">
        <v>0.624</v>
      </c>
      <c r="F1243" s="342">
        <v>0.34499999999999997</v>
      </c>
      <c r="G1243" s="342">
        <v>0.38700000000000001</v>
      </c>
      <c r="H1243" s="342">
        <v>0.72899999999999998</v>
      </c>
      <c r="I1243" s="342">
        <v>0.35</v>
      </c>
      <c r="J1243" s="342">
        <v>0.43</v>
      </c>
      <c r="K1243" s="342">
        <v>0.755</v>
      </c>
      <c r="L1243" s="342">
        <v>0.32</v>
      </c>
      <c r="M1243" s="342">
        <v>0.41799999999999998</v>
      </c>
    </row>
    <row r="1244" spans="1:13">
      <c r="A1244" t="s">
        <v>9</v>
      </c>
      <c r="B1244">
        <v>5</v>
      </c>
      <c r="C1244">
        <v>4.2300000000000004</v>
      </c>
      <c r="D1244">
        <v>4.57</v>
      </c>
      <c r="E1244">
        <v>5.04</v>
      </c>
      <c r="F1244">
        <v>3.63</v>
      </c>
      <c r="G1244">
        <v>4</v>
      </c>
      <c r="H1244">
        <v>5.07</v>
      </c>
      <c r="I1244">
        <v>5.24</v>
      </c>
      <c r="J1244">
        <v>5.42</v>
      </c>
      <c r="K1244">
        <v>4.91</v>
      </c>
      <c r="L1244">
        <v>4.54</v>
      </c>
      <c r="M1244">
        <v>4.75</v>
      </c>
    </row>
    <row r="1245" spans="1:13">
      <c r="A1245" t="s">
        <v>8</v>
      </c>
      <c r="B1245">
        <v>6.09</v>
      </c>
      <c r="C1245">
        <v>5.53</v>
      </c>
      <c r="D1245">
        <v>5.59</v>
      </c>
      <c r="E1245">
        <v>7.99</v>
      </c>
      <c r="F1245">
        <v>5.74</v>
      </c>
      <c r="G1245">
        <v>5.69</v>
      </c>
      <c r="H1245">
        <v>5.61</v>
      </c>
      <c r="I1245">
        <v>5.35</v>
      </c>
      <c r="J1245">
        <v>5.64</v>
      </c>
      <c r="K1245">
        <v>5.3</v>
      </c>
      <c r="L1245">
        <v>5.41</v>
      </c>
      <c r="M1245">
        <v>5.44</v>
      </c>
    </row>
    <row r="1246" spans="1:13">
      <c r="A1246" t="s">
        <v>10</v>
      </c>
      <c r="B1246">
        <v>9.4600000000000009</v>
      </c>
      <c r="C1246">
        <v>7.73</v>
      </c>
      <c r="D1246">
        <v>8.42</v>
      </c>
      <c r="E1246">
        <v>10.41</v>
      </c>
      <c r="F1246">
        <v>6.99</v>
      </c>
      <c r="G1246">
        <v>7.67</v>
      </c>
      <c r="H1246">
        <v>11.43</v>
      </c>
      <c r="I1246">
        <v>8.98</v>
      </c>
      <c r="J1246">
        <v>9.56</v>
      </c>
      <c r="K1246">
        <v>7.76</v>
      </c>
      <c r="L1246">
        <v>7.99</v>
      </c>
      <c r="M1246">
        <v>8.57</v>
      </c>
    </row>
    <row r="1247" spans="1:13">
      <c r="A1247" t="s">
        <v>1621</v>
      </c>
      <c r="B1247" s="342">
        <v>0.25900000000000001</v>
      </c>
      <c r="C1247" s="342">
        <v>0.28799999999999998</v>
      </c>
      <c r="D1247" s="342">
        <v>0.27900000000000003</v>
      </c>
      <c r="E1247" s="342">
        <v>0.22800000000000001</v>
      </c>
      <c r="F1247" s="342">
        <v>0.307</v>
      </c>
      <c r="G1247" s="342">
        <v>0.29499999999999998</v>
      </c>
      <c r="H1247" s="342">
        <v>0.28799999999999998</v>
      </c>
      <c r="I1247" s="342">
        <v>0.26600000000000001</v>
      </c>
      <c r="J1247" s="342">
        <v>0.25700000000000001</v>
      </c>
      <c r="K1247" s="342">
        <v>0.26300000000000001</v>
      </c>
      <c r="L1247" s="342">
        <v>0.28000000000000003</v>
      </c>
      <c r="M1247" s="342">
        <v>0.27800000000000002</v>
      </c>
    </row>
    <row r="1249" spans="1:13">
      <c r="A1249" t="s">
        <v>2888</v>
      </c>
    </row>
    <row r="1251" spans="1:13">
      <c r="A1251" t="s">
        <v>158</v>
      </c>
      <c r="B1251" t="s">
        <v>2806</v>
      </c>
      <c r="E1251">
        <v>2017</v>
      </c>
      <c r="H1251">
        <v>2018</v>
      </c>
      <c r="K1251">
        <v>2019</v>
      </c>
    </row>
    <row r="1252" spans="1:13">
      <c r="B1252" t="s">
        <v>1623</v>
      </c>
      <c r="C1252" t="s">
        <v>1624</v>
      </c>
      <c r="D1252" t="s">
        <v>1622</v>
      </c>
      <c r="E1252" t="s">
        <v>1623</v>
      </c>
      <c r="F1252" t="s">
        <v>1624</v>
      </c>
      <c r="G1252" t="s">
        <v>1622</v>
      </c>
      <c r="H1252" t="s">
        <v>1623</v>
      </c>
      <c r="I1252" t="s">
        <v>1624</v>
      </c>
      <c r="J1252" t="s">
        <v>1622</v>
      </c>
      <c r="K1252" t="s">
        <v>1623</v>
      </c>
      <c r="L1252" t="s">
        <v>1624</v>
      </c>
      <c r="M1252" t="s">
        <v>1622</v>
      </c>
    </row>
    <row r="1253" spans="1:13">
      <c r="A1253" t="s">
        <v>2807</v>
      </c>
      <c r="B1253" s="342">
        <v>0.72399999999999998</v>
      </c>
      <c r="C1253" s="342">
        <v>0.84699999999999998</v>
      </c>
      <c r="D1253" s="342">
        <v>0.78900000000000003</v>
      </c>
      <c r="E1253" s="342">
        <v>0.76100000000000001</v>
      </c>
      <c r="F1253" s="342">
        <v>0.86299999999999999</v>
      </c>
      <c r="G1253" s="342">
        <v>0.79700000000000004</v>
      </c>
      <c r="H1253" s="342">
        <v>0.70099999999999996</v>
      </c>
      <c r="I1253" s="342">
        <v>0.84499999999999997</v>
      </c>
      <c r="J1253" s="342">
        <v>0.79900000000000004</v>
      </c>
      <c r="K1253" s="342">
        <v>0.70199999999999996</v>
      </c>
      <c r="L1253" s="342">
        <v>0.83699999999999997</v>
      </c>
      <c r="M1253" s="342">
        <v>0.76800000000000002</v>
      </c>
    </row>
    <row r="1254" spans="1:13">
      <c r="A1254" t="s">
        <v>1618</v>
      </c>
      <c r="B1254" s="342">
        <v>0.11600000000000001</v>
      </c>
      <c r="C1254" s="342">
        <v>0.13200000000000001</v>
      </c>
      <c r="D1254" s="342">
        <v>0.121</v>
      </c>
      <c r="E1254" s="342">
        <v>0.10199999999999999</v>
      </c>
      <c r="F1254" s="342">
        <v>0.115</v>
      </c>
      <c r="G1254" s="342">
        <v>0.11600000000000001</v>
      </c>
      <c r="H1254" s="342">
        <v>0.13100000000000001</v>
      </c>
      <c r="I1254" s="342">
        <v>0.13600000000000001</v>
      </c>
      <c r="J1254" s="342">
        <v>0.12</v>
      </c>
      <c r="K1254" s="342">
        <v>0.12</v>
      </c>
      <c r="L1254" s="342">
        <v>0.14199999999999999</v>
      </c>
      <c r="M1254" s="342">
        <v>0.128</v>
      </c>
    </row>
    <row r="1255" spans="1:13">
      <c r="A1255" t="s">
        <v>1619</v>
      </c>
      <c r="B1255" s="342">
        <v>1.4E-2</v>
      </c>
      <c r="C1255" s="342">
        <v>1.0999999999999999E-2</v>
      </c>
      <c r="D1255" s="342">
        <v>1.2E-2</v>
      </c>
      <c r="E1255" s="342">
        <v>4.0000000000000001E-3</v>
      </c>
      <c r="F1255" s="342">
        <v>0.01</v>
      </c>
      <c r="G1255" s="342">
        <v>6.0000000000000001E-3</v>
      </c>
      <c r="H1255" s="342">
        <v>2.7E-2</v>
      </c>
      <c r="I1255" s="342">
        <v>1.2E-2</v>
      </c>
      <c r="J1255" s="342">
        <v>1.4999999999999999E-2</v>
      </c>
      <c r="K1255" s="342">
        <v>1.7999999999999999E-2</v>
      </c>
      <c r="L1255" s="342">
        <v>1.2E-2</v>
      </c>
      <c r="M1255" s="342">
        <v>1.7000000000000001E-2</v>
      </c>
    </row>
    <row r="1256" spans="1:13">
      <c r="A1256" t="s">
        <v>1620</v>
      </c>
      <c r="B1256" s="342">
        <v>0.628</v>
      </c>
      <c r="C1256" s="342">
        <v>0.996</v>
      </c>
      <c r="D1256" s="342">
        <v>0.73</v>
      </c>
      <c r="E1256" s="342">
        <v>0.58299999999999996</v>
      </c>
      <c r="F1256" s="342">
        <v>1.1299999999999999</v>
      </c>
      <c r="G1256" s="342">
        <v>0.72499999999999998</v>
      </c>
      <c r="H1256" s="342">
        <v>0.60699999999999998</v>
      </c>
      <c r="I1256" s="342">
        <v>1.0880000000000001</v>
      </c>
      <c r="J1256" s="342">
        <v>0.70699999999999996</v>
      </c>
      <c r="K1256" s="342">
        <v>0.7</v>
      </c>
      <c r="L1256" s="342">
        <v>0.86</v>
      </c>
      <c r="M1256" s="342">
        <v>0.76400000000000001</v>
      </c>
    </row>
    <row r="1257" spans="1:13">
      <c r="A1257" t="s">
        <v>2808</v>
      </c>
      <c r="B1257" s="342">
        <v>0.36499999999999999</v>
      </c>
      <c r="C1257" s="342">
        <v>0.252</v>
      </c>
      <c r="D1257" s="342">
        <v>0.35599999999999998</v>
      </c>
      <c r="E1257" s="342">
        <v>0.35699999999999998</v>
      </c>
      <c r="F1257" s="342">
        <v>0.25800000000000001</v>
      </c>
      <c r="G1257" s="342">
        <v>0.36699999999999999</v>
      </c>
      <c r="H1257" s="342">
        <v>0.38200000000000001</v>
      </c>
      <c r="I1257" s="342">
        <v>0.23799999999999999</v>
      </c>
      <c r="J1257" s="342">
        <v>0.35799999999999998</v>
      </c>
      <c r="K1257" s="342">
        <v>0.36199999999999999</v>
      </c>
      <c r="L1257" s="342">
        <v>0.25700000000000001</v>
      </c>
      <c r="M1257" s="342">
        <v>0.34200000000000003</v>
      </c>
    </row>
    <row r="1258" spans="1:13">
      <c r="A1258" t="s">
        <v>2809</v>
      </c>
      <c r="B1258" s="342">
        <v>5.5E-2</v>
      </c>
      <c r="C1258" s="342">
        <v>4.1000000000000002E-2</v>
      </c>
      <c r="D1258" s="342">
        <v>3.9E-2</v>
      </c>
      <c r="E1258" s="342">
        <v>4.4999999999999998E-2</v>
      </c>
      <c r="F1258" s="342">
        <v>4.9000000000000002E-2</v>
      </c>
      <c r="G1258" s="342">
        <v>3.7999999999999999E-2</v>
      </c>
      <c r="H1258" s="342">
        <v>7.0000000000000007E-2</v>
      </c>
      <c r="I1258" s="342">
        <v>4.1000000000000002E-2</v>
      </c>
      <c r="J1258" s="342">
        <v>3.5999999999999997E-2</v>
      </c>
      <c r="K1258" s="342">
        <v>5.3999999999999999E-2</v>
      </c>
      <c r="L1258" s="342">
        <v>3.6999999999999998E-2</v>
      </c>
      <c r="M1258" s="342">
        <v>4.2999999999999997E-2</v>
      </c>
    </row>
    <row r="1259" spans="1:13">
      <c r="A1259" t="s">
        <v>2810</v>
      </c>
      <c r="B1259" s="342">
        <v>0.66800000000000004</v>
      </c>
      <c r="C1259" s="342">
        <v>0.29399999999999998</v>
      </c>
      <c r="D1259" s="342">
        <v>0.54200000000000004</v>
      </c>
      <c r="E1259" s="342">
        <v>0.69</v>
      </c>
      <c r="F1259" s="342">
        <v>0.27100000000000002</v>
      </c>
      <c r="G1259" s="342">
        <v>0.55900000000000005</v>
      </c>
      <c r="H1259" s="342">
        <v>0.74399999999999999</v>
      </c>
      <c r="I1259" s="342">
        <v>0.25700000000000001</v>
      </c>
      <c r="J1259" s="342">
        <v>0.55700000000000005</v>
      </c>
      <c r="K1259" s="342">
        <v>0.59499999999999997</v>
      </c>
      <c r="L1259" s="342">
        <v>0.34200000000000003</v>
      </c>
      <c r="M1259" s="342">
        <v>0.505</v>
      </c>
    </row>
    <row r="1260" spans="1:13">
      <c r="A1260" t="s">
        <v>9</v>
      </c>
      <c r="B1260">
        <v>5.53</v>
      </c>
      <c r="C1260">
        <v>4.5199999999999996</v>
      </c>
      <c r="D1260">
        <v>5.43</v>
      </c>
      <c r="E1260">
        <v>5.53</v>
      </c>
      <c r="F1260">
        <v>5.28</v>
      </c>
      <c r="G1260">
        <v>5.39</v>
      </c>
      <c r="H1260">
        <v>5</v>
      </c>
      <c r="I1260">
        <v>4.37</v>
      </c>
      <c r="J1260">
        <v>5.4</v>
      </c>
      <c r="K1260">
        <v>5.95</v>
      </c>
      <c r="L1260">
        <v>4.16</v>
      </c>
      <c r="M1260">
        <v>5.5</v>
      </c>
    </row>
    <row r="1261" spans="1:13">
      <c r="A1261" t="s">
        <v>8</v>
      </c>
      <c r="B1261">
        <v>6.66</v>
      </c>
      <c r="C1261">
        <v>9.2799999999999994</v>
      </c>
      <c r="D1261">
        <v>7.03</v>
      </c>
      <c r="E1261">
        <v>9.5299999999999994</v>
      </c>
      <c r="F1261">
        <v>9.89</v>
      </c>
      <c r="G1261">
        <v>7.84</v>
      </c>
      <c r="H1261">
        <v>4.79</v>
      </c>
      <c r="I1261">
        <v>8.75</v>
      </c>
      <c r="J1261">
        <v>6.41</v>
      </c>
      <c r="K1261">
        <v>6.35</v>
      </c>
      <c r="L1261">
        <v>9.27</v>
      </c>
      <c r="M1261">
        <v>6.95</v>
      </c>
    </row>
    <row r="1262" spans="1:13">
      <c r="A1262" t="s">
        <v>10</v>
      </c>
      <c r="B1262">
        <v>13.12</v>
      </c>
      <c r="C1262">
        <v>7.17</v>
      </c>
      <c r="D1262">
        <v>11.35</v>
      </c>
      <c r="E1262">
        <v>13.46</v>
      </c>
      <c r="F1262">
        <v>6.46</v>
      </c>
      <c r="G1262">
        <v>11.07</v>
      </c>
      <c r="H1262">
        <v>11.53</v>
      </c>
      <c r="I1262">
        <v>6.63</v>
      </c>
      <c r="J1262">
        <v>11.22</v>
      </c>
      <c r="K1262">
        <v>14.06</v>
      </c>
      <c r="L1262">
        <v>8.42</v>
      </c>
      <c r="M1262">
        <v>11.84</v>
      </c>
    </row>
    <row r="1263" spans="1:13">
      <c r="A1263" t="s">
        <v>1621</v>
      </c>
      <c r="B1263" s="342">
        <v>0.255</v>
      </c>
      <c r="C1263" s="342">
        <v>0.19</v>
      </c>
      <c r="D1263" s="342">
        <v>0.23799999999999999</v>
      </c>
      <c r="E1263" s="342">
        <v>0.21099999999999999</v>
      </c>
      <c r="F1263" s="342">
        <v>0.13600000000000001</v>
      </c>
      <c r="G1263" s="342">
        <v>0.223</v>
      </c>
      <c r="H1263" s="342">
        <v>0.32200000000000001</v>
      </c>
      <c r="I1263" s="342">
        <v>0.192</v>
      </c>
      <c r="J1263" s="342">
        <v>0.252</v>
      </c>
      <c r="K1263" s="342">
        <v>0.254</v>
      </c>
      <c r="L1263" s="342">
        <v>0.23</v>
      </c>
      <c r="M1263" s="342">
        <v>0.24099999999999999</v>
      </c>
    </row>
    <row r="1265" spans="1:13">
      <c r="A1265" t="s">
        <v>2889</v>
      </c>
    </row>
    <row r="1267" spans="1:13">
      <c r="A1267" t="s">
        <v>158</v>
      </c>
      <c r="B1267" t="s">
        <v>2806</v>
      </c>
      <c r="E1267">
        <v>2017</v>
      </c>
      <c r="H1267">
        <v>2018</v>
      </c>
      <c r="K1267">
        <v>2019</v>
      </c>
    </row>
    <row r="1268" spans="1:13">
      <c r="B1268" t="s">
        <v>1623</v>
      </c>
      <c r="C1268" t="s">
        <v>1624</v>
      </c>
      <c r="D1268" t="s">
        <v>1622</v>
      </c>
      <c r="E1268" t="s">
        <v>1623</v>
      </c>
      <c r="F1268" t="s">
        <v>1624</v>
      </c>
      <c r="G1268" t="s">
        <v>1622</v>
      </c>
      <c r="H1268" t="s">
        <v>1623</v>
      </c>
      <c r="I1268" t="s">
        <v>1624</v>
      </c>
      <c r="J1268" t="s">
        <v>1622</v>
      </c>
      <c r="K1268" t="s">
        <v>1623</v>
      </c>
      <c r="L1268" t="s">
        <v>1624</v>
      </c>
      <c r="M1268" t="s">
        <v>1622</v>
      </c>
    </row>
    <row r="1269" spans="1:13">
      <c r="A1269" t="s">
        <v>2807</v>
      </c>
      <c r="B1269" s="342">
        <v>0.376</v>
      </c>
      <c r="C1269" s="342">
        <v>0.56499999999999995</v>
      </c>
      <c r="D1269" s="342">
        <v>0.39100000000000001</v>
      </c>
      <c r="E1269" s="342">
        <v>0.34100000000000003</v>
      </c>
      <c r="F1269" s="342">
        <v>0.70099999999999996</v>
      </c>
      <c r="G1269" s="342">
        <v>0.58399999999999996</v>
      </c>
      <c r="H1269" s="342">
        <v>0.46400000000000002</v>
      </c>
      <c r="I1269" s="342">
        <v>0.503</v>
      </c>
      <c r="J1269" s="342">
        <v>0.53</v>
      </c>
      <c r="K1269" s="342">
        <v>0.32</v>
      </c>
      <c r="L1269" s="342">
        <v>0.52100000000000002</v>
      </c>
      <c r="M1269" s="342">
        <v>0.23599999999999999</v>
      </c>
    </row>
    <row r="1270" spans="1:13">
      <c r="A1270" t="s">
        <v>1618</v>
      </c>
      <c r="B1270" s="342">
        <v>0.40699999999999997</v>
      </c>
      <c r="C1270" s="342">
        <v>0.28899999999999998</v>
      </c>
      <c r="D1270" s="342">
        <v>0.255</v>
      </c>
      <c r="E1270" s="342">
        <v>0.45300000000000001</v>
      </c>
      <c r="F1270" s="342">
        <v>0.27800000000000002</v>
      </c>
      <c r="G1270" s="342">
        <v>0.32800000000000001</v>
      </c>
      <c r="H1270" s="342">
        <v>0.31900000000000001</v>
      </c>
      <c r="I1270" s="342">
        <v>0.30299999999999999</v>
      </c>
      <c r="J1270" s="342">
        <v>0.29799999999999999</v>
      </c>
      <c r="K1270" s="342">
        <v>0.44900000000000001</v>
      </c>
      <c r="L1270" s="342">
        <v>0.28399999999999997</v>
      </c>
      <c r="M1270" s="342">
        <v>0.20200000000000001</v>
      </c>
    </row>
    <row r="1271" spans="1:13">
      <c r="A1271" t="s">
        <v>1619</v>
      </c>
      <c r="B1271" s="342">
        <v>1.2E-2</v>
      </c>
      <c r="C1271" s="342">
        <v>8.0000000000000002E-3</v>
      </c>
      <c r="D1271" s="342">
        <v>6.0000000000000001E-3</v>
      </c>
      <c r="E1271" s="342">
        <v>0.01</v>
      </c>
      <c r="F1271" s="342">
        <v>5.0000000000000001E-3</v>
      </c>
      <c r="G1271" s="342">
        <v>7.0000000000000001E-3</v>
      </c>
      <c r="H1271" s="342">
        <v>1.2999999999999999E-2</v>
      </c>
      <c r="I1271" s="342">
        <v>0.01</v>
      </c>
      <c r="J1271" s="342">
        <v>0.01</v>
      </c>
      <c r="K1271" s="342">
        <v>1.2E-2</v>
      </c>
      <c r="L1271" s="342">
        <v>8.0000000000000002E-3</v>
      </c>
      <c r="M1271" s="342">
        <v>4.0000000000000001E-3</v>
      </c>
    </row>
    <row r="1272" spans="1:13">
      <c r="A1272" t="s">
        <v>1620</v>
      </c>
      <c r="B1272" s="342">
        <v>1.0169999999999999</v>
      </c>
      <c r="C1272" s="342">
        <v>0.32800000000000001</v>
      </c>
      <c r="D1272" s="342">
        <v>0.20399999999999999</v>
      </c>
      <c r="E1272" s="342">
        <v>1.101</v>
      </c>
      <c r="F1272" s="342">
        <v>1.1719999999999999</v>
      </c>
      <c r="G1272" s="342">
        <v>1.208</v>
      </c>
      <c r="H1272" s="342">
        <v>0.995</v>
      </c>
      <c r="I1272" s="342">
        <v>0.28799999999999998</v>
      </c>
      <c r="J1272" s="342">
        <v>0.499</v>
      </c>
      <c r="K1272" s="342">
        <v>0.94099999999999995</v>
      </c>
      <c r="L1272" s="342">
        <v>0.23799999999999999</v>
      </c>
      <c r="M1272" s="342">
        <v>0.123</v>
      </c>
    </row>
    <row r="1273" spans="1:13">
      <c r="A1273" t="s">
        <v>2808</v>
      </c>
      <c r="B1273" s="342">
        <v>0.159</v>
      </c>
      <c r="C1273" s="342">
        <v>4.7E-2</v>
      </c>
      <c r="D1273" s="342">
        <v>3.3000000000000002E-2</v>
      </c>
      <c r="E1273" s="342">
        <v>0.152</v>
      </c>
      <c r="F1273" s="342">
        <v>5.2999999999999999E-2</v>
      </c>
      <c r="G1273" s="342">
        <v>8.5999999999999993E-2</v>
      </c>
      <c r="H1273" s="342">
        <v>0.154</v>
      </c>
      <c r="I1273" s="342">
        <v>3.5999999999999997E-2</v>
      </c>
      <c r="J1273" s="342">
        <v>5.7000000000000002E-2</v>
      </c>
      <c r="K1273" s="342">
        <v>0.17399999999999999</v>
      </c>
      <c r="L1273" s="342">
        <v>5.2999999999999999E-2</v>
      </c>
      <c r="M1273" s="342">
        <v>2.8000000000000001E-2</v>
      </c>
    </row>
    <row r="1274" spans="1:13">
      <c r="A1274" t="s">
        <v>2809</v>
      </c>
      <c r="B1274" s="342">
        <v>0</v>
      </c>
      <c r="C1274" s="342">
        <v>2E-3</v>
      </c>
      <c r="D1274" s="342">
        <v>3.0000000000000001E-3</v>
      </c>
      <c r="E1274" s="342">
        <v>0</v>
      </c>
      <c r="F1274" s="342">
        <v>2E-3</v>
      </c>
      <c r="G1274" s="342">
        <v>5.0000000000000001E-3</v>
      </c>
      <c r="H1274" s="342">
        <v>1E-3</v>
      </c>
      <c r="I1274" s="342">
        <v>2E-3</v>
      </c>
      <c r="J1274" s="342">
        <v>1.2E-2</v>
      </c>
      <c r="K1274" s="342">
        <v>0</v>
      </c>
      <c r="L1274" s="342">
        <v>2E-3</v>
      </c>
      <c r="M1274" s="342">
        <v>2E-3</v>
      </c>
    </row>
    <row r="1275" spans="1:13">
      <c r="A1275" t="s">
        <v>2810</v>
      </c>
      <c r="B1275" s="342">
        <v>0.157</v>
      </c>
      <c r="C1275" s="342">
        <v>0.14799999999999999</v>
      </c>
      <c r="D1275" s="342">
        <v>0.17699999999999999</v>
      </c>
      <c r="E1275" s="342">
        <v>0.13800000000000001</v>
      </c>
      <c r="F1275" s="342">
        <v>4.7E-2</v>
      </c>
      <c r="G1275" s="342">
        <v>7.4999999999999997E-2</v>
      </c>
      <c r="H1275" s="342">
        <v>0.156</v>
      </c>
      <c r="I1275" s="342">
        <v>0.13300000000000001</v>
      </c>
      <c r="J1275" s="342">
        <v>0.13900000000000001</v>
      </c>
      <c r="K1275" s="342">
        <v>0.185</v>
      </c>
      <c r="L1275" s="342">
        <v>0.23</v>
      </c>
      <c r="M1275" s="342">
        <v>0.24199999999999999</v>
      </c>
    </row>
    <row r="1276" spans="1:13">
      <c r="A1276" t="s">
        <v>9</v>
      </c>
      <c r="B1276">
        <v>43.22</v>
      </c>
      <c r="C1276">
        <v>73.36</v>
      </c>
      <c r="D1276">
        <v>54.63</v>
      </c>
      <c r="E1276">
        <v>62.2</v>
      </c>
      <c r="F1276">
        <v>59.45</v>
      </c>
      <c r="G1276">
        <v>47.73</v>
      </c>
      <c r="H1276">
        <v>41.5</v>
      </c>
      <c r="I1276">
        <v>85.9</v>
      </c>
      <c r="J1276">
        <v>39.700000000000003</v>
      </c>
      <c r="K1276">
        <v>31.47</v>
      </c>
      <c r="L1276">
        <v>76.59</v>
      </c>
      <c r="M1276">
        <v>72.34</v>
      </c>
    </row>
    <row r="1277" spans="1:13">
      <c r="A1277" t="s">
        <v>8</v>
      </c>
      <c r="B1277">
        <v>140.1</v>
      </c>
      <c r="C1277">
        <v>29.72</v>
      </c>
      <c r="D1277">
        <v>43.05</v>
      </c>
      <c r="E1277">
        <v>343.47</v>
      </c>
      <c r="F1277">
        <v>23.83</v>
      </c>
      <c r="G1277">
        <v>35.07</v>
      </c>
      <c r="H1277">
        <v>138.30000000000001</v>
      </c>
      <c r="I1277">
        <v>28.93</v>
      </c>
      <c r="J1277">
        <v>31.92</v>
      </c>
      <c r="K1277">
        <v>77.64</v>
      </c>
      <c r="L1277">
        <v>36.659999999999997</v>
      </c>
      <c r="M1277">
        <v>58.99</v>
      </c>
    </row>
    <row r="1278" spans="1:13">
      <c r="A1278" t="s">
        <v>10</v>
      </c>
      <c r="B1278">
        <v>283.93</v>
      </c>
      <c r="C1278">
        <v>158.16</v>
      </c>
      <c r="D1278">
        <v>164.57</v>
      </c>
      <c r="E1278">
        <v>217.32</v>
      </c>
      <c r="F1278">
        <v>136.61000000000001</v>
      </c>
      <c r="G1278">
        <v>148.78</v>
      </c>
      <c r="H1278">
        <v>470.9</v>
      </c>
      <c r="I1278">
        <v>201.26</v>
      </c>
      <c r="J1278">
        <v>119.32</v>
      </c>
      <c r="K1278">
        <v>271.33</v>
      </c>
      <c r="L1278">
        <v>148.66999999999999</v>
      </c>
      <c r="M1278">
        <v>213.34</v>
      </c>
    </row>
    <row r="1279" spans="1:13">
      <c r="A1279" t="s">
        <v>1621</v>
      </c>
      <c r="B1279" s="342">
        <v>2.7E-2</v>
      </c>
      <c r="C1279" s="342">
        <v>4.1000000000000002E-2</v>
      </c>
      <c r="D1279" s="342">
        <v>3.5000000000000003E-2</v>
      </c>
      <c r="E1279" s="342">
        <v>1.4E-2</v>
      </c>
      <c r="F1279" s="342">
        <v>5.0999999999999997E-2</v>
      </c>
      <c r="G1279" s="342">
        <v>4.2999999999999997E-2</v>
      </c>
      <c r="H1279" s="342">
        <v>2.9000000000000001E-2</v>
      </c>
      <c r="I1279" s="342">
        <v>4.1000000000000002E-2</v>
      </c>
      <c r="J1279" s="342">
        <v>4.8000000000000001E-2</v>
      </c>
      <c r="K1279" s="342">
        <v>4.1000000000000002E-2</v>
      </c>
      <c r="L1279" s="342">
        <v>3.4000000000000002E-2</v>
      </c>
      <c r="M1279" s="342">
        <v>2.5999999999999999E-2</v>
      </c>
    </row>
    <row r="1281" spans="1:13">
      <c r="A1281" t="s">
        <v>2890</v>
      </c>
    </row>
    <row r="1283" spans="1:13">
      <c r="A1283" t="s">
        <v>158</v>
      </c>
      <c r="B1283" t="s">
        <v>2806</v>
      </c>
      <c r="E1283">
        <v>2017</v>
      </c>
      <c r="H1283">
        <v>2018</v>
      </c>
      <c r="K1283">
        <v>2019</v>
      </c>
    </row>
    <row r="1284" spans="1:13">
      <c r="B1284" t="s">
        <v>1623</v>
      </c>
      <c r="C1284" t="s">
        <v>1624</v>
      </c>
      <c r="D1284" t="s">
        <v>1622</v>
      </c>
      <c r="E1284" t="s">
        <v>1623</v>
      </c>
      <c r="F1284" t="s">
        <v>1624</v>
      </c>
      <c r="G1284" t="s">
        <v>1622</v>
      </c>
      <c r="H1284" t="s">
        <v>1623</v>
      </c>
      <c r="I1284" t="s">
        <v>1624</v>
      </c>
      <c r="J1284" t="s">
        <v>1622</v>
      </c>
      <c r="K1284" t="s">
        <v>1623</v>
      </c>
      <c r="L1284" t="s">
        <v>1624</v>
      </c>
      <c r="M1284" t="s">
        <v>1622</v>
      </c>
    </row>
    <row r="1285" spans="1:13">
      <c r="A1285" t="s">
        <v>2807</v>
      </c>
      <c r="B1285" s="342">
        <v>0.307</v>
      </c>
      <c r="C1285" s="342">
        <v>0.66400000000000003</v>
      </c>
      <c r="D1285" s="342">
        <v>0.54700000000000004</v>
      </c>
      <c r="E1285" s="342">
        <v>0.20799999999999999</v>
      </c>
      <c r="F1285" s="342">
        <v>0.64200000000000002</v>
      </c>
      <c r="G1285" s="342">
        <v>0.55500000000000005</v>
      </c>
      <c r="H1285" s="342">
        <v>0.35299999999999998</v>
      </c>
      <c r="I1285" s="342">
        <v>0.66100000000000003</v>
      </c>
      <c r="J1285" s="342">
        <v>0.54</v>
      </c>
      <c r="K1285" s="342">
        <v>0.32500000000000001</v>
      </c>
      <c r="L1285" s="342">
        <v>0.68899999999999995</v>
      </c>
      <c r="M1285" s="342">
        <v>0.54700000000000004</v>
      </c>
    </row>
    <row r="1286" spans="1:13">
      <c r="A1286" t="s">
        <v>1618</v>
      </c>
      <c r="B1286" s="342">
        <v>0.45800000000000002</v>
      </c>
      <c r="C1286" s="342">
        <v>0.32</v>
      </c>
      <c r="D1286" s="342">
        <v>0.35399999999999998</v>
      </c>
      <c r="E1286" s="342">
        <v>0.53100000000000003</v>
      </c>
      <c r="F1286" s="342">
        <v>0.34300000000000003</v>
      </c>
      <c r="G1286" s="342">
        <v>0.34899999999999998</v>
      </c>
      <c r="H1286" s="342">
        <v>0.41399999999999998</v>
      </c>
      <c r="I1286" s="342">
        <v>0.32400000000000001</v>
      </c>
      <c r="J1286" s="342">
        <v>0.35899999999999999</v>
      </c>
      <c r="K1286" s="342">
        <v>0.45200000000000001</v>
      </c>
      <c r="L1286" s="342">
        <v>0.29499999999999998</v>
      </c>
      <c r="M1286" s="342">
        <v>0.35299999999999998</v>
      </c>
    </row>
    <row r="1287" spans="1:13">
      <c r="A1287" t="s">
        <v>1619</v>
      </c>
      <c r="B1287" s="342">
        <v>3.1E-2</v>
      </c>
      <c r="C1287" s="342">
        <v>1.0999999999999999E-2</v>
      </c>
      <c r="D1287" s="342">
        <v>2.1999999999999999E-2</v>
      </c>
      <c r="E1287" s="342">
        <v>2.5999999999999999E-2</v>
      </c>
      <c r="F1287" s="342">
        <v>8.9999999999999993E-3</v>
      </c>
      <c r="G1287" s="342">
        <v>1.6E-2</v>
      </c>
      <c r="H1287" s="342">
        <v>2.8000000000000001E-2</v>
      </c>
      <c r="I1287" s="342">
        <v>1.0999999999999999E-2</v>
      </c>
      <c r="J1287" s="342">
        <v>2.1999999999999999E-2</v>
      </c>
      <c r="K1287" s="342">
        <v>3.5999999999999997E-2</v>
      </c>
      <c r="L1287" s="342">
        <v>1.2999999999999999E-2</v>
      </c>
      <c r="M1287" s="342">
        <v>2.7E-2</v>
      </c>
    </row>
    <row r="1288" spans="1:13">
      <c r="A1288" t="s">
        <v>1620</v>
      </c>
      <c r="B1288" s="342">
        <v>0.59799999999999998</v>
      </c>
      <c r="C1288" s="342">
        <v>1.64</v>
      </c>
      <c r="D1288" s="342">
        <v>0.91</v>
      </c>
      <c r="E1288" s="342">
        <v>0.61199999999999999</v>
      </c>
      <c r="F1288" s="342">
        <v>1.6339999999999999</v>
      </c>
      <c r="G1288" s="342">
        <v>0.92900000000000005</v>
      </c>
      <c r="H1288" s="342">
        <v>0.67800000000000005</v>
      </c>
      <c r="I1288" s="342">
        <v>1.615</v>
      </c>
      <c r="J1288" s="342">
        <v>0.92600000000000005</v>
      </c>
      <c r="K1288" s="342">
        <v>0.53300000000000003</v>
      </c>
      <c r="L1288" s="342">
        <v>1.6739999999999999</v>
      </c>
      <c r="M1288" s="342">
        <v>0.88100000000000001</v>
      </c>
    </row>
    <row r="1289" spans="1:13">
      <c r="A1289" t="s">
        <v>2808</v>
      </c>
      <c r="B1289" s="342">
        <v>0.14000000000000001</v>
      </c>
      <c r="C1289" s="342">
        <v>0.128</v>
      </c>
      <c r="D1289" s="342">
        <v>0.14699999999999999</v>
      </c>
      <c r="E1289" s="342">
        <v>0.14899999999999999</v>
      </c>
      <c r="F1289" s="342">
        <v>0.11</v>
      </c>
      <c r="G1289" s="342">
        <v>0.14099999999999999</v>
      </c>
      <c r="H1289" s="342">
        <v>0.13500000000000001</v>
      </c>
      <c r="I1289" s="342">
        <v>0.14499999999999999</v>
      </c>
      <c r="J1289" s="342">
        <v>0.14199999999999999</v>
      </c>
      <c r="K1289" s="342">
        <v>0.13900000000000001</v>
      </c>
      <c r="L1289" s="342">
        <v>0.124</v>
      </c>
      <c r="M1289" s="342">
        <v>0.158</v>
      </c>
    </row>
    <row r="1290" spans="1:13">
      <c r="A1290" t="s">
        <v>2809</v>
      </c>
      <c r="B1290" s="342">
        <v>7.6999999999999999E-2</v>
      </c>
      <c r="C1290" s="342">
        <v>6.4000000000000001E-2</v>
      </c>
      <c r="D1290" s="342">
        <v>9.1999999999999998E-2</v>
      </c>
      <c r="E1290" s="342">
        <v>4.2999999999999997E-2</v>
      </c>
      <c r="F1290" s="342">
        <v>7.2999999999999995E-2</v>
      </c>
      <c r="G1290" s="342">
        <v>0.09</v>
      </c>
      <c r="H1290" s="342">
        <v>5.8000000000000003E-2</v>
      </c>
      <c r="I1290" s="342">
        <v>5.8999999999999997E-2</v>
      </c>
      <c r="J1290" s="342">
        <v>0.104</v>
      </c>
      <c r="K1290" s="342">
        <v>0.109</v>
      </c>
      <c r="L1290" s="342">
        <v>6.2E-2</v>
      </c>
      <c r="M1290" s="342">
        <v>8.3000000000000004E-2</v>
      </c>
    </row>
    <row r="1291" spans="1:13">
      <c r="A1291" t="s">
        <v>2810</v>
      </c>
      <c r="B1291" s="342">
        <v>0.36299999999999999</v>
      </c>
      <c r="C1291" s="342">
        <v>0.11700000000000001</v>
      </c>
      <c r="D1291" s="342">
        <v>0.26300000000000001</v>
      </c>
      <c r="E1291" s="342">
        <v>0.315</v>
      </c>
      <c r="F1291" s="342">
        <v>0.112</v>
      </c>
      <c r="G1291" s="342">
        <v>0.249</v>
      </c>
      <c r="H1291" s="342">
        <v>0.28399999999999997</v>
      </c>
      <c r="I1291" s="342">
        <v>0.126</v>
      </c>
      <c r="J1291" s="342">
        <v>0.26600000000000001</v>
      </c>
      <c r="K1291" s="342">
        <v>0.46500000000000002</v>
      </c>
      <c r="L1291" s="342">
        <v>0.111</v>
      </c>
      <c r="M1291" s="342">
        <v>0.27400000000000002</v>
      </c>
    </row>
    <row r="1292" spans="1:13">
      <c r="A1292" t="s">
        <v>9</v>
      </c>
      <c r="B1292">
        <v>7.05</v>
      </c>
      <c r="C1292">
        <v>6.67</v>
      </c>
      <c r="D1292">
        <v>6.23</v>
      </c>
      <c r="E1292">
        <v>6.96</v>
      </c>
      <c r="F1292">
        <v>6.33</v>
      </c>
      <c r="G1292">
        <v>6</v>
      </c>
      <c r="H1292">
        <v>6.82</v>
      </c>
      <c r="I1292">
        <v>7.2</v>
      </c>
      <c r="J1292">
        <v>6.34</v>
      </c>
      <c r="K1292">
        <v>7.33</v>
      </c>
      <c r="L1292">
        <v>6.45</v>
      </c>
      <c r="M1292">
        <v>6.33</v>
      </c>
    </row>
    <row r="1293" spans="1:13">
      <c r="A1293" t="s">
        <v>8</v>
      </c>
      <c r="B1293">
        <v>96.63</v>
      </c>
      <c r="C1293">
        <v>28.97</v>
      </c>
      <c r="D1293">
        <v>43.06</v>
      </c>
      <c r="E1293">
        <v>86.55</v>
      </c>
      <c r="F1293">
        <v>27.1</v>
      </c>
      <c r="G1293">
        <v>42.75</v>
      </c>
      <c r="H1293">
        <v>116.97</v>
      </c>
      <c r="I1293">
        <v>32.25</v>
      </c>
      <c r="J1293">
        <v>42.82</v>
      </c>
      <c r="K1293">
        <v>88.77</v>
      </c>
      <c r="L1293">
        <v>27.58</v>
      </c>
      <c r="M1293">
        <v>43.55</v>
      </c>
    </row>
    <row r="1294" spans="1:13">
      <c r="A1294" t="s">
        <v>10</v>
      </c>
      <c r="B1294">
        <v>40.770000000000003</v>
      </c>
      <c r="C1294">
        <v>10.97</v>
      </c>
      <c r="D1294">
        <v>14.9</v>
      </c>
      <c r="E1294">
        <v>36.340000000000003</v>
      </c>
      <c r="F1294">
        <v>11.19</v>
      </c>
      <c r="G1294">
        <v>14.01</v>
      </c>
      <c r="H1294">
        <v>37.840000000000003</v>
      </c>
      <c r="I1294">
        <v>11.02</v>
      </c>
      <c r="J1294">
        <v>14.66</v>
      </c>
      <c r="K1294">
        <v>47.83</v>
      </c>
      <c r="L1294">
        <v>10.72</v>
      </c>
      <c r="M1294">
        <v>16.03</v>
      </c>
    </row>
    <row r="1295" spans="1:13">
      <c r="A1295" t="s">
        <v>1621</v>
      </c>
      <c r="B1295" s="342">
        <v>0.128</v>
      </c>
      <c r="C1295" s="342">
        <v>9.2999999999999999E-2</v>
      </c>
      <c r="D1295" s="342">
        <v>0.11700000000000001</v>
      </c>
      <c r="E1295" s="342">
        <v>0.128</v>
      </c>
      <c r="F1295" s="342">
        <v>0.105</v>
      </c>
      <c r="G1295" s="342">
        <v>0.11899999999999999</v>
      </c>
      <c r="H1295" s="342">
        <v>0.129</v>
      </c>
      <c r="I1295" s="342">
        <v>7.9000000000000001E-2</v>
      </c>
      <c r="J1295" s="342">
        <v>0.113</v>
      </c>
      <c r="K1295" s="342">
        <v>0.127</v>
      </c>
      <c r="L1295" s="342">
        <v>9.8000000000000004E-2</v>
      </c>
      <c r="M1295" s="342">
        <v>0.11799999999999999</v>
      </c>
    </row>
    <row r="1297" spans="1:13">
      <c r="A1297" t="s">
        <v>2891</v>
      </c>
    </row>
    <row r="1299" spans="1:13">
      <c r="A1299" t="s">
        <v>158</v>
      </c>
      <c r="B1299" t="s">
        <v>2806</v>
      </c>
      <c r="E1299">
        <v>2017</v>
      </c>
      <c r="H1299">
        <v>2018</v>
      </c>
      <c r="K1299">
        <v>2019</v>
      </c>
    </row>
    <row r="1300" spans="1:13">
      <c r="B1300" t="s">
        <v>1623</v>
      </c>
      <c r="C1300" t="s">
        <v>1624</v>
      </c>
      <c r="D1300" t="s">
        <v>1622</v>
      </c>
      <c r="E1300" t="s">
        <v>1623</v>
      </c>
      <c r="F1300" t="s">
        <v>1624</v>
      </c>
      <c r="G1300" t="s">
        <v>1622</v>
      </c>
      <c r="H1300" t="s">
        <v>1623</v>
      </c>
      <c r="I1300" t="s">
        <v>1624</v>
      </c>
      <c r="J1300" t="s">
        <v>1622</v>
      </c>
      <c r="K1300" t="s">
        <v>1623</v>
      </c>
      <c r="L1300" t="s">
        <v>1624</v>
      </c>
      <c r="M1300" t="s">
        <v>1622</v>
      </c>
    </row>
    <row r="1301" spans="1:13">
      <c r="A1301" t="s">
        <v>2807</v>
      </c>
      <c r="B1301" s="342">
        <v>0.376</v>
      </c>
      <c r="C1301" s="342">
        <v>0.56499999999999995</v>
      </c>
      <c r="D1301" s="342">
        <v>0.39100000000000001</v>
      </c>
      <c r="E1301" s="342">
        <v>0.34100000000000003</v>
      </c>
      <c r="F1301" s="342">
        <v>0.70099999999999996</v>
      </c>
      <c r="G1301" s="342">
        <v>0.58399999999999996</v>
      </c>
      <c r="H1301" s="342">
        <v>0.46400000000000002</v>
      </c>
      <c r="I1301" s="342">
        <v>0.503</v>
      </c>
      <c r="J1301" s="342">
        <v>0.53</v>
      </c>
      <c r="K1301" s="342">
        <v>0.32</v>
      </c>
      <c r="L1301" s="342">
        <v>0.52100000000000002</v>
      </c>
      <c r="M1301" s="342">
        <v>0.23599999999999999</v>
      </c>
    </row>
    <row r="1302" spans="1:13">
      <c r="A1302" t="s">
        <v>1618</v>
      </c>
      <c r="B1302" s="342">
        <v>0.40699999999999997</v>
      </c>
      <c r="C1302" s="342">
        <v>0.28899999999999998</v>
      </c>
      <c r="D1302" s="342">
        <v>0.255</v>
      </c>
      <c r="E1302" s="342">
        <v>0.45300000000000001</v>
      </c>
      <c r="F1302" s="342">
        <v>0.27800000000000002</v>
      </c>
      <c r="G1302" s="342">
        <v>0.32800000000000001</v>
      </c>
      <c r="H1302" s="342">
        <v>0.31900000000000001</v>
      </c>
      <c r="I1302" s="342">
        <v>0.30299999999999999</v>
      </c>
      <c r="J1302" s="342">
        <v>0.29799999999999999</v>
      </c>
      <c r="K1302" s="342">
        <v>0.44900000000000001</v>
      </c>
      <c r="L1302" s="342">
        <v>0.28399999999999997</v>
      </c>
      <c r="M1302" s="342">
        <v>0.20200000000000001</v>
      </c>
    </row>
    <row r="1303" spans="1:13">
      <c r="A1303" t="s">
        <v>1619</v>
      </c>
      <c r="B1303" s="342">
        <v>1.2E-2</v>
      </c>
      <c r="C1303" s="342">
        <v>8.0000000000000002E-3</v>
      </c>
      <c r="D1303" s="342">
        <v>6.0000000000000001E-3</v>
      </c>
      <c r="E1303" s="342">
        <v>0.01</v>
      </c>
      <c r="F1303" s="342">
        <v>5.0000000000000001E-3</v>
      </c>
      <c r="G1303" s="342">
        <v>7.0000000000000001E-3</v>
      </c>
      <c r="H1303" s="342">
        <v>1.2999999999999999E-2</v>
      </c>
      <c r="I1303" s="342">
        <v>0.01</v>
      </c>
      <c r="J1303" s="342">
        <v>0.01</v>
      </c>
      <c r="K1303" s="342">
        <v>1.2E-2</v>
      </c>
      <c r="L1303" s="342">
        <v>8.0000000000000002E-3</v>
      </c>
      <c r="M1303" s="342">
        <v>4.0000000000000001E-3</v>
      </c>
    </row>
    <row r="1304" spans="1:13">
      <c r="A1304" t="s">
        <v>1620</v>
      </c>
      <c r="B1304" s="342">
        <v>1.0169999999999999</v>
      </c>
      <c r="C1304" s="342">
        <v>0.32800000000000001</v>
      </c>
      <c r="D1304" s="342">
        <v>0.20399999999999999</v>
      </c>
      <c r="E1304" s="342">
        <v>1.101</v>
      </c>
      <c r="F1304" s="342">
        <v>1.1719999999999999</v>
      </c>
      <c r="G1304" s="342">
        <v>1.208</v>
      </c>
      <c r="H1304" s="342">
        <v>0.995</v>
      </c>
      <c r="I1304" s="342">
        <v>0.28799999999999998</v>
      </c>
      <c r="J1304" s="342">
        <v>0.499</v>
      </c>
      <c r="K1304" s="342">
        <v>0.94099999999999995</v>
      </c>
      <c r="L1304" s="342">
        <v>0.23799999999999999</v>
      </c>
      <c r="M1304" s="342">
        <v>0.123</v>
      </c>
    </row>
    <row r="1305" spans="1:13">
      <c r="A1305" t="s">
        <v>2808</v>
      </c>
      <c r="B1305" s="342">
        <v>0.159</v>
      </c>
      <c r="C1305" s="342">
        <v>4.7E-2</v>
      </c>
      <c r="D1305" s="342">
        <v>3.3000000000000002E-2</v>
      </c>
      <c r="E1305" s="342">
        <v>0.152</v>
      </c>
      <c r="F1305" s="342">
        <v>5.2999999999999999E-2</v>
      </c>
      <c r="G1305" s="342">
        <v>8.5999999999999993E-2</v>
      </c>
      <c r="H1305" s="342">
        <v>0.154</v>
      </c>
      <c r="I1305" s="342">
        <v>3.5999999999999997E-2</v>
      </c>
      <c r="J1305" s="342">
        <v>5.7000000000000002E-2</v>
      </c>
      <c r="K1305" s="342">
        <v>0.17399999999999999</v>
      </c>
      <c r="L1305" s="342">
        <v>5.2999999999999999E-2</v>
      </c>
      <c r="M1305" s="342">
        <v>2.8000000000000001E-2</v>
      </c>
    </row>
    <row r="1306" spans="1:13">
      <c r="A1306" t="s">
        <v>2809</v>
      </c>
      <c r="B1306" s="342">
        <v>0</v>
      </c>
      <c r="C1306" s="342">
        <v>2E-3</v>
      </c>
      <c r="D1306" s="342">
        <v>3.0000000000000001E-3</v>
      </c>
      <c r="E1306" s="342">
        <v>0</v>
      </c>
      <c r="F1306" s="342">
        <v>2E-3</v>
      </c>
      <c r="G1306" s="342">
        <v>5.0000000000000001E-3</v>
      </c>
      <c r="H1306" s="342">
        <v>1E-3</v>
      </c>
      <c r="I1306" s="342">
        <v>2E-3</v>
      </c>
      <c r="J1306" s="342">
        <v>1.2E-2</v>
      </c>
      <c r="K1306" s="342">
        <v>0</v>
      </c>
      <c r="L1306" s="342">
        <v>2E-3</v>
      </c>
      <c r="M1306" s="342">
        <v>2E-3</v>
      </c>
    </row>
    <row r="1307" spans="1:13">
      <c r="A1307" t="s">
        <v>2810</v>
      </c>
      <c r="B1307" s="342">
        <v>0.157</v>
      </c>
      <c r="C1307" s="342">
        <v>0.14799999999999999</v>
      </c>
      <c r="D1307" s="342">
        <v>0.17699999999999999</v>
      </c>
      <c r="E1307" s="342">
        <v>0.13800000000000001</v>
      </c>
      <c r="F1307" s="342">
        <v>4.7E-2</v>
      </c>
      <c r="G1307" s="342">
        <v>7.4999999999999997E-2</v>
      </c>
      <c r="H1307" s="342">
        <v>0.156</v>
      </c>
      <c r="I1307" s="342">
        <v>0.13300000000000001</v>
      </c>
      <c r="J1307" s="342">
        <v>0.13900000000000001</v>
      </c>
      <c r="K1307" s="342">
        <v>0.185</v>
      </c>
      <c r="L1307" s="342">
        <v>0.23</v>
      </c>
      <c r="M1307" s="342">
        <v>0.24199999999999999</v>
      </c>
    </row>
    <row r="1308" spans="1:13">
      <c r="A1308" t="s">
        <v>9</v>
      </c>
      <c r="B1308">
        <v>43.22</v>
      </c>
      <c r="C1308">
        <v>73.36</v>
      </c>
      <c r="D1308">
        <v>54.63</v>
      </c>
      <c r="E1308">
        <v>62.2</v>
      </c>
      <c r="F1308">
        <v>59.45</v>
      </c>
      <c r="G1308">
        <v>47.73</v>
      </c>
      <c r="H1308">
        <v>41.5</v>
      </c>
      <c r="I1308">
        <v>85.9</v>
      </c>
      <c r="J1308">
        <v>39.700000000000003</v>
      </c>
      <c r="K1308">
        <v>31.47</v>
      </c>
      <c r="L1308">
        <v>76.59</v>
      </c>
      <c r="M1308">
        <v>72.34</v>
      </c>
    </row>
    <row r="1309" spans="1:13">
      <c r="A1309" t="s">
        <v>8</v>
      </c>
      <c r="B1309">
        <v>140.1</v>
      </c>
      <c r="C1309">
        <v>29.72</v>
      </c>
      <c r="D1309">
        <v>43.05</v>
      </c>
      <c r="E1309">
        <v>343.47</v>
      </c>
      <c r="F1309">
        <v>23.83</v>
      </c>
      <c r="G1309">
        <v>35.07</v>
      </c>
      <c r="H1309">
        <v>138.30000000000001</v>
      </c>
      <c r="I1309">
        <v>28.93</v>
      </c>
      <c r="J1309">
        <v>31.92</v>
      </c>
      <c r="K1309">
        <v>77.64</v>
      </c>
      <c r="L1309">
        <v>36.659999999999997</v>
      </c>
      <c r="M1309">
        <v>58.99</v>
      </c>
    </row>
    <row r="1310" spans="1:13">
      <c r="A1310" t="s">
        <v>10</v>
      </c>
      <c r="B1310">
        <v>283.93</v>
      </c>
      <c r="C1310">
        <v>158.16</v>
      </c>
      <c r="D1310">
        <v>164.57</v>
      </c>
      <c r="E1310">
        <v>217.32</v>
      </c>
      <c r="F1310">
        <v>136.61000000000001</v>
      </c>
      <c r="G1310">
        <v>148.78</v>
      </c>
      <c r="H1310">
        <v>470.9</v>
      </c>
      <c r="I1310">
        <v>201.26</v>
      </c>
      <c r="J1310">
        <v>119.32</v>
      </c>
      <c r="K1310">
        <v>271.33</v>
      </c>
      <c r="L1310">
        <v>148.66999999999999</v>
      </c>
      <c r="M1310">
        <v>213.34</v>
      </c>
    </row>
    <row r="1311" spans="1:13">
      <c r="A1311" t="s">
        <v>1621</v>
      </c>
      <c r="B1311" s="342">
        <v>2.7E-2</v>
      </c>
      <c r="C1311" s="342">
        <v>4.1000000000000002E-2</v>
      </c>
      <c r="D1311" s="342">
        <v>3.5000000000000003E-2</v>
      </c>
      <c r="E1311" s="342">
        <v>1.4E-2</v>
      </c>
      <c r="F1311" s="342">
        <v>5.0999999999999997E-2</v>
      </c>
      <c r="G1311" s="342">
        <v>4.2999999999999997E-2</v>
      </c>
      <c r="H1311" s="342">
        <v>2.9000000000000001E-2</v>
      </c>
      <c r="I1311" s="342">
        <v>4.1000000000000002E-2</v>
      </c>
      <c r="J1311" s="342">
        <v>4.8000000000000001E-2</v>
      </c>
      <c r="K1311" s="342">
        <v>4.1000000000000002E-2</v>
      </c>
      <c r="L1311" s="342">
        <v>3.4000000000000002E-2</v>
      </c>
      <c r="M1311" s="342">
        <v>2.5999999999999999E-2</v>
      </c>
    </row>
    <row r="1313" spans="1:13">
      <c r="A1313" t="s">
        <v>2892</v>
      </c>
    </row>
    <row r="1315" spans="1:13">
      <c r="A1315" t="s">
        <v>158</v>
      </c>
      <c r="B1315" t="s">
        <v>2806</v>
      </c>
      <c r="E1315">
        <v>2017</v>
      </c>
      <c r="H1315">
        <v>2018</v>
      </c>
      <c r="K1315">
        <v>2019</v>
      </c>
    </row>
    <row r="1316" spans="1:13">
      <c r="B1316" t="s">
        <v>1623</v>
      </c>
      <c r="C1316" t="s">
        <v>1624</v>
      </c>
      <c r="D1316" t="s">
        <v>1622</v>
      </c>
      <c r="E1316" t="s">
        <v>1623</v>
      </c>
      <c r="F1316" t="s">
        <v>1624</v>
      </c>
      <c r="G1316" t="s">
        <v>1622</v>
      </c>
      <c r="H1316" t="s">
        <v>1623</v>
      </c>
      <c r="I1316" t="s">
        <v>1624</v>
      </c>
      <c r="J1316" t="s">
        <v>1622</v>
      </c>
      <c r="K1316" t="s">
        <v>1623</v>
      </c>
      <c r="L1316" t="s">
        <v>1624</v>
      </c>
      <c r="M1316" t="s">
        <v>1622</v>
      </c>
    </row>
    <row r="1317" spans="1:13">
      <c r="A1317" t="s">
        <v>2807</v>
      </c>
      <c r="B1317" s="342">
        <v>0.33800000000000002</v>
      </c>
      <c r="C1317" s="342">
        <v>0.81399999999999995</v>
      </c>
      <c r="D1317" s="342">
        <v>0.56299999999999994</v>
      </c>
      <c r="E1317" s="342">
        <v>0.27800000000000002</v>
      </c>
      <c r="F1317" s="342">
        <v>0.48</v>
      </c>
      <c r="G1317" s="342">
        <v>0.46600000000000003</v>
      </c>
      <c r="H1317" s="342">
        <v>0.29299999999999998</v>
      </c>
      <c r="I1317" s="342">
        <v>0.90600000000000003</v>
      </c>
      <c r="J1317" s="342">
        <v>0.75</v>
      </c>
      <c r="K1317" s="342">
        <v>0.35499999999999998</v>
      </c>
      <c r="L1317" s="342">
        <v>0.52500000000000002</v>
      </c>
      <c r="M1317" s="342">
        <v>0.38700000000000001</v>
      </c>
    </row>
    <row r="1318" spans="1:13">
      <c r="A1318" t="s">
        <v>1618</v>
      </c>
      <c r="B1318" s="342">
        <v>0.45700000000000002</v>
      </c>
      <c r="C1318" s="342">
        <v>0.17799999999999999</v>
      </c>
      <c r="D1318" s="342">
        <v>0.35</v>
      </c>
      <c r="E1318" s="342">
        <v>0.35299999999999998</v>
      </c>
      <c r="F1318" s="342">
        <v>0.503</v>
      </c>
      <c r="G1318" s="342">
        <v>0.41</v>
      </c>
      <c r="H1318" s="342">
        <v>0.44600000000000001</v>
      </c>
      <c r="I1318" s="342">
        <v>8.8999999999999996E-2</v>
      </c>
      <c r="J1318" s="342">
        <v>0.21199999999999999</v>
      </c>
      <c r="K1318" s="342">
        <v>0.47499999999999998</v>
      </c>
      <c r="L1318" s="342">
        <v>0.46300000000000002</v>
      </c>
      <c r="M1318" s="342">
        <v>0.48599999999999999</v>
      </c>
    </row>
    <row r="1319" spans="1:13">
      <c r="A1319" t="s">
        <v>1619</v>
      </c>
      <c r="B1319" s="342">
        <v>2.1999999999999999E-2</v>
      </c>
      <c r="C1319" s="342">
        <v>1.2999999999999999E-2</v>
      </c>
      <c r="D1319" s="342">
        <v>0.02</v>
      </c>
      <c r="E1319" s="342">
        <v>2.1999999999999999E-2</v>
      </c>
      <c r="F1319" s="342">
        <v>4.0000000000000001E-3</v>
      </c>
      <c r="G1319" s="342">
        <v>1.9E-2</v>
      </c>
      <c r="H1319" s="342">
        <v>2.3E-2</v>
      </c>
      <c r="I1319" s="342">
        <v>1.4E-2</v>
      </c>
      <c r="J1319" s="342">
        <v>1.6E-2</v>
      </c>
      <c r="K1319" s="342">
        <v>2.1000000000000001E-2</v>
      </c>
      <c r="L1319" s="342">
        <v>2.3E-2</v>
      </c>
      <c r="M1319" s="342">
        <v>2.5999999999999999E-2</v>
      </c>
    </row>
    <row r="1320" spans="1:13">
      <c r="A1320" t="s">
        <v>1620</v>
      </c>
      <c r="B1320" s="342">
        <v>0.33100000000000002</v>
      </c>
      <c r="C1320" s="342">
        <v>1.07</v>
      </c>
      <c r="D1320" s="342">
        <v>0.57199999999999995</v>
      </c>
      <c r="E1320" s="342">
        <v>0.27600000000000002</v>
      </c>
      <c r="F1320" s="342">
        <v>2.73</v>
      </c>
      <c r="G1320" s="342">
        <v>0.66600000000000004</v>
      </c>
      <c r="H1320" s="342">
        <v>0.372</v>
      </c>
      <c r="I1320" s="342">
        <v>1.0109999999999999</v>
      </c>
      <c r="J1320" s="342">
        <v>0.78</v>
      </c>
      <c r="K1320" s="342">
        <v>0.33600000000000002</v>
      </c>
      <c r="L1320" s="342">
        <v>0.61699999999999999</v>
      </c>
      <c r="M1320" s="342">
        <v>0.41299999999999998</v>
      </c>
    </row>
    <row r="1321" spans="1:13">
      <c r="A1321" t="s">
        <v>2808</v>
      </c>
      <c r="B1321" s="342">
        <v>0.155</v>
      </c>
      <c r="C1321" s="342">
        <v>0.46800000000000003</v>
      </c>
      <c r="D1321" s="342">
        <v>0.26300000000000001</v>
      </c>
      <c r="E1321" s="342">
        <v>0.20200000000000001</v>
      </c>
      <c r="F1321" s="342">
        <v>0.17199999999999999</v>
      </c>
      <c r="G1321" s="342">
        <v>0.28299999999999997</v>
      </c>
      <c r="H1321" s="342">
        <v>0.18</v>
      </c>
      <c r="I1321" s="342">
        <v>0.51300000000000001</v>
      </c>
      <c r="J1321" s="342">
        <v>0.375</v>
      </c>
      <c r="K1321" s="342">
        <v>0.14199999999999999</v>
      </c>
      <c r="L1321" s="342">
        <v>0.30499999999999999</v>
      </c>
      <c r="M1321" s="342">
        <v>0.186</v>
      </c>
    </row>
    <row r="1322" spans="1:13">
      <c r="A1322" t="s">
        <v>2809</v>
      </c>
      <c r="B1322" s="342">
        <v>0.08</v>
      </c>
      <c r="C1322" s="342">
        <v>9.0999999999999998E-2</v>
      </c>
      <c r="D1322" s="342">
        <v>7.2999999999999995E-2</v>
      </c>
      <c r="E1322" s="342">
        <v>1.2E-2</v>
      </c>
      <c r="F1322" s="342">
        <v>3.6999999999999998E-2</v>
      </c>
      <c r="G1322" s="342">
        <v>3.4000000000000002E-2</v>
      </c>
      <c r="H1322" s="342">
        <v>2.4E-2</v>
      </c>
      <c r="I1322" s="342">
        <v>0.105</v>
      </c>
      <c r="J1322" s="342">
        <v>6.9000000000000006E-2</v>
      </c>
      <c r="K1322" s="342">
        <v>0.10100000000000001</v>
      </c>
      <c r="L1322" s="342">
        <v>2.1999999999999999E-2</v>
      </c>
      <c r="M1322" s="342">
        <v>8.6999999999999994E-2</v>
      </c>
    </row>
    <row r="1323" spans="1:13">
      <c r="A1323" t="s">
        <v>2810</v>
      </c>
      <c r="B1323" s="342">
        <v>0.70899999999999996</v>
      </c>
      <c r="C1323" s="342">
        <v>0.52300000000000002</v>
      </c>
      <c r="D1323" s="342">
        <v>0.58799999999999997</v>
      </c>
      <c r="E1323" s="342">
        <v>0.77600000000000002</v>
      </c>
      <c r="F1323" s="342">
        <v>7.5999999999999998E-2</v>
      </c>
      <c r="G1323" s="342">
        <v>0.47599999999999998</v>
      </c>
      <c r="H1323" s="342">
        <v>0.54800000000000004</v>
      </c>
      <c r="I1323" s="342">
        <v>0.61099999999999999</v>
      </c>
      <c r="J1323" s="342">
        <v>0.56999999999999995</v>
      </c>
      <c r="K1323" s="342">
        <v>0.72399999999999998</v>
      </c>
      <c r="L1323" s="342">
        <v>0.52900000000000003</v>
      </c>
      <c r="M1323" s="342">
        <v>0.66200000000000003</v>
      </c>
    </row>
    <row r="1324" spans="1:13">
      <c r="A1324" t="s">
        <v>9</v>
      </c>
      <c r="B1324">
        <v>5.0999999999999996</v>
      </c>
      <c r="C1324">
        <v>36.1</v>
      </c>
      <c r="D1324">
        <v>8.32</v>
      </c>
      <c r="E1324">
        <v>16.88</v>
      </c>
      <c r="F1324">
        <v>16.73</v>
      </c>
      <c r="G1324">
        <v>9.93</v>
      </c>
      <c r="H1324">
        <v>4.32</v>
      </c>
      <c r="I1324">
        <v>74.94</v>
      </c>
      <c r="J1324">
        <v>15.15</v>
      </c>
      <c r="K1324">
        <v>4.7</v>
      </c>
      <c r="L1324">
        <v>8.24</v>
      </c>
      <c r="M1324">
        <v>5.15</v>
      </c>
    </row>
    <row r="1325" spans="1:13">
      <c r="A1325" t="s">
        <v>8</v>
      </c>
      <c r="B1325">
        <v>1.1200000000000001</v>
      </c>
      <c r="C1325">
        <v>43.27</v>
      </c>
      <c r="D1325">
        <v>3.25</v>
      </c>
      <c r="E1325">
        <v>16.11</v>
      </c>
      <c r="F1325">
        <v>47.36</v>
      </c>
      <c r="G1325">
        <v>21.39</v>
      </c>
      <c r="H1325">
        <v>27.2</v>
      </c>
      <c r="I1325">
        <v>120.64</v>
      </c>
      <c r="J1325">
        <v>47.08</v>
      </c>
      <c r="K1325">
        <v>0.86</v>
      </c>
      <c r="L1325">
        <v>4.9400000000000004</v>
      </c>
      <c r="M1325">
        <v>1.29</v>
      </c>
    </row>
    <row r="1326" spans="1:13">
      <c r="A1326" t="s">
        <v>10</v>
      </c>
      <c r="B1326">
        <v>48.88</v>
      </c>
      <c r="C1326">
        <v>159.97</v>
      </c>
      <c r="D1326">
        <v>57.08</v>
      </c>
      <c r="E1326">
        <v>75.12</v>
      </c>
      <c r="F1326">
        <v>99.22</v>
      </c>
      <c r="G1326">
        <v>45.38</v>
      </c>
      <c r="H1326">
        <v>92.15</v>
      </c>
      <c r="I1326">
        <v>273.88</v>
      </c>
      <c r="J1326">
        <v>122.51</v>
      </c>
      <c r="K1326">
        <v>43.22</v>
      </c>
      <c r="L1326">
        <v>35.880000000000003</v>
      </c>
      <c r="M1326">
        <v>37.799999999999997</v>
      </c>
    </row>
    <row r="1327" spans="1:13">
      <c r="A1327" t="s">
        <v>1621</v>
      </c>
      <c r="B1327" s="342">
        <v>1.069</v>
      </c>
      <c r="C1327" s="342">
        <v>4.4999999999999998E-2</v>
      </c>
      <c r="D1327" s="342">
        <v>0.41</v>
      </c>
      <c r="E1327" s="342">
        <v>0.108</v>
      </c>
      <c r="F1327" s="342">
        <v>7.0999999999999994E-2</v>
      </c>
      <c r="G1327" s="342">
        <v>0.125</v>
      </c>
      <c r="H1327" s="342">
        <v>0.25800000000000001</v>
      </c>
      <c r="I1327" s="342">
        <v>1.7999999999999999E-2</v>
      </c>
      <c r="J1327" s="342">
        <v>7.9000000000000001E-2</v>
      </c>
      <c r="K1327" s="342">
        <v>1.3520000000000001</v>
      </c>
      <c r="L1327" s="342">
        <v>0.29599999999999999</v>
      </c>
      <c r="M1327" s="342">
        <v>0.94</v>
      </c>
    </row>
    <row r="1329" spans="1:13">
      <c r="A1329" t="s">
        <v>2893</v>
      </c>
    </row>
    <row r="1331" spans="1:13">
      <c r="A1331" t="s">
        <v>158</v>
      </c>
      <c r="B1331" t="s">
        <v>2806</v>
      </c>
      <c r="E1331">
        <v>2017</v>
      </c>
      <c r="H1331">
        <v>2018</v>
      </c>
      <c r="K1331">
        <v>2019</v>
      </c>
    </row>
    <row r="1332" spans="1:13">
      <c r="B1332" t="s">
        <v>1623</v>
      </c>
      <c r="C1332" t="s">
        <v>1624</v>
      </c>
      <c r="D1332" t="s">
        <v>1622</v>
      </c>
      <c r="E1332" t="s">
        <v>1623</v>
      </c>
      <c r="F1332" t="s">
        <v>1624</v>
      </c>
      <c r="G1332" t="s">
        <v>1622</v>
      </c>
      <c r="H1332" t="s">
        <v>1623</v>
      </c>
      <c r="I1332" t="s">
        <v>1624</v>
      </c>
      <c r="J1332" t="s">
        <v>1622</v>
      </c>
      <c r="K1332" t="s">
        <v>1623</v>
      </c>
      <c r="L1332" t="s">
        <v>1624</v>
      </c>
      <c r="M1332" t="s">
        <v>1622</v>
      </c>
    </row>
    <row r="1333" spans="1:13">
      <c r="A1333" t="s">
        <v>2807</v>
      </c>
      <c r="B1333" s="342">
        <v>0.52100000000000002</v>
      </c>
      <c r="C1333" s="342">
        <v>0.83</v>
      </c>
      <c r="D1333" s="342">
        <v>0.68</v>
      </c>
      <c r="E1333" s="342">
        <v>0.52900000000000003</v>
      </c>
      <c r="F1333" s="342">
        <v>0.84199999999999997</v>
      </c>
      <c r="G1333" s="342">
        <v>0.69799999999999995</v>
      </c>
      <c r="H1333" s="342">
        <v>0.52900000000000003</v>
      </c>
      <c r="I1333" s="342">
        <v>0.83499999999999996</v>
      </c>
      <c r="J1333" s="342">
        <v>0.68300000000000005</v>
      </c>
      <c r="K1333" s="342">
        <v>0.504</v>
      </c>
      <c r="L1333" s="342">
        <v>0.80800000000000005</v>
      </c>
      <c r="M1333" s="342">
        <v>0.65800000000000003</v>
      </c>
    </row>
    <row r="1334" spans="1:13">
      <c r="A1334" t="s">
        <v>1618</v>
      </c>
      <c r="B1334" s="342">
        <v>0.192</v>
      </c>
      <c r="C1334" s="342">
        <v>0.152</v>
      </c>
      <c r="D1334" s="342">
        <v>0.20899999999999999</v>
      </c>
      <c r="E1334" s="342">
        <v>0.20599999999999999</v>
      </c>
      <c r="F1334" s="342">
        <v>0.13900000000000001</v>
      </c>
      <c r="G1334" s="342">
        <v>0.20399999999999999</v>
      </c>
      <c r="H1334" s="342">
        <v>0.187</v>
      </c>
      <c r="I1334" s="342">
        <v>0.14699999999999999</v>
      </c>
      <c r="J1334" s="342">
        <v>0.20599999999999999</v>
      </c>
      <c r="K1334" s="342">
        <v>0.185</v>
      </c>
      <c r="L1334" s="342">
        <v>0.17299999999999999</v>
      </c>
      <c r="M1334" s="342">
        <v>0.217</v>
      </c>
    </row>
    <row r="1335" spans="1:13">
      <c r="A1335" t="s">
        <v>1619</v>
      </c>
      <c r="B1335" s="342">
        <v>2.4E-2</v>
      </c>
      <c r="C1335" s="342">
        <v>1.0999999999999999E-2</v>
      </c>
      <c r="D1335" s="342">
        <v>2.1000000000000001E-2</v>
      </c>
      <c r="E1335" s="342">
        <v>1.2E-2</v>
      </c>
      <c r="F1335" s="342">
        <v>6.0000000000000001E-3</v>
      </c>
      <c r="G1335" s="342">
        <v>1.0999999999999999E-2</v>
      </c>
      <c r="H1335" s="342">
        <v>2.5999999999999999E-2</v>
      </c>
      <c r="I1335" s="342">
        <v>1.2999999999999999E-2</v>
      </c>
      <c r="J1335" s="342">
        <v>2.4E-2</v>
      </c>
      <c r="K1335" s="342">
        <v>3.2000000000000001E-2</v>
      </c>
      <c r="L1335" s="342">
        <v>1.4999999999999999E-2</v>
      </c>
      <c r="M1335" s="342">
        <v>2.8000000000000001E-2</v>
      </c>
    </row>
    <row r="1336" spans="1:13">
      <c r="A1336" t="s">
        <v>1620</v>
      </c>
      <c r="B1336" s="342">
        <v>0.41799999999999998</v>
      </c>
      <c r="C1336" s="342">
        <v>1.464</v>
      </c>
      <c r="D1336" s="342">
        <v>0.79</v>
      </c>
      <c r="E1336" s="342">
        <v>0.39100000000000001</v>
      </c>
      <c r="F1336" s="342">
        <v>1.6890000000000001</v>
      </c>
      <c r="G1336" s="342">
        <v>0.83299999999999996</v>
      </c>
      <c r="H1336" s="342">
        <v>0.42899999999999999</v>
      </c>
      <c r="I1336" s="342">
        <v>1.9079999999999999</v>
      </c>
      <c r="J1336" s="342">
        <v>0.85499999999999998</v>
      </c>
      <c r="K1336" s="342">
        <v>0.432</v>
      </c>
      <c r="L1336" s="342">
        <v>1.006</v>
      </c>
      <c r="M1336" s="342">
        <v>0.68799999999999994</v>
      </c>
    </row>
    <row r="1337" spans="1:13">
      <c r="A1337" t="s">
        <v>2808</v>
      </c>
      <c r="B1337" s="342">
        <v>0.38100000000000001</v>
      </c>
      <c r="C1337" s="342">
        <v>0.46100000000000002</v>
      </c>
      <c r="D1337" s="342">
        <v>0.42699999999999999</v>
      </c>
      <c r="E1337" s="342">
        <v>0.378</v>
      </c>
      <c r="F1337" s="342">
        <v>0.38100000000000001</v>
      </c>
      <c r="G1337" s="342">
        <v>0.41199999999999998</v>
      </c>
      <c r="H1337" s="342">
        <v>0.39400000000000002</v>
      </c>
      <c r="I1337" s="342">
        <v>0.44400000000000001</v>
      </c>
      <c r="J1337" s="342">
        <v>0.42399999999999999</v>
      </c>
      <c r="K1337" s="342">
        <v>0.37</v>
      </c>
      <c r="L1337" s="342">
        <v>0.53100000000000003</v>
      </c>
      <c r="M1337" s="342">
        <v>0.443</v>
      </c>
    </row>
    <row r="1338" spans="1:13">
      <c r="A1338" t="s">
        <v>2809</v>
      </c>
      <c r="B1338" s="342">
        <v>6.5000000000000002E-2</v>
      </c>
      <c r="C1338" s="342">
        <v>5.6000000000000001E-2</v>
      </c>
      <c r="D1338" s="342">
        <v>5.2999999999999999E-2</v>
      </c>
      <c r="E1338" s="342">
        <v>8.1000000000000003E-2</v>
      </c>
      <c r="F1338" s="342">
        <v>3.6999999999999998E-2</v>
      </c>
      <c r="G1338" s="342">
        <v>5.8000000000000003E-2</v>
      </c>
      <c r="H1338" s="342">
        <v>6.2E-2</v>
      </c>
      <c r="I1338" s="342">
        <v>4.0000000000000001E-3</v>
      </c>
      <c r="J1338" s="342">
        <v>4.2999999999999997E-2</v>
      </c>
      <c r="K1338" s="342">
        <v>5.1999999999999998E-2</v>
      </c>
      <c r="L1338" s="342">
        <v>0.105</v>
      </c>
      <c r="M1338" s="342">
        <v>5.8000000000000003E-2</v>
      </c>
    </row>
    <row r="1339" spans="1:13">
      <c r="A1339" t="s">
        <v>2810</v>
      </c>
      <c r="B1339" s="342">
        <v>1.0660000000000001</v>
      </c>
      <c r="C1339" s="342">
        <v>0.35299999999999998</v>
      </c>
      <c r="D1339" s="342">
        <v>0.60699999999999998</v>
      </c>
      <c r="E1339" s="342">
        <v>1.175</v>
      </c>
      <c r="F1339" s="342">
        <v>0.248</v>
      </c>
      <c r="G1339" s="342">
        <v>0.56399999999999995</v>
      </c>
      <c r="H1339" s="342">
        <v>1.0609999999999999</v>
      </c>
      <c r="I1339" s="342">
        <v>0.23499999999999999</v>
      </c>
      <c r="J1339" s="342">
        <v>0.54600000000000004</v>
      </c>
      <c r="K1339" s="342">
        <v>0.97599999999999998</v>
      </c>
      <c r="L1339" s="342">
        <v>0.63200000000000001</v>
      </c>
      <c r="M1339" s="342">
        <v>0.72799999999999998</v>
      </c>
    </row>
    <row r="1340" spans="1:13">
      <c r="A1340" t="s">
        <v>9</v>
      </c>
      <c r="B1340">
        <v>8.25</v>
      </c>
      <c r="C1340">
        <v>16.95</v>
      </c>
      <c r="D1340">
        <v>10.64</v>
      </c>
      <c r="E1340">
        <v>7.44</v>
      </c>
      <c r="F1340">
        <v>15.83</v>
      </c>
      <c r="G1340">
        <v>10.17</v>
      </c>
      <c r="H1340">
        <v>8.35</v>
      </c>
      <c r="I1340">
        <v>18.690000000000001</v>
      </c>
      <c r="J1340">
        <v>11.2</v>
      </c>
      <c r="K1340">
        <v>9</v>
      </c>
      <c r="L1340">
        <v>16.48</v>
      </c>
      <c r="M1340">
        <v>10.53</v>
      </c>
    </row>
    <row r="1341" spans="1:13">
      <c r="A1341" t="s">
        <v>8</v>
      </c>
      <c r="B1341">
        <v>84.54</v>
      </c>
      <c r="C1341">
        <v>23.27</v>
      </c>
      <c r="D1341">
        <v>29.12</v>
      </c>
      <c r="E1341">
        <v>92.92</v>
      </c>
      <c r="F1341">
        <v>22.18</v>
      </c>
      <c r="G1341">
        <v>28.03</v>
      </c>
      <c r="H1341">
        <v>61.99</v>
      </c>
      <c r="I1341">
        <v>25.14</v>
      </c>
      <c r="J1341">
        <v>31.9</v>
      </c>
      <c r="K1341">
        <v>127.83</v>
      </c>
      <c r="L1341">
        <v>22.54</v>
      </c>
      <c r="M1341">
        <v>27.4</v>
      </c>
    </row>
    <row r="1342" spans="1:13">
      <c r="A1342" t="s">
        <v>10</v>
      </c>
      <c r="B1342">
        <v>43.05</v>
      </c>
      <c r="C1342">
        <v>33.840000000000003</v>
      </c>
      <c r="D1342">
        <v>35.81</v>
      </c>
      <c r="E1342">
        <v>43.59</v>
      </c>
      <c r="F1342">
        <v>28.25</v>
      </c>
      <c r="G1342">
        <v>32.18</v>
      </c>
      <c r="H1342">
        <v>41.07</v>
      </c>
      <c r="I1342">
        <v>40.42</v>
      </c>
      <c r="J1342">
        <v>39.090000000000003</v>
      </c>
      <c r="K1342">
        <v>45.06</v>
      </c>
      <c r="L1342">
        <v>35.369999999999997</v>
      </c>
      <c r="M1342">
        <v>36.64</v>
      </c>
    </row>
    <row r="1343" spans="1:13">
      <c r="A1343" t="s">
        <v>1621</v>
      </c>
      <c r="B1343" s="342">
        <v>0.11</v>
      </c>
      <c r="C1343" s="342">
        <v>7.1999999999999995E-2</v>
      </c>
      <c r="D1343" s="342">
        <v>0.1</v>
      </c>
      <c r="E1343" s="342">
        <v>0.122</v>
      </c>
      <c r="F1343" s="342">
        <v>7.2999999999999995E-2</v>
      </c>
      <c r="G1343" s="342">
        <v>0.10299999999999999</v>
      </c>
      <c r="H1343" s="342">
        <v>0.111</v>
      </c>
      <c r="I1343" s="342">
        <v>6.9000000000000006E-2</v>
      </c>
      <c r="J1343" s="342">
        <v>9.5000000000000001E-2</v>
      </c>
      <c r="K1343" s="342">
        <v>9.7000000000000003E-2</v>
      </c>
      <c r="L1343" s="342">
        <v>7.6999999999999999E-2</v>
      </c>
      <c r="M1343" s="342">
        <v>0.104</v>
      </c>
    </row>
    <row r="1345" spans="1:13">
      <c r="A1345" t="s">
        <v>2894</v>
      </c>
    </row>
    <row r="1347" spans="1:13">
      <c r="A1347" t="s">
        <v>158</v>
      </c>
      <c r="B1347" t="s">
        <v>2806</v>
      </c>
      <c r="E1347">
        <v>2017</v>
      </c>
      <c r="H1347">
        <v>2018</v>
      </c>
      <c r="K1347">
        <v>2019</v>
      </c>
    </row>
    <row r="1348" spans="1:13">
      <c r="B1348" t="s">
        <v>1623</v>
      </c>
      <c r="C1348" t="s">
        <v>1624</v>
      </c>
      <c r="D1348" t="s">
        <v>1622</v>
      </c>
      <c r="E1348" t="s">
        <v>1623</v>
      </c>
      <c r="F1348" t="s">
        <v>1624</v>
      </c>
      <c r="G1348" t="s">
        <v>1622</v>
      </c>
      <c r="H1348" t="s">
        <v>1623</v>
      </c>
      <c r="I1348" t="s">
        <v>1624</v>
      </c>
      <c r="J1348" t="s">
        <v>1622</v>
      </c>
      <c r="K1348" t="s">
        <v>1623</v>
      </c>
      <c r="L1348" t="s">
        <v>1624</v>
      </c>
      <c r="M1348" t="s">
        <v>1622</v>
      </c>
    </row>
    <row r="1349" spans="1:13">
      <c r="A1349" t="s">
        <v>2807</v>
      </c>
      <c r="B1349" s="342">
        <v>0.73099999999999998</v>
      </c>
      <c r="C1349" s="342">
        <v>0.91200000000000003</v>
      </c>
      <c r="D1349" s="342">
        <v>0.86899999999999999</v>
      </c>
      <c r="E1349" s="342">
        <v>0.74299999999999999</v>
      </c>
      <c r="F1349" s="342">
        <v>0.90800000000000003</v>
      </c>
      <c r="G1349" s="342">
        <v>0.86899999999999999</v>
      </c>
      <c r="H1349" s="342">
        <v>0.748</v>
      </c>
      <c r="I1349" s="342">
        <v>0.91300000000000003</v>
      </c>
      <c r="J1349" s="342">
        <v>0.873</v>
      </c>
      <c r="K1349" s="342">
        <v>0.69199999999999995</v>
      </c>
      <c r="L1349" s="342">
        <v>0.91600000000000004</v>
      </c>
      <c r="M1349" s="342">
        <v>0.86499999999999999</v>
      </c>
    </row>
    <row r="1350" spans="1:13">
      <c r="A1350" t="s">
        <v>1618</v>
      </c>
      <c r="B1350" s="342">
        <v>0.13600000000000001</v>
      </c>
      <c r="C1350" s="342">
        <v>7.2999999999999995E-2</v>
      </c>
      <c r="D1350" s="342">
        <v>0.09</v>
      </c>
      <c r="E1350" s="342">
        <v>0.13100000000000001</v>
      </c>
      <c r="F1350" s="342">
        <v>7.8E-2</v>
      </c>
      <c r="G1350" s="342">
        <v>8.8999999999999996E-2</v>
      </c>
      <c r="H1350" s="342">
        <v>0.124</v>
      </c>
      <c r="I1350" s="342">
        <v>7.0000000000000007E-2</v>
      </c>
      <c r="J1350" s="342">
        <v>8.6999999999999994E-2</v>
      </c>
      <c r="K1350" s="342">
        <v>0.158</v>
      </c>
      <c r="L1350" s="342">
        <v>7.0999999999999994E-2</v>
      </c>
      <c r="M1350" s="342">
        <v>9.5000000000000001E-2</v>
      </c>
    </row>
    <row r="1351" spans="1:13">
      <c r="A1351" t="s">
        <v>1619</v>
      </c>
      <c r="B1351" s="342">
        <v>8.0000000000000002E-3</v>
      </c>
      <c r="C1351" s="342">
        <v>3.0000000000000001E-3</v>
      </c>
      <c r="D1351" s="342">
        <v>4.0000000000000001E-3</v>
      </c>
      <c r="E1351" s="342">
        <v>5.0000000000000001E-3</v>
      </c>
      <c r="F1351" s="342">
        <v>2E-3</v>
      </c>
      <c r="G1351" s="342">
        <v>3.0000000000000001E-3</v>
      </c>
      <c r="H1351" s="342">
        <v>7.0000000000000001E-3</v>
      </c>
      <c r="I1351" s="342">
        <v>3.0000000000000001E-3</v>
      </c>
      <c r="J1351" s="342">
        <v>5.0000000000000001E-3</v>
      </c>
      <c r="K1351" s="342">
        <v>1.2E-2</v>
      </c>
      <c r="L1351" s="342">
        <v>3.0000000000000001E-3</v>
      </c>
      <c r="M1351" s="342">
        <v>6.0000000000000001E-3</v>
      </c>
    </row>
    <row r="1352" spans="1:13">
      <c r="A1352" t="s">
        <v>1620</v>
      </c>
      <c r="B1352" s="342">
        <v>1.024</v>
      </c>
      <c r="C1352" s="342">
        <v>1.853</v>
      </c>
      <c r="D1352" s="342">
        <v>1.5840000000000001</v>
      </c>
      <c r="E1352" s="342">
        <v>1.0740000000000001</v>
      </c>
      <c r="F1352" s="342">
        <v>1.853</v>
      </c>
      <c r="G1352" s="342">
        <v>1.6080000000000001</v>
      </c>
      <c r="H1352" s="342">
        <v>1.0740000000000001</v>
      </c>
      <c r="I1352" s="342">
        <v>1.8029999999999999</v>
      </c>
      <c r="J1352" s="342">
        <v>1.6060000000000001</v>
      </c>
      <c r="K1352" s="342">
        <v>0.90800000000000003</v>
      </c>
      <c r="L1352" s="342">
        <v>1.917</v>
      </c>
      <c r="M1352" s="342">
        <v>1.5329999999999999</v>
      </c>
    </row>
    <row r="1353" spans="1:13">
      <c r="A1353" t="s">
        <v>2808</v>
      </c>
      <c r="B1353" s="342">
        <v>0.19600000000000001</v>
      </c>
      <c r="C1353" s="342">
        <v>0.16200000000000001</v>
      </c>
      <c r="D1353" s="342">
        <v>0.17</v>
      </c>
      <c r="E1353" s="342">
        <v>0.17499999999999999</v>
      </c>
      <c r="F1353" s="342">
        <v>0.184</v>
      </c>
      <c r="G1353" s="342">
        <v>0.16400000000000001</v>
      </c>
      <c r="H1353" s="342">
        <v>0.17499999999999999</v>
      </c>
      <c r="I1353" s="342">
        <v>0.19900000000000001</v>
      </c>
      <c r="J1353" s="342">
        <v>0.17</v>
      </c>
      <c r="K1353" s="342">
        <v>0.24299999999999999</v>
      </c>
      <c r="L1353" s="342">
        <v>8.8999999999999996E-2</v>
      </c>
      <c r="M1353" s="342">
        <v>0.17699999999999999</v>
      </c>
    </row>
    <row r="1354" spans="1:13">
      <c r="A1354" t="s">
        <v>2809</v>
      </c>
      <c r="B1354" s="342">
        <v>8.0000000000000002E-3</v>
      </c>
      <c r="C1354" s="342">
        <v>4.0000000000000001E-3</v>
      </c>
      <c r="D1354" s="342">
        <v>5.0000000000000001E-3</v>
      </c>
      <c r="E1354" s="342">
        <v>3.0000000000000001E-3</v>
      </c>
      <c r="F1354" s="342">
        <v>5.0000000000000001E-3</v>
      </c>
      <c r="G1354" s="342">
        <v>6.0000000000000001E-3</v>
      </c>
      <c r="H1354" s="342">
        <v>7.0000000000000001E-3</v>
      </c>
      <c r="I1354" s="342">
        <v>3.0000000000000001E-3</v>
      </c>
      <c r="J1354" s="342">
        <v>4.0000000000000001E-3</v>
      </c>
      <c r="K1354" s="342">
        <v>1.4999999999999999E-2</v>
      </c>
      <c r="L1354" s="342">
        <v>4.0000000000000001E-3</v>
      </c>
      <c r="M1354" s="342">
        <v>7.0000000000000001E-3</v>
      </c>
    </row>
    <row r="1355" spans="1:13">
      <c r="A1355" t="s">
        <v>2810</v>
      </c>
      <c r="B1355" s="342">
        <v>0.19900000000000001</v>
      </c>
      <c r="C1355" s="342">
        <v>8.8999999999999996E-2</v>
      </c>
      <c r="D1355" s="342">
        <v>0.111</v>
      </c>
      <c r="E1355" s="342">
        <v>0.16600000000000001</v>
      </c>
      <c r="F1355" s="342">
        <v>0.10199999999999999</v>
      </c>
      <c r="G1355" s="342">
        <v>0.105</v>
      </c>
      <c r="H1355" s="342">
        <v>0.16900000000000001</v>
      </c>
      <c r="I1355" s="342">
        <v>0.112</v>
      </c>
      <c r="J1355" s="342">
        <v>0.108</v>
      </c>
      <c r="K1355" s="342">
        <v>0.28499999999999998</v>
      </c>
      <c r="L1355" s="342">
        <v>4.9000000000000002E-2</v>
      </c>
      <c r="M1355" s="342">
        <v>0.12</v>
      </c>
    </row>
    <row r="1356" spans="1:13">
      <c r="A1356" t="s">
        <v>9</v>
      </c>
      <c r="B1356">
        <v>14.89</v>
      </c>
      <c r="C1356">
        <v>11.81</v>
      </c>
      <c r="D1356">
        <v>13.57</v>
      </c>
      <c r="E1356">
        <v>12.47</v>
      </c>
      <c r="F1356">
        <v>10.86</v>
      </c>
      <c r="G1356">
        <v>13.59</v>
      </c>
      <c r="H1356">
        <v>14.12</v>
      </c>
      <c r="I1356">
        <v>14.73</v>
      </c>
      <c r="J1356">
        <v>13.33</v>
      </c>
      <c r="K1356">
        <v>22.43</v>
      </c>
      <c r="L1356">
        <v>10.33</v>
      </c>
      <c r="M1356">
        <v>13.84</v>
      </c>
    </row>
    <row r="1357" spans="1:13">
      <c r="A1357" t="s">
        <v>8</v>
      </c>
      <c r="B1357">
        <v>8.8000000000000007</v>
      </c>
      <c r="C1357">
        <v>15.21</v>
      </c>
      <c r="D1357">
        <v>12.7</v>
      </c>
      <c r="E1357">
        <v>8.02</v>
      </c>
      <c r="F1357">
        <v>15.42</v>
      </c>
      <c r="G1357">
        <v>11.91</v>
      </c>
      <c r="H1357">
        <v>9.23</v>
      </c>
      <c r="I1357">
        <v>14.84</v>
      </c>
      <c r="J1357">
        <v>13.23</v>
      </c>
      <c r="K1357">
        <v>9.4</v>
      </c>
      <c r="L1357">
        <v>15.47</v>
      </c>
      <c r="M1357">
        <v>13.08</v>
      </c>
    </row>
    <row r="1358" spans="1:13">
      <c r="A1358" t="s">
        <v>10</v>
      </c>
      <c r="B1358">
        <v>28.66</v>
      </c>
      <c r="C1358">
        <v>20.03</v>
      </c>
      <c r="D1358">
        <v>21.85</v>
      </c>
      <c r="E1358">
        <v>31.12</v>
      </c>
      <c r="F1358">
        <v>18.22</v>
      </c>
      <c r="G1358">
        <v>22.9</v>
      </c>
      <c r="H1358">
        <v>24.68</v>
      </c>
      <c r="I1358">
        <v>20.8</v>
      </c>
      <c r="J1358">
        <v>20.27</v>
      </c>
      <c r="K1358">
        <v>32.380000000000003</v>
      </c>
      <c r="L1358">
        <v>21.39</v>
      </c>
      <c r="M1358">
        <v>22.74</v>
      </c>
    </row>
    <row r="1359" spans="1:13">
      <c r="A1359" t="s">
        <v>1621</v>
      </c>
      <c r="B1359" s="342">
        <v>0.14599999999999999</v>
      </c>
      <c r="C1359" s="342">
        <v>0.1</v>
      </c>
      <c r="D1359" s="342">
        <v>0.107</v>
      </c>
      <c r="E1359" s="342">
        <v>0.17299999999999999</v>
      </c>
      <c r="F1359" s="342">
        <v>0.10199999999999999</v>
      </c>
      <c r="G1359" s="342">
        <v>0.114</v>
      </c>
      <c r="H1359" s="342">
        <v>0.13900000000000001</v>
      </c>
      <c r="I1359" s="342">
        <v>8.6999999999999994E-2</v>
      </c>
      <c r="J1359" s="342">
        <v>0.10100000000000001</v>
      </c>
      <c r="K1359" s="342">
        <v>0.12</v>
      </c>
      <c r="L1359" s="342">
        <v>0.115</v>
      </c>
      <c r="M1359" s="342">
        <v>0.105</v>
      </c>
    </row>
    <row r="1361" spans="1:13">
      <c r="A1361" t="s">
        <v>2895</v>
      </c>
    </row>
    <row r="1363" spans="1:13">
      <c r="A1363" t="s">
        <v>158</v>
      </c>
      <c r="B1363" t="s">
        <v>2806</v>
      </c>
      <c r="E1363">
        <v>2017</v>
      </c>
      <c r="H1363">
        <v>2018</v>
      </c>
      <c r="K1363">
        <v>2019</v>
      </c>
    </row>
    <row r="1364" spans="1:13">
      <c r="B1364" t="s">
        <v>1623</v>
      </c>
      <c r="C1364" t="s">
        <v>1624</v>
      </c>
      <c r="D1364" t="s">
        <v>1622</v>
      </c>
      <c r="E1364" t="s">
        <v>1623</v>
      </c>
      <c r="F1364" t="s">
        <v>1624</v>
      </c>
      <c r="G1364" t="s">
        <v>1622</v>
      </c>
      <c r="H1364" t="s">
        <v>1623</v>
      </c>
      <c r="I1364" t="s">
        <v>1624</v>
      </c>
      <c r="J1364" t="s">
        <v>1622</v>
      </c>
      <c r="K1364" t="s">
        <v>1623</v>
      </c>
      <c r="L1364" t="s">
        <v>1624</v>
      </c>
      <c r="M1364" t="s">
        <v>1622</v>
      </c>
    </row>
    <row r="1365" spans="1:13">
      <c r="A1365" t="s">
        <v>2807</v>
      </c>
      <c r="B1365" s="342">
        <v>0.376</v>
      </c>
      <c r="C1365" s="342">
        <v>0.83599999999999997</v>
      </c>
      <c r="D1365" s="342">
        <v>0.69499999999999995</v>
      </c>
      <c r="E1365" s="342">
        <v>0</v>
      </c>
      <c r="F1365" s="342">
        <v>0.80800000000000005</v>
      </c>
      <c r="G1365" s="342">
        <v>0.55200000000000005</v>
      </c>
      <c r="H1365" s="342">
        <v>0.66700000000000004</v>
      </c>
      <c r="I1365" s="342">
        <v>0.79600000000000004</v>
      </c>
      <c r="J1365" s="342">
        <v>0.60899999999999999</v>
      </c>
      <c r="K1365" s="342">
        <v>0.374</v>
      </c>
      <c r="L1365" s="342">
        <v>0.85899999999999999</v>
      </c>
      <c r="M1365" s="342">
        <v>0.79500000000000004</v>
      </c>
    </row>
    <row r="1366" spans="1:13">
      <c r="A1366" t="s">
        <v>1618</v>
      </c>
      <c r="B1366" s="342">
        <v>0.42599999999999999</v>
      </c>
      <c r="C1366" s="342">
        <v>0.13100000000000001</v>
      </c>
      <c r="D1366" s="342">
        <v>0.23200000000000001</v>
      </c>
      <c r="E1366" s="342">
        <v>0.69499999999999995</v>
      </c>
      <c r="F1366" s="342">
        <v>0.154</v>
      </c>
      <c r="G1366" s="342">
        <v>0.33600000000000002</v>
      </c>
      <c r="H1366" s="342">
        <v>0.13400000000000001</v>
      </c>
      <c r="I1366" s="342">
        <v>0.16500000000000001</v>
      </c>
      <c r="J1366" s="342">
        <v>0.3</v>
      </c>
      <c r="K1366" s="342">
        <v>0.48599999999999999</v>
      </c>
      <c r="L1366" s="342">
        <v>0.111</v>
      </c>
      <c r="M1366" s="342">
        <v>0.155</v>
      </c>
    </row>
    <row r="1367" spans="1:13">
      <c r="A1367" t="s">
        <v>1619</v>
      </c>
      <c r="B1367" s="342">
        <v>1.4E-2</v>
      </c>
      <c r="C1367" s="342">
        <v>7.0000000000000001E-3</v>
      </c>
      <c r="D1367" s="342">
        <v>8.0000000000000002E-3</v>
      </c>
      <c r="E1367" s="342">
        <v>1.2E-2</v>
      </c>
      <c r="F1367" s="342">
        <v>6.0000000000000001E-3</v>
      </c>
      <c r="G1367" s="342">
        <v>8.0000000000000002E-3</v>
      </c>
      <c r="H1367" s="342">
        <v>5.0000000000000001E-3</v>
      </c>
      <c r="I1367" s="342">
        <v>2E-3</v>
      </c>
      <c r="J1367" s="342">
        <v>8.0000000000000002E-3</v>
      </c>
      <c r="K1367" s="342">
        <v>0.02</v>
      </c>
      <c r="L1367" s="342">
        <v>8.9999999999999993E-3</v>
      </c>
      <c r="M1367" s="342">
        <v>7.0000000000000001E-3</v>
      </c>
    </row>
    <row r="1368" spans="1:13">
      <c r="A1368" t="s">
        <v>1620</v>
      </c>
      <c r="B1368" s="342">
        <v>1.1779999999999999</v>
      </c>
      <c r="C1368" s="342">
        <v>1.8260000000000001</v>
      </c>
      <c r="D1368" s="342">
        <v>0.67300000000000004</v>
      </c>
      <c r="E1368" s="342">
        <v>1.76</v>
      </c>
      <c r="F1368" s="342">
        <v>3.113</v>
      </c>
      <c r="G1368" s="342">
        <v>1.9970000000000001</v>
      </c>
      <c r="H1368" s="342">
        <v>1.0960000000000001</v>
      </c>
      <c r="I1368" s="342">
        <v>1.6539999999999999</v>
      </c>
      <c r="J1368" s="342">
        <v>0.28000000000000003</v>
      </c>
      <c r="K1368" s="342">
        <v>1.0489999999999999</v>
      </c>
      <c r="L1368" s="342">
        <v>1.681</v>
      </c>
      <c r="M1368" s="342">
        <v>1.587</v>
      </c>
    </row>
    <row r="1369" spans="1:13">
      <c r="A1369" t="s">
        <v>2808</v>
      </c>
      <c r="B1369" s="342">
        <v>3.5000000000000003E-2</v>
      </c>
      <c r="C1369" s="342">
        <v>0.22800000000000001</v>
      </c>
      <c r="D1369" s="342">
        <v>7.3999999999999996E-2</v>
      </c>
      <c r="E1369" s="342">
        <v>2.5999999999999999E-2</v>
      </c>
      <c r="F1369" s="342">
        <v>8.2000000000000003E-2</v>
      </c>
      <c r="G1369" s="342">
        <v>0.04</v>
      </c>
      <c r="H1369" s="342">
        <v>7.0000000000000001E-3</v>
      </c>
      <c r="I1369" s="342">
        <v>0.47299999999999998</v>
      </c>
      <c r="J1369" s="342">
        <v>3.3000000000000002E-2</v>
      </c>
      <c r="K1369" s="342">
        <v>5.7000000000000002E-2</v>
      </c>
      <c r="L1369" s="342">
        <v>0.158</v>
      </c>
      <c r="M1369" s="342">
        <v>0.219</v>
      </c>
    </row>
    <row r="1370" spans="1:13">
      <c r="A1370" t="s">
        <v>2809</v>
      </c>
      <c r="B1370" s="342">
        <v>0</v>
      </c>
      <c r="C1370" s="342">
        <v>7.0000000000000001E-3</v>
      </c>
      <c r="D1370" s="342">
        <v>1E-3</v>
      </c>
      <c r="E1370" s="342">
        <v>0</v>
      </c>
      <c r="F1370" s="342">
        <v>0</v>
      </c>
      <c r="G1370" s="342">
        <v>0</v>
      </c>
      <c r="H1370" s="342">
        <v>0</v>
      </c>
      <c r="I1370" s="342">
        <v>0</v>
      </c>
      <c r="J1370" s="342">
        <v>0</v>
      </c>
      <c r="K1370" s="342">
        <v>0</v>
      </c>
      <c r="L1370" s="342">
        <v>1.0999999999999999E-2</v>
      </c>
      <c r="M1370" s="342">
        <v>6.0000000000000001E-3</v>
      </c>
    </row>
    <row r="1371" spans="1:13">
      <c r="A1371" t="s">
        <v>2810</v>
      </c>
      <c r="B1371" s="342">
        <v>0.03</v>
      </c>
      <c r="C1371" s="342">
        <v>0.129</v>
      </c>
      <c r="D1371" s="342">
        <v>0.112</v>
      </c>
      <c r="E1371" s="342">
        <v>1.4999999999999999E-2</v>
      </c>
      <c r="F1371" s="342">
        <v>2.5999999999999999E-2</v>
      </c>
      <c r="G1371" s="342">
        <v>0.02</v>
      </c>
      <c r="H1371" s="342">
        <v>6.0000000000000001E-3</v>
      </c>
      <c r="I1371" s="342">
        <v>0.28599999999999998</v>
      </c>
      <c r="J1371" s="342">
        <v>0.11700000000000001</v>
      </c>
      <c r="K1371" s="342">
        <v>5.3999999999999999E-2</v>
      </c>
      <c r="L1371" s="342">
        <v>0.1</v>
      </c>
      <c r="M1371" s="342">
        <v>0.14099999999999999</v>
      </c>
    </row>
    <row r="1372" spans="1:13">
      <c r="A1372" t="s">
        <v>9</v>
      </c>
      <c r="B1372">
        <v>34.39</v>
      </c>
      <c r="C1372">
        <v>12.47</v>
      </c>
      <c r="D1372">
        <v>13.68</v>
      </c>
      <c r="E1372" t="s">
        <v>1468</v>
      </c>
      <c r="F1372">
        <v>8.2200000000000006</v>
      </c>
      <c r="G1372">
        <v>12.62</v>
      </c>
      <c r="H1372">
        <v>175.95</v>
      </c>
      <c r="I1372">
        <v>27.43</v>
      </c>
      <c r="J1372">
        <v>10.8</v>
      </c>
      <c r="K1372">
        <v>16.53</v>
      </c>
      <c r="L1372">
        <v>11.9</v>
      </c>
      <c r="M1372">
        <v>16.79</v>
      </c>
    </row>
    <row r="1373" spans="1:13">
      <c r="A1373" t="s">
        <v>8</v>
      </c>
      <c r="B1373" t="s">
        <v>1468</v>
      </c>
      <c r="C1373">
        <v>14.52</v>
      </c>
      <c r="D1373">
        <v>20.81</v>
      </c>
      <c r="E1373" t="s">
        <v>1468</v>
      </c>
      <c r="F1373">
        <v>37.880000000000003</v>
      </c>
      <c r="G1373">
        <v>26.33</v>
      </c>
      <c r="H1373" t="s">
        <v>1468</v>
      </c>
      <c r="I1373">
        <v>7.54</v>
      </c>
      <c r="J1373">
        <v>21.79</v>
      </c>
      <c r="K1373" t="s">
        <v>1468</v>
      </c>
      <c r="L1373">
        <v>17.309999999999999</v>
      </c>
      <c r="M1373">
        <v>18.899999999999999</v>
      </c>
    </row>
    <row r="1374" spans="1:13">
      <c r="A1374" t="s">
        <v>10</v>
      </c>
      <c r="B1374">
        <v>167.3</v>
      </c>
      <c r="C1374">
        <v>25.51</v>
      </c>
      <c r="D1374">
        <v>51.63</v>
      </c>
      <c r="E1374" t="s">
        <v>1468</v>
      </c>
      <c r="F1374">
        <v>189.27</v>
      </c>
      <c r="G1374">
        <v>411.69</v>
      </c>
      <c r="H1374">
        <v>130.04</v>
      </c>
      <c r="I1374">
        <v>31.8</v>
      </c>
      <c r="J1374">
        <v>84.22</v>
      </c>
      <c r="K1374">
        <v>125.82</v>
      </c>
      <c r="L1374">
        <v>19.07</v>
      </c>
      <c r="M1374">
        <v>33.590000000000003</v>
      </c>
    </row>
    <row r="1375" spans="1:13">
      <c r="A1375" t="s">
        <v>1621</v>
      </c>
      <c r="B1375" t="s">
        <v>1468</v>
      </c>
      <c r="C1375" s="342">
        <v>0.11</v>
      </c>
      <c r="D1375" s="342">
        <v>0.10199999999999999</v>
      </c>
      <c r="E1375" t="s">
        <v>1468</v>
      </c>
      <c r="F1375" s="342">
        <v>0.14299999999999999</v>
      </c>
      <c r="G1375" s="342">
        <v>0.115</v>
      </c>
      <c r="H1375" t="s">
        <v>1468</v>
      </c>
      <c r="I1375" s="342">
        <v>0.13800000000000001</v>
      </c>
      <c r="J1375" s="342">
        <v>0.127</v>
      </c>
      <c r="K1375" t="s">
        <v>1468</v>
      </c>
      <c r="L1375" s="342">
        <v>8.8999999999999996E-2</v>
      </c>
      <c r="M1375" s="342">
        <v>8.3000000000000004E-2</v>
      </c>
    </row>
    <row r="1377" spans="1:13">
      <c r="A1377" t="s">
        <v>2896</v>
      </c>
    </row>
    <row r="1379" spans="1:13">
      <c r="A1379" t="s">
        <v>158</v>
      </c>
      <c r="B1379" t="s">
        <v>2806</v>
      </c>
      <c r="E1379">
        <v>2017</v>
      </c>
      <c r="H1379">
        <v>2018</v>
      </c>
      <c r="K1379">
        <v>2019</v>
      </c>
    </row>
    <row r="1380" spans="1:13">
      <c r="B1380" t="s">
        <v>1623</v>
      </c>
      <c r="C1380" t="s">
        <v>1624</v>
      </c>
      <c r="D1380" t="s">
        <v>1622</v>
      </c>
      <c r="E1380" t="s">
        <v>1623</v>
      </c>
      <c r="F1380" t="s">
        <v>1624</v>
      </c>
      <c r="G1380" t="s">
        <v>1622</v>
      </c>
      <c r="H1380" t="s">
        <v>1623</v>
      </c>
      <c r="I1380" t="s">
        <v>1624</v>
      </c>
      <c r="J1380" t="s">
        <v>1622</v>
      </c>
      <c r="K1380" t="s">
        <v>1623</v>
      </c>
      <c r="L1380" t="s">
        <v>1624</v>
      </c>
      <c r="M1380" t="s">
        <v>1622</v>
      </c>
    </row>
    <row r="1381" spans="1:13">
      <c r="A1381" t="s">
        <v>2807</v>
      </c>
      <c r="B1381" s="342">
        <v>0.34399999999999997</v>
      </c>
      <c r="C1381" s="342">
        <v>0.218</v>
      </c>
      <c r="D1381" s="342">
        <v>0.32100000000000001</v>
      </c>
      <c r="E1381" s="342">
        <v>0.374</v>
      </c>
      <c r="F1381" s="342">
        <v>0.188</v>
      </c>
      <c r="G1381" s="342">
        <v>0.318</v>
      </c>
      <c r="H1381" s="342">
        <v>0.11600000000000001</v>
      </c>
      <c r="I1381" s="342">
        <v>0.2</v>
      </c>
      <c r="J1381" s="342">
        <v>0.41</v>
      </c>
      <c r="K1381" s="342">
        <v>7.0999999999999994E-2</v>
      </c>
      <c r="L1381" s="342">
        <v>0.27200000000000002</v>
      </c>
      <c r="M1381" s="342">
        <v>0.16400000000000001</v>
      </c>
    </row>
    <row r="1382" spans="1:13">
      <c r="A1382" t="s">
        <v>1618</v>
      </c>
      <c r="B1382" s="342">
        <v>0.13700000000000001</v>
      </c>
      <c r="C1382" s="342">
        <v>0.749</v>
      </c>
      <c r="D1382" s="342">
        <v>0.36899999999999999</v>
      </c>
      <c r="E1382" s="342">
        <v>8.5999999999999993E-2</v>
      </c>
      <c r="F1382" s="342">
        <v>0.77600000000000002</v>
      </c>
      <c r="G1382" s="342">
        <v>0.248</v>
      </c>
      <c r="H1382" s="342">
        <v>0.55400000000000005</v>
      </c>
      <c r="I1382" s="342">
        <v>0.77100000000000002</v>
      </c>
      <c r="J1382" s="342">
        <v>0.45</v>
      </c>
      <c r="K1382" s="342">
        <v>0.55600000000000005</v>
      </c>
      <c r="L1382" s="342">
        <v>0.69499999999999995</v>
      </c>
      <c r="M1382" s="342">
        <v>0.68899999999999995</v>
      </c>
    </row>
    <row r="1383" spans="1:13">
      <c r="A1383" t="s">
        <v>1619</v>
      </c>
      <c r="B1383" s="342">
        <v>5.0000000000000001E-3</v>
      </c>
      <c r="C1383" s="342">
        <v>1.4E-2</v>
      </c>
      <c r="D1383" s="342">
        <v>1.0999999999999999E-2</v>
      </c>
      <c r="E1383" s="342">
        <v>4.0000000000000001E-3</v>
      </c>
      <c r="F1383" s="342">
        <v>1.0999999999999999E-2</v>
      </c>
      <c r="G1383" s="342">
        <v>6.0000000000000001E-3</v>
      </c>
      <c r="H1383" s="342">
        <v>1.6E-2</v>
      </c>
      <c r="I1383" s="342">
        <v>1.4999999999999999E-2</v>
      </c>
      <c r="J1383" s="342">
        <v>1.9E-2</v>
      </c>
      <c r="K1383" s="342">
        <v>1.4E-2</v>
      </c>
      <c r="L1383" s="342">
        <v>1.7999999999999999E-2</v>
      </c>
      <c r="M1383" s="342">
        <v>1.6E-2</v>
      </c>
    </row>
    <row r="1384" spans="1:13">
      <c r="A1384" t="s">
        <v>1620</v>
      </c>
      <c r="B1384" s="342">
        <v>0.22700000000000001</v>
      </c>
      <c r="C1384" s="342">
        <v>1.137</v>
      </c>
      <c r="D1384" s="342">
        <v>0.23300000000000001</v>
      </c>
      <c r="E1384" s="342">
        <v>0.23799999999999999</v>
      </c>
      <c r="F1384" s="342">
        <v>1.34</v>
      </c>
      <c r="G1384" s="342">
        <v>0.29699999999999999</v>
      </c>
      <c r="H1384" s="342">
        <v>0.10299999999999999</v>
      </c>
      <c r="I1384" s="342">
        <v>1.3759999999999999</v>
      </c>
      <c r="J1384" s="342">
        <v>0.13900000000000001</v>
      </c>
      <c r="K1384" s="342">
        <v>1.0329999999999999</v>
      </c>
      <c r="L1384" s="342">
        <v>0.84</v>
      </c>
      <c r="M1384" s="342">
        <v>0.41199999999999998</v>
      </c>
    </row>
    <row r="1385" spans="1:13">
      <c r="A1385" t="s">
        <v>2808</v>
      </c>
      <c r="B1385" s="342">
        <v>7.2999999999999995E-2</v>
      </c>
      <c r="C1385" s="342">
        <v>0.214</v>
      </c>
      <c r="D1385" s="342">
        <v>0.14499999999999999</v>
      </c>
      <c r="E1385" s="342">
        <v>0.08</v>
      </c>
      <c r="F1385" s="342">
        <v>0.128</v>
      </c>
      <c r="G1385" s="342">
        <v>8.7999999999999995E-2</v>
      </c>
      <c r="H1385" s="342">
        <v>2.3E-2</v>
      </c>
      <c r="I1385" s="342">
        <v>0.29899999999999999</v>
      </c>
      <c r="J1385" s="342">
        <v>0.111</v>
      </c>
      <c r="K1385" s="342">
        <v>0.16500000000000001</v>
      </c>
      <c r="L1385" s="342">
        <v>0.23499999999999999</v>
      </c>
      <c r="M1385" s="342">
        <v>0.64500000000000002</v>
      </c>
    </row>
    <row r="1386" spans="1:13">
      <c r="A1386" t="s">
        <v>2809</v>
      </c>
      <c r="B1386" s="342">
        <v>5.0000000000000001E-3</v>
      </c>
      <c r="C1386" s="342">
        <v>1.4E-2</v>
      </c>
      <c r="D1386" s="342">
        <v>5.0000000000000001E-3</v>
      </c>
      <c r="E1386" s="342">
        <v>4.0000000000000001E-3</v>
      </c>
      <c r="F1386" s="342">
        <v>0.03</v>
      </c>
      <c r="G1386" s="342">
        <v>5.0000000000000001E-3</v>
      </c>
      <c r="H1386" s="342">
        <v>7.0000000000000001E-3</v>
      </c>
      <c r="I1386" s="342">
        <v>1.4E-2</v>
      </c>
      <c r="J1386" s="342">
        <v>5.0000000000000001E-3</v>
      </c>
      <c r="K1386" s="342">
        <v>2.5000000000000001E-2</v>
      </c>
      <c r="L1386" s="342">
        <v>2E-3</v>
      </c>
      <c r="M1386" s="342">
        <v>1.2E-2</v>
      </c>
    </row>
    <row r="1387" spans="1:13">
      <c r="A1387" t="s">
        <v>2810</v>
      </c>
      <c r="B1387" s="342">
        <v>0.34</v>
      </c>
      <c r="C1387" s="342">
        <v>0.20100000000000001</v>
      </c>
      <c r="D1387" s="342">
        <v>0.64800000000000002</v>
      </c>
      <c r="E1387" s="342">
        <v>0.35199999999999998</v>
      </c>
      <c r="F1387" s="342">
        <v>0.11799999999999999</v>
      </c>
      <c r="G1387" s="342">
        <v>0.315</v>
      </c>
      <c r="H1387" s="342">
        <v>0.29599999999999999</v>
      </c>
      <c r="I1387" s="342">
        <v>0.22700000000000001</v>
      </c>
      <c r="J1387" s="342">
        <v>0.83599999999999997</v>
      </c>
      <c r="K1387" s="342">
        <v>0.184</v>
      </c>
      <c r="L1387" s="342">
        <v>0.28199999999999997</v>
      </c>
      <c r="M1387" s="342">
        <v>1.5960000000000001</v>
      </c>
    </row>
    <row r="1388" spans="1:13">
      <c r="A1388" t="s">
        <v>9</v>
      </c>
      <c r="B1388">
        <v>70.069999999999993</v>
      </c>
      <c r="C1388">
        <v>8.6999999999999993</v>
      </c>
      <c r="D1388">
        <v>22.38</v>
      </c>
      <c r="E1388">
        <v>317.42</v>
      </c>
      <c r="F1388">
        <v>9.1199999999999992</v>
      </c>
      <c r="G1388">
        <v>42.65</v>
      </c>
      <c r="H1388">
        <v>8.84</v>
      </c>
      <c r="I1388">
        <v>11.04</v>
      </c>
      <c r="J1388">
        <v>19.809999999999999</v>
      </c>
      <c r="K1388">
        <v>10.59</v>
      </c>
      <c r="L1388">
        <v>6.94</v>
      </c>
      <c r="M1388">
        <v>8.56</v>
      </c>
    </row>
    <row r="1389" spans="1:13">
      <c r="A1389" t="s">
        <v>8</v>
      </c>
      <c r="B1389">
        <v>0.52</v>
      </c>
      <c r="C1389">
        <v>215.37</v>
      </c>
      <c r="D1389">
        <v>0.5</v>
      </c>
      <c r="E1389">
        <v>0.46</v>
      </c>
      <c r="F1389">
        <v>280.72000000000003</v>
      </c>
      <c r="G1389">
        <v>0.61</v>
      </c>
      <c r="H1389">
        <v>46.15</v>
      </c>
      <c r="I1389">
        <v>171.06</v>
      </c>
      <c r="J1389">
        <v>0.27</v>
      </c>
      <c r="K1389">
        <v>4116.1099999999997</v>
      </c>
      <c r="L1389">
        <v>203.74</v>
      </c>
      <c r="M1389">
        <v>45.57</v>
      </c>
    </row>
    <row r="1390" spans="1:13">
      <c r="A1390" t="s">
        <v>10</v>
      </c>
      <c r="B1390">
        <v>1942.78</v>
      </c>
      <c r="C1390">
        <v>90.08</v>
      </c>
      <c r="D1390">
        <v>305.56</v>
      </c>
      <c r="E1390">
        <v>13196.58</v>
      </c>
      <c r="F1390">
        <v>74.13</v>
      </c>
      <c r="G1390">
        <v>548.51</v>
      </c>
      <c r="H1390">
        <v>971.85</v>
      </c>
      <c r="I1390">
        <v>960.69</v>
      </c>
      <c r="J1390">
        <v>256.55</v>
      </c>
      <c r="K1390">
        <v>118.22</v>
      </c>
      <c r="L1390">
        <v>57.67</v>
      </c>
      <c r="M1390">
        <v>128.77000000000001</v>
      </c>
    </row>
    <row r="1391" spans="1:13">
      <c r="A1391" t="s">
        <v>1621</v>
      </c>
      <c r="B1391" s="342">
        <v>1.9490000000000001</v>
      </c>
      <c r="C1391" s="342">
        <v>0.108</v>
      </c>
      <c r="D1391" s="342">
        <v>2.0329999999999999</v>
      </c>
      <c r="E1391" s="342">
        <v>2.173</v>
      </c>
      <c r="F1391" s="342">
        <v>0.1</v>
      </c>
      <c r="G1391" s="342">
        <v>1.6619999999999999</v>
      </c>
      <c r="H1391" s="342">
        <v>0.13400000000000001</v>
      </c>
      <c r="I1391" s="342">
        <v>9.5000000000000001E-2</v>
      </c>
      <c r="J1391" s="342">
        <v>3.8069999999999999</v>
      </c>
      <c r="K1391" s="342">
        <v>8.5999999999999993E-2</v>
      </c>
      <c r="L1391" s="342">
        <v>0.13200000000000001</v>
      </c>
      <c r="M1391" s="342">
        <v>0.13100000000000001</v>
      </c>
    </row>
    <row r="1393" spans="1:13">
      <c r="A1393" t="s">
        <v>2897</v>
      </c>
    </row>
    <row r="1395" spans="1:13">
      <c r="A1395" t="s">
        <v>158</v>
      </c>
      <c r="B1395" t="s">
        <v>2806</v>
      </c>
      <c r="E1395">
        <v>2017</v>
      </c>
      <c r="H1395">
        <v>2018</v>
      </c>
      <c r="K1395">
        <v>2019</v>
      </c>
    </row>
    <row r="1396" spans="1:13">
      <c r="B1396" t="s">
        <v>1623</v>
      </c>
      <c r="C1396" t="s">
        <v>1624</v>
      </c>
      <c r="D1396" t="s">
        <v>1622</v>
      </c>
      <c r="E1396" t="s">
        <v>1623</v>
      </c>
      <c r="F1396" t="s">
        <v>1624</v>
      </c>
      <c r="G1396" t="s">
        <v>1622</v>
      </c>
      <c r="H1396" t="s">
        <v>1623</v>
      </c>
      <c r="I1396" t="s">
        <v>1624</v>
      </c>
      <c r="J1396" t="s">
        <v>1622</v>
      </c>
      <c r="K1396" t="s">
        <v>1623</v>
      </c>
      <c r="L1396" t="s">
        <v>1624</v>
      </c>
      <c r="M1396" t="s">
        <v>1622</v>
      </c>
    </row>
    <row r="1397" spans="1:13">
      <c r="A1397" t="s">
        <v>2807</v>
      </c>
      <c r="B1397" s="342">
        <v>0.69399999999999995</v>
      </c>
      <c r="C1397" s="342">
        <v>0.90900000000000003</v>
      </c>
      <c r="D1397" s="342">
        <v>0.872</v>
      </c>
      <c r="E1397" s="342">
        <v>0.64500000000000002</v>
      </c>
      <c r="F1397" s="342">
        <v>0.90200000000000002</v>
      </c>
      <c r="G1397" s="342">
        <v>0.84199999999999997</v>
      </c>
      <c r="H1397" s="342">
        <v>0.73399999999999999</v>
      </c>
      <c r="I1397" s="342">
        <v>0.90400000000000003</v>
      </c>
      <c r="J1397" s="342">
        <v>0.88400000000000001</v>
      </c>
      <c r="K1397" s="342">
        <v>0.71099999999999997</v>
      </c>
      <c r="L1397" s="342">
        <v>0.91300000000000003</v>
      </c>
      <c r="M1397" s="342">
        <v>0.90400000000000003</v>
      </c>
    </row>
    <row r="1398" spans="1:13">
      <c r="A1398" t="s">
        <v>1618</v>
      </c>
      <c r="B1398" s="342">
        <v>8.8999999999999996E-2</v>
      </c>
      <c r="C1398" s="342">
        <v>7.1999999999999995E-2</v>
      </c>
      <c r="D1398" s="342">
        <v>6.3E-2</v>
      </c>
      <c r="E1398" s="342">
        <v>9.4E-2</v>
      </c>
      <c r="F1398" s="342">
        <v>7.5999999999999998E-2</v>
      </c>
      <c r="G1398" s="342">
        <v>7.0000000000000007E-2</v>
      </c>
      <c r="H1398" s="342">
        <v>7.6999999999999999E-2</v>
      </c>
      <c r="I1398" s="342">
        <v>7.9000000000000001E-2</v>
      </c>
      <c r="J1398" s="342">
        <v>5.7000000000000002E-2</v>
      </c>
      <c r="K1398" s="342">
        <v>0.114</v>
      </c>
      <c r="L1398" s="342">
        <v>6.7000000000000004E-2</v>
      </c>
      <c r="M1398" s="342">
        <v>6.0999999999999999E-2</v>
      </c>
    </row>
    <row r="1399" spans="1:13">
      <c r="A1399" t="s">
        <v>1619</v>
      </c>
      <c r="B1399" s="342">
        <v>8.9999999999999993E-3</v>
      </c>
      <c r="C1399" s="342">
        <v>4.0000000000000001E-3</v>
      </c>
      <c r="D1399" s="342">
        <v>3.0000000000000001E-3</v>
      </c>
      <c r="E1399" s="342">
        <v>3.0000000000000001E-3</v>
      </c>
      <c r="F1399" s="342">
        <v>2E-3</v>
      </c>
      <c r="G1399" s="342">
        <v>1E-3</v>
      </c>
      <c r="H1399" s="342">
        <v>1.4999999999999999E-2</v>
      </c>
      <c r="I1399" s="342">
        <v>8.0000000000000002E-3</v>
      </c>
      <c r="J1399" s="342">
        <v>5.0000000000000001E-3</v>
      </c>
      <c r="K1399" s="342">
        <v>1.0999999999999999E-2</v>
      </c>
      <c r="L1399" s="342">
        <v>1E-3</v>
      </c>
      <c r="M1399" s="342">
        <v>3.0000000000000001E-3</v>
      </c>
    </row>
    <row r="1400" spans="1:13">
      <c r="A1400" t="s">
        <v>1620</v>
      </c>
      <c r="B1400" s="342">
        <v>1.042</v>
      </c>
      <c r="C1400" s="342">
        <v>0.57799999999999996</v>
      </c>
      <c r="D1400" s="342">
        <v>0.68</v>
      </c>
      <c r="E1400" s="342">
        <v>1.1140000000000001</v>
      </c>
      <c r="F1400" s="342">
        <v>1.1299999999999999</v>
      </c>
      <c r="G1400" s="342">
        <v>0.77700000000000002</v>
      </c>
      <c r="H1400" s="342">
        <v>0.96799999999999997</v>
      </c>
      <c r="I1400" s="342">
        <v>0.60599999999999998</v>
      </c>
      <c r="J1400" s="342">
        <v>0.66400000000000003</v>
      </c>
      <c r="K1400" s="342">
        <v>1.1140000000000001</v>
      </c>
      <c r="L1400" s="342">
        <v>0.50700000000000001</v>
      </c>
      <c r="M1400" s="342">
        <v>0.57699999999999996</v>
      </c>
    </row>
    <row r="1401" spans="1:13">
      <c r="A1401" t="s">
        <v>2808</v>
      </c>
      <c r="B1401" s="342">
        <v>0.34300000000000003</v>
      </c>
      <c r="C1401" s="342">
        <v>0.28599999999999998</v>
      </c>
      <c r="D1401" s="342">
        <v>0.29499999999999998</v>
      </c>
      <c r="E1401" s="342">
        <v>0.34100000000000003</v>
      </c>
      <c r="F1401" s="342">
        <v>0.17399999999999999</v>
      </c>
      <c r="G1401" s="342">
        <v>0.27900000000000003</v>
      </c>
      <c r="H1401" s="342">
        <v>0.377</v>
      </c>
      <c r="I1401" s="342">
        <v>0.21099999999999999</v>
      </c>
      <c r="J1401" s="342">
        <v>0.28599999999999998</v>
      </c>
      <c r="K1401" s="342">
        <v>0.20399999999999999</v>
      </c>
      <c r="L1401" s="342">
        <v>0.33500000000000002</v>
      </c>
      <c r="M1401" s="342">
        <v>0.32600000000000001</v>
      </c>
    </row>
    <row r="1402" spans="1:13">
      <c r="A1402" t="s">
        <v>2809</v>
      </c>
      <c r="B1402" s="342">
        <v>5.0000000000000001E-3</v>
      </c>
      <c r="C1402" s="342">
        <v>7.0000000000000001E-3</v>
      </c>
      <c r="D1402" s="342">
        <v>6.0000000000000001E-3</v>
      </c>
      <c r="E1402" s="342">
        <v>1.0999999999999999E-2</v>
      </c>
      <c r="F1402" s="342">
        <v>0</v>
      </c>
      <c r="G1402" s="342">
        <v>7.0000000000000001E-3</v>
      </c>
      <c r="H1402" s="342">
        <v>0</v>
      </c>
      <c r="I1402" s="342">
        <v>1.2E-2</v>
      </c>
      <c r="J1402" s="342">
        <v>7.0000000000000001E-3</v>
      </c>
      <c r="K1402" s="342">
        <v>3.0000000000000001E-3</v>
      </c>
      <c r="L1402" s="342">
        <v>5.0000000000000001E-3</v>
      </c>
      <c r="M1402" s="342">
        <v>5.0000000000000001E-3</v>
      </c>
    </row>
    <row r="1403" spans="1:13">
      <c r="A1403" t="s">
        <v>2810</v>
      </c>
      <c r="B1403" s="342">
        <v>0.33400000000000002</v>
      </c>
      <c r="C1403" s="342">
        <v>0.50700000000000001</v>
      </c>
      <c r="D1403" s="342">
        <v>0.443</v>
      </c>
      <c r="E1403" s="342">
        <v>0.316</v>
      </c>
      <c r="F1403" s="342">
        <v>0.154</v>
      </c>
      <c r="G1403" s="342">
        <v>0.36799999999999999</v>
      </c>
      <c r="H1403" s="342">
        <v>0.38900000000000001</v>
      </c>
      <c r="I1403" s="342">
        <v>0.36899999999999999</v>
      </c>
      <c r="J1403" s="342">
        <v>0.441</v>
      </c>
      <c r="K1403" s="342">
        <v>0.186</v>
      </c>
      <c r="L1403" s="342">
        <v>0.67200000000000004</v>
      </c>
      <c r="M1403" s="342">
        <v>0.57399999999999995</v>
      </c>
    </row>
    <row r="1404" spans="1:13">
      <c r="A1404" t="s">
        <v>9</v>
      </c>
      <c r="B1404">
        <v>26.68</v>
      </c>
      <c r="C1404">
        <v>11.37</v>
      </c>
      <c r="D1404">
        <v>10.5</v>
      </c>
      <c r="E1404">
        <v>28.22</v>
      </c>
      <c r="F1404">
        <v>15.69</v>
      </c>
      <c r="G1404">
        <v>9.7100000000000009</v>
      </c>
      <c r="H1404">
        <v>34.33</v>
      </c>
      <c r="I1404">
        <v>8.74</v>
      </c>
      <c r="J1404">
        <v>10.45</v>
      </c>
      <c r="K1404">
        <v>13.17</v>
      </c>
      <c r="L1404">
        <v>12.86</v>
      </c>
      <c r="M1404">
        <v>12.29</v>
      </c>
    </row>
    <row r="1405" spans="1:13">
      <c r="A1405" t="s">
        <v>8</v>
      </c>
      <c r="B1405">
        <v>4.42</v>
      </c>
      <c r="C1405">
        <v>5.61</v>
      </c>
      <c r="D1405">
        <v>6.45</v>
      </c>
      <c r="E1405">
        <v>6.21</v>
      </c>
      <c r="F1405">
        <v>4.72</v>
      </c>
      <c r="G1405">
        <v>8.08</v>
      </c>
      <c r="H1405">
        <v>3.05</v>
      </c>
      <c r="I1405">
        <v>7.3</v>
      </c>
      <c r="J1405">
        <v>5.81</v>
      </c>
      <c r="K1405">
        <v>14.46</v>
      </c>
      <c r="L1405">
        <v>5.13</v>
      </c>
      <c r="M1405">
        <v>5.49</v>
      </c>
    </row>
    <row r="1406" spans="1:13">
      <c r="A1406" t="s">
        <v>10</v>
      </c>
      <c r="B1406">
        <v>284.64</v>
      </c>
      <c r="C1406">
        <v>18.28</v>
      </c>
      <c r="D1406">
        <v>19.66</v>
      </c>
      <c r="E1406">
        <v>271.92</v>
      </c>
      <c r="F1406">
        <v>22.64</v>
      </c>
      <c r="G1406">
        <v>17.72</v>
      </c>
      <c r="H1406">
        <v>555.08000000000004</v>
      </c>
      <c r="I1406">
        <v>13.97</v>
      </c>
      <c r="J1406">
        <v>19.41</v>
      </c>
      <c r="K1406">
        <v>106.52</v>
      </c>
      <c r="L1406">
        <v>21.26</v>
      </c>
      <c r="M1406">
        <v>24.82</v>
      </c>
    </row>
    <row r="1407" spans="1:13">
      <c r="A1407" t="s">
        <v>1621</v>
      </c>
      <c r="B1407" s="342">
        <v>0.26</v>
      </c>
      <c r="C1407" s="342">
        <v>0.21099999999999999</v>
      </c>
      <c r="D1407" s="342">
        <v>0.19900000000000001</v>
      </c>
      <c r="E1407" s="342">
        <v>0.193</v>
      </c>
      <c r="F1407" s="342">
        <v>0.23100000000000001</v>
      </c>
      <c r="G1407" s="342">
        <v>0.17</v>
      </c>
      <c r="H1407" s="342">
        <v>0.35499999999999998</v>
      </c>
      <c r="I1407" s="342">
        <v>0.18</v>
      </c>
      <c r="J1407" s="342">
        <v>0.216</v>
      </c>
      <c r="K1407" s="342">
        <v>0.13600000000000001</v>
      </c>
      <c r="L1407" s="342">
        <v>0.22600000000000001</v>
      </c>
      <c r="M1407" s="342">
        <v>0.223</v>
      </c>
    </row>
    <row r="1409" spans="1:13">
      <c r="A1409" t="s">
        <v>2898</v>
      </c>
    </row>
    <row r="1411" spans="1:13">
      <c r="A1411" t="s">
        <v>158</v>
      </c>
      <c r="B1411" t="s">
        <v>2806</v>
      </c>
      <c r="E1411">
        <v>2017</v>
      </c>
      <c r="H1411">
        <v>2018</v>
      </c>
      <c r="K1411">
        <v>2019</v>
      </c>
    </row>
    <row r="1412" spans="1:13">
      <c r="B1412" t="s">
        <v>1623</v>
      </c>
      <c r="C1412" t="s">
        <v>1624</v>
      </c>
      <c r="D1412" t="s">
        <v>1622</v>
      </c>
      <c r="E1412" t="s">
        <v>1623</v>
      </c>
      <c r="F1412" t="s">
        <v>1624</v>
      </c>
      <c r="G1412" t="s">
        <v>1622</v>
      </c>
      <c r="H1412" t="s">
        <v>1623</v>
      </c>
      <c r="I1412" t="s">
        <v>1624</v>
      </c>
      <c r="J1412" t="s">
        <v>1622</v>
      </c>
      <c r="K1412" t="s">
        <v>1623</v>
      </c>
      <c r="L1412" t="s">
        <v>1624</v>
      </c>
      <c r="M1412" t="s">
        <v>1622</v>
      </c>
    </row>
    <row r="1413" spans="1:13">
      <c r="A1413" t="s">
        <v>2807</v>
      </c>
      <c r="B1413" s="342">
        <v>0.83199999999999996</v>
      </c>
      <c r="C1413" s="342">
        <v>0.91800000000000004</v>
      </c>
      <c r="D1413" s="342">
        <v>0.86199999999999999</v>
      </c>
      <c r="E1413" t="s">
        <v>1468</v>
      </c>
      <c r="F1413" t="s">
        <v>1468</v>
      </c>
      <c r="G1413" t="s">
        <v>1468</v>
      </c>
      <c r="H1413" s="342">
        <v>0.83199999999999996</v>
      </c>
      <c r="I1413" s="342">
        <v>0.91800000000000004</v>
      </c>
      <c r="J1413" s="342">
        <v>0.89600000000000002</v>
      </c>
      <c r="K1413" t="s">
        <v>1468</v>
      </c>
      <c r="L1413" t="s">
        <v>1468</v>
      </c>
      <c r="M1413" s="342">
        <v>0.73899999999999999</v>
      </c>
    </row>
    <row r="1414" spans="1:13">
      <c r="A1414" t="s">
        <v>1618</v>
      </c>
      <c r="B1414" s="342">
        <v>8.3000000000000004E-2</v>
      </c>
      <c r="C1414" s="342">
        <v>4.0000000000000001E-3</v>
      </c>
      <c r="D1414" s="342">
        <v>3.7999999999999999E-2</v>
      </c>
      <c r="E1414" t="s">
        <v>1468</v>
      </c>
      <c r="F1414" t="s">
        <v>1468</v>
      </c>
      <c r="G1414" t="s">
        <v>1468</v>
      </c>
      <c r="H1414" s="342">
        <v>8.3000000000000004E-2</v>
      </c>
      <c r="I1414" s="342">
        <v>4.0000000000000001E-3</v>
      </c>
      <c r="J1414" s="342">
        <v>2.5000000000000001E-2</v>
      </c>
      <c r="K1414" t="s">
        <v>1468</v>
      </c>
      <c r="L1414" t="s">
        <v>1468</v>
      </c>
      <c r="M1414" s="342">
        <v>8.5999999999999993E-2</v>
      </c>
    </row>
    <row r="1415" spans="1:13">
      <c r="A1415" t="s">
        <v>1619</v>
      </c>
      <c r="B1415" s="342">
        <v>1.2E-2</v>
      </c>
      <c r="C1415" s="342">
        <v>2E-3</v>
      </c>
      <c r="D1415" s="342">
        <v>0.01</v>
      </c>
      <c r="E1415" t="s">
        <v>1468</v>
      </c>
      <c r="F1415" t="s">
        <v>1468</v>
      </c>
      <c r="G1415" t="s">
        <v>1468</v>
      </c>
      <c r="H1415" s="342">
        <v>1.2E-2</v>
      </c>
      <c r="I1415" s="342">
        <v>2E-3</v>
      </c>
      <c r="J1415" s="342">
        <v>5.0000000000000001E-3</v>
      </c>
      <c r="K1415" t="s">
        <v>1468</v>
      </c>
      <c r="L1415" t="s">
        <v>1468</v>
      </c>
      <c r="M1415" s="342">
        <v>2.8000000000000001E-2</v>
      </c>
    </row>
    <row r="1416" spans="1:13">
      <c r="A1416" t="s">
        <v>1620</v>
      </c>
      <c r="B1416" s="342">
        <v>1.2270000000000001</v>
      </c>
      <c r="C1416" s="342">
        <v>1.647</v>
      </c>
      <c r="D1416" s="342">
        <v>1.2689999999999999</v>
      </c>
      <c r="E1416" t="s">
        <v>1468</v>
      </c>
      <c r="F1416" t="s">
        <v>1468</v>
      </c>
      <c r="G1416" t="s">
        <v>1468</v>
      </c>
      <c r="H1416" s="342">
        <v>1.2270000000000001</v>
      </c>
      <c r="I1416" s="342">
        <v>1.647</v>
      </c>
      <c r="J1416" s="342">
        <v>1.512</v>
      </c>
      <c r="K1416" t="s">
        <v>1468</v>
      </c>
      <c r="L1416" t="s">
        <v>1468</v>
      </c>
      <c r="M1416" s="342">
        <v>0.79700000000000004</v>
      </c>
    </row>
    <row r="1417" spans="1:13">
      <c r="A1417" t="s">
        <v>2808</v>
      </c>
      <c r="B1417" s="342">
        <v>0.46899999999999997</v>
      </c>
      <c r="C1417" s="342">
        <v>0.29099999999999998</v>
      </c>
      <c r="D1417" s="342">
        <v>0.34200000000000003</v>
      </c>
      <c r="E1417" t="s">
        <v>1468</v>
      </c>
      <c r="F1417" t="s">
        <v>1468</v>
      </c>
      <c r="G1417" t="s">
        <v>1468</v>
      </c>
      <c r="H1417" s="342">
        <v>0.46899999999999997</v>
      </c>
      <c r="I1417" s="342">
        <v>0.29099999999999998</v>
      </c>
      <c r="J1417" s="342">
        <v>0.34799999999999998</v>
      </c>
      <c r="K1417" t="s">
        <v>1468</v>
      </c>
      <c r="L1417" t="s">
        <v>1468</v>
      </c>
      <c r="M1417" s="342">
        <v>0.32900000000000001</v>
      </c>
    </row>
    <row r="1418" spans="1:13">
      <c r="A1418" t="s">
        <v>2809</v>
      </c>
      <c r="B1418" s="342">
        <v>0</v>
      </c>
      <c r="C1418" s="342">
        <v>0</v>
      </c>
      <c r="D1418" s="342">
        <v>0</v>
      </c>
      <c r="E1418" t="s">
        <v>1468</v>
      </c>
      <c r="F1418" t="s">
        <v>1468</v>
      </c>
      <c r="G1418" t="s">
        <v>1468</v>
      </c>
      <c r="H1418" s="342">
        <v>0</v>
      </c>
      <c r="I1418" s="342">
        <v>0</v>
      </c>
      <c r="J1418" s="342">
        <v>0</v>
      </c>
      <c r="K1418" t="s">
        <v>1468</v>
      </c>
      <c r="L1418" t="s">
        <v>1468</v>
      </c>
      <c r="M1418" s="342">
        <v>0</v>
      </c>
    </row>
    <row r="1419" spans="1:13">
      <c r="A1419" t="s">
        <v>2810</v>
      </c>
      <c r="B1419" s="342">
        <v>0.38200000000000001</v>
      </c>
      <c r="C1419" s="342">
        <v>0.17699999999999999</v>
      </c>
      <c r="D1419" s="342">
        <v>0.26900000000000002</v>
      </c>
      <c r="E1419" t="s">
        <v>1468</v>
      </c>
      <c r="F1419" t="s">
        <v>1468</v>
      </c>
      <c r="G1419" t="s">
        <v>1468</v>
      </c>
      <c r="H1419" s="342">
        <v>0.38200000000000001</v>
      </c>
      <c r="I1419" s="342">
        <v>0.17699999999999999</v>
      </c>
      <c r="J1419" s="342">
        <v>0.23</v>
      </c>
      <c r="K1419" t="s">
        <v>1468</v>
      </c>
      <c r="L1419" t="s">
        <v>1468</v>
      </c>
      <c r="M1419" s="342">
        <v>0.41299999999999998</v>
      </c>
    </row>
    <row r="1420" spans="1:13">
      <c r="A1420" t="s">
        <v>9</v>
      </c>
      <c r="B1420">
        <v>4.41</v>
      </c>
      <c r="C1420" t="s">
        <v>1468</v>
      </c>
      <c r="D1420">
        <v>5.58</v>
      </c>
      <c r="E1420" t="s">
        <v>1468</v>
      </c>
      <c r="F1420" t="s">
        <v>1468</v>
      </c>
      <c r="G1420" t="s">
        <v>1468</v>
      </c>
      <c r="H1420">
        <v>4.41</v>
      </c>
      <c r="I1420" t="s">
        <v>1468</v>
      </c>
      <c r="J1420">
        <v>16.97</v>
      </c>
      <c r="K1420" t="s">
        <v>1468</v>
      </c>
      <c r="L1420" t="s">
        <v>1468</v>
      </c>
      <c r="M1420">
        <v>1.61</v>
      </c>
    </row>
    <row r="1421" spans="1:13">
      <c r="A1421" t="s">
        <v>8</v>
      </c>
      <c r="B1421">
        <v>5.48</v>
      </c>
      <c r="C1421">
        <v>2.84</v>
      </c>
      <c r="D1421">
        <v>3.67</v>
      </c>
      <c r="E1421" t="s">
        <v>1468</v>
      </c>
      <c r="F1421" t="s">
        <v>1468</v>
      </c>
      <c r="G1421" t="s">
        <v>1468</v>
      </c>
      <c r="H1421">
        <v>5.48</v>
      </c>
      <c r="I1421">
        <v>2.84</v>
      </c>
      <c r="J1421">
        <v>3.25</v>
      </c>
      <c r="K1421" t="s">
        <v>1468</v>
      </c>
      <c r="L1421" t="s">
        <v>1468</v>
      </c>
      <c r="M1421">
        <v>7.03</v>
      </c>
    </row>
    <row r="1422" spans="1:13">
      <c r="A1422" t="s">
        <v>10</v>
      </c>
      <c r="B1422">
        <v>75.08</v>
      </c>
      <c r="C1422" t="s">
        <v>1468</v>
      </c>
      <c r="D1422">
        <v>16.97</v>
      </c>
      <c r="E1422" t="s">
        <v>1468</v>
      </c>
      <c r="F1422" t="s">
        <v>1468</v>
      </c>
      <c r="G1422" t="s">
        <v>1468</v>
      </c>
      <c r="H1422">
        <v>75.08</v>
      </c>
      <c r="I1422" t="s">
        <v>1468</v>
      </c>
      <c r="J1422">
        <v>288.64</v>
      </c>
      <c r="K1422" t="s">
        <v>1468</v>
      </c>
      <c r="L1422" t="s">
        <v>1468</v>
      </c>
      <c r="M1422">
        <v>3.79</v>
      </c>
    </row>
    <row r="1423" spans="1:13">
      <c r="A1423" t="s">
        <v>1621</v>
      </c>
      <c r="B1423" s="342">
        <v>0.39600000000000002</v>
      </c>
      <c r="C1423" t="s">
        <v>1468</v>
      </c>
      <c r="D1423" s="342">
        <v>0.39300000000000002</v>
      </c>
      <c r="E1423" t="s">
        <v>1468</v>
      </c>
      <c r="F1423" t="s">
        <v>1468</v>
      </c>
      <c r="G1423" t="s">
        <v>1468</v>
      </c>
      <c r="H1423" s="342">
        <v>0.39600000000000002</v>
      </c>
      <c r="I1423" t="s">
        <v>1468</v>
      </c>
      <c r="J1423" s="342">
        <v>0.36299999999999999</v>
      </c>
      <c r="K1423" t="s">
        <v>1468</v>
      </c>
      <c r="L1423" t="s">
        <v>1468</v>
      </c>
      <c r="M1423" s="342">
        <v>0.502</v>
      </c>
    </row>
    <row r="1425" spans="1:13">
      <c r="A1425" t="s">
        <v>2899</v>
      </c>
    </row>
    <row r="1427" spans="1:13">
      <c r="A1427" t="s">
        <v>158</v>
      </c>
      <c r="B1427" t="s">
        <v>2806</v>
      </c>
      <c r="E1427">
        <v>2017</v>
      </c>
      <c r="H1427">
        <v>2018</v>
      </c>
      <c r="K1427">
        <v>2019</v>
      </c>
    </row>
    <row r="1428" spans="1:13">
      <c r="B1428" t="s">
        <v>1623</v>
      </c>
      <c r="C1428" t="s">
        <v>1624</v>
      </c>
      <c r="D1428" t="s">
        <v>1622</v>
      </c>
      <c r="E1428" t="s">
        <v>1623</v>
      </c>
      <c r="F1428" t="s">
        <v>1624</v>
      </c>
      <c r="G1428" t="s">
        <v>1622</v>
      </c>
      <c r="H1428" t="s">
        <v>1623</v>
      </c>
      <c r="I1428" t="s">
        <v>1624</v>
      </c>
      <c r="J1428" t="s">
        <v>1622</v>
      </c>
      <c r="K1428" t="s">
        <v>1623</v>
      </c>
      <c r="L1428" t="s">
        <v>1624</v>
      </c>
      <c r="M1428" t="s">
        <v>1622</v>
      </c>
    </row>
    <row r="1429" spans="1:13">
      <c r="A1429" t="s">
        <v>2807</v>
      </c>
      <c r="B1429" s="342">
        <v>0.69</v>
      </c>
      <c r="C1429" s="342">
        <v>0.90800000000000003</v>
      </c>
      <c r="D1429" s="342">
        <v>0.85</v>
      </c>
      <c r="E1429" s="342">
        <v>0.65500000000000003</v>
      </c>
      <c r="F1429" s="342">
        <v>0.88300000000000001</v>
      </c>
      <c r="G1429" s="342">
        <v>0.83699999999999997</v>
      </c>
      <c r="H1429" s="342">
        <v>0.67700000000000005</v>
      </c>
      <c r="I1429" s="342">
        <v>0.90200000000000002</v>
      </c>
      <c r="J1429" s="342">
        <v>0.84499999999999997</v>
      </c>
      <c r="K1429" s="342">
        <v>0.72099999999999997</v>
      </c>
      <c r="L1429" s="342">
        <v>0.92</v>
      </c>
      <c r="M1429" s="342">
        <v>0.86</v>
      </c>
    </row>
    <row r="1430" spans="1:13">
      <c r="A1430" t="s">
        <v>1618</v>
      </c>
      <c r="B1430" s="342">
        <v>9.6000000000000002E-2</v>
      </c>
      <c r="C1430" s="342">
        <v>6.6000000000000003E-2</v>
      </c>
      <c r="D1430" s="342">
        <v>7.2999999999999995E-2</v>
      </c>
      <c r="E1430" s="342">
        <v>9.8000000000000004E-2</v>
      </c>
      <c r="F1430" s="342">
        <v>8.3000000000000004E-2</v>
      </c>
      <c r="G1430" s="342">
        <v>7.5999999999999998E-2</v>
      </c>
      <c r="H1430" s="342">
        <v>9.7000000000000003E-2</v>
      </c>
      <c r="I1430" s="342">
        <v>7.1999999999999995E-2</v>
      </c>
      <c r="J1430" s="342">
        <v>7.3999999999999996E-2</v>
      </c>
      <c r="K1430" s="342">
        <v>9.4E-2</v>
      </c>
      <c r="L1430" s="342">
        <v>5.6000000000000001E-2</v>
      </c>
      <c r="M1430" s="342">
        <v>7.1999999999999995E-2</v>
      </c>
    </row>
    <row r="1431" spans="1:13">
      <c r="A1431" t="s">
        <v>1619</v>
      </c>
      <c r="B1431" s="342">
        <v>3.5000000000000003E-2</v>
      </c>
      <c r="C1431" s="342">
        <v>2.1000000000000001E-2</v>
      </c>
      <c r="D1431" s="342">
        <v>0.03</v>
      </c>
      <c r="E1431" s="342">
        <v>7.0000000000000001E-3</v>
      </c>
      <c r="F1431" s="342">
        <v>8.9999999999999993E-3</v>
      </c>
      <c r="G1431" s="342">
        <v>8.9999999999999993E-3</v>
      </c>
      <c r="H1431" s="342">
        <v>0.04</v>
      </c>
      <c r="I1431" s="342">
        <v>2.8000000000000001E-2</v>
      </c>
      <c r="J1431" s="342">
        <v>3.3000000000000002E-2</v>
      </c>
      <c r="K1431" s="342">
        <v>3.5000000000000003E-2</v>
      </c>
      <c r="L1431" s="342">
        <v>1.7999999999999999E-2</v>
      </c>
      <c r="M1431" s="342">
        <v>3.1E-2</v>
      </c>
    </row>
    <row r="1432" spans="1:13">
      <c r="A1432" t="s">
        <v>1620</v>
      </c>
      <c r="B1432" s="342">
        <v>0.46600000000000003</v>
      </c>
      <c r="C1432" s="342">
        <v>0.99</v>
      </c>
      <c r="D1432" s="342">
        <v>0.74099999999999999</v>
      </c>
      <c r="E1432" s="342">
        <v>0.46</v>
      </c>
      <c r="F1432" s="342">
        <v>0.50700000000000001</v>
      </c>
      <c r="G1432" s="342">
        <v>0.56699999999999995</v>
      </c>
      <c r="H1432" s="342">
        <v>0.46899999999999997</v>
      </c>
      <c r="I1432" s="342">
        <v>1.133</v>
      </c>
      <c r="J1432" s="342">
        <v>0.79300000000000004</v>
      </c>
      <c r="K1432" s="342">
        <v>0.46200000000000002</v>
      </c>
      <c r="L1432" s="342">
        <v>1.1419999999999999</v>
      </c>
      <c r="M1432" s="342">
        <v>0.74399999999999999</v>
      </c>
    </row>
    <row r="1433" spans="1:13">
      <c r="A1433" t="s">
        <v>2808</v>
      </c>
      <c r="B1433" s="342">
        <v>0.436</v>
      </c>
      <c r="C1433" s="342">
        <v>0.39400000000000002</v>
      </c>
      <c r="D1433" s="342">
        <v>0.40400000000000003</v>
      </c>
      <c r="E1433" s="342">
        <v>0.52</v>
      </c>
      <c r="F1433" s="342">
        <v>0.33400000000000002</v>
      </c>
      <c r="G1433" s="342">
        <v>0.40100000000000002</v>
      </c>
      <c r="H1433" s="342">
        <v>0.45100000000000001</v>
      </c>
      <c r="I1433" s="342">
        <v>0.42299999999999999</v>
      </c>
      <c r="J1433" s="342">
        <v>0.42899999999999999</v>
      </c>
      <c r="K1433" s="342">
        <v>0.38700000000000001</v>
      </c>
      <c r="L1433" s="342">
        <v>0.40100000000000002</v>
      </c>
      <c r="M1433" s="342">
        <v>0.376</v>
      </c>
    </row>
    <row r="1434" spans="1:13">
      <c r="A1434" t="s">
        <v>2809</v>
      </c>
      <c r="B1434" s="342">
        <v>7.0000000000000001E-3</v>
      </c>
      <c r="C1434" s="342">
        <v>5.0000000000000001E-3</v>
      </c>
      <c r="D1434" s="342">
        <v>5.0000000000000001E-3</v>
      </c>
      <c r="E1434" s="342">
        <v>5.0000000000000001E-3</v>
      </c>
      <c r="F1434" s="342">
        <v>1.0999999999999999E-2</v>
      </c>
      <c r="G1434" s="342">
        <v>6.0000000000000001E-3</v>
      </c>
      <c r="H1434" s="342">
        <v>5.0000000000000001E-3</v>
      </c>
      <c r="I1434" s="342">
        <v>4.0000000000000001E-3</v>
      </c>
      <c r="J1434" s="342">
        <v>5.0000000000000001E-3</v>
      </c>
      <c r="K1434" s="342">
        <v>0.01</v>
      </c>
      <c r="L1434" s="342">
        <v>2E-3</v>
      </c>
      <c r="M1434" s="342">
        <v>5.0000000000000001E-3</v>
      </c>
    </row>
    <row r="1435" spans="1:13">
      <c r="A1435" t="s">
        <v>2810</v>
      </c>
      <c r="B1435" s="342">
        <v>0.95199999999999996</v>
      </c>
      <c r="C1435" s="342">
        <v>0.40300000000000002</v>
      </c>
      <c r="D1435" s="342">
        <v>0.55200000000000005</v>
      </c>
      <c r="E1435" s="342">
        <v>1.141</v>
      </c>
      <c r="F1435" s="342">
        <v>0.68</v>
      </c>
      <c r="G1435" s="342">
        <v>0.71799999999999997</v>
      </c>
      <c r="H1435" s="342">
        <v>0.97299999999999998</v>
      </c>
      <c r="I1435" s="342">
        <v>0.377</v>
      </c>
      <c r="J1435" s="342">
        <v>0.54800000000000004</v>
      </c>
      <c r="K1435" s="342">
        <v>0.85899999999999999</v>
      </c>
      <c r="L1435" s="342">
        <v>0.35199999999999998</v>
      </c>
      <c r="M1435" s="342">
        <v>0.51200000000000001</v>
      </c>
    </row>
    <row r="1436" spans="1:13">
      <c r="A1436" t="s">
        <v>9</v>
      </c>
      <c r="B1436">
        <v>5.43</v>
      </c>
      <c r="C1436">
        <v>13.42</v>
      </c>
      <c r="D1436">
        <v>8.99</v>
      </c>
      <c r="E1436">
        <v>15.78</v>
      </c>
      <c r="F1436">
        <v>10.62</v>
      </c>
      <c r="G1436">
        <v>9.5299999999999994</v>
      </c>
      <c r="H1436">
        <v>7.22</v>
      </c>
      <c r="I1436">
        <v>13.8</v>
      </c>
      <c r="J1436">
        <v>9.83</v>
      </c>
      <c r="K1436">
        <v>3.42</v>
      </c>
      <c r="L1436">
        <v>14.04</v>
      </c>
      <c r="M1436">
        <v>8.02</v>
      </c>
    </row>
    <row r="1437" spans="1:13">
      <c r="A1437" t="s">
        <v>8</v>
      </c>
      <c r="B1437">
        <v>1.58</v>
      </c>
      <c r="C1437">
        <v>3.3</v>
      </c>
      <c r="D1437">
        <v>2.42</v>
      </c>
      <c r="E1437">
        <v>1.82</v>
      </c>
      <c r="F1437">
        <v>1.25</v>
      </c>
      <c r="G1437">
        <v>1.54</v>
      </c>
      <c r="H1437">
        <v>1.49</v>
      </c>
      <c r="I1437">
        <v>4.54</v>
      </c>
      <c r="J1437">
        <v>2.78</v>
      </c>
      <c r="K1437">
        <v>1.67</v>
      </c>
      <c r="L1437">
        <v>3.98</v>
      </c>
      <c r="M1437">
        <v>2.42</v>
      </c>
    </row>
    <row r="1438" spans="1:13">
      <c r="A1438" t="s">
        <v>10</v>
      </c>
      <c r="B1438">
        <v>16.739999999999998</v>
      </c>
      <c r="C1438">
        <v>19.78</v>
      </c>
      <c r="D1438">
        <v>19.329999999999998</v>
      </c>
      <c r="E1438">
        <v>55.56</v>
      </c>
      <c r="F1438">
        <v>27.49</v>
      </c>
      <c r="G1438">
        <v>20.38</v>
      </c>
      <c r="H1438">
        <v>12.94</v>
      </c>
      <c r="I1438">
        <v>22.92</v>
      </c>
      <c r="J1438">
        <v>20.37</v>
      </c>
      <c r="K1438">
        <v>21.28</v>
      </c>
      <c r="L1438">
        <v>16.16</v>
      </c>
      <c r="M1438">
        <v>17.96</v>
      </c>
    </row>
    <row r="1439" spans="1:13">
      <c r="A1439" t="s">
        <v>1621</v>
      </c>
      <c r="B1439" s="342">
        <v>0.75600000000000001</v>
      </c>
      <c r="C1439" s="342">
        <v>0.32700000000000001</v>
      </c>
      <c r="D1439" s="342">
        <v>0.47299999999999998</v>
      </c>
      <c r="E1439" s="342">
        <v>0.59299999999999997</v>
      </c>
      <c r="F1439" s="342">
        <v>0.86099999999999999</v>
      </c>
      <c r="G1439" s="342">
        <v>0.70699999999999996</v>
      </c>
      <c r="H1439" s="342">
        <v>0.73099999999999998</v>
      </c>
      <c r="I1439" s="342">
        <v>0.249</v>
      </c>
      <c r="J1439" s="342">
        <v>0.41299999999999998</v>
      </c>
      <c r="K1439" s="342">
        <v>0.84499999999999997</v>
      </c>
      <c r="L1439" s="342">
        <v>0.26100000000000001</v>
      </c>
      <c r="M1439" s="342">
        <v>0.48199999999999998</v>
      </c>
    </row>
    <row r="1441" spans="1:13">
      <c r="A1441" t="s">
        <v>2900</v>
      </c>
    </row>
    <row r="1443" spans="1:13">
      <c r="A1443" t="s">
        <v>158</v>
      </c>
      <c r="B1443" t="s">
        <v>2806</v>
      </c>
      <c r="E1443">
        <v>2017</v>
      </c>
      <c r="H1443">
        <v>2018</v>
      </c>
      <c r="K1443">
        <v>2019</v>
      </c>
    </row>
    <row r="1444" spans="1:13">
      <c r="B1444" t="s">
        <v>1623</v>
      </c>
      <c r="C1444" t="s">
        <v>1624</v>
      </c>
      <c r="D1444" t="s">
        <v>1622</v>
      </c>
      <c r="E1444" t="s">
        <v>1623</v>
      </c>
      <c r="F1444" t="s">
        <v>1624</v>
      </c>
      <c r="G1444" t="s">
        <v>1622</v>
      </c>
      <c r="H1444" t="s">
        <v>1623</v>
      </c>
      <c r="I1444" t="s">
        <v>1624</v>
      </c>
      <c r="J1444" t="s">
        <v>1622</v>
      </c>
      <c r="K1444" t="s">
        <v>1623</v>
      </c>
      <c r="L1444" t="s">
        <v>1624</v>
      </c>
      <c r="M1444" t="s">
        <v>1622</v>
      </c>
    </row>
    <row r="1445" spans="1:13">
      <c r="A1445" t="s">
        <v>2807</v>
      </c>
      <c r="B1445" s="342">
        <v>0.75</v>
      </c>
      <c r="C1445" s="342">
        <v>0.81399999999999995</v>
      </c>
      <c r="D1445" s="342">
        <v>0.75700000000000001</v>
      </c>
      <c r="E1445" s="342">
        <v>0.77</v>
      </c>
      <c r="F1445" s="342">
        <v>0.61</v>
      </c>
      <c r="G1445" s="342">
        <v>0.65800000000000003</v>
      </c>
      <c r="H1445" s="342">
        <v>0.75900000000000001</v>
      </c>
      <c r="I1445" s="342">
        <v>0.93500000000000005</v>
      </c>
      <c r="J1445" s="342">
        <v>0.79100000000000004</v>
      </c>
      <c r="K1445" s="342">
        <v>0.71699999999999997</v>
      </c>
      <c r="L1445" s="342">
        <v>0.92900000000000005</v>
      </c>
      <c r="M1445" s="342">
        <v>0.81699999999999995</v>
      </c>
    </row>
    <row r="1446" spans="1:13">
      <c r="A1446" t="s">
        <v>1618</v>
      </c>
      <c r="B1446" s="342">
        <v>0.11</v>
      </c>
      <c r="C1446" s="342">
        <v>0.17799999999999999</v>
      </c>
      <c r="D1446" s="342">
        <v>0.20399999999999999</v>
      </c>
      <c r="E1446" s="342">
        <v>9.2999999999999999E-2</v>
      </c>
      <c r="F1446" s="342">
        <v>0.38300000000000001</v>
      </c>
      <c r="G1446" s="342">
        <v>0.30499999999999999</v>
      </c>
      <c r="H1446" s="342">
        <v>0.121</v>
      </c>
      <c r="I1446" s="342">
        <v>0.05</v>
      </c>
      <c r="J1446" s="342">
        <v>0.161</v>
      </c>
      <c r="K1446" s="342">
        <v>0.11600000000000001</v>
      </c>
      <c r="L1446" s="342">
        <v>6.6000000000000003E-2</v>
      </c>
      <c r="M1446" s="342">
        <v>0.14899999999999999</v>
      </c>
    </row>
    <row r="1447" spans="1:13">
      <c r="A1447" t="s">
        <v>1619</v>
      </c>
      <c r="B1447" s="342">
        <v>7.0000000000000001E-3</v>
      </c>
      <c r="C1447" s="342">
        <v>0.01</v>
      </c>
      <c r="D1447" s="342">
        <v>8.0000000000000002E-3</v>
      </c>
      <c r="E1447" s="342">
        <v>2E-3</v>
      </c>
      <c r="F1447" s="342">
        <v>2.1999999999999999E-2</v>
      </c>
      <c r="G1447" s="342">
        <v>1.2999999999999999E-2</v>
      </c>
      <c r="H1447" s="342">
        <v>8.0000000000000002E-3</v>
      </c>
      <c r="I1447" s="342">
        <v>2E-3</v>
      </c>
      <c r="J1447" s="342">
        <v>6.0000000000000001E-3</v>
      </c>
      <c r="K1447" s="342">
        <v>0.01</v>
      </c>
      <c r="L1447" s="342">
        <v>3.0000000000000001E-3</v>
      </c>
      <c r="M1447" s="342">
        <v>5.0000000000000001E-3</v>
      </c>
    </row>
    <row r="1448" spans="1:13">
      <c r="A1448" t="s">
        <v>1620</v>
      </c>
      <c r="B1448" s="342">
        <v>1.246</v>
      </c>
      <c r="C1448" s="342">
        <v>2.9809999999999999</v>
      </c>
      <c r="D1448" s="342">
        <v>1.992</v>
      </c>
      <c r="E1448" s="342">
        <v>1.722</v>
      </c>
      <c r="F1448" s="342">
        <v>1.7549999999999999</v>
      </c>
      <c r="G1448" s="342">
        <v>1.7589999999999999</v>
      </c>
      <c r="H1448" s="342">
        <v>1.3120000000000001</v>
      </c>
      <c r="I1448" s="342">
        <v>4.0720000000000001</v>
      </c>
      <c r="J1448" s="342">
        <v>1.903</v>
      </c>
      <c r="K1448" s="342">
        <v>0.91700000000000004</v>
      </c>
      <c r="L1448" s="342">
        <v>5.4210000000000003</v>
      </c>
      <c r="M1448" s="342">
        <v>2.3410000000000002</v>
      </c>
    </row>
    <row r="1449" spans="1:13">
      <c r="A1449" t="s">
        <v>2808</v>
      </c>
      <c r="B1449" s="342">
        <v>0.224</v>
      </c>
      <c r="C1449" s="342">
        <v>0.20599999999999999</v>
      </c>
      <c r="D1449" s="342">
        <v>0.17100000000000001</v>
      </c>
      <c r="E1449" s="342">
        <v>0.309</v>
      </c>
      <c r="F1449" s="342">
        <v>0.216</v>
      </c>
      <c r="G1449" s="342">
        <v>0.19800000000000001</v>
      </c>
      <c r="H1449" s="342">
        <v>0.247</v>
      </c>
      <c r="I1449" s="342">
        <v>0.14499999999999999</v>
      </c>
      <c r="J1449" s="342">
        <v>0.15</v>
      </c>
      <c r="K1449" s="342">
        <v>0.155</v>
      </c>
      <c r="L1449" s="342">
        <v>0.214</v>
      </c>
      <c r="M1449" s="342">
        <v>0.16</v>
      </c>
    </row>
    <row r="1450" spans="1:13">
      <c r="A1450" t="s">
        <v>2809</v>
      </c>
      <c r="B1450" s="342">
        <v>4.8000000000000001E-2</v>
      </c>
      <c r="C1450" s="342">
        <v>2.3E-2</v>
      </c>
      <c r="D1450" s="342">
        <v>0.02</v>
      </c>
      <c r="E1450" s="342">
        <v>5.3999999999999999E-2</v>
      </c>
      <c r="F1450" s="342">
        <v>3.1E-2</v>
      </c>
      <c r="G1450" s="342">
        <v>2.5000000000000001E-2</v>
      </c>
      <c r="H1450" s="342">
        <v>4.7E-2</v>
      </c>
      <c r="I1450" s="342">
        <v>1.4999999999999999E-2</v>
      </c>
      <c r="J1450" s="342">
        <v>1.7999999999999999E-2</v>
      </c>
      <c r="K1450" s="342">
        <v>4.5999999999999999E-2</v>
      </c>
      <c r="L1450" s="342">
        <v>8.9999999999999993E-3</v>
      </c>
      <c r="M1450" s="342">
        <v>1.6E-2</v>
      </c>
    </row>
    <row r="1451" spans="1:13">
      <c r="A1451" t="s">
        <v>2810</v>
      </c>
      <c r="B1451" s="342">
        <v>0.218</v>
      </c>
      <c r="C1451" s="342">
        <v>7.6999999999999999E-2</v>
      </c>
      <c r="D1451" s="342">
        <v>9.6000000000000002E-2</v>
      </c>
      <c r="E1451" s="342">
        <v>0.21099999999999999</v>
      </c>
      <c r="F1451" s="342">
        <v>0.14099999999999999</v>
      </c>
      <c r="G1451" s="342">
        <v>0.127</v>
      </c>
      <c r="H1451" s="342">
        <v>0.224</v>
      </c>
      <c r="I1451" s="342">
        <v>3.9E-2</v>
      </c>
      <c r="J1451" s="342">
        <v>8.7999999999999995E-2</v>
      </c>
      <c r="K1451" s="342">
        <v>0.219</v>
      </c>
      <c r="L1451" s="342">
        <v>4.1000000000000002E-2</v>
      </c>
      <c r="M1451" s="342">
        <v>7.4999999999999997E-2</v>
      </c>
    </row>
    <row r="1452" spans="1:13">
      <c r="A1452" t="s">
        <v>9</v>
      </c>
      <c r="B1452">
        <v>14.52</v>
      </c>
      <c r="C1452">
        <v>14.18</v>
      </c>
      <c r="D1452">
        <v>13.87</v>
      </c>
      <c r="E1452">
        <v>15.88</v>
      </c>
      <c r="F1452">
        <v>7.52</v>
      </c>
      <c r="G1452">
        <v>10.23</v>
      </c>
      <c r="H1452">
        <v>24.7</v>
      </c>
      <c r="I1452">
        <v>26.96</v>
      </c>
      <c r="J1452">
        <v>15.35</v>
      </c>
      <c r="K1452">
        <v>9.23</v>
      </c>
      <c r="L1452">
        <v>29.31</v>
      </c>
      <c r="M1452">
        <v>18.09</v>
      </c>
    </row>
    <row r="1453" spans="1:13">
      <c r="A1453" t="s">
        <v>8</v>
      </c>
      <c r="B1453">
        <v>3.37</v>
      </c>
      <c r="C1453">
        <v>9.11</v>
      </c>
      <c r="D1453">
        <v>4.3899999999999997</v>
      </c>
      <c r="E1453">
        <v>4.8099999999999996</v>
      </c>
      <c r="F1453">
        <v>6.04</v>
      </c>
      <c r="G1453">
        <v>4.2300000000000004</v>
      </c>
      <c r="H1453">
        <v>3.77</v>
      </c>
      <c r="I1453">
        <v>7.8</v>
      </c>
      <c r="J1453">
        <v>3.97</v>
      </c>
      <c r="K1453">
        <v>2.33</v>
      </c>
      <c r="L1453">
        <v>17.309999999999999</v>
      </c>
      <c r="M1453">
        <v>4.93</v>
      </c>
    </row>
    <row r="1454" spans="1:13">
      <c r="A1454" t="s">
        <v>10</v>
      </c>
      <c r="B1454">
        <v>45.18</v>
      </c>
      <c r="C1454">
        <v>73.760000000000005</v>
      </c>
      <c r="D1454">
        <v>49.83</v>
      </c>
      <c r="E1454">
        <v>74.19</v>
      </c>
      <c r="F1454">
        <v>57.78</v>
      </c>
      <c r="G1454">
        <v>54.98</v>
      </c>
      <c r="H1454">
        <v>44.58</v>
      </c>
      <c r="I1454">
        <v>127.07</v>
      </c>
      <c r="J1454">
        <v>50.81</v>
      </c>
      <c r="K1454">
        <v>32.08</v>
      </c>
      <c r="L1454">
        <v>77.77</v>
      </c>
      <c r="M1454">
        <v>45.48</v>
      </c>
    </row>
    <row r="1455" spans="1:13">
      <c r="A1455" t="s">
        <v>1621</v>
      </c>
      <c r="B1455" s="342">
        <v>0.34300000000000003</v>
      </c>
      <c r="C1455" s="342">
        <v>0.16700000000000001</v>
      </c>
      <c r="D1455" s="342">
        <v>0.28000000000000003</v>
      </c>
      <c r="E1455" s="342">
        <v>0.25700000000000001</v>
      </c>
      <c r="F1455" s="342">
        <v>0.28100000000000003</v>
      </c>
      <c r="G1455" s="342">
        <v>0.316</v>
      </c>
      <c r="H1455" s="342">
        <v>0.28299999999999997</v>
      </c>
      <c r="I1455" s="342">
        <v>0.158</v>
      </c>
      <c r="J1455" s="342">
        <v>0.29699999999999999</v>
      </c>
      <c r="K1455" s="342">
        <v>0.50600000000000001</v>
      </c>
      <c r="L1455" s="342">
        <v>7.9000000000000001E-2</v>
      </c>
      <c r="M1455" s="342">
        <v>0.23599999999999999</v>
      </c>
    </row>
    <row r="1457" spans="1:13">
      <c r="A1457" t="s">
        <v>2901</v>
      </c>
    </row>
    <row r="1459" spans="1:13">
      <c r="A1459" t="s">
        <v>158</v>
      </c>
      <c r="B1459" t="s">
        <v>2806</v>
      </c>
      <c r="E1459">
        <v>2017</v>
      </c>
      <c r="H1459">
        <v>2018</v>
      </c>
      <c r="K1459">
        <v>2019</v>
      </c>
    </row>
    <row r="1460" spans="1:13">
      <c r="B1460" t="s">
        <v>1623</v>
      </c>
      <c r="C1460" t="s">
        <v>1624</v>
      </c>
      <c r="D1460" t="s">
        <v>1622</v>
      </c>
      <c r="E1460" t="s">
        <v>1623</v>
      </c>
      <c r="F1460" t="s">
        <v>1624</v>
      </c>
      <c r="G1460" t="s">
        <v>1622</v>
      </c>
      <c r="H1460" t="s">
        <v>1623</v>
      </c>
      <c r="I1460" t="s">
        <v>1624</v>
      </c>
      <c r="J1460" t="s">
        <v>1622</v>
      </c>
      <c r="K1460" t="s">
        <v>1623</v>
      </c>
      <c r="L1460" t="s">
        <v>1624</v>
      </c>
      <c r="M1460" t="s">
        <v>1622</v>
      </c>
    </row>
    <row r="1461" spans="1:13">
      <c r="A1461" t="s">
        <v>2807</v>
      </c>
      <c r="B1461" s="342">
        <v>0.73299999999999998</v>
      </c>
      <c r="C1461" s="342">
        <v>0.82699999999999996</v>
      </c>
      <c r="D1461" s="342">
        <v>0.80800000000000005</v>
      </c>
      <c r="E1461" s="342">
        <v>0.74199999999999999</v>
      </c>
      <c r="F1461" s="342">
        <v>0.82299999999999995</v>
      </c>
      <c r="G1461" s="342">
        <v>0.8</v>
      </c>
      <c r="H1461" s="342">
        <v>0.74</v>
      </c>
      <c r="I1461" s="342">
        <v>0.83199999999999996</v>
      </c>
      <c r="J1461" s="342">
        <v>0.81799999999999995</v>
      </c>
      <c r="K1461" s="342">
        <v>0.71099999999999997</v>
      </c>
      <c r="L1461" s="342">
        <v>0.82199999999999995</v>
      </c>
      <c r="M1461" s="342">
        <v>0.80400000000000005</v>
      </c>
    </row>
    <row r="1462" spans="1:13">
      <c r="A1462" t="s">
        <v>1618</v>
      </c>
      <c r="B1462" s="342">
        <v>0.128</v>
      </c>
      <c r="C1462" s="342">
        <v>0.15</v>
      </c>
      <c r="D1462" s="342">
        <v>0.14599999999999999</v>
      </c>
      <c r="E1462" s="342">
        <v>0.125</v>
      </c>
      <c r="F1462" s="342">
        <v>0.157</v>
      </c>
      <c r="G1462" s="342">
        <v>0.14899999999999999</v>
      </c>
      <c r="H1462" s="342">
        <v>0.11799999999999999</v>
      </c>
      <c r="I1462" s="342">
        <v>0.14099999999999999</v>
      </c>
      <c r="J1462" s="342">
        <v>0.13600000000000001</v>
      </c>
      <c r="K1462" s="342">
        <v>0.14899999999999999</v>
      </c>
      <c r="L1462" s="342">
        <v>0.157</v>
      </c>
      <c r="M1462" s="342">
        <v>0.154</v>
      </c>
    </row>
    <row r="1463" spans="1:13">
      <c r="A1463" t="s">
        <v>1619</v>
      </c>
      <c r="B1463" s="342">
        <v>1.6E-2</v>
      </c>
      <c r="C1463" s="342">
        <v>1.0999999999999999E-2</v>
      </c>
      <c r="D1463" s="342">
        <v>1.0999999999999999E-2</v>
      </c>
      <c r="E1463" s="342">
        <v>7.0000000000000001E-3</v>
      </c>
      <c r="F1463" s="342">
        <v>4.0000000000000001E-3</v>
      </c>
      <c r="G1463" s="342">
        <v>6.0000000000000001E-3</v>
      </c>
      <c r="H1463" s="342">
        <v>1.7000000000000001E-2</v>
      </c>
      <c r="I1463" s="342">
        <v>8.9999999999999993E-3</v>
      </c>
      <c r="J1463" s="342">
        <v>0.01</v>
      </c>
      <c r="K1463" s="342">
        <v>2.5999999999999999E-2</v>
      </c>
      <c r="L1463" s="342">
        <v>1.6E-2</v>
      </c>
      <c r="M1463" s="342">
        <v>1.6E-2</v>
      </c>
    </row>
    <row r="1464" spans="1:13">
      <c r="A1464" t="s">
        <v>1620</v>
      </c>
      <c r="B1464" s="342">
        <v>0.876</v>
      </c>
      <c r="C1464" s="342">
        <v>1.589</v>
      </c>
      <c r="D1464" s="342">
        <v>1.28</v>
      </c>
      <c r="E1464" s="342">
        <v>0.92300000000000004</v>
      </c>
      <c r="F1464" s="342">
        <v>1.569</v>
      </c>
      <c r="G1464" s="342">
        <v>1.242</v>
      </c>
      <c r="H1464" s="342">
        <v>0.93500000000000005</v>
      </c>
      <c r="I1464" s="342">
        <v>1.7689999999999999</v>
      </c>
      <c r="J1464" s="342">
        <v>1.403</v>
      </c>
      <c r="K1464" s="342">
        <v>0.75</v>
      </c>
      <c r="L1464" s="342">
        <v>1.4239999999999999</v>
      </c>
      <c r="M1464" s="342">
        <v>1.1930000000000001</v>
      </c>
    </row>
    <row r="1465" spans="1:13">
      <c r="A1465" t="s">
        <v>2808</v>
      </c>
      <c r="B1465" s="342">
        <v>0.58199999999999996</v>
      </c>
      <c r="C1465" s="342">
        <v>0.39200000000000002</v>
      </c>
      <c r="D1465" s="342">
        <v>0.38400000000000001</v>
      </c>
      <c r="E1465" s="342">
        <v>0.55000000000000004</v>
      </c>
      <c r="F1465" s="342">
        <v>0.42</v>
      </c>
      <c r="G1465" s="342">
        <v>0.36599999999999999</v>
      </c>
      <c r="H1465" s="342">
        <v>0.57099999999999995</v>
      </c>
      <c r="I1465" s="342">
        <v>0.35</v>
      </c>
      <c r="J1465" s="342">
        <v>0.36899999999999999</v>
      </c>
      <c r="K1465" s="342">
        <v>0.63300000000000001</v>
      </c>
      <c r="L1465" s="342">
        <v>0.42</v>
      </c>
      <c r="M1465" s="342">
        <v>0.41599999999999998</v>
      </c>
    </row>
    <row r="1466" spans="1:13">
      <c r="A1466" t="s">
        <v>2809</v>
      </c>
      <c r="B1466" s="342">
        <v>1.0999999999999999E-2</v>
      </c>
      <c r="C1466" s="342">
        <v>2.1000000000000001E-2</v>
      </c>
      <c r="D1466" s="342">
        <v>1.7999999999999999E-2</v>
      </c>
      <c r="E1466" s="342">
        <v>1.4E-2</v>
      </c>
      <c r="F1466" s="342">
        <v>8.0000000000000002E-3</v>
      </c>
      <c r="G1466" s="342">
        <v>0.02</v>
      </c>
      <c r="H1466" s="342">
        <v>1.2999999999999999E-2</v>
      </c>
      <c r="I1466" s="342">
        <v>2.4E-2</v>
      </c>
      <c r="J1466" s="342">
        <v>1.7999999999999999E-2</v>
      </c>
      <c r="K1466" s="342">
        <v>6.0000000000000001E-3</v>
      </c>
      <c r="L1466" s="342">
        <v>2.4E-2</v>
      </c>
      <c r="M1466" s="342">
        <v>1.7999999999999999E-2</v>
      </c>
    </row>
    <row r="1467" spans="1:13">
      <c r="A1467" t="s">
        <v>2810</v>
      </c>
      <c r="B1467" s="342">
        <v>0.67700000000000005</v>
      </c>
      <c r="C1467" s="342">
        <v>0.26</v>
      </c>
      <c r="D1467" s="342">
        <v>0.315</v>
      </c>
      <c r="E1467" s="342">
        <v>0.61099999999999999</v>
      </c>
      <c r="F1467" s="342">
        <v>0.27300000000000002</v>
      </c>
      <c r="G1467" s="342">
        <v>0.31</v>
      </c>
      <c r="H1467" s="342">
        <v>0.624</v>
      </c>
      <c r="I1467" s="342">
        <v>0.21199999999999999</v>
      </c>
      <c r="J1467" s="342">
        <v>0.27600000000000002</v>
      </c>
      <c r="K1467" s="342">
        <v>0.85199999999999998</v>
      </c>
      <c r="L1467" s="342">
        <v>0.311</v>
      </c>
      <c r="M1467" s="342">
        <v>0.36399999999999999</v>
      </c>
    </row>
    <row r="1468" spans="1:13">
      <c r="A1468" t="s">
        <v>9</v>
      </c>
      <c r="B1468">
        <v>6.54</v>
      </c>
      <c r="C1468">
        <v>7.06</v>
      </c>
      <c r="D1468">
        <v>6.83</v>
      </c>
      <c r="E1468">
        <v>6.13</v>
      </c>
      <c r="F1468">
        <v>8.59</v>
      </c>
      <c r="G1468">
        <v>5.85</v>
      </c>
      <c r="H1468">
        <v>6.51</v>
      </c>
      <c r="I1468">
        <v>7.12</v>
      </c>
      <c r="J1468">
        <v>7.48</v>
      </c>
      <c r="K1468">
        <v>7.28</v>
      </c>
      <c r="L1468">
        <v>6.39</v>
      </c>
      <c r="M1468">
        <v>7.27</v>
      </c>
    </row>
    <row r="1469" spans="1:13">
      <c r="A1469" t="s">
        <v>8</v>
      </c>
      <c r="B1469">
        <v>15.12</v>
      </c>
      <c r="C1469">
        <v>8.84</v>
      </c>
      <c r="D1469">
        <v>9.4499999999999993</v>
      </c>
      <c r="E1469">
        <v>14.7</v>
      </c>
      <c r="F1469">
        <v>8.25</v>
      </c>
      <c r="G1469">
        <v>9.35</v>
      </c>
      <c r="H1469">
        <v>16.489999999999998</v>
      </c>
      <c r="I1469">
        <v>8.9600000000000009</v>
      </c>
      <c r="J1469">
        <v>9.6199999999999992</v>
      </c>
      <c r="K1469">
        <v>13.94</v>
      </c>
      <c r="L1469">
        <v>9.0299999999999994</v>
      </c>
      <c r="M1469">
        <v>9.35</v>
      </c>
    </row>
    <row r="1470" spans="1:13">
      <c r="A1470" t="s">
        <v>10</v>
      </c>
      <c r="B1470">
        <v>15.76</v>
      </c>
      <c r="C1470">
        <v>8.19</v>
      </c>
      <c r="D1470">
        <v>9.01</v>
      </c>
      <c r="E1470">
        <v>13.57</v>
      </c>
      <c r="F1470">
        <v>7.97</v>
      </c>
      <c r="G1470">
        <v>7.67</v>
      </c>
      <c r="H1470">
        <v>19.88</v>
      </c>
      <c r="I1470">
        <v>8.5299999999999994</v>
      </c>
      <c r="J1470">
        <v>9.8000000000000007</v>
      </c>
      <c r="K1470">
        <v>14.54</v>
      </c>
      <c r="L1470">
        <v>7.92</v>
      </c>
      <c r="M1470">
        <v>9.7200000000000006</v>
      </c>
    </row>
    <row r="1471" spans="1:13">
      <c r="A1471" t="s">
        <v>1621</v>
      </c>
      <c r="B1471" s="342">
        <v>0.156</v>
      </c>
      <c r="C1471" s="342">
        <v>0.13300000000000001</v>
      </c>
      <c r="D1471" s="342">
        <v>0.14099999999999999</v>
      </c>
      <c r="E1471" s="342">
        <v>0.157</v>
      </c>
      <c r="F1471" s="342">
        <v>0.112</v>
      </c>
      <c r="G1471" s="342">
        <v>0.14799999999999999</v>
      </c>
      <c r="H1471" s="342">
        <v>0.16400000000000001</v>
      </c>
      <c r="I1471" s="342">
        <v>0.13500000000000001</v>
      </c>
      <c r="J1471" s="342">
        <v>0.13600000000000001</v>
      </c>
      <c r="K1471" s="342">
        <v>0.14000000000000001</v>
      </c>
      <c r="L1471" s="342">
        <v>0.14099999999999999</v>
      </c>
      <c r="M1471" s="342">
        <v>0.14199999999999999</v>
      </c>
    </row>
    <row r="1473" spans="1:13">
      <c r="A1473" t="s">
        <v>2902</v>
      </c>
    </row>
    <row r="1475" spans="1:13">
      <c r="A1475" t="s">
        <v>158</v>
      </c>
      <c r="B1475" t="s">
        <v>2806</v>
      </c>
      <c r="E1475">
        <v>2017</v>
      </c>
      <c r="H1475">
        <v>2018</v>
      </c>
      <c r="K1475">
        <v>2019</v>
      </c>
    </row>
    <row r="1476" spans="1:13">
      <c r="B1476" t="s">
        <v>1623</v>
      </c>
      <c r="C1476" t="s">
        <v>1624</v>
      </c>
      <c r="D1476" t="s">
        <v>1622</v>
      </c>
      <c r="E1476" t="s">
        <v>1623</v>
      </c>
      <c r="F1476" t="s">
        <v>1624</v>
      </c>
      <c r="G1476" t="s">
        <v>1622</v>
      </c>
      <c r="H1476" t="s">
        <v>1623</v>
      </c>
      <c r="I1476" t="s">
        <v>1624</v>
      </c>
      <c r="J1476" t="s">
        <v>1622</v>
      </c>
      <c r="K1476" t="s">
        <v>1623</v>
      </c>
      <c r="L1476" t="s">
        <v>1624</v>
      </c>
      <c r="M1476" t="s">
        <v>1622</v>
      </c>
    </row>
    <row r="1477" spans="1:13">
      <c r="A1477" t="s">
        <v>2807</v>
      </c>
      <c r="B1477" s="342">
        <v>0.67600000000000005</v>
      </c>
      <c r="C1477" s="342">
        <v>0.86899999999999999</v>
      </c>
      <c r="D1477" s="342">
        <v>0.77200000000000002</v>
      </c>
      <c r="E1477" s="342">
        <v>0.70499999999999996</v>
      </c>
      <c r="F1477" s="342">
        <v>0.85499999999999998</v>
      </c>
      <c r="G1477" s="342">
        <v>0.73799999999999999</v>
      </c>
      <c r="H1477" s="342">
        <v>0.68400000000000005</v>
      </c>
      <c r="I1477" s="342">
        <v>0.86399999999999999</v>
      </c>
      <c r="J1477" s="342">
        <v>0.78</v>
      </c>
      <c r="K1477" s="342">
        <v>0.57399999999999995</v>
      </c>
      <c r="L1477" s="342">
        <v>0.88400000000000001</v>
      </c>
      <c r="M1477" s="342">
        <v>0.79600000000000004</v>
      </c>
    </row>
    <row r="1478" spans="1:13">
      <c r="A1478" t="s">
        <v>1618</v>
      </c>
      <c r="B1478" s="342">
        <v>0.127</v>
      </c>
      <c r="C1478" s="342">
        <v>0.108</v>
      </c>
      <c r="D1478" s="342">
        <v>0.113</v>
      </c>
      <c r="E1478" s="342">
        <v>8.8999999999999996E-2</v>
      </c>
      <c r="F1478" s="342">
        <v>0.124</v>
      </c>
      <c r="G1478" s="342">
        <v>0.114</v>
      </c>
      <c r="H1478" s="342">
        <v>0.123</v>
      </c>
      <c r="I1478" s="342">
        <v>0.112</v>
      </c>
      <c r="J1478" s="342">
        <v>0.105</v>
      </c>
      <c r="K1478" s="342">
        <v>0.246</v>
      </c>
      <c r="L1478" s="342">
        <v>0.09</v>
      </c>
      <c r="M1478" s="342">
        <v>0.12</v>
      </c>
    </row>
    <row r="1479" spans="1:13">
      <c r="A1479" t="s">
        <v>1619</v>
      </c>
      <c r="B1479" s="342">
        <v>8.0000000000000002E-3</v>
      </c>
      <c r="C1479" s="342">
        <v>5.0000000000000001E-3</v>
      </c>
      <c r="D1479" s="342">
        <v>7.0000000000000001E-3</v>
      </c>
      <c r="E1479" s="342">
        <v>2E-3</v>
      </c>
      <c r="F1479" s="342">
        <v>4.0000000000000001E-3</v>
      </c>
      <c r="G1479" s="342">
        <v>3.0000000000000001E-3</v>
      </c>
      <c r="H1479" s="342">
        <v>1.6E-2</v>
      </c>
      <c r="I1479" s="342">
        <v>5.0000000000000001E-3</v>
      </c>
      <c r="J1479" s="342">
        <v>8.9999999999999993E-3</v>
      </c>
      <c r="K1479" s="342">
        <v>8.0000000000000002E-3</v>
      </c>
      <c r="L1479" s="342">
        <v>6.0000000000000001E-3</v>
      </c>
      <c r="M1479" s="342">
        <v>8.9999999999999993E-3</v>
      </c>
    </row>
    <row r="1480" spans="1:13">
      <c r="A1480" t="s">
        <v>1620</v>
      </c>
      <c r="B1480" s="342">
        <v>0.90100000000000002</v>
      </c>
      <c r="C1480" s="342">
        <v>1.218</v>
      </c>
      <c r="D1480" s="342">
        <v>1.044</v>
      </c>
      <c r="E1480" s="342">
        <v>0.92900000000000005</v>
      </c>
      <c r="F1480" s="342">
        <v>1.145</v>
      </c>
      <c r="G1480" s="342">
        <v>1.032</v>
      </c>
      <c r="H1480" s="342">
        <v>0.87</v>
      </c>
      <c r="I1480" s="342">
        <v>1.1499999999999999</v>
      </c>
      <c r="J1480" s="342">
        <v>1.1040000000000001</v>
      </c>
      <c r="K1480" s="342">
        <v>0.88200000000000001</v>
      </c>
      <c r="L1480" s="342">
        <v>1.3540000000000001</v>
      </c>
      <c r="M1480" s="342">
        <v>0.997</v>
      </c>
    </row>
    <row r="1481" spans="1:13">
      <c r="A1481" t="s">
        <v>2808</v>
      </c>
      <c r="B1481" s="342">
        <v>0.248</v>
      </c>
      <c r="C1481" s="342">
        <v>0.28599999999999998</v>
      </c>
      <c r="D1481" s="342">
        <v>0.32200000000000001</v>
      </c>
      <c r="E1481" s="342">
        <v>0.27300000000000002</v>
      </c>
      <c r="F1481" s="342">
        <v>0.27100000000000002</v>
      </c>
      <c r="G1481" s="342">
        <v>0.313</v>
      </c>
      <c r="H1481" s="342">
        <v>0.219</v>
      </c>
      <c r="I1481" s="342">
        <v>0.22500000000000001</v>
      </c>
      <c r="J1481" s="342">
        <v>0.317</v>
      </c>
      <c r="K1481" s="342">
        <v>0.23799999999999999</v>
      </c>
      <c r="L1481" s="342">
        <v>0.35899999999999999</v>
      </c>
      <c r="M1481" s="342">
        <v>0.33500000000000002</v>
      </c>
    </row>
    <row r="1482" spans="1:13">
      <c r="A1482" t="s">
        <v>2809</v>
      </c>
      <c r="B1482" s="342">
        <v>8.9999999999999993E-3</v>
      </c>
      <c r="C1482" s="342">
        <v>7.1999999999999995E-2</v>
      </c>
      <c r="D1482" s="342">
        <v>1.7999999999999999E-2</v>
      </c>
      <c r="E1482" s="342">
        <v>8.0000000000000002E-3</v>
      </c>
      <c r="F1482" s="342">
        <v>6.5000000000000002E-2</v>
      </c>
      <c r="G1482" s="342">
        <v>1.7999999999999999E-2</v>
      </c>
      <c r="H1482" s="342">
        <v>8.0000000000000002E-3</v>
      </c>
      <c r="I1482" s="342">
        <v>6.4000000000000001E-2</v>
      </c>
      <c r="J1482" s="342">
        <v>1.7999999999999999E-2</v>
      </c>
      <c r="K1482" s="342">
        <v>1.6E-2</v>
      </c>
      <c r="L1482" s="342">
        <v>8.5999999999999993E-2</v>
      </c>
      <c r="M1482" s="342">
        <v>1.7000000000000001E-2</v>
      </c>
    </row>
    <row r="1483" spans="1:13">
      <c r="A1483" t="s">
        <v>2810</v>
      </c>
      <c r="B1483" s="342">
        <v>0.28599999999999998</v>
      </c>
      <c r="C1483" s="342">
        <v>0.29399999999999998</v>
      </c>
      <c r="D1483" s="342">
        <v>0.32500000000000001</v>
      </c>
      <c r="E1483" s="342">
        <v>0.30199999999999999</v>
      </c>
      <c r="F1483" s="342">
        <v>0.29299999999999998</v>
      </c>
      <c r="G1483" s="342">
        <v>0.32100000000000001</v>
      </c>
      <c r="H1483" s="342">
        <v>0.26100000000000001</v>
      </c>
      <c r="I1483" s="342">
        <v>0.252</v>
      </c>
      <c r="J1483" s="342">
        <v>0.30299999999999999</v>
      </c>
      <c r="K1483" s="342">
        <v>0.28699999999999998</v>
      </c>
      <c r="L1483" s="342">
        <v>0.32900000000000001</v>
      </c>
      <c r="M1483" s="342">
        <v>0.35299999999999998</v>
      </c>
    </row>
    <row r="1484" spans="1:13">
      <c r="A1484" t="s">
        <v>9</v>
      </c>
      <c r="B1484">
        <v>8.44</v>
      </c>
      <c r="C1484">
        <v>7.28</v>
      </c>
      <c r="D1484">
        <v>8.7799999999999994</v>
      </c>
      <c r="E1484">
        <v>8.2200000000000006</v>
      </c>
      <c r="F1484">
        <v>6.69</v>
      </c>
      <c r="G1484">
        <v>8.0299999999999994</v>
      </c>
      <c r="H1484">
        <v>8.9600000000000009</v>
      </c>
      <c r="I1484">
        <v>6.39</v>
      </c>
      <c r="J1484">
        <v>9.2100000000000009</v>
      </c>
      <c r="K1484">
        <v>8.17</v>
      </c>
      <c r="L1484">
        <v>8.99</v>
      </c>
      <c r="M1484">
        <v>9.16</v>
      </c>
    </row>
    <row r="1485" spans="1:13">
      <c r="A1485" t="s">
        <v>8</v>
      </c>
      <c r="B1485">
        <v>11.86</v>
      </c>
      <c r="C1485">
        <v>11.1</v>
      </c>
      <c r="D1485">
        <v>11.93</v>
      </c>
      <c r="E1485">
        <v>11.36</v>
      </c>
      <c r="F1485">
        <v>10.37</v>
      </c>
      <c r="G1485">
        <v>12.19</v>
      </c>
      <c r="H1485">
        <v>12.42</v>
      </c>
      <c r="I1485">
        <v>9.56</v>
      </c>
      <c r="J1485">
        <v>11.97</v>
      </c>
      <c r="K1485">
        <v>12.38</v>
      </c>
      <c r="L1485">
        <v>13.76</v>
      </c>
      <c r="M1485">
        <v>11.64</v>
      </c>
    </row>
    <row r="1486" spans="1:13">
      <c r="A1486" t="s">
        <v>10</v>
      </c>
      <c r="B1486">
        <v>14.62</v>
      </c>
      <c r="C1486">
        <v>10.34</v>
      </c>
      <c r="D1486">
        <v>14.52</v>
      </c>
      <c r="E1486">
        <v>13.06</v>
      </c>
      <c r="F1486">
        <v>8.07</v>
      </c>
      <c r="G1486">
        <v>12.62</v>
      </c>
      <c r="H1486">
        <v>16.62</v>
      </c>
      <c r="I1486">
        <v>9.69</v>
      </c>
      <c r="J1486">
        <v>17.309999999999999</v>
      </c>
      <c r="K1486">
        <v>16.57</v>
      </c>
      <c r="L1486">
        <v>14.49</v>
      </c>
      <c r="M1486">
        <v>14.13</v>
      </c>
    </row>
    <row r="1487" spans="1:13">
      <c r="A1487" t="s">
        <v>1621</v>
      </c>
      <c r="B1487" s="342">
        <v>0.13400000000000001</v>
      </c>
      <c r="C1487" s="342">
        <v>0.13100000000000001</v>
      </c>
      <c r="D1487" s="342">
        <v>0.129</v>
      </c>
      <c r="E1487" s="342">
        <v>0.13300000000000001</v>
      </c>
      <c r="F1487" s="342">
        <v>0.122</v>
      </c>
      <c r="G1487" s="342">
        <v>0.127</v>
      </c>
      <c r="H1487" s="342">
        <v>0.13200000000000001</v>
      </c>
      <c r="I1487" s="342">
        <v>0.158</v>
      </c>
      <c r="J1487" s="342">
        <v>0.13400000000000001</v>
      </c>
      <c r="K1487" s="342">
        <v>0.14299999999999999</v>
      </c>
      <c r="L1487" s="342">
        <v>0.115</v>
      </c>
      <c r="M1487" s="342">
        <v>0.124</v>
      </c>
    </row>
    <row r="1489" spans="1:13">
      <c r="A1489" t="s">
        <v>2903</v>
      </c>
    </row>
    <row r="1491" spans="1:13">
      <c r="A1491" t="s">
        <v>158</v>
      </c>
      <c r="B1491" t="s">
        <v>2806</v>
      </c>
      <c r="E1491">
        <v>2017</v>
      </c>
      <c r="H1491">
        <v>2018</v>
      </c>
      <c r="K1491">
        <v>2019</v>
      </c>
    </row>
    <row r="1492" spans="1:13">
      <c r="B1492" t="s">
        <v>1623</v>
      </c>
      <c r="C1492" t="s">
        <v>1624</v>
      </c>
      <c r="D1492" t="s">
        <v>1622</v>
      </c>
      <c r="E1492" t="s">
        <v>1623</v>
      </c>
      <c r="F1492" t="s">
        <v>1624</v>
      </c>
      <c r="G1492" t="s">
        <v>1622</v>
      </c>
      <c r="H1492" t="s">
        <v>1623</v>
      </c>
      <c r="I1492" t="s">
        <v>1624</v>
      </c>
      <c r="J1492" t="s">
        <v>1622</v>
      </c>
      <c r="K1492" t="s">
        <v>1623</v>
      </c>
      <c r="L1492" t="s">
        <v>1624</v>
      </c>
      <c r="M1492" t="s">
        <v>1622</v>
      </c>
    </row>
    <row r="1493" spans="1:13">
      <c r="A1493" t="s">
        <v>2807</v>
      </c>
      <c r="B1493" s="342">
        <v>0.88100000000000001</v>
      </c>
      <c r="C1493" s="342">
        <v>0.93200000000000005</v>
      </c>
      <c r="D1493" s="342">
        <v>0.90800000000000003</v>
      </c>
      <c r="E1493" s="342">
        <v>0.71599999999999997</v>
      </c>
      <c r="F1493" s="342">
        <v>0.93100000000000005</v>
      </c>
      <c r="G1493" s="342">
        <v>0.89500000000000002</v>
      </c>
      <c r="H1493" s="342">
        <v>0.90700000000000003</v>
      </c>
      <c r="I1493" s="342">
        <v>0.92900000000000005</v>
      </c>
      <c r="J1493" s="342">
        <v>0.90500000000000003</v>
      </c>
      <c r="K1493" s="342">
        <v>0.76700000000000002</v>
      </c>
      <c r="L1493" s="342">
        <v>0.93400000000000005</v>
      </c>
      <c r="M1493" s="342">
        <v>0.92400000000000004</v>
      </c>
    </row>
    <row r="1494" spans="1:13">
      <c r="A1494" t="s">
        <v>1618</v>
      </c>
      <c r="B1494" s="342">
        <v>-1E-3</v>
      </c>
      <c r="C1494" s="342">
        <v>5.7000000000000002E-2</v>
      </c>
      <c r="D1494" s="342">
        <v>4.8000000000000001E-2</v>
      </c>
      <c r="E1494" s="342">
        <v>0.11600000000000001</v>
      </c>
      <c r="F1494" s="342">
        <v>6.6000000000000003E-2</v>
      </c>
      <c r="G1494" s="342">
        <v>6.9000000000000006E-2</v>
      </c>
      <c r="H1494" s="342">
        <v>-1.9E-2</v>
      </c>
      <c r="I1494" s="342">
        <v>5.1999999999999998E-2</v>
      </c>
      <c r="J1494" s="342">
        <v>1.4E-2</v>
      </c>
      <c r="K1494" s="342">
        <v>8.3000000000000004E-2</v>
      </c>
      <c r="L1494" s="342">
        <v>5.0999999999999997E-2</v>
      </c>
      <c r="M1494" s="342">
        <v>4.7E-2</v>
      </c>
    </row>
    <row r="1495" spans="1:13">
      <c r="A1495" t="s">
        <v>1619</v>
      </c>
      <c r="B1495" s="342">
        <v>3.0000000000000001E-3</v>
      </c>
      <c r="C1495" s="342">
        <v>6.0000000000000001E-3</v>
      </c>
      <c r="D1495" s="342">
        <v>5.0000000000000001E-3</v>
      </c>
      <c r="E1495" s="342">
        <v>8.0000000000000002E-3</v>
      </c>
      <c r="F1495" s="342">
        <v>2E-3</v>
      </c>
      <c r="G1495" s="342">
        <v>2E-3</v>
      </c>
      <c r="H1495" s="342">
        <v>1E-3</v>
      </c>
      <c r="I1495" s="342">
        <v>5.0000000000000001E-3</v>
      </c>
      <c r="J1495" s="342">
        <v>4.0000000000000001E-3</v>
      </c>
      <c r="K1495" s="342">
        <v>1.0999999999999999E-2</v>
      </c>
      <c r="L1495" s="342">
        <v>0.01</v>
      </c>
      <c r="M1495" s="342">
        <v>7.0000000000000001E-3</v>
      </c>
    </row>
    <row r="1496" spans="1:13">
      <c r="A1496" t="s">
        <v>1620</v>
      </c>
      <c r="B1496" s="342">
        <v>0.76500000000000001</v>
      </c>
      <c r="C1496" s="342">
        <v>0.53500000000000003</v>
      </c>
      <c r="D1496" s="342">
        <v>0.63800000000000001</v>
      </c>
      <c r="E1496" s="342">
        <v>0.625</v>
      </c>
      <c r="F1496" s="342">
        <v>0.54600000000000004</v>
      </c>
      <c r="G1496" s="342">
        <v>0.66500000000000004</v>
      </c>
      <c r="H1496" s="342">
        <v>0.80100000000000005</v>
      </c>
      <c r="I1496" s="342">
        <v>0.76600000000000001</v>
      </c>
      <c r="J1496" s="342">
        <v>0.748</v>
      </c>
      <c r="K1496" s="342">
        <v>0.61199999999999999</v>
      </c>
      <c r="L1496" s="342">
        <v>0.49299999999999999</v>
      </c>
      <c r="M1496" s="342">
        <v>0.56599999999999995</v>
      </c>
    </row>
    <row r="1497" spans="1:13">
      <c r="A1497" t="s">
        <v>2808</v>
      </c>
      <c r="B1497" s="342">
        <v>0.36899999999999999</v>
      </c>
      <c r="C1497" s="342">
        <v>0.35</v>
      </c>
      <c r="D1497" s="342">
        <v>0.374</v>
      </c>
      <c r="E1497" s="342">
        <v>0.53500000000000003</v>
      </c>
      <c r="F1497" s="342">
        <v>0.377</v>
      </c>
      <c r="G1497" s="342">
        <v>0.38800000000000001</v>
      </c>
      <c r="H1497" s="342">
        <v>0.33300000000000002</v>
      </c>
      <c r="I1497" s="342">
        <v>0.41899999999999998</v>
      </c>
      <c r="J1497" s="342">
        <v>0.40100000000000002</v>
      </c>
      <c r="K1497" s="342">
        <v>0.499</v>
      </c>
      <c r="L1497" s="342">
        <v>0.32</v>
      </c>
      <c r="M1497" s="342">
        <v>0.35</v>
      </c>
    </row>
    <row r="1498" spans="1:13">
      <c r="A1498" t="s">
        <v>2809</v>
      </c>
      <c r="B1498" s="342">
        <v>2E-3</v>
      </c>
      <c r="C1498" s="342">
        <v>4.0000000000000001E-3</v>
      </c>
      <c r="D1498" s="342">
        <v>3.0000000000000001E-3</v>
      </c>
      <c r="E1498" s="342">
        <v>2E-3</v>
      </c>
      <c r="F1498" s="342">
        <v>5.0000000000000001E-3</v>
      </c>
      <c r="G1498" s="342">
        <v>4.0000000000000001E-3</v>
      </c>
      <c r="H1498" s="342">
        <v>2E-3</v>
      </c>
      <c r="I1498" s="342">
        <v>3.0000000000000001E-3</v>
      </c>
      <c r="J1498" s="342">
        <v>3.0000000000000001E-3</v>
      </c>
      <c r="K1498" s="342">
        <v>4.0000000000000001E-3</v>
      </c>
      <c r="L1498" s="342">
        <v>3.0000000000000001E-3</v>
      </c>
      <c r="M1498" s="342">
        <v>3.0000000000000001E-3</v>
      </c>
    </row>
    <row r="1499" spans="1:13">
      <c r="A1499" t="s">
        <v>2810</v>
      </c>
      <c r="B1499" s="342">
        <v>0.48499999999999999</v>
      </c>
      <c r="C1499" s="342">
        <v>0.66200000000000003</v>
      </c>
      <c r="D1499" s="342">
        <v>0.59099999999999997</v>
      </c>
      <c r="E1499" s="342">
        <v>0.85899999999999999</v>
      </c>
      <c r="F1499" s="342">
        <v>0.7</v>
      </c>
      <c r="G1499" s="342">
        <v>0.58899999999999997</v>
      </c>
      <c r="H1499" s="342">
        <v>0.41799999999999998</v>
      </c>
      <c r="I1499" s="342">
        <v>0.55100000000000005</v>
      </c>
      <c r="J1499" s="342">
        <v>0.53900000000000003</v>
      </c>
      <c r="K1499" s="342">
        <v>0.82099999999999995</v>
      </c>
      <c r="L1499" s="342">
        <v>0.65600000000000003</v>
      </c>
      <c r="M1499" s="342">
        <v>0.624</v>
      </c>
    </row>
    <row r="1500" spans="1:13">
      <c r="A1500" t="s">
        <v>9</v>
      </c>
      <c r="B1500">
        <v>39.840000000000003</v>
      </c>
      <c r="C1500">
        <v>10.58</v>
      </c>
      <c r="D1500">
        <v>14.79</v>
      </c>
      <c r="E1500">
        <v>8.27</v>
      </c>
      <c r="F1500">
        <v>9.69</v>
      </c>
      <c r="G1500">
        <v>14.25</v>
      </c>
      <c r="H1500">
        <v>119.05</v>
      </c>
      <c r="I1500">
        <v>16.690000000000001</v>
      </c>
      <c r="J1500">
        <v>19.190000000000001</v>
      </c>
      <c r="K1500">
        <v>9.3699999999999992</v>
      </c>
      <c r="L1500">
        <v>10.52</v>
      </c>
      <c r="M1500">
        <v>13.53</v>
      </c>
    </row>
    <row r="1501" spans="1:13">
      <c r="A1501" t="s">
        <v>8</v>
      </c>
      <c r="B1501">
        <v>7.72</v>
      </c>
      <c r="C1501">
        <v>15.18</v>
      </c>
      <c r="D1501">
        <v>11.24</v>
      </c>
      <c r="E1501">
        <v>10.68</v>
      </c>
      <c r="F1501">
        <v>19.260000000000002</v>
      </c>
      <c r="G1501">
        <v>16.41</v>
      </c>
      <c r="H1501">
        <v>7.34</v>
      </c>
      <c r="I1501">
        <v>13.81</v>
      </c>
      <c r="J1501">
        <v>8.14</v>
      </c>
      <c r="K1501">
        <v>10.69</v>
      </c>
      <c r="L1501">
        <v>13.18</v>
      </c>
      <c r="M1501">
        <v>10.11</v>
      </c>
    </row>
    <row r="1502" spans="1:13">
      <c r="A1502" t="s">
        <v>10</v>
      </c>
      <c r="B1502">
        <v>14.89</v>
      </c>
      <c r="C1502">
        <v>10.34</v>
      </c>
      <c r="D1502">
        <v>11.95</v>
      </c>
      <c r="E1502">
        <v>15.7</v>
      </c>
      <c r="F1502">
        <v>10.51</v>
      </c>
      <c r="G1502">
        <v>12.18</v>
      </c>
      <c r="H1502">
        <v>14.67</v>
      </c>
      <c r="I1502">
        <v>13.36</v>
      </c>
      <c r="J1502">
        <v>13.07</v>
      </c>
      <c r="K1502">
        <v>16.64</v>
      </c>
      <c r="L1502">
        <v>9.73</v>
      </c>
      <c r="M1502">
        <v>11.17</v>
      </c>
    </row>
    <row r="1503" spans="1:13">
      <c r="A1503" t="s">
        <v>1621</v>
      </c>
      <c r="B1503" s="342">
        <v>8.6999999999999994E-2</v>
      </c>
      <c r="C1503" s="342">
        <v>6.4000000000000001E-2</v>
      </c>
      <c r="D1503" s="342">
        <v>7.2999999999999995E-2</v>
      </c>
      <c r="E1503" s="342">
        <v>0.151</v>
      </c>
      <c r="F1503" s="342">
        <v>0.06</v>
      </c>
      <c r="G1503" s="342">
        <v>4.9000000000000002E-2</v>
      </c>
      <c r="H1503" s="342">
        <v>7.6999999999999999E-2</v>
      </c>
      <c r="I1503" s="342">
        <v>5.7000000000000002E-2</v>
      </c>
      <c r="J1503" s="342">
        <v>9.8000000000000004E-2</v>
      </c>
      <c r="K1503" s="342">
        <v>0.14000000000000001</v>
      </c>
      <c r="L1503" s="342">
        <v>6.8000000000000005E-2</v>
      </c>
      <c r="M1503" s="342">
        <v>8.3000000000000004E-2</v>
      </c>
    </row>
    <row r="1505" spans="1:13">
      <c r="A1505" t="s">
        <v>2904</v>
      </c>
    </row>
    <row r="1507" spans="1:13">
      <c r="A1507" t="s">
        <v>158</v>
      </c>
      <c r="B1507" t="s">
        <v>2806</v>
      </c>
      <c r="E1507">
        <v>2017</v>
      </c>
      <c r="H1507">
        <v>2018</v>
      </c>
      <c r="K1507">
        <v>2019</v>
      </c>
    </row>
    <row r="1508" spans="1:13">
      <c r="B1508" t="s">
        <v>1623</v>
      </c>
      <c r="C1508" t="s">
        <v>1624</v>
      </c>
      <c r="D1508" t="s">
        <v>1622</v>
      </c>
      <c r="E1508" t="s">
        <v>1623</v>
      </c>
      <c r="F1508" t="s">
        <v>1624</v>
      </c>
      <c r="G1508" t="s">
        <v>1622</v>
      </c>
      <c r="H1508" t="s">
        <v>1623</v>
      </c>
      <c r="I1508" t="s">
        <v>1624</v>
      </c>
      <c r="J1508" t="s">
        <v>1622</v>
      </c>
      <c r="K1508" t="s">
        <v>1623</v>
      </c>
      <c r="L1508" t="s">
        <v>1624</v>
      </c>
      <c r="M1508" t="s">
        <v>1622</v>
      </c>
    </row>
    <row r="1509" spans="1:13">
      <c r="A1509" t="s">
        <v>2807</v>
      </c>
      <c r="B1509" s="342">
        <v>0.71399999999999997</v>
      </c>
      <c r="C1509" s="342">
        <v>0.88900000000000001</v>
      </c>
      <c r="D1509" s="342">
        <v>0.83299999999999996</v>
      </c>
      <c r="E1509" s="342">
        <v>0.68300000000000005</v>
      </c>
      <c r="F1509" s="342">
        <v>0.88800000000000001</v>
      </c>
      <c r="G1509" s="342">
        <v>0.83399999999999996</v>
      </c>
      <c r="H1509" s="342">
        <v>0.77600000000000002</v>
      </c>
      <c r="I1509" s="342">
        <v>0.90100000000000002</v>
      </c>
      <c r="J1509" s="342">
        <v>0.84199999999999997</v>
      </c>
      <c r="K1509" s="342">
        <v>0.68700000000000006</v>
      </c>
      <c r="L1509" s="342">
        <v>0.877</v>
      </c>
      <c r="M1509" s="342">
        <v>0.82399999999999995</v>
      </c>
    </row>
    <row r="1510" spans="1:13">
      <c r="A1510" t="s">
        <v>1618</v>
      </c>
      <c r="B1510" s="342">
        <v>0.11799999999999999</v>
      </c>
      <c r="C1510" s="342">
        <v>8.1000000000000003E-2</v>
      </c>
      <c r="D1510" s="342">
        <v>9.5000000000000001E-2</v>
      </c>
      <c r="E1510" s="342">
        <v>0.106</v>
      </c>
      <c r="F1510" s="342">
        <v>7.8E-2</v>
      </c>
      <c r="G1510" s="342">
        <v>8.6999999999999994E-2</v>
      </c>
      <c r="H1510" s="342">
        <v>9.2999999999999999E-2</v>
      </c>
      <c r="I1510" s="342">
        <v>6.9000000000000006E-2</v>
      </c>
      <c r="J1510" s="342">
        <v>0.09</v>
      </c>
      <c r="K1510" s="342">
        <v>0.16200000000000001</v>
      </c>
      <c r="L1510" s="342">
        <v>9.7000000000000003E-2</v>
      </c>
      <c r="M1510" s="342">
        <v>0.11</v>
      </c>
    </row>
    <row r="1511" spans="1:13">
      <c r="A1511" t="s">
        <v>1619</v>
      </c>
      <c r="B1511" s="342">
        <v>0.03</v>
      </c>
      <c r="C1511" s="342">
        <v>1.9E-2</v>
      </c>
      <c r="D1511" s="342">
        <v>2.4E-2</v>
      </c>
      <c r="E1511" s="342">
        <v>5.0000000000000001E-3</v>
      </c>
      <c r="F1511" s="342">
        <v>2E-3</v>
      </c>
      <c r="G1511" s="342">
        <v>3.0000000000000001E-3</v>
      </c>
      <c r="H1511" s="342">
        <v>4.8000000000000001E-2</v>
      </c>
      <c r="I1511" s="342">
        <v>3.5999999999999997E-2</v>
      </c>
      <c r="J1511" s="342">
        <v>4.4999999999999998E-2</v>
      </c>
      <c r="K1511" s="342">
        <v>4.2999999999999997E-2</v>
      </c>
      <c r="L1511" s="342">
        <v>2.1000000000000001E-2</v>
      </c>
      <c r="M1511" s="342">
        <v>2.7E-2</v>
      </c>
    </row>
    <row r="1512" spans="1:13">
      <c r="A1512" t="s">
        <v>1620</v>
      </c>
      <c r="B1512" s="342">
        <v>0.61</v>
      </c>
      <c r="C1512" s="342">
        <v>1.3660000000000001</v>
      </c>
      <c r="D1512" s="342">
        <v>0.99099999999999999</v>
      </c>
      <c r="E1512" s="342">
        <v>0.75700000000000001</v>
      </c>
      <c r="F1512" s="342">
        <v>1.343</v>
      </c>
      <c r="G1512" s="342">
        <v>1.093</v>
      </c>
      <c r="H1512" s="342">
        <v>0.63800000000000001</v>
      </c>
      <c r="I1512" s="342">
        <v>1.413</v>
      </c>
      <c r="J1512" s="342">
        <v>0.93899999999999995</v>
      </c>
      <c r="K1512" s="342">
        <v>0.47199999999999998</v>
      </c>
      <c r="L1512" s="342">
        <v>1.349</v>
      </c>
      <c r="M1512" s="342">
        <v>0.94299999999999995</v>
      </c>
    </row>
    <row r="1513" spans="1:13">
      <c r="A1513" t="s">
        <v>2808</v>
      </c>
      <c r="B1513" s="342">
        <v>0.63</v>
      </c>
      <c r="C1513" s="342">
        <v>0.56599999999999995</v>
      </c>
      <c r="D1513" s="342">
        <v>0.56999999999999995</v>
      </c>
      <c r="E1513" s="342">
        <v>0.53200000000000003</v>
      </c>
      <c r="F1513" s="342">
        <v>0.623</v>
      </c>
      <c r="G1513" s="342">
        <v>0.56699999999999995</v>
      </c>
      <c r="H1513" s="342">
        <v>0.73299999999999998</v>
      </c>
      <c r="I1513" s="342">
        <v>0.58399999999999996</v>
      </c>
      <c r="J1513" s="342">
        <v>0.61199999999999999</v>
      </c>
      <c r="K1513" s="342">
        <v>0.626</v>
      </c>
      <c r="L1513" s="342">
        <v>0.48299999999999998</v>
      </c>
      <c r="M1513" s="342">
        <v>0.53</v>
      </c>
    </row>
    <row r="1514" spans="1:13">
      <c r="A1514" t="s">
        <v>2809</v>
      </c>
      <c r="B1514" s="342">
        <v>2.9000000000000001E-2</v>
      </c>
      <c r="C1514" s="342">
        <v>5.0000000000000001E-3</v>
      </c>
      <c r="D1514" s="342">
        <v>1.4999999999999999E-2</v>
      </c>
      <c r="E1514" s="342">
        <v>0</v>
      </c>
      <c r="F1514" s="342">
        <v>3.0000000000000001E-3</v>
      </c>
      <c r="G1514" s="342">
        <v>4.0000000000000001E-3</v>
      </c>
      <c r="H1514" s="342">
        <v>8.0000000000000002E-3</v>
      </c>
      <c r="I1514" s="342">
        <v>1.0999999999999999E-2</v>
      </c>
      <c r="J1514" s="342">
        <v>1.7999999999999999E-2</v>
      </c>
      <c r="K1514" s="342">
        <v>6.8000000000000005E-2</v>
      </c>
      <c r="L1514" s="342">
        <v>0</v>
      </c>
      <c r="M1514" s="342">
        <v>2.1999999999999999E-2</v>
      </c>
    </row>
    <row r="1515" spans="1:13">
      <c r="A1515" t="s">
        <v>2810</v>
      </c>
      <c r="B1515" s="342">
        <v>1.08</v>
      </c>
      <c r="C1515" s="342">
        <v>0.41799999999999998</v>
      </c>
      <c r="D1515" s="342">
        <v>0.59</v>
      </c>
      <c r="E1515" s="342">
        <v>0.70399999999999996</v>
      </c>
      <c r="F1515" s="342">
        <v>0.46600000000000003</v>
      </c>
      <c r="G1515" s="342">
        <v>0.52200000000000002</v>
      </c>
      <c r="H1515" s="342">
        <v>1.1619999999999999</v>
      </c>
      <c r="I1515" s="342">
        <v>0.42099999999999999</v>
      </c>
      <c r="J1515" s="342">
        <v>0.67100000000000004</v>
      </c>
      <c r="K1515" s="342">
        <v>1.4710000000000001</v>
      </c>
      <c r="L1515" s="342">
        <v>0.35899999999999999</v>
      </c>
      <c r="M1515" s="342">
        <v>0.58499999999999996</v>
      </c>
    </row>
    <row r="1516" spans="1:13">
      <c r="A1516" t="s">
        <v>9</v>
      </c>
      <c r="B1516">
        <v>4.6399999999999997</v>
      </c>
      <c r="C1516">
        <v>8.15</v>
      </c>
      <c r="D1516">
        <v>6.43</v>
      </c>
      <c r="E1516">
        <v>4.17</v>
      </c>
      <c r="F1516">
        <v>11.12</v>
      </c>
      <c r="G1516">
        <v>7.01</v>
      </c>
      <c r="H1516">
        <v>5.38</v>
      </c>
      <c r="I1516">
        <v>8.27</v>
      </c>
      <c r="J1516">
        <v>7.03</v>
      </c>
      <c r="K1516">
        <v>4.6100000000000003</v>
      </c>
      <c r="L1516">
        <v>6.17</v>
      </c>
      <c r="M1516">
        <v>5.44</v>
      </c>
    </row>
    <row r="1517" spans="1:13">
      <c r="A1517" t="s">
        <v>8</v>
      </c>
      <c r="B1517">
        <v>13.82</v>
      </c>
      <c r="C1517">
        <v>18.46</v>
      </c>
      <c r="D1517">
        <v>13.53</v>
      </c>
      <c r="E1517">
        <v>43.69</v>
      </c>
      <c r="F1517">
        <v>17.32</v>
      </c>
      <c r="G1517">
        <v>18.100000000000001</v>
      </c>
      <c r="H1517">
        <v>11.39</v>
      </c>
      <c r="I1517">
        <v>23.49</v>
      </c>
      <c r="J1517">
        <v>12.5</v>
      </c>
      <c r="K1517">
        <v>8.43</v>
      </c>
      <c r="L1517">
        <v>16.2</v>
      </c>
      <c r="M1517">
        <v>11.23</v>
      </c>
    </row>
    <row r="1518" spans="1:13">
      <c r="A1518" t="s">
        <v>10</v>
      </c>
      <c r="B1518">
        <v>31.31</v>
      </c>
      <c r="C1518">
        <v>16.84</v>
      </c>
      <c r="D1518">
        <v>18.510000000000002</v>
      </c>
      <c r="E1518">
        <v>55.95</v>
      </c>
      <c r="F1518">
        <v>14.89</v>
      </c>
      <c r="G1518">
        <v>18.2</v>
      </c>
      <c r="H1518">
        <v>36.93</v>
      </c>
      <c r="I1518">
        <v>20.48</v>
      </c>
      <c r="J1518">
        <v>21.35</v>
      </c>
      <c r="K1518">
        <v>18.18</v>
      </c>
      <c r="L1518">
        <v>16.37</v>
      </c>
      <c r="M1518">
        <v>16.64</v>
      </c>
    </row>
    <row r="1519" spans="1:13">
      <c r="A1519" t="s">
        <v>1621</v>
      </c>
      <c r="B1519" s="342">
        <v>0.25600000000000001</v>
      </c>
      <c r="C1519" s="342">
        <v>0.11799999999999999</v>
      </c>
      <c r="D1519" s="342">
        <v>0.17599999999999999</v>
      </c>
      <c r="E1519" s="342">
        <v>0.245</v>
      </c>
      <c r="F1519" s="342">
        <v>8.1000000000000003E-2</v>
      </c>
      <c r="G1519" s="342">
        <v>0.14299999999999999</v>
      </c>
      <c r="H1519" s="342">
        <v>0.247</v>
      </c>
      <c r="I1519" s="342">
        <v>0.115</v>
      </c>
      <c r="J1519" s="342">
        <v>0.17499999999999999</v>
      </c>
      <c r="K1519" s="342">
        <v>0.28000000000000003</v>
      </c>
      <c r="L1519" s="342">
        <v>0.16300000000000001</v>
      </c>
      <c r="M1519" s="342">
        <v>0.21299999999999999</v>
      </c>
    </row>
    <row r="1521" spans="1:13">
      <c r="A1521" t="s">
        <v>2905</v>
      </c>
    </row>
    <row r="1523" spans="1:13">
      <c r="A1523" t="s">
        <v>158</v>
      </c>
      <c r="B1523" t="s">
        <v>2806</v>
      </c>
      <c r="E1523">
        <v>2017</v>
      </c>
      <c r="H1523">
        <v>2018</v>
      </c>
      <c r="K1523">
        <v>2019</v>
      </c>
    </row>
    <row r="1524" spans="1:13">
      <c r="B1524" t="s">
        <v>1623</v>
      </c>
      <c r="C1524" t="s">
        <v>1624</v>
      </c>
      <c r="D1524" t="s">
        <v>1622</v>
      </c>
      <c r="E1524" t="s">
        <v>1623</v>
      </c>
      <c r="F1524" t="s">
        <v>1624</v>
      </c>
      <c r="G1524" t="s">
        <v>1622</v>
      </c>
      <c r="H1524" t="s">
        <v>1623</v>
      </c>
      <c r="I1524" t="s">
        <v>1624</v>
      </c>
      <c r="J1524" t="s">
        <v>1622</v>
      </c>
      <c r="K1524" t="s">
        <v>1623</v>
      </c>
      <c r="L1524" t="s">
        <v>1624</v>
      </c>
      <c r="M1524" t="s">
        <v>1622</v>
      </c>
    </row>
    <row r="1525" spans="1:13">
      <c r="A1525" t="s">
        <v>2807</v>
      </c>
      <c r="B1525" s="342">
        <v>0.77400000000000002</v>
      </c>
      <c r="C1525" s="342">
        <v>0.67800000000000005</v>
      </c>
      <c r="D1525" s="342">
        <v>0.69799999999999995</v>
      </c>
      <c r="E1525" s="342">
        <v>0.46400000000000002</v>
      </c>
      <c r="F1525" s="342">
        <v>0.68899999999999995</v>
      </c>
      <c r="G1525" s="342">
        <v>0.56799999999999995</v>
      </c>
      <c r="H1525" s="342">
        <v>0.746</v>
      </c>
      <c r="I1525" s="342">
        <v>0.65300000000000002</v>
      </c>
      <c r="J1525" s="342">
        <v>0.68700000000000006</v>
      </c>
      <c r="K1525" s="342">
        <v>0.80700000000000005</v>
      </c>
      <c r="L1525" s="342">
        <v>0.80600000000000005</v>
      </c>
      <c r="M1525" s="342">
        <v>0.73099999999999998</v>
      </c>
    </row>
    <row r="1526" spans="1:13">
      <c r="A1526" t="s">
        <v>1618</v>
      </c>
      <c r="B1526" s="342">
        <v>0.10299999999999999</v>
      </c>
      <c r="C1526" s="342">
        <v>0.27500000000000002</v>
      </c>
      <c r="D1526" s="342">
        <v>0.19</v>
      </c>
      <c r="E1526" s="342">
        <v>0.314</v>
      </c>
      <c r="F1526" s="342">
        <v>0.249</v>
      </c>
      <c r="G1526" s="342">
        <v>0.30099999999999999</v>
      </c>
      <c r="H1526" s="342">
        <v>0.11799999999999999</v>
      </c>
      <c r="I1526" s="342">
        <v>0.30199999999999999</v>
      </c>
      <c r="J1526" s="342">
        <v>0.193</v>
      </c>
      <c r="K1526" s="342">
        <v>8.5000000000000006E-2</v>
      </c>
      <c r="L1526" s="342">
        <v>0.154</v>
      </c>
      <c r="M1526" s="342">
        <v>0.16900000000000001</v>
      </c>
    </row>
    <row r="1527" spans="1:13">
      <c r="A1527" t="s">
        <v>1619</v>
      </c>
      <c r="B1527" s="342">
        <v>3.9E-2</v>
      </c>
      <c r="C1527" s="342">
        <v>6.0000000000000001E-3</v>
      </c>
      <c r="D1527" s="342">
        <v>3.3000000000000002E-2</v>
      </c>
      <c r="E1527" s="342">
        <v>0</v>
      </c>
      <c r="F1527" s="342">
        <v>0</v>
      </c>
      <c r="G1527" s="342">
        <v>8.9999999999999993E-3</v>
      </c>
      <c r="H1527" s="342">
        <v>7.3999999999999996E-2</v>
      </c>
      <c r="I1527" s="342">
        <v>4.0000000000000001E-3</v>
      </c>
      <c r="J1527" s="342">
        <v>5.7000000000000002E-2</v>
      </c>
      <c r="K1527" s="342">
        <v>6.0000000000000001E-3</v>
      </c>
      <c r="L1527" s="342">
        <v>2.5000000000000001E-2</v>
      </c>
      <c r="M1527" s="342">
        <v>1.2999999999999999E-2</v>
      </c>
    </row>
    <row r="1528" spans="1:13">
      <c r="A1528" t="s">
        <v>1620</v>
      </c>
      <c r="B1528" s="342">
        <v>0.33100000000000002</v>
      </c>
      <c r="C1528" s="342">
        <v>0.34599999999999997</v>
      </c>
      <c r="D1528" s="342">
        <v>0.36699999999999999</v>
      </c>
      <c r="E1528" s="342">
        <v>6.4000000000000001E-2</v>
      </c>
      <c r="F1528" s="342">
        <v>0.38700000000000001</v>
      </c>
      <c r="G1528" s="342">
        <v>0.371</v>
      </c>
      <c r="H1528" s="342">
        <v>0.33200000000000002</v>
      </c>
      <c r="I1528" s="342">
        <v>0.32800000000000001</v>
      </c>
      <c r="J1528" s="342">
        <v>0.35899999999999999</v>
      </c>
      <c r="K1528" s="342">
        <v>0.36199999999999999</v>
      </c>
      <c r="L1528" s="342">
        <v>0.41899999999999998</v>
      </c>
      <c r="M1528" s="342">
        <v>0.374</v>
      </c>
    </row>
    <row r="1529" spans="1:13">
      <c r="A1529" t="s">
        <v>2808</v>
      </c>
      <c r="B1529" s="342">
        <v>0.41499999999999998</v>
      </c>
      <c r="C1529" s="342">
        <v>0.621</v>
      </c>
      <c r="D1529" s="342">
        <v>0.435</v>
      </c>
      <c r="E1529" s="342">
        <v>0.81100000000000005</v>
      </c>
      <c r="F1529" s="342">
        <v>0.28599999999999998</v>
      </c>
      <c r="G1529" s="342">
        <v>0.53700000000000003</v>
      </c>
      <c r="H1529" s="342">
        <v>0.42</v>
      </c>
      <c r="I1529" s="342">
        <v>0.71499999999999997</v>
      </c>
      <c r="J1529" s="342">
        <v>0.45500000000000002</v>
      </c>
      <c r="K1529" s="342">
        <v>0.36099999999999999</v>
      </c>
      <c r="L1529" s="342">
        <v>0.37</v>
      </c>
      <c r="M1529" s="342">
        <v>0.39800000000000002</v>
      </c>
    </row>
    <row r="1530" spans="1:13">
      <c r="A1530" t="s">
        <v>2809</v>
      </c>
      <c r="B1530" s="342">
        <v>2.3E-2</v>
      </c>
      <c r="C1530" s="342">
        <v>0.02</v>
      </c>
      <c r="D1530" s="342">
        <v>3.4000000000000002E-2</v>
      </c>
      <c r="E1530" s="342">
        <v>3.9E-2</v>
      </c>
      <c r="F1530" s="342">
        <v>0</v>
      </c>
      <c r="G1530" s="342">
        <v>0.13500000000000001</v>
      </c>
      <c r="H1530" s="342">
        <v>2.3E-2</v>
      </c>
      <c r="I1530" s="342">
        <v>2.5999999999999999E-2</v>
      </c>
      <c r="J1530" s="342">
        <v>2.4E-2</v>
      </c>
      <c r="K1530" s="342">
        <v>0.02</v>
      </c>
      <c r="L1530" s="342">
        <v>0</v>
      </c>
      <c r="M1530" s="342">
        <v>2.7E-2</v>
      </c>
    </row>
    <row r="1531" spans="1:13">
      <c r="A1531" t="s">
        <v>2810</v>
      </c>
      <c r="B1531" s="342">
        <v>1.3220000000000001</v>
      </c>
      <c r="C1531" s="342">
        <v>1.8540000000000001</v>
      </c>
      <c r="D1531" s="342">
        <v>1.278</v>
      </c>
      <c r="E1531" s="342">
        <v>13.379</v>
      </c>
      <c r="F1531" s="342">
        <v>0.73799999999999999</v>
      </c>
      <c r="G1531" s="342">
        <v>1.81</v>
      </c>
      <c r="H1531" s="342">
        <v>1.3320000000000001</v>
      </c>
      <c r="I1531" s="342">
        <v>2.2589999999999999</v>
      </c>
      <c r="J1531" s="342">
        <v>1.333</v>
      </c>
      <c r="K1531" s="342">
        <v>1.052</v>
      </c>
      <c r="L1531" s="342">
        <v>0.88400000000000001</v>
      </c>
      <c r="M1531" s="342">
        <v>1.1359999999999999</v>
      </c>
    </row>
    <row r="1532" spans="1:13">
      <c r="A1532" t="s">
        <v>9</v>
      </c>
      <c r="B1532">
        <v>2.96</v>
      </c>
      <c r="C1532">
        <v>2.12</v>
      </c>
      <c r="D1532">
        <v>3.11</v>
      </c>
      <c r="E1532">
        <v>1.07</v>
      </c>
      <c r="F1532">
        <v>0.79</v>
      </c>
      <c r="G1532">
        <v>3.56</v>
      </c>
      <c r="H1532">
        <v>2.77</v>
      </c>
      <c r="I1532">
        <v>2.59</v>
      </c>
      <c r="J1532">
        <v>3.09</v>
      </c>
      <c r="K1532">
        <v>3.3</v>
      </c>
      <c r="L1532">
        <v>56.49</v>
      </c>
      <c r="M1532">
        <v>3.06</v>
      </c>
    </row>
    <row r="1533" spans="1:13">
      <c r="A1533" t="s">
        <v>8</v>
      </c>
      <c r="B1533">
        <v>1.41</v>
      </c>
      <c r="C1533">
        <v>3.92</v>
      </c>
      <c r="D1533">
        <v>1.66</v>
      </c>
      <c r="E1533">
        <v>1.39</v>
      </c>
      <c r="F1533">
        <v>15</v>
      </c>
      <c r="G1533">
        <v>12.93</v>
      </c>
      <c r="H1533">
        <v>1.55</v>
      </c>
      <c r="I1533">
        <v>3.91</v>
      </c>
      <c r="J1533">
        <v>1.66</v>
      </c>
      <c r="K1533">
        <v>1.29</v>
      </c>
      <c r="L1533">
        <v>2.11</v>
      </c>
      <c r="M1533">
        <v>1.44</v>
      </c>
    </row>
    <row r="1534" spans="1:13">
      <c r="A1534" t="s">
        <v>10</v>
      </c>
      <c r="B1534">
        <v>5.9</v>
      </c>
      <c r="C1534">
        <v>3.52</v>
      </c>
      <c r="D1534">
        <v>6.93</v>
      </c>
      <c r="E1534">
        <v>2.36</v>
      </c>
      <c r="F1534">
        <v>1.59</v>
      </c>
      <c r="G1534">
        <v>7.38</v>
      </c>
      <c r="H1534">
        <v>6.62</v>
      </c>
      <c r="I1534">
        <v>11.69</v>
      </c>
      <c r="J1534">
        <v>8.39</v>
      </c>
      <c r="K1534">
        <v>5.51</v>
      </c>
      <c r="L1534">
        <v>1</v>
      </c>
      <c r="M1534">
        <v>5.88</v>
      </c>
    </row>
    <row r="1535" spans="1:13">
      <c r="A1535" t="s">
        <v>1621</v>
      </c>
      <c r="B1535" s="342">
        <v>0.879</v>
      </c>
      <c r="C1535" s="342">
        <v>0.443</v>
      </c>
      <c r="D1535" s="342">
        <v>0.78100000000000003</v>
      </c>
      <c r="E1535" s="342">
        <v>1.228</v>
      </c>
      <c r="F1535" s="342">
        <v>0.70699999999999996</v>
      </c>
      <c r="G1535" s="342">
        <v>0.223</v>
      </c>
      <c r="H1535" s="342">
        <v>0.85399999999999998</v>
      </c>
      <c r="I1535" s="342">
        <v>0.55600000000000005</v>
      </c>
      <c r="J1535" s="342">
        <v>0.80700000000000005</v>
      </c>
      <c r="K1535" s="342">
        <v>0.89400000000000002</v>
      </c>
      <c r="L1535" s="342">
        <v>-0.50600000000000001</v>
      </c>
      <c r="M1535" s="342">
        <v>0.85</v>
      </c>
    </row>
    <row r="1537" spans="1:13">
      <c r="A1537" t="s">
        <v>2906</v>
      </c>
    </row>
    <row r="1539" spans="1:13">
      <c r="A1539" t="s">
        <v>158</v>
      </c>
      <c r="B1539" t="s">
        <v>2806</v>
      </c>
      <c r="E1539">
        <v>2017</v>
      </c>
      <c r="H1539">
        <v>2018</v>
      </c>
      <c r="K1539">
        <v>2019</v>
      </c>
    </row>
    <row r="1540" spans="1:13">
      <c r="B1540" t="s">
        <v>1623</v>
      </c>
      <c r="C1540" t="s">
        <v>1624</v>
      </c>
      <c r="D1540" t="s">
        <v>1622</v>
      </c>
      <c r="E1540" t="s">
        <v>1623</v>
      </c>
      <c r="F1540" t="s">
        <v>1624</v>
      </c>
      <c r="G1540" t="s">
        <v>1622</v>
      </c>
      <c r="H1540" t="s">
        <v>1623</v>
      </c>
      <c r="I1540" t="s">
        <v>1624</v>
      </c>
      <c r="J1540" t="s">
        <v>1622</v>
      </c>
      <c r="K1540" t="s">
        <v>1623</v>
      </c>
      <c r="L1540" t="s">
        <v>1624</v>
      </c>
      <c r="M1540" t="s">
        <v>1622</v>
      </c>
    </row>
    <row r="1541" spans="1:13">
      <c r="A1541" t="s">
        <v>2807</v>
      </c>
      <c r="B1541" s="342">
        <v>0.73799999999999999</v>
      </c>
      <c r="C1541" s="342">
        <v>0.89200000000000002</v>
      </c>
      <c r="D1541" s="342">
        <v>0.85399999999999998</v>
      </c>
      <c r="E1541" s="342">
        <v>0.71899999999999997</v>
      </c>
      <c r="F1541" s="342">
        <v>0.88500000000000001</v>
      </c>
      <c r="G1541" s="342">
        <v>0.84499999999999997</v>
      </c>
      <c r="H1541" s="342">
        <v>0.749</v>
      </c>
      <c r="I1541" s="342">
        <v>0.876</v>
      </c>
      <c r="J1541" s="342">
        <v>0.85199999999999998</v>
      </c>
      <c r="K1541" s="342">
        <v>0.748</v>
      </c>
      <c r="L1541" s="342">
        <v>0.90200000000000002</v>
      </c>
      <c r="M1541" s="342">
        <v>0.86099999999999999</v>
      </c>
    </row>
    <row r="1542" spans="1:13">
      <c r="A1542" t="s">
        <v>1618</v>
      </c>
      <c r="B1542" s="342">
        <v>0.10299999999999999</v>
      </c>
      <c r="C1542" s="342">
        <v>9.0999999999999998E-2</v>
      </c>
      <c r="D1542" s="342">
        <v>8.5999999999999993E-2</v>
      </c>
      <c r="E1542" s="342">
        <v>0.115</v>
      </c>
      <c r="F1542" s="342">
        <v>0.1</v>
      </c>
      <c r="G1542" s="342">
        <v>9.1999999999999998E-2</v>
      </c>
      <c r="H1542" s="342">
        <v>9.8000000000000004E-2</v>
      </c>
      <c r="I1542" s="342">
        <v>0.107</v>
      </c>
      <c r="J1542" s="342">
        <v>8.2000000000000003E-2</v>
      </c>
      <c r="K1542" s="342">
        <v>9.6000000000000002E-2</v>
      </c>
      <c r="L1542" s="342">
        <v>7.8E-2</v>
      </c>
      <c r="M1542" s="342">
        <v>8.3000000000000004E-2</v>
      </c>
    </row>
    <row r="1543" spans="1:13">
      <c r="A1543" t="s">
        <v>1619</v>
      </c>
      <c r="B1543" s="342">
        <v>1.0999999999999999E-2</v>
      </c>
      <c r="C1543" s="342">
        <v>8.0000000000000002E-3</v>
      </c>
      <c r="D1543" s="342">
        <v>8.9999999999999993E-3</v>
      </c>
      <c r="E1543" s="342">
        <v>8.0000000000000002E-3</v>
      </c>
      <c r="F1543" s="342">
        <v>3.0000000000000001E-3</v>
      </c>
      <c r="G1543" s="342">
        <v>5.0000000000000001E-3</v>
      </c>
      <c r="H1543" s="342">
        <v>1.4E-2</v>
      </c>
      <c r="I1543" s="342">
        <v>8.9999999999999993E-3</v>
      </c>
      <c r="J1543" s="342">
        <v>1.2E-2</v>
      </c>
      <c r="K1543" s="342">
        <v>1.0999999999999999E-2</v>
      </c>
      <c r="L1543" s="342">
        <v>8.9999999999999993E-3</v>
      </c>
      <c r="M1543" s="342">
        <v>1.0999999999999999E-2</v>
      </c>
    </row>
    <row r="1544" spans="1:13">
      <c r="A1544" t="s">
        <v>1620</v>
      </c>
      <c r="B1544" s="342">
        <v>0.61599999999999999</v>
      </c>
      <c r="C1544" s="342">
        <v>0.90900000000000003</v>
      </c>
      <c r="D1544" s="342">
        <v>0.69699999999999995</v>
      </c>
      <c r="E1544" s="342">
        <v>0.60099999999999998</v>
      </c>
      <c r="F1544" s="342">
        <v>0.97599999999999998</v>
      </c>
      <c r="G1544" s="342">
        <v>0.71899999999999997</v>
      </c>
      <c r="H1544" s="342">
        <v>0.627</v>
      </c>
      <c r="I1544" s="342">
        <v>0.89200000000000002</v>
      </c>
      <c r="J1544" s="342">
        <v>0.66100000000000003</v>
      </c>
      <c r="K1544" s="342">
        <v>0.62</v>
      </c>
      <c r="L1544" s="342">
        <v>0.88500000000000001</v>
      </c>
      <c r="M1544" s="342">
        <v>0.71099999999999997</v>
      </c>
    </row>
    <row r="1545" spans="1:13">
      <c r="A1545" t="s">
        <v>2808</v>
      </c>
      <c r="B1545" s="342">
        <v>0.50900000000000001</v>
      </c>
      <c r="C1545" s="342">
        <v>0.51900000000000002</v>
      </c>
      <c r="D1545" s="342">
        <v>0.55000000000000004</v>
      </c>
      <c r="E1545" s="342">
        <v>0.53500000000000003</v>
      </c>
      <c r="F1545" s="342">
        <v>0.56100000000000005</v>
      </c>
      <c r="G1545" s="342">
        <v>0.56100000000000005</v>
      </c>
      <c r="H1545" s="342">
        <v>0.51700000000000002</v>
      </c>
      <c r="I1545" s="342">
        <v>0.436</v>
      </c>
      <c r="J1545" s="342">
        <v>0.55300000000000005</v>
      </c>
      <c r="K1545" s="342">
        <v>0.47599999999999998</v>
      </c>
      <c r="L1545" s="342">
        <v>0.53600000000000003</v>
      </c>
      <c r="M1545" s="342">
        <v>0.53900000000000003</v>
      </c>
    </row>
    <row r="1546" spans="1:13">
      <c r="A1546" t="s">
        <v>2809</v>
      </c>
      <c r="B1546" s="342">
        <v>3.0000000000000001E-3</v>
      </c>
      <c r="C1546" s="342">
        <v>1.4E-2</v>
      </c>
      <c r="D1546" s="342">
        <v>6.0000000000000001E-3</v>
      </c>
      <c r="E1546" s="342">
        <v>2E-3</v>
      </c>
      <c r="F1546" s="342">
        <v>3.3000000000000002E-2</v>
      </c>
      <c r="G1546" s="342">
        <v>8.9999999999999993E-3</v>
      </c>
      <c r="H1546" s="342">
        <v>3.0000000000000001E-3</v>
      </c>
      <c r="I1546" s="342">
        <v>1.2999999999999999E-2</v>
      </c>
      <c r="J1546" s="342">
        <v>5.0000000000000001E-3</v>
      </c>
      <c r="K1546" s="342">
        <v>5.0000000000000001E-3</v>
      </c>
      <c r="L1546" s="342">
        <v>5.0000000000000001E-3</v>
      </c>
      <c r="M1546" s="342">
        <v>5.0000000000000001E-3</v>
      </c>
    </row>
    <row r="1547" spans="1:13">
      <c r="A1547" t="s">
        <v>2810</v>
      </c>
      <c r="B1547" s="342">
        <v>0.83299999999999996</v>
      </c>
      <c r="C1547" s="342">
        <v>0.58599999999999997</v>
      </c>
      <c r="D1547" s="342">
        <v>0.79800000000000004</v>
      </c>
      <c r="E1547" s="342">
        <v>0.89400000000000002</v>
      </c>
      <c r="F1547" s="342">
        <v>0.60799999999999998</v>
      </c>
      <c r="G1547" s="342">
        <v>0.79400000000000004</v>
      </c>
      <c r="H1547" s="342">
        <v>0.82899999999999996</v>
      </c>
      <c r="I1547" s="342">
        <v>0.503</v>
      </c>
      <c r="J1547" s="342">
        <v>0.84599999999999997</v>
      </c>
      <c r="K1547" s="342">
        <v>0.77600000000000002</v>
      </c>
      <c r="L1547" s="342">
        <v>0.61199999999999999</v>
      </c>
      <c r="M1547" s="342">
        <v>0.76600000000000001</v>
      </c>
    </row>
    <row r="1548" spans="1:13">
      <c r="A1548" t="s">
        <v>9</v>
      </c>
      <c r="B1548">
        <v>9.84</v>
      </c>
      <c r="C1548">
        <v>8.3699999999999992</v>
      </c>
      <c r="D1548">
        <v>7.5</v>
      </c>
      <c r="E1548">
        <v>9.15</v>
      </c>
      <c r="F1548">
        <v>10.53</v>
      </c>
      <c r="G1548">
        <v>8.34</v>
      </c>
      <c r="H1548">
        <v>10.83</v>
      </c>
      <c r="I1548">
        <v>7.06</v>
      </c>
      <c r="J1548">
        <v>6.14</v>
      </c>
      <c r="K1548">
        <v>9.77</v>
      </c>
      <c r="L1548">
        <v>8.1999999999999993</v>
      </c>
      <c r="M1548">
        <v>8.24</v>
      </c>
    </row>
    <row r="1549" spans="1:13">
      <c r="A1549" t="s">
        <v>8</v>
      </c>
      <c r="B1549">
        <v>9.3699999999999992</v>
      </c>
      <c r="C1549">
        <v>8.4700000000000006</v>
      </c>
      <c r="D1549">
        <v>8.1300000000000008</v>
      </c>
      <c r="E1549">
        <v>10</v>
      </c>
      <c r="F1549">
        <v>12.11</v>
      </c>
      <c r="G1549">
        <v>9.6300000000000008</v>
      </c>
      <c r="H1549">
        <v>8.82</v>
      </c>
      <c r="I1549">
        <v>7.08</v>
      </c>
      <c r="J1549">
        <v>7.15</v>
      </c>
      <c r="K1549">
        <v>9.32</v>
      </c>
      <c r="L1549">
        <v>7.93</v>
      </c>
      <c r="M1549">
        <v>8</v>
      </c>
    </row>
    <row r="1550" spans="1:13">
      <c r="A1550" t="s">
        <v>10</v>
      </c>
      <c r="B1550">
        <v>15.96</v>
      </c>
      <c r="C1550">
        <v>11.02</v>
      </c>
      <c r="D1550">
        <v>11.09</v>
      </c>
      <c r="E1550">
        <v>14.62</v>
      </c>
      <c r="F1550">
        <v>12.46</v>
      </c>
      <c r="G1550">
        <v>12.11</v>
      </c>
      <c r="H1550">
        <v>16.93</v>
      </c>
      <c r="I1550">
        <v>10.95</v>
      </c>
      <c r="J1550">
        <v>9.94</v>
      </c>
      <c r="K1550">
        <v>16.579999999999998</v>
      </c>
      <c r="L1550">
        <v>10.42</v>
      </c>
      <c r="M1550">
        <v>11.33</v>
      </c>
    </row>
    <row r="1551" spans="1:13">
      <c r="A1551" t="s">
        <v>1621</v>
      </c>
      <c r="B1551" s="342">
        <v>0.14599999999999999</v>
      </c>
      <c r="C1551" s="342">
        <v>0.14699999999999999</v>
      </c>
      <c r="D1551" s="342">
        <v>0.16600000000000001</v>
      </c>
      <c r="E1551" s="342">
        <v>0.14099999999999999</v>
      </c>
      <c r="F1551" s="342">
        <v>9.7000000000000003E-2</v>
      </c>
      <c r="G1551" s="342">
        <v>0.14099999999999999</v>
      </c>
      <c r="H1551" s="342">
        <v>0.14699999999999999</v>
      </c>
      <c r="I1551" s="342">
        <v>0.192</v>
      </c>
      <c r="J1551" s="342">
        <v>0.20200000000000001</v>
      </c>
      <c r="K1551" s="342">
        <v>0.14899999999999999</v>
      </c>
      <c r="L1551" s="342">
        <v>0.152</v>
      </c>
      <c r="M1551" s="342">
        <v>0.158</v>
      </c>
    </row>
    <row r="1553" spans="1:13">
      <c r="A1553" t="s">
        <v>2907</v>
      </c>
    </row>
    <row r="1555" spans="1:13">
      <c r="A1555" t="s">
        <v>158</v>
      </c>
      <c r="B1555" t="s">
        <v>2806</v>
      </c>
      <c r="E1555">
        <v>2017</v>
      </c>
      <c r="H1555">
        <v>2018</v>
      </c>
      <c r="K1555">
        <v>2019</v>
      </c>
    </row>
    <row r="1556" spans="1:13">
      <c r="B1556" t="s">
        <v>1623</v>
      </c>
      <c r="C1556" t="s">
        <v>1624</v>
      </c>
      <c r="D1556" t="s">
        <v>1622</v>
      </c>
      <c r="E1556" t="s">
        <v>1623</v>
      </c>
      <c r="F1556" t="s">
        <v>1624</v>
      </c>
      <c r="G1556" t="s">
        <v>1622</v>
      </c>
      <c r="H1556" t="s">
        <v>1623</v>
      </c>
      <c r="I1556" t="s">
        <v>1624</v>
      </c>
      <c r="J1556" t="s">
        <v>1622</v>
      </c>
      <c r="K1556" t="s">
        <v>1623</v>
      </c>
      <c r="L1556" t="s">
        <v>1624</v>
      </c>
      <c r="M1556" t="s">
        <v>1622</v>
      </c>
    </row>
    <row r="1557" spans="1:13">
      <c r="A1557" t="s">
        <v>2807</v>
      </c>
      <c r="B1557" s="342">
        <v>0.70699999999999996</v>
      </c>
      <c r="C1557" s="342">
        <v>0.86099999999999999</v>
      </c>
      <c r="D1557" s="342">
        <v>0.81100000000000005</v>
      </c>
      <c r="E1557" s="342">
        <v>0.72299999999999998</v>
      </c>
      <c r="F1557" s="342">
        <v>0.86399999999999999</v>
      </c>
      <c r="G1557" s="342">
        <v>0.80200000000000005</v>
      </c>
      <c r="H1557" s="342">
        <v>0.68500000000000005</v>
      </c>
      <c r="I1557" s="342">
        <v>0.86</v>
      </c>
      <c r="J1557" s="342">
        <v>0.80600000000000005</v>
      </c>
      <c r="K1557" s="342">
        <v>0.70499999999999996</v>
      </c>
      <c r="L1557" s="342">
        <v>0.86099999999999999</v>
      </c>
      <c r="M1557" s="342">
        <v>0.82799999999999996</v>
      </c>
    </row>
    <row r="1558" spans="1:13">
      <c r="A1558" t="s">
        <v>1618</v>
      </c>
      <c r="B1558" s="342">
        <v>0.113</v>
      </c>
      <c r="C1558" s="342">
        <v>0.11799999999999999</v>
      </c>
      <c r="D1558" s="342">
        <v>0.105</v>
      </c>
      <c r="E1558" s="342">
        <v>0.106</v>
      </c>
      <c r="F1558" s="342">
        <v>0.112</v>
      </c>
      <c r="G1558" s="342">
        <v>0.10199999999999999</v>
      </c>
      <c r="H1558" s="342">
        <v>0.11</v>
      </c>
      <c r="I1558" s="342">
        <v>0.12</v>
      </c>
      <c r="J1558" s="342">
        <v>0.10199999999999999</v>
      </c>
      <c r="K1558" s="342">
        <v>0.14099999999999999</v>
      </c>
      <c r="L1558" s="342">
        <v>0.12</v>
      </c>
      <c r="M1558" s="342">
        <v>0.111</v>
      </c>
    </row>
    <row r="1559" spans="1:13">
      <c r="A1559" t="s">
        <v>1619</v>
      </c>
      <c r="B1559" s="342">
        <v>8.0000000000000002E-3</v>
      </c>
      <c r="C1559" s="342">
        <v>1.0999999999999999E-2</v>
      </c>
      <c r="D1559" s="342">
        <v>0.01</v>
      </c>
      <c r="E1559" s="342">
        <v>3.0000000000000001E-3</v>
      </c>
      <c r="F1559" s="342">
        <v>3.0000000000000001E-3</v>
      </c>
      <c r="G1559" s="342">
        <v>3.0000000000000001E-3</v>
      </c>
      <c r="H1559" s="342">
        <v>1.0999999999999999E-2</v>
      </c>
      <c r="I1559" s="342">
        <v>1.4E-2</v>
      </c>
      <c r="J1559" s="342">
        <v>1.2999999999999999E-2</v>
      </c>
      <c r="K1559" s="342">
        <v>0.02</v>
      </c>
      <c r="L1559" s="342">
        <v>1.2999999999999999E-2</v>
      </c>
      <c r="M1559" s="342">
        <v>1.4E-2</v>
      </c>
    </row>
    <row r="1560" spans="1:13">
      <c r="A1560" t="s">
        <v>1620</v>
      </c>
      <c r="B1560" s="342">
        <v>0.749</v>
      </c>
      <c r="C1560" s="342">
        <v>0.98799999999999999</v>
      </c>
      <c r="D1560" s="342">
        <v>0.84099999999999997</v>
      </c>
      <c r="E1560" s="342">
        <v>0.752</v>
      </c>
      <c r="F1560" s="342">
        <v>1.105</v>
      </c>
      <c r="G1560" s="342">
        <v>0.91500000000000004</v>
      </c>
      <c r="H1560" s="342">
        <v>0.76500000000000001</v>
      </c>
      <c r="I1560" s="342">
        <v>0.96299999999999997</v>
      </c>
      <c r="J1560" s="342">
        <v>0.85599999999999998</v>
      </c>
      <c r="K1560" s="342">
        <v>0.71099999999999997</v>
      </c>
      <c r="L1560" s="342">
        <v>0.94299999999999995</v>
      </c>
      <c r="M1560" s="342">
        <v>0.751</v>
      </c>
    </row>
    <row r="1561" spans="1:13">
      <c r="A1561" t="s">
        <v>2808</v>
      </c>
      <c r="B1561" s="342">
        <v>0.316</v>
      </c>
      <c r="C1561" s="342">
        <v>0.441</v>
      </c>
      <c r="D1561" s="342">
        <v>0.36699999999999999</v>
      </c>
      <c r="E1561" s="342">
        <v>0.28999999999999998</v>
      </c>
      <c r="F1561" s="342">
        <v>0.45</v>
      </c>
      <c r="G1561" s="342">
        <v>0.36299999999999999</v>
      </c>
      <c r="H1561" s="342">
        <v>0.29099999999999998</v>
      </c>
      <c r="I1561" s="342">
        <v>0.438</v>
      </c>
      <c r="J1561" s="342">
        <v>0.37</v>
      </c>
      <c r="K1561" s="342">
        <v>0.43</v>
      </c>
      <c r="L1561" s="342">
        <v>0.438</v>
      </c>
      <c r="M1561" s="342">
        <v>0.36799999999999999</v>
      </c>
    </row>
    <row r="1562" spans="1:13">
      <c r="A1562" t="s">
        <v>2809</v>
      </c>
      <c r="B1562" s="342">
        <v>6.0000000000000001E-3</v>
      </c>
      <c r="C1562" s="342">
        <v>8.0000000000000002E-3</v>
      </c>
      <c r="D1562" s="342">
        <v>8.0000000000000002E-3</v>
      </c>
      <c r="E1562" s="342">
        <v>5.0000000000000001E-3</v>
      </c>
      <c r="F1562" s="342">
        <v>8.0000000000000002E-3</v>
      </c>
      <c r="G1562" s="342">
        <v>8.0000000000000002E-3</v>
      </c>
      <c r="H1562" s="342">
        <v>5.0000000000000001E-3</v>
      </c>
      <c r="I1562" s="342">
        <v>8.0000000000000002E-3</v>
      </c>
      <c r="J1562" s="342">
        <v>8.0000000000000002E-3</v>
      </c>
      <c r="K1562" s="342">
        <v>8.9999999999999993E-3</v>
      </c>
      <c r="L1562" s="342">
        <v>7.0000000000000001E-3</v>
      </c>
      <c r="M1562" s="342">
        <v>7.0000000000000001E-3</v>
      </c>
    </row>
    <row r="1563" spans="1:13">
      <c r="A1563" t="s">
        <v>2810</v>
      </c>
      <c r="B1563" s="342">
        <v>0.42899999999999999</v>
      </c>
      <c r="C1563" s="342">
        <v>0.45400000000000001</v>
      </c>
      <c r="D1563" s="342">
        <v>0.44600000000000001</v>
      </c>
      <c r="E1563" s="342">
        <v>0.39200000000000002</v>
      </c>
      <c r="F1563" s="342">
        <v>0.41499999999999998</v>
      </c>
      <c r="G1563" s="342">
        <v>0.40500000000000003</v>
      </c>
      <c r="H1563" s="342">
        <v>0.38700000000000001</v>
      </c>
      <c r="I1563" s="342">
        <v>0.46300000000000002</v>
      </c>
      <c r="J1563" s="342">
        <v>0.442</v>
      </c>
      <c r="K1563" s="342">
        <v>0.61699999999999999</v>
      </c>
      <c r="L1563" s="342">
        <v>0.47199999999999998</v>
      </c>
      <c r="M1563" s="342">
        <v>0.499</v>
      </c>
    </row>
    <row r="1564" spans="1:13">
      <c r="A1564" t="s">
        <v>9</v>
      </c>
      <c r="B1564">
        <v>7.83</v>
      </c>
      <c r="C1564">
        <v>5.68</v>
      </c>
      <c r="D1564">
        <v>6.16</v>
      </c>
      <c r="E1564">
        <v>8.2200000000000006</v>
      </c>
      <c r="F1564">
        <v>5.36</v>
      </c>
      <c r="G1564">
        <v>6.14</v>
      </c>
      <c r="H1564">
        <v>8.3000000000000007</v>
      </c>
      <c r="I1564">
        <v>5.95</v>
      </c>
      <c r="J1564">
        <v>6.26</v>
      </c>
      <c r="K1564">
        <v>6.3</v>
      </c>
      <c r="L1564">
        <v>5.71</v>
      </c>
      <c r="M1564">
        <v>6.08</v>
      </c>
    </row>
    <row r="1565" spans="1:13">
      <c r="A1565" t="s">
        <v>8</v>
      </c>
      <c r="B1565">
        <v>6.28</v>
      </c>
      <c r="C1565">
        <v>14.08</v>
      </c>
      <c r="D1565">
        <v>9.41</v>
      </c>
      <c r="E1565">
        <v>7.84</v>
      </c>
      <c r="F1565">
        <v>14.36</v>
      </c>
      <c r="G1565">
        <v>11.9</v>
      </c>
      <c r="H1565">
        <v>4.3600000000000003</v>
      </c>
      <c r="I1565">
        <v>12.53</v>
      </c>
      <c r="J1565">
        <v>9.0500000000000007</v>
      </c>
      <c r="K1565">
        <v>9.11</v>
      </c>
      <c r="L1565">
        <v>15.17</v>
      </c>
      <c r="M1565">
        <v>7.78</v>
      </c>
    </row>
    <row r="1566" spans="1:13">
      <c r="A1566" t="s">
        <v>10</v>
      </c>
      <c r="B1566">
        <v>12.72</v>
      </c>
      <c r="C1566">
        <v>6.72</v>
      </c>
      <c r="D1566">
        <v>8.4600000000000009</v>
      </c>
      <c r="E1566">
        <v>9.7200000000000006</v>
      </c>
      <c r="F1566">
        <v>6.52</v>
      </c>
      <c r="G1566">
        <v>7.85</v>
      </c>
      <c r="H1566">
        <v>20.73</v>
      </c>
      <c r="I1566">
        <v>6.62</v>
      </c>
      <c r="J1566">
        <v>9.01</v>
      </c>
      <c r="K1566">
        <v>14.19</v>
      </c>
      <c r="L1566">
        <v>6.92</v>
      </c>
      <c r="M1566">
        <v>8.68</v>
      </c>
    </row>
    <row r="1567" spans="1:13">
      <c r="A1567" t="s">
        <v>1621</v>
      </c>
      <c r="B1567" s="342">
        <v>0.20799999999999999</v>
      </c>
      <c r="C1567" s="342">
        <v>9.8000000000000004E-2</v>
      </c>
      <c r="D1567" s="342">
        <v>0.15</v>
      </c>
      <c r="E1567" s="342">
        <v>0.14599999999999999</v>
      </c>
      <c r="F1567" s="342">
        <v>0.10299999999999999</v>
      </c>
      <c r="G1567" s="342">
        <v>0.11899999999999999</v>
      </c>
      <c r="H1567" s="342">
        <v>0.30199999999999999</v>
      </c>
      <c r="I1567" s="342">
        <v>9.7000000000000003E-2</v>
      </c>
      <c r="J1567" s="342">
        <v>0.159</v>
      </c>
      <c r="K1567" s="342">
        <v>0.19800000000000001</v>
      </c>
      <c r="L1567" s="342">
        <v>9.6000000000000002E-2</v>
      </c>
      <c r="M1567" s="342">
        <v>0.17799999999999999</v>
      </c>
    </row>
    <row r="1569" spans="1:13">
      <c r="A1569" t="s">
        <v>2908</v>
      </c>
    </row>
    <row r="1571" spans="1:13">
      <c r="A1571" t="s">
        <v>158</v>
      </c>
      <c r="B1571" t="s">
        <v>2806</v>
      </c>
      <c r="E1571">
        <v>2017</v>
      </c>
      <c r="H1571">
        <v>2018</v>
      </c>
      <c r="K1571">
        <v>2019</v>
      </c>
    </row>
    <row r="1572" spans="1:13">
      <c r="B1572" t="s">
        <v>1623</v>
      </c>
      <c r="C1572" t="s">
        <v>1624</v>
      </c>
      <c r="D1572" t="s">
        <v>1622</v>
      </c>
      <c r="E1572" t="s">
        <v>1623</v>
      </c>
      <c r="F1572" t="s">
        <v>1624</v>
      </c>
      <c r="G1572" t="s">
        <v>1622</v>
      </c>
      <c r="H1572" t="s">
        <v>1623</v>
      </c>
      <c r="I1572" t="s">
        <v>1624</v>
      </c>
      <c r="J1572" t="s">
        <v>1622</v>
      </c>
      <c r="K1572" t="s">
        <v>1623</v>
      </c>
      <c r="L1572" t="s">
        <v>1624</v>
      </c>
      <c r="M1572" t="s">
        <v>1622</v>
      </c>
    </row>
    <row r="1573" spans="1:13">
      <c r="A1573" t="s">
        <v>2807</v>
      </c>
      <c r="B1573" s="342">
        <v>0.61399999999999999</v>
      </c>
      <c r="C1573" s="342">
        <v>0.82</v>
      </c>
      <c r="D1573" s="342">
        <v>0.73699999999999999</v>
      </c>
      <c r="E1573" s="342">
        <v>0.624</v>
      </c>
      <c r="F1573" s="342">
        <v>0.81799999999999995</v>
      </c>
      <c r="G1573" s="342">
        <v>0.74399999999999999</v>
      </c>
      <c r="H1573" s="342">
        <v>0.629</v>
      </c>
      <c r="I1573" s="342">
        <v>0.81799999999999995</v>
      </c>
      <c r="J1573" s="342">
        <v>0.74099999999999999</v>
      </c>
      <c r="K1573" s="342">
        <v>0.58699999999999997</v>
      </c>
      <c r="L1573" s="342">
        <v>0.82399999999999995</v>
      </c>
      <c r="M1573" s="342">
        <v>0.72599999999999998</v>
      </c>
    </row>
    <row r="1574" spans="1:13">
      <c r="A1574" t="s">
        <v>1618</v>
      </c>
      <c r="B1574" s="342">
        <v>0.16400000000000001</v>
      </c>
      <c r="C1574" s="342">
        <v>0.156</v>
      </c>
      <c r="D1574" s="342">
        <v>0.158</v>
      </c>
      <c r="E1574" s="342">
        <v>0.16</v>
      </c>
      <c r="F1574" s="342">
        <v>0.158</v>
      </c>
      <c r="G1574" s="342">
        <v>0.153</v>
      </c>
      <c r="H1574" s="342">
        <v>0.16</v>
      </c>
      <c r="I1574" s="342">
        <v>0.158</v>
      </c>
      <c r="J1574" s="342">
        <v>0.157</v>
      </c>
      <c r="K1574" s="342">
        <v>0.17199999999999999</v>
      </c>
      <c r="L1574" s="342">
        <v>0.152</v>
      </c>
      <c r="M1574" s="342">
        <v>0.16400000000000001</v>
      </c>
    </row>
    <row r="1575" spans="1:13">
      <c r="A1575" t="s">
        <v>1619</v>
      </c>
      <c r="B1575" s="342">
        <v>1.2E-2</v>
      </c>
      <c r="C1575" s="342">
        <v>1.6E-2</v>
      </c>
      <c r="D1575" s="342">
        <v>1.2999999999999999E-2</v>
      </c>
      <c r="E1575" s="342">
        <v>8.9999999999999993E-3</v>
      </c>
      <c r="F1575" s="342">
        <v>1.0999999999999999E-2</v>
      </c>
      <c r="G1575" s="342">
        <v>8.9999999999999993E-3</v>
      </c>
      <c r="H1575" s="342">
        <v>1.2E-2</v>
      </c>
      <c r="I1575" s="342">
        <v>1.7999999999999999E-2</v>
      </c>
      <c r="J1575" s="342">
        <v>1.4999999999999999E-2</v>
      </c>
      <c r="K1575" s="342">
        <v>1.4E-2</v>
      </c>
      <c r="L1575" s="342">
        <v>2.1000000000000001E-2</v>
      </c>
      <c r="M1575" s="342">
        <v>1.7000000000000001E-2</v>
      </c>
    </row>
    <row r="1576" spans="1:13">
      <c r="A1576" t="s">
        <v>1620</v>
      </c>
      <c r="B1576" s="342">
        <v>0.71</v>
      </c>
      <c r="C1576" s="342">
        <v>1.1040000000000001</v>
      </c>
      <c r="D1576" s="342">
        <v>0.89200000000000002</v>
      </c>
      <c r="E1576" s="342">
        <v>0.79600000000000004</v>
      </c>
      <c r="F1576" s="342">
        <v>1.175</v>
      </c>
      <c r="G1576" s="342">
        <v>0.94499999999999995</v>
      </c>
      <c r="H1576" s="342">
        <v>0.73</v>
      </c>
      <c r="I1576" s="342">
        <v>1.0509999999999999</v>
      </c>
      <c r="J1576" s="342">
        <v>0.89600000000000002</v>
      </c>
      <c r="K1576" s="342">
        <v>0.624</v>
      </c>
      <c r="L1576" s="342">
        <v>1.1000000000000001</v>
      </c>
      <c r="M1576" s="342">
        <v>0.83799999999999997</v>
      </c>
    </row>
    <row r="1577" spans="1:13">
      <c r="A1577" t="s">
        <v>2808</v>
      </c>
      <c r="B1577" s="342">
        <v>0.22900000000000001</v>
      </c>
      <c r="C1577" s="342">
        <v>0.311</v>
      </c>
      <c r="D1577" s="342">
        <v>0.28599999999999998</v>
      </c>
      <c r="E1577" s="342">
        <v>0.248</v>
      </c>
      <c r="F1577" s="342">
        <v>0.29599999999999999</v>
      </c>
      <c r="G1577" s="342">
        <v>0.28799999999999998</v>
      </c>
      <c r="H1577" s="342">
        <v>0.23300000000000001</v>
      </c>
      <c r="I1577" s="342">
        <v>0.33</v>
      </c>
      <c r="J1577" s="342">
        <v>0.28799999999999998</v>
      </c>
      <c r="K1577" s="342">
        <v>0.20899999999999999</v>
      </c>
      <c r="L1577" s="342">
        <v>0.30099999999999999</v>
      </c>
      <c r="M1577" s="342">
        <v>0.28299999999999997</v>
      </c>
    </row>
    <row r="1578" spans="1:13">
      <c r="A1578" t="s">
        <v>2809</v>
      </c>
      <c r="B1578" s="342">
        <v>1.6E-2</v>
      </c>
      <c r="C1578" s="342">
        <v>0.06</v>
      </c>
      <c r="D1578" s="342">
        <v>0.03</v>
      </c>
      <c r="E1578" s="342">
        <v>1.7000000000000001E-2</v>
      </c>
      <c r="F1578" s="342">
        <v>7.6999999999999999E-2</v>
      </c>
      <c r="G1578" s="342">
        <v>3.4000000000000002E-2</v>
      </c>
      <c r="H1578" s="342">
        <v>1.4999999999999999E-2</v>
      </c>
      <c r="I1578" s="342">
        <v>4.7E-2</v>
      </c>
      <c r="J1578" s="342">
        <v>2.8000000000000001E-2</v>
      </c>
      <c r="K1578" s="342">
        <v>1.6E-2</v>
      </c>
      <c r="L1578" s="342">
        <v>5.8000000000000003E-2</v>
      </c>
      <c r="M1578" s="342">
        <v>2.7E-2</v>
      </c>
    </row>
    <row r="1579" spans="1:13">
      <c r="A1579" t="s">
        <v>2810</v>
      </c>
      <c r="B1579" s="342">
        <v>0.34399999999999997</v>
      </c>
      <c r="C1579" s="342">
        <v>0.33600000000000002</v>
      </c>
      <c r="D1579" s="342">
        <v>0.35399999999999998</v>
      </c>
      <c r="E1579" s="342">
        <v>0.33200000000000002</v>
      </c>
      <c r="F1579" s="342">
        <v>0.318</v>
      </c>
      <c r="G1579" s="342">
        <v>0.34100000000000003</v>
      </c>
      <c r="H1579" s="342">
        <v>0.34</v>
      </c>
      <c r="I1579" s="342">
        <v>0.35899999999999999</v>
      </c>
      <c r="J1579" s="342">
        <v>0.35299999999999998</v>
      </c>
      <c r="K1579" s="342">
        <v>0.36099999999999999</v>
      </c>
      <c r="L1579" s="342">
        <v>0.32700000000000001</v>
      </c>
      <c r="M1579" s="342">
        <v>0.37</v>
      </c>
    </row>
    <row r="1580" spans="1:13">
      <c r="A1580" t="s">
        <v>9</v>
      </c>
      <c r="B1580">
        <v>4.42</v>
      </c>
      <c r="C1580">
        <v>5.6</v>
      </c>
      <c r="D1580">
        <v>4.8600000000000003</v>
      </c>
      <c r="E1580">
        <v>4.4400000000000004</v>
      </c>
      <c r="F1580">
        <v>6.28</v>
      </c>
      <c r="G1580">
        <v>4.91</v>
      </c>
      <c r="H1580">
        <v>4.5599999999999996</v>
      </c>
      <c r="I1580">
        <v>5.47</v>
      </c>
      <c r="J1580">
        <v>4.8600000000000003</v>
      </c>
      <c r="K1580">
        <v>4.26</v>
      </c>
      <c r="L1580">
        <v>5.12</v>
      </c>
      <c r="M1580">
        <v>4.79</v>
      </c>
    </row>
    <row r="1581" spans="1:13">
      <c r="A1581" t="s">
        <v>8</v>
      </c>
      <c r="B1581">
        <v>8.1199999999999992</v>
      </c>
      <c r="C1581">
        <v>7.11</v>
      </c>
      <c r="D1581">
        <v>7.67</v>
      </c>
      <c r="E1581">
        <v>10.050000000000001</v>
      </c>
      <c r="F1581">
        <v>7.11</v>
      </c>
      <c r="G1581">
        <v>8.2200000000000006</v>
      </c>
      <c r="H1581">
        <v>10.27</v>
      </c>
      <c r="I1581">
        <v>7.12</v>
      </c>
      <c r="J1581">
        <v>8.2200000000000006</v>
      </c>
      <c r="K1581">
        <v>5.72</v>
      </c>
      <c r="L1581">
        <v>7.09</v>
      </c>
      <c r="M1581">
        <v>6.7</v>
      </c>
    </row>
    <row r="1582" spans="1:13">
      <c r="A1582" t="s">
        <v>10</v>
      </c>
      <c r="B1582">
        <v>14.83</v>
      </c>
      <c r="C1582">
        <v>9.6300000000000008</v>
      </c>
      <c r="D1582">
        <v>10.45</v>
      </c>
      <c r="E1582">
        <v>15.18</v>
      </c>
      <c r="F1582">
        <v>8.6300000000000008</v>
      </c>
      <c r="G1582">
        <v>9.7899999999999991</v>
      </c>
      <c r="H1582">
        <v>16.87</v>
      </c>
      <c r="I1582">
        <v>10.56</v>
      </c>
      <c r="J1582">
        <v>11.11</v>
      </c>
      <c r="K1582">
        <v>12.88</v>
      </c>
      <c r="L1582">
        <v>9.84</v>
      </c>
      <c r="M1582">
        <v>10.53</v>
      </c>
    </row>
    <row r="1583" spans="1:13">
      <c r="A1583" t="s">
        <v>1621</v>
      </c>
      <c r="B1583" s="342">
        <v>0.28199999999999997</v>
      </c>
      <c r="C1583" s="342">
        <v>0.215</v>
      </c>
      <c r="D1583" s="342">
        <v>0.24099999999999999</v>
      </c>
      <c r="E1583" s="342">
        <v>0.25900000000000001</v>
      </c>
      <c r="F1583" s="342">
        <v>0.184</v>
      </c>
      <c r="G1583" s="342">
        <v>0.223</v>
      </c>
      <c r="H1583" s="342">
        <v>0.25700000000000001</v>
      </c>
      <c r="I1583" s="342">
        <v>0.22800000000000001</v>
      </c>
      <c r="J1583" s="342">
        <v>0.23699999999999999</v>
      </c>
      <c r="K1583" s="342">
        <v>0.33200000000000002</v>
      </c>
      <c r="L1583" s="342">
        <v>0.23499999999999999</v>
      </c>
      <c r="M1583" s="342">
        <v>0.26300000000000001</v>
      </c>
    </row>
    <row r="1585" spans="1:13">
      <c r="A1585" t="s">
        <v>2909</v>
      </c>
    </row>
    <row r="1587" spans="1:13">
      <c r="A1587" t="s">
        <v>158</v>
      </c>
      <c r="B1587" t="s">
        <v>2806</v>
      </c>
      <c r="E1587">
        <v>2017</v>
      </c>
      <c r="H1587">
        <v>2018</v>
      </c>
      <c r="K1587">
        <v>2019</v>
      </c>
    </row>
    <row r="1588" spans="1:13">
      <c r="B1588" t="s">
        <v>1623</v>
      </c>
      <c r="C1588" t="s">
        <v>1624</v>
      </c>
      <c r="D1588" t="s">
        <v>1622</v>
      </c>
      <c r="E1588" t="s">
        <v>1623</v>
      </c>
      <c r="F1588" t="s">
        <v>1624</v>
      </c>
      <c r="G1588" t="s">
        <v>1622</v>
      </c>
      <c r="H1588" t="s">
        <v>1623</v>
      </c>
      <c r="I1588" t="s">
        <v>1624</v>
      </c>
      <c r="J1588" t="s">
        <v>1622</v>
      </c>
      <c r="K1588" t="s">
        <v>1623</v>
      </c>
      <c r="L1588" t="s">
        <v>1624</v>
      </c>
      <c r="M1588" t="s">
        <v>1622</v>
      </c>
    </row>
    <row r="1589" spans="1:13">
      <c r="A1589" t="s">
        <v>2807</v>
      </c>
      <c r="B1589" s="342">
        <v>0.69299999999999995</v>
      </c>
      <c r="C1589" s="342">
        <v>0.86799999999999999</v>
      </c>
      <c r="D1589" s="342">
        <v>0.81200000000000006</v>
      </c>
      <c r="E1589" s="342">
        <v>0.70299999999999996</v>
      </c>
      <c r="F1589" s="342">
        <v>0.86799999999999999</v>
      </c>
      <c r="G1589" s="342">
        <v>0.81200000000000006</v>
      </c>
      <c r="H1589" s="342">
        <v>0.68600000000000005</v>
      </c>
      <c r="I1589" s="342">
        <v>0.872</v>
      </c>
      <c r="J1589" s="342">
        <v>0.81399999999999995</v>
      </c>
      <c r="K1589" s="342">
        <v>0.69</v>
      </c>
      <c r="L1589" s="342">
        <v>0.86299999999999999</v>
      </c>
      <c r="M1589" s="342">
        <v>0.80800000000000005</v>
      </c>
    </row>
    <row r="1590" spans="1:13">
      <c r="A1590" t="s">
        <v>1618</v>
      </c>
      <c r="B1590" s="342">
        <v>0.125</v>
      </c>
      <c r="C1590" s="342">
        <v>0.109</v>
      </c>
      <c r="D1590" s="342">
        <v>0.11700000000000001</v>
      </c>
      <c r="E1590" s="342">
        <v>0.11899999999999999</v>
      </c>
      <c r="F1590" s="342">
        <v>0.11</v>
      </c>
      <c r="G1590" s="342">
        <v>0.114</v>
      </c>
      <c r="H1590" s="342">
        <v>0.13100000000000001</v>
      </c>
      <c r="I1590" s="342">
        <v>0.105</v>
      </c>
      <c r="J1590" s="342">
        <v>0.115</v>
      </c>
      <c r="K1590" s="342">
        <v>0.126</v>
      </c>
      <c r="L1590" s="342">
        <v>0.114</v>
      </c>
      <c r="M1590" s="342">
        <v>0.122</v>
      </c>
    </row>
    <row r="1591" spans="1:13">
      <c r="A1591" t="s">
        <v>1619</v>
      </c>
      <c r="B1591" s="342">
        <v>1.0999999999999999E-2</v>
      </c>
      <c r="C1591" s="342">
        <v>0.01</v>
      </c>
      <c r="D1591" s="342">
        <v>0.01</v>
      </c>
      <c r="E1591" s="342">
        <v>5.0000000000000001E-3</v>
      </c>
      <c r="F1591" s="342">
        <v>6.0000000000000001E-3</v>
      </c>
      <c r="G1591" s="342">
        <v>6.0000000000000001E-3</v>
      </c>
      <c r="H1591" s="342">
        <v>1.4E-2</v>
      </c>
      <c r="I1591" s="342">
        <v>1.0999999999999999E-2</v>
      </c>
      <c r="J1591" s="342">
        <v>1.2999999999999999E-2</v>
      </c>
      <c r="K1591" s="342">
        <v>1.4E-2</v>
      </c>
      <c r="L1591" s="342">
        <v>1.2E-2</v>
      </c>
      <c r="M1591" s="342">
        <v>1.2999999999999999E-2</v>
      </c>
    </row>
    <row r="1592" spans="1:13">
      <c r="A1592" t="s">
        <v>1620</v>
      </c>
      <c r="B1592" s="342">
        <v>0.77700000000000002</v>
      </c>
      <c r="C1592" s="342">
        <v>1.0129999999999999</v>
      </c>
      <c r="D1592" s="342">
        <v>0.89800000000000002</v>
      </c>
      <c r="E1592" s="342">
        <v>0.82499999999999996</v>
      </c>
      <c r="F1592" s="342">
        <v>1.0169999999999999</v>
      </c>
      <c r="G1592" s="342">
        <v>0.92400000000000004</v>
      </c>
      <c r="H1592" s="342">
        <v>0.81499999999999995</v>
      </c>
      <c r="I1592" s="342">
        <v>1.1299999999999999</v>
      </c>
      <c r="J1592" s="342">
        <v>0.92500000000000004</v>
      </c>
      <c r="K1592" s="342">
        <v>0.69599999999999995</v>
      </c>
      <c r="L1592" s="342">
        <v>0.91600000000000004</v>
      </c>
      <c r="M1592" s="342">
        <v>0.84699999999999998</v>
      </c>
    </row>
    <row r="1593" spans="1:13">
      <c r="A1593" t="s">
        <v>2808</v>
      </c>
      <c r="B1593" s="342">
        <v>0.32200000000000001</v>
      </c>
      <c r="C1593" s="342">
        <v>0.32</v>
      </c>
      <c r="D1593" s="342">
        <v>0.33200000000000002</v>
      </c>
      <c r="E1593" s="342">
        <v>0.33500000000000002</v>
      </c>
      <c r="F1593" s="342">
        <v>0.308</v>
      </c>
      <c r="G1593" s="342">
        <v>0.33200000000000002</v>
      </c>
      <c r="H1593" s="342">
        <v>0.33400000000000002</v>
      </c>
      <c r="I1593" s="342">
        <v>0.34499999999999997</v>
      </c>
      <c r="J1593" s="342">
        <v>0.33600000000000002</v>
      </c>
      <c r="K1593" s="342">
        <v>0.29699999999999999</v>
      </c>
      <c r="L1593" s="342">
        <v>0.309</v>
      </c>
      <c r="M1593" s="342">
        <v>0.32900000000000001</v>
      </c>
    </row>
    <row r="1594" spans="1:13">
      <c r="A1594" t="s">
        <v>2809</v>
      </c>
      <c r="B1594" s="342">
        <v>1.7999999999999999E-2</v>
      </c>
      <c r="C1594" s="342">
        <v>2.4E-2</v>
      </c>
      <c r="D1594" s="342">
        <v>2.4E-2</v>
      </c>
      <c r="E1594" s="342">
        <v>1.7000000000000001E-2</v>
      </c>
      <c r="F1594" s="342">
        <v>2.4E-2</v>
      </c>
      <c r="G1594" s="342">
        <v>2.5000000000000001E-2</v>
      </c>
      <c r="H1594" s="342">
        <v>0.02</v>
      </c>
      <c r="I1594" s="342">
        <v>1.7999999999999999E-2</v>
      </c>
      <c r="J1594" s="342">
        <v>2.4E-2</v>
      </c>
      <c r="K1594" s="342">
        <v>1.6E-2</v>
      </c>
      <c r="L1594" s="342">
        <v>2.9000000000000001E-2</v>
      </c>
      <c r="M1594" s="342">
        <v>2.4E-2</v>
      </c>
    </row>
    <row r="1595" spans="1:13">
      <c r="A1595" t="s">
        <v>2810</v>
      </c>
      <c r="B1595" s="342">
        <v>0.436</v>
      </c>
      <c r="C1595" s="342">
        <v>0.33900000000000002</v>
      </c>
      <c r="D1595" s="342">
        <v>0.39700000000000002</v>
      </c>
      <c r="E1595" s="342">
        <v>0.42699999999999999</v>
      </c>
      <c r="F1595" s="342">
        <v>0.32700000000000001</v>
      </c>
      <c r="G1595" s="342">
        <v>0.38600000000000001</v>
      </c>
      <c r="H1595" s="342">
        <v>0.434</v>
      </c>
      <c r="I1595" s="342">
        <v>0.32200000000000001</v>
      </c>
      <c r="J1595" s="342">
        <v>0.38900000000000001</v>
      </c>
      <c r="K1595" s="342">
        <v>0.45</v>
      </c>
      <c r="L1595" s="342">
        <v>0.36799999999999999</v>
      </c>
      <c r="M1595" s="342">
        <v>0.41699999999999998</v>
      </c>
    </row>
    <row r="1596" spans="1:13">
      <c r="A1596" t="s">
        <v>9</v>
      </c>
      <c r="B1596">
        <v>5.63</v>
      </c>
      <c r="C1596">
        <v>5.4</v>
      </c>
      <c r="D1596">
        <v>5.42</v>
      </c>
      <c r="E1596">
        <v>5.63</v>
      </c>
      <c r="F1596">
        <v>5.35</v>
      </c>
      <c r="G1596">
        <v>5.38</v>
      </c>
      <c r="H1596">
        <v>5.67</v>
      </c>
      <c r="I1596">
        <v>5.51</v>
      </c>
      <c r="J1596">
        <v>5.49</v>
      </c>
      <c r="K1596">
        <v>5.59</v>
      </c>
      <c r="L1596">
        <v>5.33</v>
      </c>
      <c r="M1596">
        <v>5.39</v>
      </c>
    </row>
    <row r="1597" spans="1:13">
      <c r="A1597" t="s">
        <v>8</v>
      </c>
      <c r="B1597">
        <v>9.8800000000000008</v>
      </c>
      <c r="C1597">
        <v>8.57</v>
      </c>
      <c r="D1597">
        <v>8.6300000000000008</v>
      </c>
      <c r="E1597">
        <v>10.37</v>
      </c>
      <c r="F1597">
        <v>9.11</v>
      </c>
      <c r="G1597">
        <v>9.19</v>
      </c>
      <c r="H1597">
        <v>9.77</v>
      </c>
      <c r="I1597">
        <v>8.69</v>
      </c>
      <c r="J1597">
        <v>8.6300000000000008</v>
      </c>
      <c r="K1597">
        <v>9.4700000000000006</v>
      </c>
      <c r="L1597">
        <v>8.0399999999999991</v>
      </c>
      <c r="M1597">
        <v>8.1</v>
      </c>
    </row>
    <row r="1598" spans="1:13">
      <c r="A1598" t="s">
        <v>10</v>
      </c>
      <c r="B1598">
        <v>13.18</v>
      </c>
      <c r="C1598">
        <v>8.93</v>
      </c>
      <c r="D1598">
        <v>9.73</v>
      </c>
      <c r="E1598">
        <v>12.64</v>
      </c>
      <c r="F1598">
        <v>8.7100000000000009</v>
      </c>
      <c r="G1598">
        <v>9.2100000000000009</v>
      </c>
      <c r="H1598">
        <v>13.66</v>
      </c>
      <c r="I1598">
        <v>9.02</v>
      </c>
      <c r="J1598">
        <v>9.85</v>
      </c>
      <c r="K1598">
        <v>13.32</v>
      </c>
      <c r="L1598">
        <v>9.0299999999999994</v>
      </c>
      <c r="M1598">
        <v>10.19</v>
      </c>
    </row>
    <row r="1599" spans="1:13">
      <c r="A1599" t="s">
        <v>1621</v>
      </c>
      <c r="B1599" s="342">
        <v>0.20300000000000001</v>
      </c>
      <c r="C1599" s="342">
        <v>0.19</v>
      </c>
      <c r="D1599" s="342">
        <v>0.19800000000000001</v>
      </c>
      <c r="E1599" s="342">
        <v>0.19500000000000001</v>
      </c>
      <c r="F1599" s="342">
        <v>0.182</v>
      </c>
      <c r="G1599" s="342">
        <v>0.186</v>
      </c>
      <c r="H1599" s="342">
        <v>0.20499999999999999</v>
      </c>
      <c r="I1599" s="342">
        <v>0.186</v>
      </c>
      <c r="J1599" s="342">
        <v>0.19600000000000001</v>
      </c>
      <c r="K1599" s="342">
        <v>0.20899999999999999</v>
      </c>
      <c r="L1599" s="342">
        <v>0.20100000000000001</v>
      </c>
      <c r="M1599" s="342">
        <v>0.21099999999999999</v>
      </c>
    </row>
    <row r="1601" spans="1:13">
      <c r="A1601" t="s">
        <v>2910</v>
      </c>
    </row>
    <row r="1603" spans="1:13">
      <c r="A1603" t="s">
        <v>158</v>
      </c>
      <c r="B1603" t="s">
        <v>2806</v>
      </c>
      <c r="E1603">
        <v>2017</v>
      </c>
      <c r="H1603">
        <v>2018</v>
      </c>
      <c r="K1603">
        <v>2019</v>
      </c>
    </row>
    <row r="1604" spans="1:13">
      <c r="B1604" t="s">
        <v>1623</v>
      </c>
      <c r="C1604" t="s">
        <v>1624</v>
      </c>
      <c r="D1604" t="s">
        <v>1622</v>
      </c>
      <c r="E1604" t="s">
        <v>1623</v>
      </c>
      <c r="F1604" t="s">
        <v>1624</v>
      </c>
      <c r="G1604" t="s">
        <v>1622</v>
      </c>
      <c r="H1604" t="s">
        <v>1623</v>
      </c>
      <c r="I1604" t="s">
        <v>1624</v>
      </c>
      <c r="J1604" t="s">
        <v>1622</v>
      </c>
      <c r="K1604" t="s">
        <v>1623</v>
      </c>
      <c r="L1604" t="s">
        <v>1624</v>
      </c>
      <c r="M1604" t="s">
        <v>1622</v>
      </c>
    </row>
    <row r="1605" spans="1:13">
      <c r="A1605" t="s">
        <v>2807</v>
      </c>
      <c r="B1605" s="342">
        <v>0.75800000000000001</v>
      </c>
      <c r="C1605" s="342">
        <v>0.85499999999999998</v>
      </c>
      <c r="D1605" s="342">
        <v>0.83099999999999996</v>
      </c>
      <c r="E1605" s="342">
        <v>0.66500000000000004</v>
      </c>
      <c r="F1605" s="342">
        <v>0.873</v>
      </c>
      <c r="G1605" s="342">
        <v>0.84099999999999997</v>
      </c>
      <c r="H1605" s="342">
        <v>0.78400000000000003</v>
      </c>
      <c r="I1605" s="342">
        <v>0.84</v>
      </c>
      <c r="J1605" s="342">
        <v>0.83299999999999996</v>
      </c>
      <c r="K1605" s="342">
        <v>0.77600000000000002</v>
      </c>
      <c r="L1605" s="342">
        <v>0.85399999999999998</v>
      </c>
      <c r="M1605" s="342">
        <v>0.82199999999999995</v>
      </c>
    </row>
    <row r="1606" spans="1:13">
      <c r="A1606" t="s">
        <v>1618</v>
      </c>
      <c r="B1606" s="342">
        <v>0.11600000000000001</v>
      </c>
      <c r="C1606" s="342">
        <v>0.122</v>
      </c>
      <c r="D1606" s="342">
        <v>0.113</v>
      </c>
      <c r="E1606" s="342">
        <v>0.17199999999999999</v>
      </c>
      <c r="F1606" s="342">
        <v>0.111</v>
      </c>
      <c r="G1606" s="342">
        <v>0.107</v>
      </c>
      <c r="H1606" s="342">
        <v>0.105</v>
      </c>
      <c r="I1606" s="342">
        <v>0.13600000000000001</v>
      </c>
      <c r="J1606" s="342">
        <v>0.11799999999999999</v>
      </c>
      <c r="K1606" s="342">
        <v>0.104</v>
      </c>
      <c r="L1606" s="342">
        <v>0.11899999999999999</v>
      </c>
      <c r="M1606" s="342">
        <v>0.114</v>
      </c>
    </row>
    <row r="1607" spans="1:13">
      <c r="A1607" t="s">
        <v>1619</v>
      </c>
      <c r="B1607" s="342">
        <v>1.4E-2</v>
      </c>
      <c r="C1607" s="342">
        <v>4.0000000000000001E-3</v>
      </c>
      <c r="D1607" s="342">
        <v>8.0000000000000002E-3</v>
      </c>
      <c r="E1607" s="342">
        <v>8.9999999999999993E-3</v>
      </c>
      <c r="F1607" s="342">
        <v>3.0000000000000001E-3</v>
      </c>
      <c r="G1607" s="342">
        <v>4.0000000000000001E-3</v>
      </c>
      <c r="H1607" s="342">
        <v>2.7E-2</v>
      </c>
      <c r="I1607" s="342">
        <v>6.0000000000000001E-3</v>
      </c>
      <c r="J1607" s="342">
        <v>1.2E-2</v>
      </c>
      <c r="K1607" s="342">
        <v>1.0999999999999999E-2</v>
      </c>
      <c r="L1607" s="342">
        <v>3.0000000000000001E-3</v>
      </c>
      <c r="M1607" s="342">
        <v>8.9999999999999993E-3</v>
      </c>
    </row>
    <row r="1608" spans="1:13">
      <c r="A1608" t="s">
        <v>1620</v>
      </c>
      <c r="B1608" s="342">
        <v>0.67</v>
      </c>
      <c r="C1608" s="342">
        <v>1.1579999999999999</v>
      </c>
      <c r="D1608" s="342">
        <v>1.012</v>
      </c>
      <c r="E1608" s="342">
        <v>0.85799999999999998</v>
      </c>
      <c r="F1608" s="342">
        <v>1.4610000000000001</v>
      </c>
      <c r="G1608" s="342">
        <v>1.294</v>
      </c>
      <c r="H1608" s="342">
        <v>0.90400000000000003</v>
      </c>
      <c r="I1608" s="342">
        <v>1.0469999999999999</v>
      </c>
      <c r="J1608" s="342">
        <v>1.069</v>
      </c>
      <c r="K1608" s="342">
        <v>0.58499999999999996</v>
      </c>
      <c r="L1608" s="342">
        <v>1.085</v>
      </c>
      <c r="M1608" s="342">
        <v>0.85499999999999998</v>
      </c>
    </row>
    <row r="1609" spans="1:13">
      <c r="A1609" t="s">
        <v>2808</v>
      </c>
      <c r="B1609" s="342">
        <v>0.27900000000000003</v>
      </c>
      <c r="C1609" s="342">
        <v>0.49399999999999999</v>
      </c>
      <c r="D1609" s="342">
        <v>0.39900000000000002</v>
      </c>
      <c r="E1609" s="342">
        <v>0.496</v>
      </c>
      <c r="F1609" s="342">
        <v>0.41699999999999998</v>
      </c>
      <c r="G1609" s="342">
        <v>0.42499999999999999</v>
      </c>
      <c r="H1609" s="342">
        <v>0.45100000000000001</v>
      </c>
      <c r="I1609" s="342">
        <v>0.55900000000000005</v>
      </c>
      <c r="J1609" s="342">
        <v>0.46899999999999997</v>
      </c>
      <c r="K1609" s="342">
        <v>0.2</v>
      </c>
      <c r="L1609" s="342">
        <v>0.48499999999999999</v>
      </c>
      <c r="M1609" s="342">
        <v>0.34799999999999998</v>
      </c>
    </row>
    <row r="1610" spans="1:13">
      <c r="A1610" t="s">
        <v>2809</v>
      </c>
      <c r="B1610" s="342">
        <v>8.0000000000000002E-3</v>
      </c>
      <c r="C1610" s="342">
        <v>1E-3</v>
      </c>
      <c r="D1610" s="342">
        <v>4.0000000000000001E-3</v>
      </c>
      <c r="E1610" s="342">
        <v>8.0000000000000002E-3</v>
      </c>
      <c r="F1610" s="342">
        <v>1E-3</v>
      </c>
      <c r="G1610" s="342">
        <v>2E-3</v>
      </c>
      <c r="H1610" s="342">
        <v>2.3E-2</v>
      </c>
      <c r="I1610" s="342">
        <v>1E-3</v>
      </c>
      <c r="J1610" s="342">
        <v>5.0000000000000001E-3</v>
      </c>
      <c r="K1610" s="342">
        <v>4.0000000000000001E-3</v>
      </c>
      <c r="L1610" s="342">
        <v>1E-3</v>
      </c>
      <c r="M1610" s="342">
        <v>4.0000000000000001E-3</v>
      </c>
    </row>
    <row r="1611" spans="1:13">
      <c r="A1611" t="s">
        <v>2810</v>
      </c>
      <c r="B1611" s="342">
        <v>0.42699999999999999</v>
      </c>
      <c r="C1611" s="342">
        <v>0.42699999999999999</v>
      </c>
      <c r="D1611" s="342">
        <v>0.39900000000000002</v>
      </c>
      <c r="E1611" s="342">
        <v>0.58799999999999997</v>
      </c>
      <c r="F1611" s="342">
        <v>0.28599999999999998</v>
      </c>
      <c r="G1611" s="342">
        <v>0.33</v>
      </c>
      <c r="H1611" s="342">
        <v>0.52400000000000002</v>
      </c>
      <c r="I1611" s="342">
        <v>0.53500000000000003</v>
      </c>
      <c r="J1611" s="342">
        <v>0.44400000000000001</v>
      </c>
      <c r="K1611" s="342">
        <v>0.34899999999999998</v>
      </c>
      <c r="L1611" s="342">
        <v>0.44800000000000001</v>
      </c>
      <c r="M1611" s="342">
        <v>0.41199999999999998</v>
      </c>
    </row>
    <row r="1612" spans="1:13">
      <c r="A1612" t="s">
        <v>9</v>
      </c>
      <c r="B1612">
        <v>2.5</v>
      </c>
      <c r="C1612">
        <v>6.47</v>
      </c>
      <c r="D1612">
        <v>4.28</v>
      </c>
      <c r="E1612">
        <v>5.2</v>
      </c>
      <c r="F1612">
        <v>8.35</v>
      </c>
      <c r="G1612">
        <v>5.59</v>
      </c>
      <c r="H1612">
        <v>6.55</v>
      </c>
      <c r="I1612">
        <v>7.77</v>
      </c>
      <c r="J1612">
        <v>5.29</v>
      </c>
      <c r="K1612">
        <v>1.85</v>
      </c>
      <c r="L1612">
        <v>5.07</v>
      </c>
      <c r="M1612">
        <v>3.31</v>
      </c>
    </row>
    <row r="1613" spans="1:13">
      <c r="A1613" t="s">
        <v>8</v>
      </c>
      <c r="B1613">
        <v>6.23</v>
      </c>
      <c r="C1613">
        <v>6.85</v>
      </c>
      <c r="D1613">
        <v>7.34</v>
      </c>
      <c r="E1613">
        <v>26.94</v>
      </c>
      <c r="F1613">
        <v>6.61</v>
      </c>
      <c r="G1613">
        <v>8.7100000000000009</v>
      </c>
      <c r="H1613">
        <v>4.54</v>
      </c>
      <c r="I1613">
        <v>6.64</v>
      </c>
      <c r="J1613">
        <v>6.95</v>
      </c>
      <c r="K1613">
        <v>5.65</v>
      </c>
      <c r="L1613">
        <v>7.19</v>
      </c>
      <c r="M1613">
        <v>6.9</v>
      </c>
    </row>
    <row r="1614" spans="1:13">
      <c r="A1614" t="s">
        <v>10</v>
      </c>
      <c r="B1614">
        <v>12.1</v>
      </c>
      <c r="C1614">
        <v>17.16</v>
      </c>
      <c r="D1614">
        <v>14.89</v>
      </c>
      <c r="E1614">
        <v>10.33</v>
      </c>
      <c r="F1614">
        <v>14.86</v>
      </c>
      <c r="G1614">
        <v>15.41</v>
      </c>
      <c r="H1614">
        <v>17.22</v>
      </c>
      <c r="I1614">
        <v>16.88</v>
      </c>
      <c r="J1614">
        <v>15.41</v>
      </c>
      <c r="K1614">
        <v>11.57</v>
      </c>
      <c r="L1614">
        <v>19.48</v>
      </c>
      <c r="M1614">
        <v>14.23</v>
      </c>
    </row>
    <row r="1615" spans="1:13">
      <c r="A1615" t="s">
        <v>1621</v>
      </c>
      <c r="B1615" s="342">
        <v>0.47799999999999998</v>
      </c>
      <c r="C1615" s="342">
        <v>0.24199999999999999</v>
      </c>
      <c r="D1615" s="342">
        <v>0.30299999999999999</v>
      </c>
      <c r="E1615" s="342">
        <v>0.13200000000000001</v>
      </c>
      <c r="F1615" s="342">
        <v>0.20399999999999999</v>
      </c>
      <c r="G1615" s="342">
        <v>0.22900000000000001</v>
      </c>
      <c r="H1615" s="342">
        <v>0.315</v>
      </c>
      <c r="I1615" s="342">
        <v>0.22</v>
      </c>
      <c r="J1615" s="342">
        <v>0.26800000000000002</v>
      </c>
      <c r="K1615" s="342">
        <v>0.63</v>
      </c>
      <c r="L1615" s="342">
        <v>0.28499999999999998</v>
      </c>
      <c r="M1615" s="342">
        <v>0.376</v>
      </c>
    </row>
    <row r="1617" spans="1:13">
      <c r="A1617" t="s">
        <v>2911</v>
      </c>
    </row>
    <row r="1619" spans="1:13">
      <c r="A1619" t="s">
        <v>158</v>
      </c>
      <c r="B1619" t="s">
        <v>2806</v>
      </c>
      <c r="E1619">
        <v>2017</v>
      </c>
      <c r="H1619">
        <v>2018</v>
      </c>
      <c r="K1619">
        <v>2019</v>
      </c>
    </row>
    <row r="1620" spans="1:13">
      <c r="B1620" t="s">
        <v>1623</v>
      </c>
      <c r="C1620" t="s">
        <v>1624</v>
      </c>
      <c r="D1620" t="s">
        <v>1622</v>
      </c>
      <c r="E1620" t="s">
        <v>1623</v>
      </c>
      <c r="F1620" t="s">
        <v>1624</v>
      </c>
      <c r="G1620" t="s">
        <v>1622</v>
      </c>
      <c r="H1620" t="s">
        <v>1623</v>
      </c>
      <c r="I1620" t="s">
        <v>1624</v>
      </c>
      <c r="J1620" t="s">
        <v>1622</v>
      </c>
      <c r="K1620" t="s">
        <v>1623</v>
      </c>
      <c r="L1620" t="s">
        <v>1624</v>
      </c>
      <c r="M1620" t="s">
        <v>1622</v>
      </c>
    </row>
    <row r="1621" spans="1:13">
      <c r="A1621" t="s">
        <v>2807</v>
      </c>
      <c r="B1621" s="342">
        <v>0.73199999999999998</v>
      </c>
      <c r="C1621" s="342">
        <v>0.89100000000000001</v>
      </c>
      <c r="D1621" s="342">
        <v>0.84499999999999997</v>
      </c>
      <c r="E1621" s="342">
        <v>0.746</v>
      </c>
      <c r="F1621" s="342">
        <v>0.88900000000000001</v>
      </c>
      <c r="G1621" s="342">
        <v>0.84199999999999997</v>
      </c>
      <c r="H1621" s="342">
        <v>0.72099999999999997</v>
      </c>
      <c r="I1621" s="342">
        <v>0.89600000000000002</v>
      </c>
      <c r="J1621" s="342">
        <v>0.84599999999999997</v>
      </c>
      <c r="K1621" s="342">
        <v>0.72399999999999998</v>
      </c>
      <c r="L1621" s="342">
        <v>0.88800000000000001</v>
      </c>
      <c r="M1621" s="342">
        <v>0.84599999999999997</v>
      </c>
    </row>
    <row r="1622" spans="1:13">
      <c r="A1622" t="s">
        <v>1618</v>
      </c>
      <c r="B1622" s="342">
        <v>0.113</v>
      </c>
      <c r="C1622" s="342">
        <v>8.6999999999999994E-2</v>
      </c>
      <c r="D1622" s="342">
        <v>9.7000000000000003E-2</v>
      </c>
      <c r="E1622" s="342">
        <v>0.107</v>
      </c>
      <c r="F1622" s="342">
        <v>8.7999999999999995E-2</v>
      </c>
      <c r="G1622" s="342">
        <v>9.6000000000000002E-2</v>
      </c>
      <c r="H1622" s="342">
        <v>0.11799999999999999</v>
      </c>
      <c r="I1622" s="342">
        <v>8.3000000000000004E-2</v>
      </c>
      <c r="J1622" s="342">
        <v>9.7000000000000003E-2</v>
      </c>
      <c r="K1622" s="342">
        <v>0.115</v>
      </c>
      <c r="L1622" s="342">
        <v>0.09</v>
      </c>
      <c r="M1622" s="342">
        <v>9.7000000000000003E-2</v>
      </c>
    </row>
    <row r="1623" spans="1:13">
      <c r="A1623" t="s">
        <v>1619</v>
      </c>
      <c r="B1623" s="342">
        <v>1.4999999999999999E-2</v>
      </c>
      <c r="C1623" s="342">
        <v>1.0999999999999999E-2</v>
      </c>
      <c r="D1623" s="342">
        <v>1.2999999999999999E-2</v>
      </c>
      <c r="E1623" s="342">
        <v>5.0000000000000001E-3</v>
      </c>
      <c r="F1623" s="342">
        <v>3.0000000000000001E-3</v>
      </c>
      <c r="G1623" s="342">
        <v>4.0000000000000001E-3</v>
      </c>
      <c r="H1623" s="342">
        <v>2.1000000000000001E-2</v>
      </c>
      <c r="I1623" s="342">
        <v>1.4E-2</v>
      </c>
      <c r="J1623" s="342">
        <v>1.7999999999999999E-2</v>
      </c>
      <c r="K1623" s="342">
        <v>2.4E-2</v>
      </c>
      <c r="L1623" s="342">
        <v>1.4999999999999999E-2</v>
      </c>
      <c r="M1623" s="342">
        <v>1.7999999999999999E-2</v>
      </c>
    </row>
    <row r="1624" spans="1:13">
      <c r="A1624" t="s">
        <v>1620</v>
      </c>
      <c r="B1624" s="342">
        <v>0.80600000000000005</v>
      </c>
      <c r="C1624" s="342">
        <v>1.1739999999999999</v>
      </c>
      <c r="D1624" s="342">
        <v>1.022</v>
      </c>
      <c r="E1624" s="342">
        <v>0.85599999999999998</v>
      </c>
      <c r="F1624" s="342">
        <v>1.179</v>
      </c>
      <c r="G1624" s="342">
        <v>1.042</v>
      </c>
      <c r="H1624" s="342">
        <v>0.77400000000000002</v>
      </c>
      <c r="I1624" s="342">
        <v>1.1639999999999999</v>
      </c>
      <c r="J1624" s="342">
        <v>1.0349999999999999</v>
      </c>
      <c r="K1624" s="342">
        <v>0.77</v>
      </c>
      <c r="L1624" s="342">
        <v>1.179</v>
      </c>
      <c r="M1624" s="342">
        <v>0.99</v>
      </c>
    </row>
    <row r="1625" spans="1:13">
      <c r="A1625" t="s">
        <v>2808</v>
      </c>
      <c r="B1625" s="342">
        <v>0.51800000000000002</v>
      </c>
      <c r="C1625" s="342">
        <v>0.38400000000000001</v>
      </c>
      <c r="D1625" s="342">
        <v>0.433</v>
      </c>
      <c r="E1625" s="342">
        <v>0.53700000000000003</v>
      </c>
      <c r="F1625" s="342">
        <v>0.34799999999999998</v>
      </c>
      <c r="G1625" s="342">
        <v>0.42899999999999999</v>
      </c>
      <c r="H1625" s="342">
        <v>0.499</v>
      </c>
      <c r="I1625" s="342">
        <v>0.38800000000000001</v>
      </c>
      <c r="J1625" s="342">
        <v>0.438</v>
      </c>
      <c r="K1625" s="342">
        <v>0.51400000000000001</v>
      </c>
      <c r="L1625" s="342">
        <v>0.41699999999999998</v>
      </c>
      <c r="M1625" s="342">
        <v>0.43099999999999999</v>
      </c>
    </row>
    <row r="1626" spans="1:13">
      <c r="A1626" t="s">
        <v>2809</v>
      </c>
      <c r="B1626" s="342">
        <v>8.0000000000000002E-3</v>
      </c>
      <c r="C1626" s="342">
        <v>0.01</v>
      </c>
      <c r="D1626" s="342">
        <v>1.0999999999999999E-2</v>
      </c>
      <c r="E1626" s="342">
        <v>0.01</v>
      </c>
      <c r="F1626" s="342">
        <v>8.9999999999999993E-3</v>
      </c>
      <c r="G1626" s="342">
        <v>0.01</v>
      </c>
      <c r="H1626" s="342">
        <v>7.0000000000000001E-3</v>
      </c>
      <c r="I1626" s="342">
        <v>8.9999999999999993E-3</v>
      </c>
      <c r="J1626" s="342">
        <v>1.0999999999999999E-2</v>
      </c>
      <c r="K1626" s="342">
        <v>7.0000000000000001E-3</v>
      </c>
      <c r="L1626" s="342">
        <v>1.2E-2</v>
      </c>
      <c r="M1626" s="342">
        <v>1.2E-2</v>
      </c>
    </row>
    <row r="1627" spans="1:13">
      <c r="A1627" t="s">
        <v>2810</v>
      </c>
      <c r="B1627" s="342">
        <v>0.65200000000000002</v>
      </c>
      <c r="C1627" s="342">
        <v>0.33500000000000002</v>
      </c>
      <c r="D1627" s="342">
        <v>0.434</v>
      </c>
      <c r="E1627" s="342">
        <v>0.63800000000000001</v>
      </c>
      <c r="F1627" s="342">
        <v>0.30199999999999999</v>
      </c>
      <c r="G1627" s="342">
        <v>0.42099999999999999</v>
      </c>
      <c r="H1627" s="342">
        <v>0.65400000000000003</v>
      </c>
      <c r="I1627" s="342">
        <v>0.34</v>
      </c>
      <c r="J1627" s="342">
        <v>0.434</v>
      </c>
      <c r="K1627" s="342">
        <v>0.67700000000000005</v>
      </c>
      <c r="L1627" s="342">
        <v>0.36299999999999999</v>
      </c>
      <c r="M1627" s="342">
        <v>0.44700000000000001</v>
      </c>
    </row>
    <row r="1628" spans="1:13">
      <c r="A1628" t="s">
        <v>9</v>
      </c>
      <c r="B1628">
        <v>5.26</v>
      </c>
      <c r="C1628">
        <v>5.78</v>
      </c>
      <c r="D1628">
        <v>5.55</v>
      </c>
      <c r="E1628">
        <v>5.37</v>
      </c>
      <c r="F1628">
        <v>5.52</v>
      </c>
      <c r="G1628">
        <v>5.36</v>
      </c>
      <c r="H1628">
        <v>5.61</v>
      </c>
      <c r="I1628">
        <v>5.81</v>
      </c>
      <c r="J1628">
        <v>5.61</v>
      </c>
      <c r="K1628">
        <v>4.6399999999999997</v>
      </c>
      <c r="L1628">
        <v>6.02</v>
      </c>
      <c r="M1628">
        <v>5.71</v>
      </c>
    </row>
    <row r="1629" spans="1:13">
      <c r="A1629" t="s">
        <v>8</v>
      </c>
      <c r="B1629">
        <v>14.55</v>
      </c>
      <c r="C1629">
        <v>8.89</v>
      </c>
      <c r="D1629">
        <v>9.48</v>
      </c>
      <c r="E1629">
        <v>15.46</v>
      </c>
      <c r="F1629">
        <v>8.34</v>
      </c>
      <c r="G1629">
        <v>9.39</v>
      </c>
      <c r="H1629">
        <v>12.39</v>
      </c>
      <c r="I1629">
        <v>8.9499999999999993</v>
      </c>
      <c r="J1629">
        <v>9.49</v>
      </c>
      <c r="K1629">
        <v>17.11</v>
      </c>
      <c r="L1629">
        <v>9.4600000000000009</v>
      </c>
      <c r="M1629">
        <v>9.5500000000000007</v>
      </c>
    </row>
    <row r="1630" spans="1:13">
      <c r="A1630" t="s">
        <v>10</v>
      </c>
      <c r="B1630">
        <v>11.54</v>
      </c>
      <c r="C1630">
        <v>8.9499999999999993</v>
      </c>
      <c r="D1630">
        <v>10.06</v>
      </c>
      <c r="E1630">
        <v>11.14</v>
      </c>
      <c r="F1630">
        <v>8.17</v>
      </c>
      <c r="G1630">
        <v>9.69</v>
      </c>
      <c r="H1630">
        <v>11.07</v>
      </c>
      <c r="I1630">
        <v>9.02</v>
      </c>
      <c r="J1630">
        <v>10.01</v>
      </c>
      <c r="K1630">
        <v>13.28</v>
      </c>
      <c r="L1630">
        <v>9.7899999999999991</v>
      </c>
      <c r="M1630">
        <v>10.54</v>
      </c>
    </row>
    <row r="1631" spans="1:13">
      <c r="A1631" t="s">
        <v>1621</v>
      </c>
      <c r="B1631" s="342">
        <v>0.17199999999999999</v>
      </c>
      <c r="C1631" s="342">
        <v>0.17399999999999999</v>
      </c>
      <c r="D1631" s="342">
        <v>0.186</v>
      </c>
      <c r="E1631" s="342">
        <v>0.161</v>
      </c>
      <c r="F1631" s="342">
        <v>0.17899999999999999</v>
      </c>
      <c r="G1631" s="342">
        <v>0.19</v>
      </c>
      <c r="H1631" s="342">
        <v>0.16900000000000001</v>
      </c>
      <c r="I1631" s="342">
        <v>0.17299999999999999</v>
      </c>
      <c r="J1631" s="342">
        <v>0.184</v>
      </c>
      <c r="K1631" s="342">
        <v>0.19900000000000001</v>
      </c>
      <c r="L1631" s="342">
        <v>0.16900000000000001</v>
      </c>
      <c r="M1631" s="342">
        <v>0.185</v>
      </c>
    </row>
    <row r="1633" spans="1:13">
      <c r="A1633" t="s">
        <v>2912</v>
      </c>
    </row>
    <row r="1635" spans="1:13">
      <c r="A1635" t="s">
        <v>158</v>
      </c>
      <c r="B1635" t="s">
        <v>2806</v>
      </c>
      <c r="E1635">
        <v>2017</v>
      </c>
      <c r="H1635">
        <v>2018</v>
      </c>
      <c r="K1635">
        <v>2019</v>
      </c>
    </row>
    <row r="1636" spans="1:13">
      <c r="B1636" t="s">
        <v>1623</v>
      </c>
      <c r="C1636" t="s">
        <v>1624</v>
      </c>
      <c r="D1636" t="s">
        <v>1622</v>
      </c>
      <c r="E1636" t="s">
        <v>1623</v>
      </c>
      <c r="F1636" t="s">
        <v>1624</v>
      </c>
      <c r="G1636" t="s">
        <v>1622</v>
      </c>
      <c r="H1636" t="s">
        <v>1623</v>
      </c>
      <c r="I1636" t="s">
        <v>1624</v>
      </c>
      <c r="J1636" t="s">
        <v>1622</v>
      </c>
      <c r="K1636" t="s">
        <v>1623</v>
      </c>
      <c r="L1636" t="s">
        <v>1624</v>
      </c>
      <c r="M1636" t="s">
        <v>1622</v>
      </c>
    </row>
    <row r="1637" spans="1:13">
      <c r="A1637" t="s">
        <v>2807</v>
      </c>
      <c r="B1637" s="342">
        <v>0.67100000000000004</v>
      </c>
      <c r="C1637" s="342">
        <v>0.81200000000000006</v>
      </c>
      <c r="D1637" s="342">
        <v>0.80400000000000005</v>
      </c>
      <c r="E1637" s="342">
        <v>0.71299999999999997</v>
      </c>
      <c r="F1637" s="342">
        <v>0.83099999999999996</v>
      </c>
      <c r="G1637" s="342">
        <v>0.81</v>
      </c>
      <c r="H1637" s="342">
        <v>0.67400000000000004</v>
      </c>
      <c r="I1637" s="342">
        <v>0.84099999999999997</v>
      </c>
      <c r="J1637" s="342">
        <v>0.82</v>
      </c>
      <c r="K1637" s="342">
        <v>0.61799999999999999</v>
      </c>
      <c r="L1637" s="342">
        <v>0.76300000000000001</v>
      </c>
      <c r="M1637" s="342">
        <v>0.78300000000000003</v>
      </c>
    </row>
    <row r="1638" spans="1:13">
      <c r="A1638" t="s">
        <v>1618</v>
      </c>
      <c r="B1638" s="342">
        <v>0.17399999999999999</v>
      </c>
      <c r="C1638" s="342">
        <v>0.17399999999999999</v>
      </c>
      <c r="D1638" s="342">
        <v>0.14299999999999999</v>
      </c>
      <c r="E1638" s="342">
        <v>0.155</v>
      </c>
      <c r="F1638" s="342">
        <v>0.154</v>
      </c>
      <c r="G1638" s="342">
        <v>0.13900000000000001</v>
      </c>
      <c r="H1638" s="342">
        <v>0.17399999999999999</v>
      </c>
      <c r="I1638" s="342">
        <v>0.14599999999999999</v>
      </c>
      <c r="J1638" s="342">
        <v>0.129</v>
      </c>
      <c r="K1638" s="342">
        <v>0.19500000000000001</v>
      </c>
      <c r="L1638" s="342">
        <v>0.22600000000000001</v>
      </c>
      <c r="M1638" s="342">
        <v>0.159</v>
      </c>
    </row>
    <row r="1639" spans="1:13">
      <c r="A1639" t="s">
        <v>1619</v>
      </c>
      <c r="B1639" s="342">
        <v>8.9999999999999993E-3</v>
      </c>
      <c r="C1639" s="342">
        <v>5.0000000000000001E-3</v>
      </c>
      <c r="D1639" s="342">
        <v>6.0000000000000001E-3</v>
      </c>
      <c r="E1639" s="342">
        <v>7.0000000000000001E-3</v>
      </c>
      <c r="F1639" s="342">
        <v>3.0000000000000001E-3</v>
      </c>
      <c r="G1639" s="342">
        <v>4.0000000000000001E-3</v>
      </c>
      <c r="H1639" s="342">
        <v>1.0999999999999999E-2</v>
      </c>
      <c r="I1639" s="342">
        <v>3.0000000000000001E-3</v>
      </c>
      <c r="J1639" s="342">
        <v>5.0000000000000001E-3</v>
      </c>
      <c r="K1639" s="342">
        <v>0.01</v>
      </c>
      <c r="L1639" s="342">
        <v>8.9999999999999993E-3</v>
      </c>
      <c r="M1639" s="342">
        <v>7.0000000000000001E-3</v>
      </c>
    </row>
    <row r="1640" spans="1:13">
      <c r="A1640" t="s">
        <v>1620</v>
      </c>
      <c r="B1640" s="342">
        <v>1.042</v>
      </c>
      <c r="C1640" s="342">
        <v>2.4830000000000001</v>
      </c>
      <c r="D1640" s="342">
        <v>1.8540000000000001</v>
      </c>
      <c r="E1640" s="342">
        <v>1.26</v>
      </c>
      <c r="F1640" s="342">
        <v>2.6379999999999999</v>
      </c>
      <c r="G1640" s="342">
        <v>1.944</v>
      </c>
      <c r="H1640" s="342">
        <v>0.997</v>
      </c>
      <c r="I1640" s="342">
        <v>2.4510000000000001</v>
      </c>
      <c r="J1640" s="342">
        <v>1.8879999999999999</v>
      </c>
      <c r="K1640" s="342">
        <v>0.90400000000000003</v>
      </c>
      <c r="L1640" s="342">
        <v>2.3620000000000001</v>
      </c>
      <c r="M1640" s="342">
        <v>1.7470000000000001</v>
      </c>
    </row>
    <row r="1641" spans="1:13">
      <c r="A1641" t="s">
        <v>2808</v>
      </c>
      <c r="B1641" s="342">
        <v>0.13300000000000001</v>
      </c>
      <c r="C1641" s="342">
        <v>0.113</v>
      </c>
      <c r="D1641" s="342">
        <v>0.13500000000000001</v>
      </c>
      <c r="E1641" s="342">
        <v>0.11899999999999999</v>
      </c>
      <c r="F1641" s="342">
        <v>8.4000000000000005E-2</v>
      </c>
      <c r="G1641" s="342">
        <v>0.127</v>
      </c>
      <c r="H1641" s="342">
        <v>0.13600000000000001</v>
      </c>
      <c r="I1641" s="342">
        <v>0.108</v>
      </c>
      <c r="J1641" s="342">
        <v>0.13500000000000001</v>
      </c>
      <c r="K1641" s="342">
        <v>0.14199999999999999</v>
      </c>
      <c r="L1641" s="342">
        <v>0.14699999999999999</v>
      </c>
      <c r="M1641" s="342">
        <v>0.14099999999999999</v>
      </c>
    </row>
    <row r="1642" spans="1:13">
      <c r="A1642" t="s">
        <v>2809</v>
      </c>
      <c r="B1642" s="342">
        <v>5.3999999999999999E-2</v>
      </c>
      <c r="C1642" s="342">
        <v>0.01</v>
      </c>
      <c r="D1642" s="342">
        <v>2.1999999999999999E-2</v>
      </c>
      <c r="E1642" s="342">
        <v>7.0000000000000007E-2</v>
      </c>
      <c r="F1642" s="342">
        <v>0.01</v>
      </c>
      <c r="G1642" s="342">
        <v>2.7E-2</v>
      </c>
      <c r="H1642" s="342">
        <v>6.8000000000000005E-2</v>
      </c>
      <c r="I1642" s="342">
        <v>0.01</v>
      </c>
      <c r="J1642" s="342">
        <v>2.5000000000000001E-2</v>
      </c>
      <c r="K1642" s="342">
        <v>2.9000000000000001E-2</v>
      </c>
      <c r="L1642" s="342">
        <v>1.0999999999999999E-2</v>
      </c>
      <c r="M1642" s="342">
        <v>1.6E-2</v>
      </c>
    </row>
    <row r="1643" spans="1:13">
      <c r="A1643" t="s">
        <v>2810</v>
      </c>
      <c r="B1643" s="342">
        <v>0.17899999999999999</v>
      </c>
      <c r="C1643" s="342">
        <v>0.05</v>
      </c>
      <c r="D1643" s="342">
        <v>8.5000000000000006E-2</v>
      </c>
      <c r="E1643" s="342">
        <v>0.15</v>
      </c>
      <c r="F1643" s="342">
        <v>3.5000000000000003E-2</v>
      </c>
      <c r="G1643" s="342">
        <v>7.9000000000000001E-2</v>
      </c>
      <c r="H1643" s="342">
        <v>0.20499999999999999</v>
      </c>
      <c r="I1643" s="342">
        <v>4.8000000000000001E-2</v>
      </c>
      <c r="J1643" s="342">
        <v>8.5000000000000006E-2</v>
      </c>
      <c r="K1643" s="342">
        <v>0.189</v>
      </c>
      <c r="L1643" s="342">
        <v>6.7000000000000004E-2</v>
      </c>
      <c r="M1643" s="342">
        <v>0.09</v>
      </c>
    </row>
    <row r="1644" spans="1:13">
      <c r="A1644" t="s">
        <v>9</v>
      </c>
      <c r="B1644">
        <v>10.91</v>
      </c>
      <c r="C1644">
        <v>12.33</v>
      </c>
      <c r="D1644">
        <v>12.39</v>
      </c>
      <c r="E1644">
        <v>9.27</v>
      </c>
      <c r="F1644">
        <v>11.76</v>
      </c>
      <c r="G1644">
        <v>11.6</v>
      </c>
      <c r="H1644">
        <v>11.45</v>
      </c>
      <c r="I1644">
        <v>11.8</v>
      </c>
      <c r="J1644">
        <v>13.11</v>
      </c>
      <c r="K1644">
        <v>12.95</v>
      </c>
      <c r="L1644">
        <v>13.66</v>
      </c>
      <c r="M1644">
        <v>12.52</v>
      </c>
    </row>
    <row r="1645" spans="1:13">
      <c r="A1645" t="s">
        <v>8</v>
      </c>
      <c r="B1645">
        <v>18.829999999999998</v>
      </c>
      <c r="C1645">
        <v>31.66</v>
      </c>
      <c r="D1645">
        <v>25.5</v>
      </c>
      <c r="E1645">
        <v>45.47</v>
      </c>
      <c r="F1645">
        <v>35.24</v>
      </c>
      <c r="G1645">
        <v>29.46</v>
      </c>
      <c r="H1645">
        <v>11.4</v>
      </c>
      <c r="I1645">
        <v>28.35</v>
      </c>
      <c r="J1645">
        <v>21.91</v>
      </c>
      <c r="K1645">
        <v>18.03</v>
      </c>
      <c r="L1645">
        <v>31.92</v>
      </c>
      <c r="M1645">
        <v>26.49</v>
      </c>
    </row>
    <row r="1646" spans="1:13">
      <c r="A1646" t="s">
        <v>10</v>
      </c>
      <c r="B1646">
        <v>17.64</v>
      </c>
      <c r="C1646">
        <v>14.61</v>
      </c>
      <c r="D1646">
        <v>15.93</v>
      </c>
      <c r="E1646">
        <v>13.6</v>
      </c>
      <c r="F1646">
        <v>13.59</v>
      </c>
      <c r="G1646">
        <v>14.86</v>
      </c>
      <c r="H1646">
        <v>18.309999999999999</v>
      </c>
      <c r="I1646">
        <v>13.52</v>
      </c>
      <c r="J1646">
        <v>16.29</v>
      </c>
      <c r="K1646">
        <v>25.35</v>
      </c>
      <c r="L1646">
        <v>17.489999999999998</v>
      </c>
      <c r="M1646">
        <v>16.7</v>
      </c>
    </row>
    <row r="1647" spans="1:13">
      <c r="A1647" t="s">
        <v>1621</v>
      </c>
      <c r="B1647" s="342">
        <v>8.7999999999999995E-2</v>
      </c>
      <c r="C1647" s="342">
        <v>4.3999999999999997E-2</v>
      </c>
      <c r="D1647" s="342">
        <v>5.7000000000000002E-2</v>
      </c>
      <c r="E1647" s="342">
        <v>5.6000000000000001E-2</v>
      </c>
      <c r="F1647" s="342">
        <v>0.04</v>
      </c>
      <c r="G1647" s="342">
        <v>5.2999999999999999E-2</v>
      </c>
      <c r="H1647" s="342">
        <v>0.12</v>
      </c>
      <c r="I1647" s="342">
        <v>4.5999999999999999E-2</v>
      </c>
      <c r="J1647" s="342">
        <v>6.0999999999999999E-2</v>
      </c>
      <c r="K1647" s="342">
        <v>9.2999999999999999E-2</v>
      </c>
      <c r="L1647" s="342">
        <v>4.7E-2</v>
      </c>
      <c r="M1647" s="342">
        <v>5.8000000000000003E-2</v>
      </c>
    </row>
    <row r="1649" spans="1:13">
      <c r="A1649" t="s">
        <v>2913</v>
      </c>
    </row>
    <row r="1651" spans="1:13">
      <c r="A1651" t="s">
        <v>158</v>
      </c>
      <c r="B1651" t="s">
        <v>2806</v>
      </c>
      <c r="E1651">
        <v>2017</v>
      </c>
      <c r="H1651">
        <v>2018</v>
      </c>
      <c r="K1651">
        <v>2019</v>
      </c>
    </row>
    <row r="1652" spans="1:13">
      <c r="B1652" t="s">
        <v>1623</v>
      </c>
      <c r="C1652" t="s">
        <v>1624</v>
      </c>
      <c r="D1652" t="s">
        <v>1622</v>
      </c>
      <c r="E1652" t="s">
        <v>1623</v>
      </c>
      <c r="F1652" t="s">
        <v>1624</v>
      </c>
      <c r="G1652" t="s">
        <v>1622</v>
      </c>
      <c r="H1652" t="s">
        <v>1623</v>
      </c>
      <c r="I1652" t="s">
        <v>1624</v>
      </c>
      <c r="J1652" t="s">
        <v>1622</v>
      </c>
      <c r="K1652" t="s">
        <v>1623</v>
      </c>
      <c r="L1652" t="s">
        <v>1624</v>
      </c>
      <c r="M1652" t="s">
        <v>1622</v>
      </c>
    </row>
    <row r="1653" spans="1:13">
      <c r="A1653" t="s">
        <v>2807</v>
      </c>
      <c r="B1653" s="342">
        <v>0.73299999999999998</v>
      </c>
      <c r="C1653" s="342">
        <v>0.88700000000000001</v>
      </c>
      <c r="D1653" s="342">
        <v>0.84699999999999998</v>
      </c>
      <c r="E1653" s="342">
        <v>0.72</v>
      </c>
      <c r="F1653" s="342">
        <v>0.85699999999999998</v>
      </c>
      <c r="G1653" s="342">
        <v>0.84399999999999997</v>
      </c>
      <c r="H1653" s="342">
        <v>0.72699999999999998</v>
      </c>
      <c r="I1653" s="342">
        <v>0.89300000000000002</v>
      </c>
      <c r="J1653" s="342">
        <v>0.85</v>
      </c>
      <c r="K1653" s="342">
        <v>0.75800000000000001</v>
      </c>
      <c r="L1653" s="342">
        <v>0.89800000000000002</v>
      </c>
      <c r="M1653" s="342">
        <v>0.84599999999999997</v>
      </c>
    </row>
    <row r="1654" spans="1:13">
      <c r="A1654" t="s">
        <v>1618</v>
      </c>
      <c r="B1654" s="342">
        <v>0.13</v>
      </c>
      <c r="C1654" s="342">
        <v>9.9000000000000005E-2</v>
      </c>
      <c r="D1654" s="342">
        <v>0.10100000000000001</v>
      </c>
      <c r="E1654" s="342">
        <v>0.13500000000000001</v>
      </c>
      <c r="F1654" s="342">
        <v>0.13100000000000001</v>
      </c>
      <c r="G1654" s="342">
        <v>0.10100000000000001</v>
      </c>
      <c r="H1654" s="342">
        <v>0.13700000000000001</v>
      </c>
      <c r="I1654" s="342">
        <v>9.1999999999999998E-2</v>
      </c>
      <c r="J1654" s="342">
        <v>9.8000000000000004E-2</v>
      </c>
      <c r="K1654" s="342">
        <v>0.115</v>
      </c>
      <c r="L1654" s="342">
        <v>8.6999999999999994E-2</v>
      </c>
      <c r="M1654" s="342">
        <v>0.106</v>
      </c>
    </row>
    <row r="1655" spans="1:13">
      <c r="A1655" t="s">
        <v>1619</v>
      </c>
      <c r="B1655" s="342">
        <v>0.01</v>
      </c>
      <c r="C1655" s="342">
        <v>4.0000000000000001E-3</v>
      </c>
      <c r="D1655" s="342">
        <v>6.0000000000000001E-3</v>
      </c>
      <c r="E1655" s="342">
        <v>6.0000000000000001E-3</v>
      </c>
      <c r="F1655" s="342">
        <v>3.0000000000000001E-3</v>
      </c>
      <c r="G1655" s="342">
        <v>4.0000000000000001E-3</v>
      </c>
      <c r="H1655" s="342">
        <v>1.2999999999999999E-2</v>
      </c>
      <c r="I1655" s="342">
        <v>5.0000000000000001E-3</v>
      </c>
      <c r="J1655" s="342">
        <v>8.0000000000000002E-3</v>
      </c>
      <c r="K1655" s="342">
        <v>1.2999999999999999E-2</v>
      </c>
      <c r="L1655" s="342">
        <v>3.0000000000000001E-3</v>
      </c>
      <c r="M1655" s="342">
        <v>8.0000000000000002E-3</v>
      </c>
    </row>
    <row r="1656" spans="1:13">
      <c r="A1656" t="s">
        <v>1620</v>
      </c>
      <c r="B1656" s="342">
        <v>1.091</v>
      </c>
      <c r="C1656" s="342">
        <v>1.8380000000000001</v>
      </c>
      <c r="D1656" s="342">
        <v>1.55</v>
      </c>
      <c r="E1656" s="342">
        <v>1.111</v>
      </c>
      <c r="F1656" s="342">
        <v>1.6870000000000001</v>
      </c>
      <c r="G1656" s="342">
        <v>1.5980000000000001</v>
      </c>
      <c r="H1656" s="342">
        <v>1.0669999999999999</v>
      </c>
      <c r="I1656" s="342">
        <v>1.716</v>
      </c>
      <c r="J1656" s="342">
        <v>1.5129999999999999</v>
      </c>
      <c r="K1656" s="342">
        <v>1.0940000000000001</v>
      </c>
      <c r="L1656" s="342">
        <v>2.0449999999999999</v>
      </c>
      <c r="M1656" s="342">
        <v>1.5429999999999999</v>
      </c>
    </row>
    <row r="1657" spans="1:13">
      <c r="A1657" t="s">
        <v>2808</v>
      </c>
      <c r="B1657" s="342">
        <v>0.22900000000000001</v>
      </c>
      <c r="C1657" s="342">
        <v>0.112</v>
      </c>
      <c r="D1657" s="342">
        <v>0.17799999999999999</v>
      </c>
      <c r="E1657" s="342">
        <v>0.217</v>
      </c>
      <c r="F1657" s="342">
        <v>0.14499999999999999</v>
      </c>
      <c r="G1657" s="342">
        <v>0.182</v>
      </c>
      <c r="H1657" s="342">
        <v>0.217</v>
      </c>
      <c r="I1657" s="342">
        <v>0.123</v>
      </c>
      <c r="J1657" s="342">
        <v>0.18</v>
      </c>
      <c r="K1657" s="342">
        <v>0.25800000000000001</v>
      </c>
      <c r="L1657" s="342">
        <v>8.1000000000000003E-2</v>
      </c>
      <c r="M1657" s="342">
        <v>0.17199999999999999</v>
      </c>
    </row>
    <row r="1658" spans="1:13">
      <c r="A1658" t="s">
        <v>2809</v>
      </c>
      <c r="B1658" s="342">
        <v>3.0000000000000001E-3</v>
      </c>
      <c r="C1658" s="342">
        <v>5.0000000000000001E-3</v>
      </c>
      <c r="D1658" s="342">
        <v>7.0000000000000001E-3</v>
      </c>
      <c r="E1658" s="342">
        <v>4.0000000000000001E-3</v>
      </c>
      <c r="F1658" s="342">
        <v>1.0999999999999999E-2</v>
      </c>
      <c r="G1658" s="342">
        <v>7.0000000000000001E-3</v>
      </c>
      <c r="H1658" s="342">
        <v>3.0000000000000001E-3</v>
      </c>
      <c r="I1658" s="342">
        <v>3.0000000000000001E-3</v>
      </c>
      <c r="J1658" s="342">
        <v>6.0000000000000001E-3</v>
      </c>
      <c r="K1658" s="342">
        <v>3.0000000000000001E-3</v>
      </c>
      <c r="L1658" s="342">
        <v>2E-3</v>
      </c>
      <c r="M1658" s="342">
        <v>7.0000000000000001E-3</v>
      </c>
    </row>
    <row r="1659" spans="1:13">
      <c r="A1659" t="s">
        <v>2810</v>
      </c>
      <c r="B1659" s="342">
        <v>0.21299999999999999</v>
      </c>
      <c r="C1659" s="342">
        <v>6.3E-2</v>
      </c>
      <c r="D1659" s="342">
        <v>0.11899999999999999</v>
      </c>
      <c r="E1659" s="342">
        <v>0.19900000000000001</v>
      </c>
      <c r="F1659" s="342">
        <v>9.2999999999999999E-2</v>
      </c>
      <c r="G1659" s="342">
        <v>0.11799999999999999</v>
      </c>
      <c r="H1659" s="342">
        <v>0.20599999999999999</v>
      </c>
      <c r="I1659" s="342">
        <v>7.2999999999999995E-2</v>
      </c>
      <c r="J1659" s="342">
        <v>0.123</v>
      </c>
      <c r="K1659" s="342">
        <v>0.23799999999999999</v>
      </c>
      <c r="L1659" s="342">
        <v>0.04</v>
      </c>
      <c r="M1659" s="342">
        <v>0.11600000000000001</v>
      </c>
    </row>
    <row r="1660" spans="1:13">
      <c r="A1660" t="s">
        <v>9</v>
      </c>
      <c r="B1660">
        <v>13.75</v>
      </c>
      <c r="C1660">
        <v>9.8699999999999992</v>
      </c>
      <c r="D1660">
        <v>12.36</v>
      </c>
      <c r="E1660">
        <v>13.53</v>
      </c>
      <c r="F1660">
        <v>16.7</v>
      </c>
      <c r="G1660">
        <v>13.52</v>
      </c>
      <c r="H1660">
        <v>12.15</v>
      </c>
      <c r="I1660">
        <v>7.75</v>
      </c>
      <c r="J1660">
        <v>11.44</v>
      </c>
      <c r="K1660">
        <v>16.61</v>
      </c>
      <c r="L1660">
        <v>9.94</v>
      </c>
      <c r="M1660">
        <v>12.38</v>
      </c>
    </row>
    <row r="1661" spans="1:13">
      <c r="A1661" t="s">
        <v>8</v>
      </c>
      <c r="B1661">
        <v>16.73</v>
      </c>
      <c r="C1661">
        <v>13.93</v>
      </c>
      <c r="D1661">
        <v>14.03</v>
      </c>
      <c r="E1661">
        <v>15.61</v>
      </c>
      <c r="F1661">
        <v>12.79</v>
      </c>
      <c r="G1661">
        <v>14.45</v>
      </c>
      <c r="H1661">
        <v>15.01</v>
      </c>
      <c r="I1661">
        <v>11.79</v>
      </c>
      <c r="J1661">
        <v>13.42</v>
      </c>
      <c r="K1661">
        <v>21.38</v>
      </c>
      <c r="L1661">
        <v>17.16</v>
      </c>
      <c r="M1661">
        <v>14.33</v>
      </c>
    </row>
    <row r="1662" spans="1:13">
      <c r="A1662" t="s">
        <v>10</v>
      </c>
      <c r="B1662">
        <v>22.92</v>
      </c>
      <c r="C1662">
        <v>23.09</v>
      </c>
      <c r="D1662">
        <v>25.92</v>
      </c>
      <c r="E1662">
        <v>29.74</v>
      </c>
      <c r="F1662">
        <v>19.440000000000001</v>
      </c>
      <c r="G1662">
        <v>27.19</v>
      </c>
      <c r="H1662">
        <v>18.260000000000002</v>
      </c>
      <c r="I1662">
        <v>17.87</v>
      </c>
      <c r="J1662">
        <v>22.42</v>
      </c>
      <c r="K1662">
        <v>23.4</v>
      </c>
      <c r="L1662">
        <v>34.159999999999997</v>
      </c>
      <c r="M1662">
        <v>29.73</v>
      </c>
    </row>
    <row r="1663" spans="1:13">
      <c r="A1663" t="s">
        <v>1621</v>
      </c>
      <c r="B1663" s="342">
        <v>8.8999999999999996E-2</v>
      </c>
      <c r="C1663" s="342">
        <v>0.13</v>
      </c>
      <c r="D1663" s="342">
        <v>0.114</v>
      </c>
      <c r="E1663" s="342">
        <v>0.104</v>
      </c>
      <c r="F1663" s="342">
        <v>8.6999999999999994E-2</v>
      </c>
      <c r="G1663" s="342">
        <v>0.106</v>
      </c>
      <c r="H1663" s="342">
        <v>9.4E-2</v>
      </c>
      <c r="I1663" s="342">
        <v>0.158</v>
      </c>
      <c r="J1663" s="342">
        <v>0.11700000000000001</v>
      </c>
      <c r="K1663" s="342">
        <v>6.4000000000000001E-2</v>
      </c>
      <c r="L1663" s="342">
        <v>0.13</v>
      </c>
      <c r="M1663" s="342">
        <v>0.11700000000000001</v>
      </c>
    </row>
    <row r="1665" spans="1:13">
      <c r="A1665" t="s">
        <v>2914</v>
      </c>
    </row>
    <row r="1667" spans="1:13">
      <c r="A1667" t="s">
        <v>158</v>
      </c>
      <c r="B1667" t="s">
        <v>2806</v>
      </c>
      <c r="E1667">
        <v>2017</v>
      </c>
      <c r="H1667">
        <v>2018</v>
      </c>
      <c r="K1667">
        <v>2019</v>
      </c>
    </row>
    <row r="1668" spans="1:13">
      <c r="B1668" t="s">
        <v>1623</v>
      </c>
      <c r="C1668" t="s">
        <v>1624</v>
      </c>
      <c r="D1668" t="s">
        <v>1622</v>
      </c>
      <c r="E1668" t="s">
        <v>1623</v>
      </c>
      <c r="F1668" t="s">
        <v>1624</v>
      </c>
      <c r="G1668" t="s">
        <v>1622</v>
      </c>
      <c r="H1668" t="s">
        <v>1623</v>
      </c>
      <c r="I1668" t="s">
        <v>1624</v>
      </c>
      <c r="J1668" t="s">
        <v>1622</v>
      </c>
      <c r="K1668" t="s">
        <v>1623</v>
      </c>
      <c r="L1668" t="s">
        <v>1624</v>
      </c>
      <c r="M1668" t="s">
        <v>1622</v>
      </c>
    </row>
    <row r="1669" spans="1:13">
      <c r="A1669" t="s">
        <v>2807</v>
      </c>
      <c r="B1669" s="342">
        <v>0.307</v>
      </c>
      <c r="C1669" s="342">
        <v>0.66400000000000003</v>
      </c>
      <c r="D1669" s="342">
        <v>0.54700000000000004</v>
      </c>
      <c r="E1669" s="342">
        <v>0.20799999999999999</v>
      </c>
      <c r="F1669" s="342">
        <v>0.64200000000000002</v>
      </c>
      <c r="G1669" s="342">
        <v>0.55500000000000005</v>
      </c>
      <c r="H1669" s="342">
        <v>0.35299999999999998</v>
      </c>
      <c r="I1669" s="342">
        <v>0.66100000000000003</v>
      </c>
      <c r="J1669" s="342">
        <v>0.54</v>
      </c>
      <c r="K1669" s="342">
        <v>0.32500000000000001</v>
      </c>
      <c r="L1669" s="342">
        <v>0.68899999999999995</v>
      </c>
      <c r="M1669" s="342">
        <v>0.54700000000000004</v>
      </c>
    </row>
    <row r="1670" spans="1:13">
      <c r="A1670" t="s">
        <v>1618</v>
      </c>
      <c r="B1670" s="342">
        <v>0.45800000000000002</v>
      </c>
      <c r="C1670" s="342">
        <v>0.32</v>
      </c>
      <c r="D1670" s="342">
        <v>0.35399999999999998</v>
      </c>
      <c r="E1670" s="342">
        <v>0.53100000000000003</v>
      </c>
      <c r="F1670" s="342">
        <v>0.34300000000000003</v>
      </c>
      <c r="G1670" s="342">
        <v>0.34899999999999998</v>
      </c>
      <c r="H1670" s="342">
        <v>0.41399999999999998</v>
      </c>
      <c r="I1670" s="342">
        <v>0.32400000000000001</v>
      </c>
      <c r="J1670" s="342">
        <v>0.35899999999999999</v>
      </c>
      <c r="K1670" s="342">
        <v>0.45200000000000001</v>
      </c>
      <c r="L1670" s="342">
        <v>0.29499999999999998</v>
      </c>
      <c r="M1670" s="342">
        <v>0.35299999999999998</v>
      </c>
    </row>
    <row r="1671" spans="1:13">
      <c r="A1671" t="s">
        <v>1619</v>
      </c>
      <c r="B1671" s="342">
        <v>3.1E-2</v>
      </c>
      <c r="C1671" s="342">
        <v>1.0999999999999999E-2</v>
      </c>
      <c r="D1671" s="342">
        <v>2.1999999999999999E-2</v>
      </c>
      <c r="E1671" s="342">
        <v>2.5999999999999999E-2</v>
      </c>
      <c r="F1671" s="342">
        <v>8.9999999999999993E-3</v>
      </c>
      <c r="G1671" s="342">
        <v>1.6E-2</v>
      </c>
      <c r="H1671" s="342">
        <v>2.8000000000000001E-2</v>
      </c>
      <c r="I1671" s="342">
        <v>1.0999999999999999E-2</v>
      </c>
      <c r="J1671" s="342">
        <v>2.1999999999999999E-2</v>
      </c>
      <c r="K1671" s="342">
        <v>3.5999999999999997E-2</v>
      </c>
      <c r="L1671" s="342">
        <v>1.2999999999999999E-2</v>
      </c>
      <c r="M1671" s="342">
        <v>2.7E-2</v>
      </c>
    </row>
    <row r="1672" spans="1:13">
      <c r="A1672" t="s">
        <v>1620</v>
      </c>
      <c r="B1672" s="342">
        <v>0.59799999999999998</v>
      </c>
      <c r="C1672" s="342">
        <v>1.64</v>
      </c>
      <c r="D1672" s="342">
        <v>0.91</v>
      </c>
      <c r="E1672" s="342">
        <v>0.61199999999999999</v>
      </c>
      <c r="F1672" s="342">
        <v>1.6339999999999999</v>
      </c>
      <c r="G1672" s="342">
        <v>0.92900000000000005</v>
      </c>
      <c r="H1672" s="342">
        <v>0.67800000000000005</v>
      </c>
      <c r="I1672" s="342">
        <v>1.615</v>
      </c>
      <c r="J1672" s="342">
        <v>0.92600000000000005</v>
      </c>
      <c r="K1672" s="342">
        <v>0.53300000000000003</v>
      </c>
      <c r="L1672" s="342">
        <v>1.6739999999999999</v>
      </c>
      <c r="M1672" s="342">
        <v>0.88100000000000001</v>
      </c>
    </row>
    <row r="1673" spans="1:13">
      <c r="A1673" t="s">
        <v>2808</v>
      </c>
      <c r="B1673" s="342">
        <v>0.14000000000000001</v>
      </c>
      <c r="C1673" s="342">
        <v>0.128</v>
      </c>
      <c r="D1673" s="342">
        <v>0.14699999999999999</v>
      </c>
      <c r="E1673" s="342">
        <v>0.14899999999999999</v>
      </c>
      <c r="F1673" s="342">
        <v>0.11</v>
      </c>
      <c r="G1673" s="342">
        <v>0.14099999999999999</v>
      </c>
      <c r="H1673" s="342">
        <v>0.13500000000000001</v>
      </c>
      <c r="I1673" s="342">
        <v>0.14499999999999999</v>
      </c>
      <c r="J1673" s="342">
        <v>0.14199999999999999</v>
      </c>
      <c r="K1673" s="342">
        <v>0.13900000000000001</v>
      </c>
      <c r="L1673" s="342">
        <v>0.124</v>
      </c>
      <c r="M1673" s="342">
        <v>0.158</v>
      </c>
    </row>
    <row r="1674" spans="1:13">
      <c r="A1674" t="s">
        <v>2809</v>
      </c>
      <c r="B1674" s="342">
        <v>7.6999999999999999E-2</v>
      </c>
      <c r="C1674" s="342">
        <v>6.4000000000000001E-2</v>
      </c>
      <c r="D1674" s="342">
        <v>9.1999999999999998E-2</v>
      </c>
      <c r="E1674" s="342">
        <v>4.2999999999999997E-2</v>
      </c>
      <c r="F1674" s="342">
        <v>7.2999999999999995E-2</v>
      </c>
      <c r="G1674" s="342">
        <v>0.09</v>
      </c>
      <c r="H1674" s="342">
        <v>5.8000000000000003E-2</v>
      </c>
      <c r="I1674" s="342">
        <v>5.8999999999999997E-2</v>
      </c>
      <c r="J1674" s="342">
        <v>0.104</v>
      </c>
      <c r="K1674" s="342">
        <v>0.109</v>
      </c>
      <c r="L1674" s="342">
        <v>6.2E-2</v>
      </c>
      <c r="M1674" s="342">
        <v>8.3000000000000004E-2</v>
      </c>
    </row>
    <row r="1675" spans="1:13">
      <c r="A1675" t="s">
        <v>2810</v>
      </c>
      <c r="B1675" s="342">
        <v>0.36299999999999999</v>
      </c>
      <c r="C1675" s="342">
        <v>0.11700000000000001</v>
      </c>
      <c r="D1675" s="342">
        <v>0.26300000000000001</v>
      </c>
      <c r="E1675" s="342">
        <v>0.315</v>
      </c>
      <c r="F1675" s="342">
        <v>0.112</v>
      </c>
      <c r="G1675" s="342">
        <v>0.249</v>
      </c>
      <c r="H1675" s="342">
        <v>0.28399999999999997</v>
      </c>
      <c r="I1675" s="342">
        <v>0.126</v>
      </c>
      <c r="J1675" s="342">
        <v>0.26600000000000001</v>
      </c>
      <c r="K1675" s="342">
        <v>0.46500000000000002</v>
      </c>
      <c r="L1675" s="342">
        <v>0.111</v>
      </c>
      <c r="M1675" s="342">
        <v>0.27400000000000002</v>
      </c>
    </row>
    <row r="1676" spans="1:13">
      <c r="A1676" t="s">
        <v>9</v>
      </c>
      <c r="B1676">
        <v>7.05</v>
      </c>
      <c r="C1676">
        <v>6.67</v>
      </c>
      <c r="D1676">
        <v>6.23</v>
      </c>
      <c r="E1676">
        <v>6.96</v>
      </c>
      <c r="F1676">
        <v>6.33</v>
      </c>
      <c r="G1676">
        <v>6</v>
      </c>
      <c r="H1676">
        <v>6.82</v>
      </c>
      <c r="I1676">
        <v>7.2</v>
      </c>
      <c r="J1676">
        <v>6.34</v>
      </c>
      <c r="K1676">
        <v>7.33</v>
      </c>
      <c r="L1676">
        <v>6.45</v>
      </c>
      <c r="M1676">
        <v>6.33</v>
      </c>
    </row>
    <row r="1677" spans="1:13">
      <c r="A1677" t="s">
        <v>8</v>
      </c>
      <c r="B1677">
        <v>96.63</v>
      </c>
      <c r="C1677">
        <v>28.97</v>
      </c>
      <c r="D1677">
        <v>43.06</v>
      </c>
      <c r="E1677">
        <v>86.55</v>
      </c>
      <c r="F1677">
        <v>27.1</v>
      </c>
      <c r="G1677">
        <v>42.75</v>
      </c>
      <c r="H1677">
        <v>116.97</v>
      </c>
      <c r="I1677">
        <v>32.25</v>
      </c>
      <c r="J1677">
        <v>42.82</v>
      </c>
      <c r="K1677">
        <v>88.77</v>
      </c>
      <c r="L1677">
        <v>27.58</v>
      </c>
      <c r="M1677">
        <v>43.55</v>
      </c>
    </row>
    <row r="1678" spans="1:13">
      <c r="A1678" t="s">
        <v>10</v>
      </c>
      <c r="B1678">
        <v>40.770000000000003</v>
      </c>
      <c r="C1678">
        <v>10.97</v>
      </c>
      <c r="D1678">
        <v>14.9</v>
      </c>
      <c r="E1678">
        <v>36.340000000000003</v>
      </c>
      <c r="F1678">
        <v>11.19</v>
      </c>
      <c r="G1678">
        <v>14.01</v>
      </c>
      <c r="H1678">
        <v>37.840000000000003</v>
      </c>
      <c r="I1678">
        <v>11.02</v>
      </c>
      <c r="J1678">
        <v>14.66</v>
      </c>
      <c r="K1678">
        <v>47.83</v>
      </c>
      <c r="L1678">
        <v>10.72</v>
      </c>
      <c r="M1678">
        <v>16.03</v>
      </c>
    </row>
    <row r="1679" spans="1:13">
      <c r="A1679" t="s">
        <v>1621</v>
      </c>
      <c r="B1679" s="342">
        <v>0.128</v>
      </c>
      <c r="C1679" s="342">
        <v>9.2999999999999999E-2</v>
      </c>
      <c r="D1679" s="342">
        <v>0.11700000000000001</v>
      </c>
      <c r="E1679" s="342">
        <v>0.128</v>
      </c>
      <c r="F1679" s="342">
        <v>0.105</v>
      </c>
      <c r="G1679" s="342">
        <v>0.11899999999999999</v>
      </c>
      <c r="H1679" s="342">
        <v>0.129</v>
      </c>
      <c r="I1679" s="342">
        <v>7.9000000000000001E-2</v>
      </c>
      <c r="J1679" s="342">
        <v>0.113</v>
      </c>
      <c r="K1679" s="342">
        <v>0.127</v>
      </c>
      <c r="L1679" s="342">
        <v>9.8000000000000004E-2</v>
      </c>
      <c r="M1679" s="342">
        <v>0.11799999999999999</v>
      </c>
    </row>
    <row r="1681" spans="1:13">
      <c r="A1681" t="s">
        <v>2915</v>
      </c>
    </row>
    <row r="1683" spans="1:13">
      <c r="A1683" t="s">
        <v>158</v>
      </c>
      <c r="B1683" t="s">
        <v>2806</v>
      </c>
      <c r="E1683">
        <v>2017</v>
      </c>
      <c r="H1683">
        <v>2018</v>
      </c>
      <c r="K1683">
        <v>2019</v>
      </c>
    </row>
    <row r="1684" spans="1:13">
      <c r="B1684" t="s">
        <v>1623</v>
      </c>
      <c r="C1684" t="s">
        <v>1624</v>
      </c>
      <c r="D1684" t="s">
        <v>1622</v>
      </c>
      <c r="E1684" t="s">
        <v>1623</v>
      </c>
      <c r="F1684" t="s">
        <v>1624</v>
      </c>
      <c r="G1684" t="s">
        <v>1622</v>
      </c>
      <c r="H1684" t="s">
        <v>1623</v>
      </c>
      <c r="I1684" t="s">
        <v>1624</v>
      </c>
      <c r="J1684" t="s">
        <v>1622</v>
      </c>
      <c r="K1684" t="s">
        <v>1623</v>
      </c>
      <c r="L1684" t="s">
        <v>1624</v>
      </c>
      <c r="M1684" t="s">
        <v>1622</v>
      </c>
    </row>
    <row r="1685" spans="1:13">
      <c r="A1685" t="s">
        <v>2807</v>
      </c>
      <c r="B1685" s="342">
        <v>0.36299999999999999</v>
      </c>
      <c r="C1685" s="342">
        <v>0.874</v>
      </c>
      <c r="D1685" s="342">
        <v>0.71099999999999997</v>
      </c>
      <c r="E1685" s="342">
        <v>0.34599999999999997</v>
      </c>
      <c r="F1685" s="342">
        <v>0.86099999999999999</v>
      </c>
      <c r="G1685" s="342">
        <v>0.77900000000000003</v>
      </c>
      <c r="H1685" s="342">
        <v>0.28599999999999998</v>
      </c>
      <c r="I1685" s="342">
        <v>0.89900000000000002</v>
      </c>
      <c r="J1685" s="342">
        <v>0.78500000000000003</v>
      </c>
      <c r="K1685" s="342">
        <v>0.38200000000000001</v>
      </c>
      <c r="L1685" s="342">
        <v>0.85599999999999998</v>
      </c>
      <c r="M1685" s="342">
        <v>0.58599999999999997</v>
      </c>
    </row>
    <row r="1686" spans="1:13">
      <c r="A1686" t="s">
        <v>1618</v>
      </c>
      <c r="B1686" s="342">
        <v>0.42699999999999999</v>
      </c>
      <c r="C1686" s="342">
        <v>0.115</v>
      </c>
      <c r="D1686" s="342">
        <v>0.22800000000000001</v>
      </c>
      <c r="E1686" s="342">
        <v>0.34399999999999997</v>
      </c>
      <c r="F1686" s="342">
        <v>0.126</v>
      </c>
      <c r="G1686" s="342">
        <v>0.16700000000000001</v>
      </c>
      <c r="H1686" s="342">
        <v>0.442</v>
      </c>
      <c r="I1686" s="342">
        <v>9.5000000000000001E-2</v>
      </c>
      <c r="J1686" s="342">
        <v>0.16800000000000001</v>
      </c>
      <c r="K1686" s="342">
        <v>0.441</v>
      </c>
      <c r="L1686" s="342">
        <v>0.13</v>
      </c>
      <c r="M1686" s="342">
        <v>0.33300000000000002</v>
      </c>
    </row>
    <row r="1687" spans="1:13">
      <c r="A1687" t="s">
        <v>1619</v>
      </c>
      <c r="B1687" s="342">
        <v>2.9000000000000001E-2</v>
      </c>
      <c r="C1687" s="342">
        <v>1.2E-2</v>
      </c>
      <c r="D1687" s="342">
        <v>2.1000000000000001E-2</v>
      </c>
      <c r="E1687" s="342">
        <v>2.5999999999999999E-2</v>
      </c>
      <c r="F1687" s="342">
        <v>1.2E-2</v>
      </c>
      <c r="G1687" s="342">
        <v>1.7999999999999999E-2</v>
      </c>
      <c r="H1687" s="342">
        <v>0.03</v>
      </c>
      <c r="I1687" s="342">
        <v>1.2E-2</v>
      </c>
      <c r="J1687" s="342">
        <v>0.02</v>
      </c>
      <c r="K1687" s="342">
        <v>2.9000000000000001E-2</v>
      </c>
      <c r="L1687" s="342">
        <v>8.9999999999999993E-3</v>
      </c>
      <c r="M1687" s="342">
        <v>2.5000000000000001E-2</v>
      </c>
    </row>
    <row r="1688" spans="1:13">
      <c r="A1688" t="s">
        <v>1620</v>
      </c>
      <c r="B1688" s="342">
        <v>0.375</v>
      </c>
      <c r="C1688" s="342">
        <v>1.216</v>
      </c>
      <c r="D1688" s="342">
        <v>0.85799999999999998</v>
      </c>
      <c r="E1688" s="342">
        <v>0.35599999999999998</v>
      </c>
      <c r="F1688" s="342">
        <v>0.99199999999999999</v>
      </c>
      <c r="G1688" s="342">
        <v>0.871</v>
      </c>
      <c r="H1688" s="342">
        <v>0.41499999999999998</v>
      </c>
      <c r="I1688" s="342">
        <v>1.333</v>
      </c>
      <c r="J1688" s="342">
        <v>0.98599999999999999</v>
      </c>
      <c r="K1688" s="342">
        <v>0.372</v>
      </c>
      <c r="L1688" s="342">
        <v>1.627</v>
      </c>
      <c r="M1688" s="342">
        <v>0.75700000000000001</v>
      </c>
    </row>
    <row r="1689" spans="1:13">
      <c r="A1689" t="s">
        <v>2808</v>
      </c>
      <c r="B1689" s="342">
        <v>0.189</v>
      </c>
      <c r="C1689" s="342">
        <v>0.441</v>
      </c>
      <c r="D1689" s="342">
        <v>0.29099999999999998</v>
      </c>
      <c r="E1689" s="342">
        <v>0.224</v>
      </c>
      <c r="F1689" s="342">
        <v>0.55600000000000005</v>
      </c>
      <c r="G1689" s="342">
        <v>0.41199999999999998</v>
      </c>
      <c r="H1689" s="342">
        <v>0.214</v>
      </c>
      <c r="I1689" s="342">
        <v>0.41199999999999998</v>
      </c>
      <c r="J1689" s="342">
        <v>0.28399999999999997</v>
      </c>
      <c r="K1689" s="342">
        <v>0.17699999999999999</v>
      </c>
      <c r="L1689" s="342">
        <v>0.16400000000000001</v>
      </c>
      <c r="M1689" s="342">
        <v>0.20899999999999999</v>
      </c>
    </row>
    <row r="1690" spans="1:13">
      <c r="A1690" t="s">
        <v>2809</v>
      </c>
      <c r="B1690" s="342">
        <v>7.4999999999999997E-2</v>
      </c>
      <c r="C1690" s="342">
        <v>5.5E-2</v>
      </c>
      <c r="D1690" s="342">
        <v>5.1999999999999998E-2</v>
      </c>
      <c r="E1690" s="342">
        <v>1.7999999999999999E-2</v>
      </c>
      <c r="F1690" s="342">
        <v>0.02</v>
      </c>
      <c r="G1690" s="342">
        <v>2.8000000000000001E-2</v>
      </c>
      <c r="H1690" s="342">
        <v>3.4000000000000002E-2</v>
      </c>
      <c r="I1690" s="342">
        <v>9.2999999999999999E-2</v>
      </c>
      <c r="J1690" s="342">
        <v>5.2999999999999999E-2</v>
      </c>
      <c r="K1690" s="342">
        <v>9.4E-2</v>
      </c>
      <c r="L1690" s="342">
        <v>7.6999999999999999E-2</v>
      </c>
      <c r="M1690" s="342">
        <v>6.9000000000000006E-2</v>
      </c>
    </row>
    <row r="1691" spans="1:13">
      <c r="A1691" t="s">
        <v>2810</v>
      </c>
      <c r="B1691" s="342">
        <v>0.70499999999999996</v>
      </c>
      <c r="C1691" s="342">
        <v>0.40899999999999997</v>
      </c>
      <c r="D1691" s="342">
        <v>0.4</v>
      </c>
      <c r="E1691" s="342">
        <v>0.68200000000000005</v>
      </c>
      <c r="F1691" s="342">
        <v>0.58099999999999996</v>
      </c>
      <c r="G1691" s="342">
        <v>0.505</v>
      </c>
      <c r="H1691" s="342">
        <v>0.59899999999999998</v>
      </c>
      <c r="I1691" s="342">
        <v>0.379</v>
      </c>
      <c r="J1691" s="342">
        <v>0.34200000000000003</v>
      </c>
      <c r="K1691" s="342">
        <v>0.73</v>
      </c>
      <c r="L1691" s="342">
        <v>0.14799999999999999</v>
      </c>
      <c r="M1691" s="342">
        <v>0.36599999999999999</v>
      </c>
    </row>
    <row r="1692" spans="1:13">
      <c r="A1692" t="s">
        <v>9</v>
      </c>
      <c r="B1692">
        <v>5.37</v>
      </c>
      <c r="C1692">
        <v>10.65</v>
      </c>
      <c r="D1692">
        <v>8.09</v>
      </c>
      <c r="E1692">
        <v>10.34</v>
      </c>
      <c r="F1692">
        <v>11.76</v>
      </c>
      <c r="G1692">
        <v>9.68</v>
      </c>
      <c r="H1692">
        <v>5.56</v>
      </c>
      <c r="I1692">
        <v>14.27</v>
      </c>
      <c r="J1692">
        <v>10.27</v>
      </c>
      <c r="K1692">
        <v>4.87</v>
      </c>
      <c r="L1692">
        <v>6.58</v>
      </c>
      <c r="M1692">
        <v>6.08</v>
      </c>
    </row>
    <row r="1693" spans="1:13">
      <c r="A1693" t="s">
        <v>8</v>
      </c>
      <c r="B1693">
        <v>1.46</v>
      </c>
      <c r="C1693">
        <v>68.650000000000006</v>
      </c>
      <c r="D1693">
        <v>9.68</v>
      </c>
      <c r="E1693">
        <v>20.38</v>
      </c>
      <c r="F1693">
        <v>119.47</v>
      </c>
      <c r="G1693">
        <v>59.24</v>
      </c>
      <c r="H1693">
        <v>32.94</v>
      </c>
      <c r="I1693">
        <v>85.6</v>
      </c>
      <c r="J1693">
        <v>57.24</v>
      </c>
      <c r="K1693">
        <v>1.06</v>
      </c>
      <c r="L1693">
        <v>32.46</v>
      </c>
      <c r="M1693">
        <v>3.94</v>
      </c>
    </row>
    <row r="1694" spans="1:13">
      <c r="A1694" t="s">
        <v>10</v>
      </c>
      <c r="B1694">
        <v>55.73</v>
      </c>
      <c r="C1694">
        <v>30.25</v>
      </c>
      <c r="D1694">
        <v>35.869999999999997</v>
      </c>
      <c r="E1694">
        <v>87.03</v>
      </c>
      <c r="F1694">
        <v>46.45</v>
      </c>
      <c r="G1694">
        <v>44.6</v>
      </c>
      <c r="H1694">
        <v>89.06</v>
      </c>
      <c r="I1694">
        <v>33.380000000000003</v>
      </c>
      <c r="J1694">
        <v>41.19</v>
      </c>
      <c r="K1694">
        <v>48.58</v>
      </c>
      <c r="L1694">
        <v>16.87</v>
      </c>
      <c r="M1694">
        <v>28</v>
      </c>
    </row>
    <row r="1695" spans="1:13">
      <c r="A1695" t="s">
        <v>1621</v>
      </c>
      <c r="B1695" s="342">
        <v>0.85199999999999998</v>
      </c>
      <c r="C1695" s="342">
        <v>7.4999999999999997E-2</v>
      </c>
      <c r="D1695" s="342">
        <v>0.19900000000000001</v>
      </c>
      <c r="E1695" s="342">
        <v>0.13400000000000001</v>
      </c>
      <c r="F1695" s="342">
        <v>7.1999999999999995E-2</v>
      </c>
      <c r="G1695" s="342">
        <v>9.8000000000000004E-2</v>
      </c>
      <c r="H1695" s="342">
        <v>0.19900000000000001</v>
      </c>
      <c r="I1695" s="342">
        <v>5.1999999999999998E-2</v>
      </c>
      <c r="J1695" s="342">
        <v>9.0999999999999998E-2</v>
      </c>
      <c r="K1695" s="342">
        <v>1.127</v>
      </c>
      <c r="L1695" s="342">
        <v>0.124</v>
      </c>
      <c r="M1695" s="342">
        <v>0.38300000000000001</v>
      </c>
    </row>
    <row r="1697" spans="1:13">
      <c r="A1697" t="s">
        <v>2916</v>
      </c>
    </row>
    <row r="1699" spans="1:13">
      <c r="A1699" t="s">
        <v>158</v>
      </c>
      <c r="B1699" t="s">
        <v>2806</v>
      </c>
      <c r="E1699">
        <v>2017</v>
      </c>
      <c r="H1699">
        <v>2018</v>
      </c>
      <c r="K1699">
        <v>2019</v>
      </c>
    </row>
    <row r="1700" spans="1:13">
      <c r="B1700" t="s">
        <v>1623</v>
      </c>
      <c r="C1700" t="s">
        <v>1624</v>
      </c>
      <c r="D1700" t="s">
        <v>1622</v>
      </c>
      <c r="E1700" t="s">
        <v>1623</v>
      </c>
      <c r="F1700" t="s">
        <v>1624</v>
      </c>
      <c r="G1700" t="s">
        <v>1622</v>
      </c>
      <c r="H1700" t="s">
        <v>1623</v>
      </c>
      <c r="I1700" t="s">
        <v>1624</v>
      </c>
      <c r="J1700" t="s">
        <v>1622</v>
      </c>
      <c r="K1700" t="s">
        <v>1623</v>
      </c>
      <c r="L1700" t="s">
        <v>1624</v>
      </c>
      <c r="M1700" t="s">
        <v>1622</v>
      </c>
    </row>
    <row r="1701" spans="1:13">
      <c r="A1701" t="s">
        <v>2807</v>
      </c>
      <c r="B1701" s="342">
        <v>0.32600000000000001</v>
      </c>
      <c r="C1701" s="342">
        <v>0.52700000000000002</v>
      </c>
      <c r="D1701" s="342">
        <v>0.38100000000000001</v>
      </c>
      <c r="E1701" s="342">
        <v>0.28499999999999998</v>
      </c>
      <c r="F1701" s="342">
        <v>0.54700000000000004</v>
      </c>
      <c r="G1701" s="342">
        <v>0.35599999999999998</v>
      </c>
      <c r="H1701" s="342">
        <v>0.36299999999999999</v>
      </c>
      <c r="I1701" s="342">
        <v>0.46400000000000002</v>
      </c>
      <c r="J1701" s="342">
        <v>0.371</v>
      </c>
      <c r="K1701" s="342">
        <v>0.32400000000000001</v>
      </c>
      <c r="L1701" s="342">
        <v>0.56599999999999995</v>
      </c>
      <c r="M1701" s="342">
        <v>0.40699999999999997</v>
      </c>
    </row>
    <row r="1702" spans="1:13">
      <c r="A1702" t="s">
        <v>1618</v>
      </c>
      <c r="B1702" s="342">
        <v>0.441</v>
      </c>
      <c r="C1702" s="342">
        <v>0.45400000000000001</v>
      </c>
      <c r="D1702" s="342">
        <v>0.51600000000000001</v>
      </c>
      <c r="E1702" s="342">
        <v>0.501</v>
      </c>
      <c r="F1702" s="342">
        <v>0.436</v>
      </c>
      <c r="G1702" s="342">
        <v>0.55000000000000004</v>
      </c>
      <c r="H1702" s="342">
        <v>0.41</v>
      </c>
      <c r="I1702" s="342">
        <v>0.51600000000000001</v>
      </c>
      <c r="J1702" s="342">
        <v>0.53100000000000003</v>
      </c>
      <c r="K1702" s="342">
        <v>0.42699999999999999</v>
      </c>
      <c r="L1702" s="342">
        <v>0.41299999999999998</v>
      </c>
      <c r="M1702" s="342">
        <v>0.47799999999999998</v>
      </c>
    </row>
    <row r="1703" spans="1:13">
      <c r="A1703" t="s">
        <v>1619</v>
      </c>
      <c r="B1703" s="342">
        <v>3.7999999999999999E-2</v>
      </c>
      <c r="C1703" s="342">
        <v>2.3E-2</v>
      </c>
      <c r="D1703" s="342">
        <v>3.6999999999999998E-2</v>
      </c>
      <c r="E1703" s="342">
        <v>4.2999999999999997E-2</v>
      </c>
      <c r="F1703" s="342">
        <v>1.2999999999999999E-2</v>
      </c>
      <c r="G1703" s="342">
        <v>3.4000000000000002E-2</v>
      </c>
      <c r="H1703" s="342">
        <v>4.5999999999999999E-2</v>
      </c>
      <c r="I1703" s="342">
        <v>2.8000000000000001E-2</v>
      </c>
      <c r="J1703" s="342">
        <v>4.2999999999999997E-2</v>
      </c>
      <c r="K1703" s="342">
        <v>2.9000000000000001E-2</v>
      </c>
      <c r="L1703" s="342">
        <v>2.9000000000000001E-2</v>
      </c>
      <c r="M1703" s="342">
        <v>3.4000000000000002E-2</v>
      </c>
    </row>
    <row r="1704" spans="1:13">
      <c r="A1704" t="s">
        <v>1620</v>
      </c>
      <c r="B1704" s="342">
        <v>0.65600000000000003</v>
      </c>
      <c r="C1704" s="342">
        <v>1.0669999999999999</v>
      </c>
      <c r="D1704" s="342">
        <v>0.88</v>
      </c>
      <c r="E1704" s="342">
        <v>0.76700000000000002</v>
      </c>
      <c r="F1704" s="342">
        <v>1.2250000000000001</v>
      </c>
      <c r="G1704" s="342">
        <v>0.89800000000000002</v>
      </c>
      <c r="H1704" s="342">
        <v>0.65600000000000003</v>
      </c>
      <c r="I1704" s="342">
        <v>1.046</v>
      </c>
      <c r="J1704" s="342">
        <v>0.85899999999999999</v>
      </c>
      <c r="K1704" s="342">
        <v>0.6</v>
      </c>
      <c r="L1704" s="342">
        <v>0.95099999999999996</v>
      </c>
      <c r="M1704" s="342">
        <v>0.88300000000000001</v>
      </c>
    </row>
    <row r="1705" spans="1:13">
      <c r="A1705" t="s">
        <v>2808</v>
      </c>
      <c r="B1705" s="342">
        <v>0.47</v>
      </c>
      <c r="C1705" s="342">
        <v>0.39600000000000002</v>
      </c>
      <c r="D1705" s="342">
        <v>0.44900000000000001</v>
      </c>
      <c r="E1705" s="342">
        <v>0.48599999999999999</v>
      </c>
      <c r="F1705" s="342">
        <v>0.35499999999999998</v>
      </c>
      <c r="G1705" s="342">
        <v>0.437</v>
      </c>
      <c r="H1705" s="342">
        <v>0.45900000000000002</v>
      </c>
      <c r="I1705" s="342">
        <v>0.499</v>
      </c>
      <c r="J1705" s="342">
        <v>0.46800000000000003</v>
      </c>
      <c r="K1705" s="342">
        <v>0.46899999999999997</v>
      </c>
      <c r="L1705" s="342">
        <v>0.33900000000000002</v>
      </c>
      <c r="M1705" s="342">
        <v>0.442</v>
      </c>
    </row>
    <row r="1706" spans="1:13">
      <c r="A1706" t="s">
        <v>2809</v>
      </c>
      <c r="B1706" s="342">
        <v>7.0000000000000001E-3</v>
      </c>
      <c r="C1706" s="342">
        <v>2.3E-2</v>
      </c>
      <c r="D1706" s="342">
        <v>1.4999999999999999E-2</v>
      </c>
      <c r="E1706" s="342">
        <v>5.0000000000000001E-3</v>
      </c>
      <c r="F1706" s="342">
        <v>1.9E-2</v>
      </c>
      <c r="G1706" s="342">
        <v>1.6E-2</v>
      </c>
      <c r="H1706" s="342">
        <v>6.0000000000000001E-3</v>
      </c>
      <c r="I1706" s="342">
        <v>1.2999999999999999E-2</v>
      </c>
      <c r="J1706" s="342">
        <v>1.4E-2</v>
      </c>
      <c r="K1706" s="342">
        <v>8.0000000000000002E-3</v>
      </c>
      <c r="L1706" s="342">
        <v>3.5000000000000003E-2</v>
      </c>
      <c r="M1706" s="342">
        <v>1.6E-2</v>
      </c>
    </row>
    <row r="1707" spans="1:13">
      <c r="A1707" t="s">
        <v>2810</v>
      </c>
      <c r="B1707" s="342">
        <v>0.72599999999999998</v>
      </c>
      <c r="C1707" s="342">
        <v>0.39200000000000002</v>
      </c>
      <c r="D1707" s="342">
        <v>0.52700000000000002</v>
      </c>
      <c r="E1707" s="342">
        <v>0.64</v>
      </c>
      <c r="F1707" s="342">
        <v>0.30499999999999999</v>
      </c>
      <c r="G1707" s="342">
        <v>0.504</v>
      </c>
      <c r="H1707" s="342">
        <v>0.70899999999999996</v>
      </c>
      <c r="I1707" s="342">
        <v>0.48899999999999999</v>
      </c>
      <c r="J1707" s="342">
        <v>0.56000000000000005</v>
      </c>
      <c r="K1707" s="342">
        <v>0.79400000000000004</v>
      </c>
      <c r="L1707" s="342">
        <v>0.39300000000000002</v>
      </c>
      <c r="M1707" s="342">
        <v>0.51800000000000002</v>
      </c>
    </row>
    <row r="1708" spans="1:13">
      <c r="A1708" t="s">
        <v>9</v>
      </c>
      <c r="B1708">
        <v>7.27</v>
      </c>
      <c r="C1708">
        <v>8.48</v>
      </c>
      <c r="D1708">
        <v>7.51</v>
      </c>
      <c r="E1708">
        <v>9.7200000000000006</v>
      </c>
      <c r="F1708">
        <v>8.2100000000000009</v>
      </c>
      <c r="G1708">
        <v>6.66</v>
      </c>
      <c r="H1708">
        <v>6.75</v>
      </c>
      <c r="I1708">
        <v>10.9</v>
      </c>
      <c r="J1708">
        <v>7.48</v>
      </c>
      <c r="K1708">
        <v>6.58</v>
      </c>
      <c r="L1708">
        <v>7.19</v>
      </c>
      <c r="M1708">
        <v>8.35</v>
      </c>
    </row>
    <row r="1709" spans="1:13">
      <c r="A1709" t="s">
        <v>8</v>
      </c>
      <c r="B1709">
        <v>198.95</v>
      </c>
      <c r="C1709">
        <v>76.83</v>
      </c>
      <c r="D1709">
        <v>68.89</v>
      </c>
      <c r="E1709">
        <v>559.38</v>
      </c>
      <c r="F1709">
        <v>68.3</v>
      </c>
      <c r="G1709">
        <v>81.58</v>
      </c>
      <c r="H1709">
        <v>149.30000000000001</v>
      </c>
      <c r="I1709">
        <v>83.56</v>
      </c>
      <c r="J1709">
        <v>54.98</v>
      </c>
      <c r="K1709">
        <v>170.63</v>
      </c>
      <c r="L1709">
        <v>81.55</v>
      </c>
      <c r="M1709">
        <v>74.88</v>
      </c>
    </row>
    <row r="1710" spans="1:13">
      <c r="A1710" t="s">
        <v>10</v>
      </c>
      <c r="B1710">
        <v>82.23</v>
      </c>
      <c r="C1710">
        <v>51.35</v>
      </c>
      <c r="D1710">
        <v>62.69</v>
      </c>
      <c r="E1710">
        <v>90.31</v>
      </c>
      <c r="F1710">
        <v>60.42</v>
      </c>
      <c r="G1710">
        <v>68.569999999999993</v>
      </c>
      <c r="H1710">
        <v>88.71</v>
      </c>
      <c r="I1710">
        <v>56.64</v>
      </c>
      <c r="J1710">
        <v>57.65</v>
      </c>
      <c r="K1710">
        <v>74.03</v>
      </c>
      <c r="L1710">
        <v>40.92</v>
      </c>
      <c r="M1710">
        <v>62.93</v>
      </c>
    </row>
    <row r="1711" spans="1:13">
      <c r="A1711" t="s">
        <v>1621</v>
      </c>
      <c r="B1711" s="342">
        <v>0.13</v>
      </c>
      <c r="C1711" s="342">
        <v>0.111</v>
      </c>
      <c r="D1711" s="342">
        <v>0.13200000000000001</v>
      </c>
      <c r="E1711" s="342">
        <v>9.4E-2</v>
      </c>
      <c r="F1711" s="342">
        <v>0.12</v>
      </c>
      <c r="G1711" s="342">
        <v>0.14799999999999999</v>
      </c>
      <c r="H1711" s="342">
        <v>0.14399999999999999</v>
      </c>
      <c r="I1711" s="342">
        <v>8.5999999999999993E-2</v>
      </c>
      <c r="J1711" s="342">
        <v>0.13500000000000001</v>
      </c>
      <c r="K1711" s="342">
        <v>0.14399999999999999</v>
      </c>
      <c r="L1711" s="342">
        <v>0.127</v>
      </c>
      <c r="M1711" s="342">
        <v>0.11700000000000001</v>
      </c>
    </row>
    <row r="1713" spans="1:13">
      <c r="A1713" t="s">
        <v>2917</v>
      </c>
    </row>
    <row r="1715" spans="1:13">
      <c r="A1715" t="s">
        <v>158</v>
      </c>
      <c r="B1715" t="s">
        <v>2806</v>
      </c>
      <c r="E1715">
        <v>2017</v>
      </c>
      <c r="H1715">
        <v>2018</v>
      </c>
      <c r="K1715">
        <v>2019</v>
      </c>
    </row>
    <row r="1716" spans="1:13">
      <c r="B1716" t="s">
        <v>1623</v>
      </c>
      <c r="C1716" t="s">
        <v>1624</v>
      </c>
      <c r="D1716" t="s">
        <v>1622</v>
      </c>
      <c r="E1716" t="s">
        <v>1623</v>
      </c>
      <c r="F1716" t="s">
        <v>1624</v>
      </c>
      <c r="G1716" t="s">
        <v>1622</v>
      </c>
      <c r="H1716" t="s">
        <v>1623</v>
      </c>
      <c r="I1716" t="s">
        <v>1624</v>
      </c>
      <c r="J1716" t="s">
        <v>1622</v>
      </c>
      <c r="K1716" t="s">
        <v>1623</v>
      </c>
      <c r="L1716" t="s">
        <v>1624</v>
      </c>
      <c r="M1716" t="s">
        <v>1622</v>
      </c>
    </row>
    <row r="1717" spans="1:13">
      <c r="A1717" t="s">
        <v>2807</v>
      </c>
      <c r="B1717" s="342">
        <v>0.52100000000000002</v>
      </c>
      <c r="C1717" s="342">
        <v>0.83</v>
      </c>
      <c r="D1717" s="342">
        <v>0.68</v>
      </c>
      <c r="E1717" s="342">
        <v>0.52900000000000003</v>
      </c>
      <c r="F1717" s="342">
        <v>0.84199999999999997</v>
      </c>
      <c r="G1717" s="342">
        <v>0.69799999999999995</v>
      </c>
      <c r="H1717" s="342">
        <v>0.52900000000000003</v>
      </c>
      <c r="I1717" s="342">
        <v>0.83499999999999996</v>
      </c>
      <c r="J1717" s="342">
        <v>0.68300000000000005</v>
      </c>
      <c r="K1717" s="342">
        <v>0.504</v>
      </c>
      <c r="L1717" s="342">
        <v>0.80800000000000005</v>
      </c>
      <c r="M1717" s="342">
        <v>0.65800000000000003</v>
      </c>
    </row>
    <row r="1718" spans="1:13">
      <c r="A1718" t="s">
        <v>1618</v>
      </c>
      <c r="B1718" s="342">
        <v>0.192</v>
      </c>
      <c r="C1718" s="342">
        <v>0.152</v>
      </c>
      <c r="D1718" s="342">
        <v>0.20899999999999999</v>
      </c>
      <c r="E1718" s="342">
        <v>0.20599999999999999</v>
      </c>
      <c r="F1718" s="342">
        <v>0.13900000000000001</v>
      </c>
      <c r="G1718" s="342">
        <v>0.20399999999999999</v>
      </c>
      <c r="H1718" s="342">
        <v>0.187</v>
      </c>
      <c r="I1718" s="342">
        <v>0.14699999999999999</v>
      </c>
      <c r="J1718" s="342">
        <v>0.20599999999999999</v>
      </c>
      <c r="K1718" s="342">
        <v>0.185</v>
      </c>
      <c r="L1718" s="342">
        <v>0.17299999999999999</v>
      </c>
      <c r="M1718" s="342">
        <v>0.217</v>
      </c>
    </row>
    <row r="1719" spans="1:13">
      <c r="A1719" t="s">
        <v>1619</v>
      </c>
      <c r="B1719" s="342">
        <v>2.4E-2</v>
      </c>
      <c r="C1719" s="342">
        <v>1.0999999999999999E-2</v>
      </c>
      <c r="D1719" s="342">
        <v>2.1000000000000001E-2</v>
      </c>
      <c r="E1719" s="342">
        <v>1.2E-2</v>
      </c>
      <c r="F1719" s="342">
        <v>6.0000000000000001E-3</v>
      </c>
      <c r="G1719" s="342">
        <v>1.0999999999999999E-2</v>
      </c>
      <c r="H1719" s="342">
        <v>2.5999999999999999E-2</v>
      </c>
      <c r="I1719" s="342">
        <v>1.2999999999999999E-2</v>
      </c>
      <c r="J1719" s="342">
        <v>2.4E-2</v>
      </c>
      <c r="K1719" s="342">
        <v>3.2000000000000001E-2</v>
      </c>
      <c r="L1719" s="342">
        <v>1.4999999999999999E-2</v>
      </c>
      <c r="M1719" s="342">
        <v>2.8000000000000001E-2</v>
      </c>
    </row>
    <row r="1720" spans="1:13">
      <c r="A1720" t="s">
        <v>1620</v>
      </c>
      <c r="B1720" s="342">
        <v>0.41799999999999998</v>
      </c>
      <c r="C1720" s="342">
        <v>1.464</v>
      </c>
      <c r="D1720" s="342">
        <v>0.79</v>
      </c>
      <c r="E1720" s="342">
        <v>0.39100000000000001</v>
      </c>
      <c r="F1720" s="342">
        <v>1.6890000000000001</v>
      </c>
      <c r="G1720" s="342">
        <v>0.83299999999999996</v>
      </c>
      <c r="H1720" s="342">
        <v>0.42899999999999999</v>
      </c>
      <c r="I1720" s="342">
        <v>1.9079999999999999</v>
      </c>
      <c r="J1720" s="342">
        <v>0.85499999999999998</v>
      </c>
      <c r="K1720" s="342">
        <v>0.432</v>
      </c>
      <c r="L1720" s="342">
        <v>1.006</v>
      </c>
      <c r="M1720" s="342">
        <v>0.68799999999999994</v>
      </c>
    </row>
    <row r="1721" spans="1:13">
      <c r="A1721" t="s">
        <v>2808</v>
      </c>
      <c r="B1721" s="342">
        <v>0.38100000000000001</v>
      </c>
      <c r="C1721" s="342">
        <v>0.46100000000000002</v>
      </c>
      <c r="D1721" s="342">
        <v>0.42699999999999999</v>
      </c>
      <c r="E1721" s="342">
        <v>0.378</v>
      </c>
      <c r="F1721" s="342">
        <v>0.38100000000000001</v>
      </c>
      <c r="G1721" s="342">
        <v>0.41199999999999998</v>
      </c>
      <c r="H1721" s="342">
        <v>0.39400000000000002</v>
      </c>
      <c r="I1721" s="342">
        <v>0.44400000000000001</v>
      </c>
      <c r="J1721" s="342">
        <v>0.42399999999999999</v>
      </c>
      <c r="K1721" s="342">
        <v>0.37</v>
      </c>
      <c r="L1721" s="342">
        <v>0.53100000000000003</v>
      </c>
      <c r="M1721" s="342">
        <v>0.443</v>
      </c>
    </row>
    <row r="1722" spans="1:13">
      <c r="A1722" t="s">
        <v>2809</v>
      </c>
      <c r="B1722" s="342">
        <v>6.5000000000000002E-2</v>
      </c>
      <c r="C1722" s="342">
        <v>5.6000000000000001E-2</v>
      </c>
      <c r="D1722" s="342">
        <v>5.2999999999999999E-2</v>
      </c>
      <c r="E1722" s="342">
        <v>8.1000000000000003E-2</v>
      </c>
      <c r="F1722" s="342">
        <v>3.6999999999999998E-2</v>
      </c>
      <c r="G1722" s="342">
        <v>5.8000000000000003E-2</v>
      </c>
      <c r="H1722" s="342">
        <v>6.2E-2</v>
      </c>
      <c r="I1722" s="342">
        <v>4.0000000000000001E-3</v>
      </c>
      <c r="J1722" s="342">
        <v>4.2999999999999997E-2</v>
      </c>
      <c r="K1722" s="342">
        <v>5.1999999999999998E-2</v>
      </c>
      <c r="L1722" s="342">
        <v>0.105</v>
      </c>
      <c r="M1722" s="342">
        <v>5.8000000000000003E-2</v>
      </c>
    </row>
    <row r="1723" spans="1:13">
      <c r="A1723" t="s">
        <v>2810</v>
      </c>
      <c r="B1723" s="342">
        <v>1.0660000000000001</v>
      </c>
      <c r="C1723" s="342">
        <v>0.35299999999999998</v>
      </c>
      <c r="D1723" s="342">
        <v>0.60699999999999998</v>
      </c>
      <c r="E1723" s="342">
        <v>1.175</v>
      </c>
      <c r="F1723" s="342">
        <v>0.248</v>
      </c>
      <c r="G1723" s="342">
        <v>0.56399999999999995</v>
      </c>
      <c r="H1723" s="342">
        <v>1.0609999999999999</v>
      </c>
      <c r="I1723" s="342">
        <v>0.23499999999999999</v>
      </c>
      <c r="J1723" s="342">
        <v>0.54600000000000004</v>
      </c>
      <c r="K1723" s="342">
        <v>0.97599999999999998</v>
      </c>
      <c r="L1723" s="342">
        <v>0.63200000000000001</v>
      </c>
      <c r="M1723" s="342">
        <v>0.72799999999999998</v>
      </c>
    </row>
    <row r="1724" spans="1:13">
      <c r="A1724" t="s">
        <v>9</v>
      </c>
      <c r="B1724">
        <v>8.25</v>
      </c>
      <c r="C1724">
        <v>16.95</v>
      </c>
      <c r="D1724">
        <v>10.64</v>
      </c>
      <c r="E1724">
        <v>7.44</v>
      </c>
      <c r="F1724">
        <v>15.83</v>
      </c>
      <c r="G1724">
        <v>10.17</v>
      </c>
      <c r="H1724">
        <v>8.35</v>
      </c>
      <c r="I1724">
        <v>18.690000000000001</v>
      </c>
      <c r="J1724">
        <v>11.2</v>
      </c>
      <c r="K1724">
        <v>9</v>
      </c>
      <c r="L1724">
        <v>16.48</v>
      </c>
      <c r="M1724">
        <v>10.53</v>
      </c>
    </row>
    <row r="1725" spans="1:13">
      <c r="A1725" t="s">
        <v>8</v>
      </c>
      <c r="B1725">
        <v>84.54</v>
      </c>
      <c r="C1725">
        <v>23.27</v>
      </c>
      <c r="D1725">
        <v>29.12</v>
      </c>
      <c r="E1725">
        <v>92.92</v>
      </c>
      <c r="F1725">
        <v>22.18</v>
      </c>
      <c r="G1725">
        <v>28.03</v>
      </c>
      <c r="H1725">
        <v>61.99</v>
      </c>
      <c r="I1725">
        <v>25.14</v>
      </c>
      <c r="J1725">
        <v>31.9</v>
      </c>
      <c r="K1725">
        <v>127.83</v>
      </c>
      <c r="L1725">
        <v>22.54</v>
      </c>
      <c r="M1725">
        <v>27.4</v>
      </c>
    </row>
    <row r="1726" spans="1:13">
      <c r="A1726" t="s">
        <v>10</v>
      </c>
      <c r="B1726">
        <v>43.05</v>
      </c>
      <c r="C1726">
        <v>33.840000000000003</v>
      </c>
      <c r="D1726">
        <v>35.81</v>
      </c>
      <c r="E1726">
        <v>43.59</v>
      </c>
      <c r="F1726">
        <v>28.25</v>
      </c>
      <c r="G1726">
        <v>32.18</v>
      </c>
      <c r="H1726">
        <v>41.07</v>
      </c>
      <c r="I1726">
        <v>40.42</v>
      </c>
      <c r="J1726">
        <v>39.090000000000003</v>
      </c>
      <c r="K1726">
        <v>45.06</v>
      </c>
      <c r="L1726">
        <v>35.369999999999997</v>
      </c>
      <c r="M1726">
        <v>36.64</v>
      </c>
    </row>
    <row r="1727" spans="1:13">
      <c r="A1727" t="s">
        <v>1621</v>
      </c>
      <c r="B1727" s="342">
        <v>0.11</v>
      </c>
      <c r="C1727" s="342">
        <v>7.1999999999999995E-2</v>
      </c>
      <c r="D1727" s="342">
        <v>0.1</v>
      </c>
      <c r="E1727" s="342">
        <v>0.122</v>
      </c>
      <c r="F1727" s="342">
        <v>7.2999999999999995E-2</v>
      </c>
      <c r="G1727" s="342">
        <v>0.10299999999999999</v>
      </c>
      <c r="H1727" s="342">
        <v>0.111</v>
      </c>
      <c r="I1727" s="342">
        <v>6.9000000000000006E-2</v>
      </c>
      <c r="J1727" s="342">
        <v>9.5000000000000001E-2</v>
      </c>
      <c r="K1727" s="342">
        <v>9.7000000000000003E-2</v>
      </c>
      <c r="L1727" s="342">
        <v>7.6999999999999999E-2</v>
      </c>
      <c r="M1727" s="342">
        <v>0.104</v>
      </c>
    </row>
    <row r="1729" spans="1:13">
      <c r="A1729" t="s">
        <v>2918</v>
      </c>
    </row>
    <row r="1731" spans="1:13">
      <c r="A1731" t="s">
        <v>158</v>
      </c>
      <c r="B1731" t="s">
        <v>2806</v>
      </c>
      <c r="E1731">
        <v>2017</v>
      </c>
      <c r="H1731">
        <v>2018</v>
      </c>
      <c r="K1731">
        <v>2019</v>
      </c>
    </row>
    <row r="1732" spans="1:13">
      <c r="B1732" t="s">
        <v>1623</v>
      </c>
      <c r="C1732" t="s">
        <v>1624</v>
      </c>
      <c r="D1732" t="s">
        <v>1622</v>
      </c>
      <c r="E1732" t="s">
        <v>1623</v>
      </c>
      <c r="F1732" t="s">
        <v>1624</v>
      </c>
      <c r="G1732" t="s">
        <v>1622</v>
      </c>
      <c r="H1732" t="s">
        <v>1623</v>
      </c>
      <c r="I1732" t="s">
        <v>1624</v>
      </c>
      <c r="J1732" t="s">
        <v>1622</v>
      </c>
      <c r="K1732" t="s">
        <v>1623</v>
      </c>
      <c r="L1732" t="s">
        <v>1624</v>
      </c>
      <c r="M1732" t="s">
        <v>1622</v>
      </c>
    </row>
    <row r="1733" spans="1:13">
      <c r="A1733" t="s">
        <v>2807</v>
      </c>
      <c r="B1733" s="342">
        <v>0.32300000000000001</v>
      </c>
      <c r="C1733" s="342">
        <v>0.78800000000000003</v>
      </c>
      <c r="D1733" s="342">
        <v>0.73099999999999998</v>
      </c>
      <c r="E1733" s="342">
        <v>0.33400000000000002</v>
      </c>
      <c r="F1733" s="342">
        <v>0.82799999999999996</v>
      </c>
      <c r="G1733" s="342">
        <v>0.72699999999999998</v>
      </c>
      <c r="H1733" s="342">
        <v>0.38100000000000001</v>
      </c>
      <c r="I1733" s="342">
        <v>0.81299999999999994</v>
      </c>
      <c r="J1733" s="342">
        <v>0.75</v>
      </c>
      <c r="K1733" s="342">
        <v>0.23699999999999999</v>
      </c>
      <c r="L1733" s="342">
        <v>0.64700000000000002</v>
      </c>
      <c r="M1733" s="342">
        <v>0.71399999999999997</v>
      </c>
    </row>
    <row r="1734" spans="1:13">
      <c r="A1734" t="s">
        <v>1618</v>
      </c>
      <c r="B1734" s="342">
        <v>0.45300000000000001</v>
      </c>
      <c r="C1734" s="342">
        <v>0.19400000000000001</v>
      </c>
      <c r="D1734" s="342">
        <v>0.20699999999999999</v>
      </c>
      <c r="E1734" s="342">
        <v>0.439</v>
      </c>
      <c r="F1734" s="342">
        <v>0.14899999999999999</v>
      </c>
      <c r="G1734" s="342">
        <v>0.20799999999999999</v>
      </c>
      <c r="H1734" s="342">
        <v>0.39700000000000002</v>
      </c>
      <c r="I1734" s="342">
        <v>0.17799999999999999</v>
      </c>
      <c r="J1734" s="342">
        <v>0.192</v>
      </c>
      <c r="K1734" s="342">
        <v>0.54100000000000004</v>
      </c>
      <c r="L1734" s="342">
        <v>0.33200000000000002</v>
      </c>
      <c r="M1734" s="342">
        <v>0.222</v>
      </c>
    </row>
    <row r="1735" spans="1:13">
      <c r="A1735" t="s">
        <v>1619</v>
      </c>
      <c r="B1735" s="342">
        <v>1.6E-2</v>
      </c>
      <c r="C1735" s="342">
        <v>8.0000000000000002E-3</v>
      </c>
      <c r="D1735" s="342">
        <v>8.9999999999999993E-3</v>
      </c>
      <c r="E1735" s="342">
        <v>1.2999999999999999E-2</v>
      </c>
      <c r="F1735" s="342">
        <v>6.0000000000000001E-3</v>
      </c>
      <c r="G1735" s="342">
        <v>8.0000000000000002E-3</v>
      </c>
      <c r="H1735" s="342">
        <v>1.6E-2</v>
      </c>
      <c r="I1735" s="342">
        <v>8.9999999999999993E-3</v>
      </c>
      <c r="J1735" s="342">
        <v>0.01</v>
      </c>
      <c r="K1735" s="342">
        <v>1.9E-2</v>
      </c>
      <c r="L1735" s="342">
        <v>1.0999999999999999E-2</v>
      </c>
      <c r="M1735" s="342">
        <v>0.01</v>
      </c>
    </row>
    <row r="1736" spans="1:13">
      <c r="A1736" t="s">
        <v>1620</v>
      </c>
      <c r="B1736" s="342">
        <v>0.92300000000000004</v>
      </c>
      <c r="C1736" s="342">
        <v>1.341</v>
      </c>
      <c r="D1736" s="342">
        <v>1.157</v>
      </c>
      <c r="E1736" s="342">
        <v>0.996</v>
      </c>
      <c r="F1736" s="342">
        <v>1.417</v>
      </c>
      <c r="G1736" s="342">
        <v>1.1950000000000001</v>
      </c>
      <c r="H1736" s="342">
        <v>0.92500000000000004</v>
      </c>
      <c r="I1736" s="342">
        <v>1.226</v>
      </c>
      <c r="J1736" s="342">
        <v>1.196</v>
      </c>
      <c r="K1736" s="342">
        <v>0.84699999999999998</v>
      </c>
      <c r="L1736" s="342">
        <v>1.4279999999999999</v>
      </c>
      <c r="M1736" s="342">
        <v>1.0860000000000001</v>
      </c>
    </row>
    <row r="1737" spans="1:13">
      <c r="A1737" t="s">
        <v>2808</v>
      </c>
      <c r="B1737" s="342">
        <v>0.19700000000000001</v>
      </c>
      <c r="C1737" s="342">
        <v>0.19600000000000001</v>
      </c>
      <c r="D1737" s="342">
        <v>0.157</v>
      </c>
      <c r="E1737" s="342">
        <v>0.16200000000000001</v>
      </c>
      <c r="F1737" s="342">
        <v>0.24299999999999999</v>
      </c>
      <c r="G1737" s="342">
        <v>0.16300000000000001</v>
      </c>
      <c r="H1737" s="342">
        <v>0.19700000000000001</v>
      </c>
      <c r="I1737" s="342">
        <v>0.13700000000000001</v>
      </c>
      <c r="J1737" s="342">
        <v>0.15</v>
      </c>
      <c r="K1737" s="342">
        <v>0.23400000000000001</v>
      </c>
      <c r="L1737" s="342">
        <v>0.222</v>
      </c>
      <c r="M1737" s="342">
        <v>0.158</v>
      </c>
    </row>
    <row r="1738" spans="1:13">
      <c r="A1738" t="s">
        <v>2809</v>
      </c>
      <c r="B1738" s="342">
        <v>2.5000000000000001E-2</v>
      </c>
      <c r="C1738" s="342">
        <v>1.9E-2</v>
      </c>
      <c r="D1738" s="342">
        <v>4.7E-2</v>
      </c>
      <c r="E1738" s="342">
        <v>2.3E-2</v>
      </c>
      <c r="F1738" s="342">
        <v>1.6E-2</v>
      </c>
      <c r="G1738" s="342">
        <v>0.05</v>
      </c>
      <c r="H1738" s="342">
        <v>2.5999999999999999E-2</v>
      </c>
      <c r="I1738" s="342">
        <v>1.7000000000000001E-2</v>
      </c>
      <c r="J1738" s="342">
        <v>4.7E-2</v>
      </c>
      <c r="K1738" s="342">
        <v>2.7E-2</v>
      </c>
      <c r="L1738" s="342">
        <v>3.1E-2</v>
      </c>
      <c r="M1738" s="342">
        <v>4.3999999999999997E-2</v>
      </c>
    </row>
    <row r="1739" spans="1:13">
      <c r="A1739" t="s">
        <v>2810</v>
      </c>
      <c r="B1739" s="342">
        <v>0.24099999999999999</v>
      </c>
      <c r="C1739" s="342">
        <v>0.16</v>
      </c>
      <c r="D1739" s="342">
        <v>0.17599999999999999</v>
      </c>
      <c r="E1739" s="342">
        <v>0.185</v>
      </c>
      <c r="F1739" s="342">
        <v>0.182</v>
      </c>
      <c r="G1739" s="342">
        <v>0.17899999999999999</v>
      </c>
      <c r="H1739" s="342">
        <v>0.24</v>
      </c>
      <c r="I1739" s="342">
        <v>0.125</v>
      </c>
      <c r="J1739" s="342">
        <v>0.16400000000000001</v>
      </c>
      <c r="K1739" s="342">
        <v>0.308</v>
      </c>
      <c r="L1739" s="342">
        <v>0.17699999999999999</v>
      </c>
      <c r="M1739" s="342">
        <v>0.186</v>
      </c>
    </row>
    <row r="1740" spans="1:13">
      <c r="A1740" t="s">
        <v>9</v>
      </c>
      <c r="B1740">
        <v>6.92</v>
      </c>
      <c r="C1740">
        <v>4.21</v>
      </c>
      <c r="D1740">
        <v>5.64</v>
      </c>
      <c r="E1740">
        <v>6.87</v>
      </c>
      <c r="F1740">
        <v>3.75</v>
      </c>
      <c r="G1740">
        <v>4.91</v>
      </c>
      <c r="H1740">
        <v>6.77</v>
      </c>
      <c r="I1740">
        <v>4.13</v>
      </c>
      <c r="J1740">
        <v>6.04</v>
      </c>
      <c r="K1740">
        <v>7.18</v>
      </c>
      <c r="L1740">
        <v>6.24</v>
      </c>
      <c r="M1740">
        <v>6.07</v>
      </c>
    </row>
    <row r="1741" spans="1:13">
      <c r="A1741" t="s">
        <v>8</v>
      </c>
      <c r="B1741">
        <v>16.14</v>
      </c>
      <c r="C1741">
        <v>74.78</v>
      </c>
      <c r="D1741">
        <v>39.67</v>
      </c>
      <c r="E1741">
        <v>12.96</v>
      </c>
      <c r="F1741">
        <v>104.07</v>
      </c>
      <c r="G1741">
        <v>34.299999999999997</v>
      </c>
      <c r="H1741">
        <v>14.73</v>
      </c>
      <c r="I1741">
        <v>112.91</v>
      </c>
      <c r="J1741">
        <v>43.57</v>
      </c>
      <c r="K1741">
        <v>27.56</v>
      </c>
      <c r="L1741">
        <v>32.200000000000003</v>
      </c>
      <c r="M1741">
        <v>41.8</v>
      </c>
    </row>
    <row r="1742" spans="1:13">
      <c r="A1742" t="s">
        <v>10</v>
      </c>
      <c r="B1742">
        <v>29.22</v>
      </c>
      <c r="C1742">
        <v>8.7100000000000009</v>
      </c>
      <c r="D1742">
        <v>11.26</v>
      </c>
      <c r="E1742">
        <v>33.82</v>
      </c>
      <c r="F1742">
        <v>5.53</v>
      </c>
      <c r="G1742">
        <v>8.52</v>
      </c>
      <c r="H1742">
        <v>27.18</v>
      </c>
      <c r="I1742">
        <v>12.71</v>
      </c>
      <c r="J1742">
        <v>13.5</v>
      </c>
      <c r="K1742">
        <v>27.37</v>
      </c>
      <c r="L1742">
        <v>29.68</v>
      </c>
      <c r="M1742">
        <v>12.85</v>
      </c>
    </row>
    <row r="1743" spans="1:13">
      <c r="A1743" t="s">
        <v>1621</v>
      </c>
      <c r="B1743" s="342">
        <v>0.17199999999999999</v>
      </c>
      <c r="C1743" s="342">
        <v>0.13600000000000001</v>
      </c>
      <c r="D1743" s="342">
        <v>0.114</v>
      </c>
      <c r="E1743" s="342">
        <v>0.193</v>
      </c>
      <c r="F1743" s="342">
        <v>9.5000000000000001E-2</v>
      </c>
      <c r="G1743" s="342">
        <v>0.11600000000000001</v>
      </c>
      <c r="H1743" s="342">
        <v>0.17899999999999999</v>
      </c>
      <c r="I1743" s="342">
        <v>0.17199999999999999</v>
      </c>
      <c r="J1743" s="342">
        <v>0.114</v>
      </c>
      <c r="K1743" s="342">
        <v>0.13900000000000001</v>
      </c>
      <c r="L1743" s="342">
        <v>0.158</v>
      </c>
      <c r="M1743" s="342">
        <v>0.111</v>
      </c>
    </row>
    <row r="1745" spans="1:13">
      <c r="A1745" t="s">
        <v>2919</v>
      </c>
    </row>
    <row r="1747" spans="1:13">
      <c r="A1747" t="s">
        <v>158</v>
      </c>
      <c r="B1747" t="s">
        <v>2806</v>
      </c>
      <c r="E1747">
        <v>2017</v>
      </c>
      <c r="H1747">
        <v>2018</v>
      </c>
      <c r="K1747">
        <v>2019</v>
      </c>
    </row>
    <row r="1748" spans="1:13">
      <c r="B1748" t="s">
        <v>1623</v>
      </c>
      <c r="C1748" t="s">
        <v>1624</v>
      </c>
      <c r="D1748" t="s">
        <v>1622</v>
      </c>
      <c r="E1748" t="s">
        <v>1623</v>
      </c>
      <c r="F1748" t="s">
        <v>1624</v>
      </c>
      <c r="G1748" t="s">
        <v>1622</v>
      </c>
      <c r="H1748" t="s">
        <v>1623</v>
      </c>
      <c r="I1748" t="s">
        <v>1624</v>
      </c>
      <c r="J1748" t="s">
        <v>1622</v>
      </c>
      <c r="K1748" t="s">
        <v>1623</v>
      </c>
      <c r="L1748" t="s">
        <v>1624</v>
      </c>
      <c r="M1748" t="s">
        <v>1622</v>
      </c>
    </row>
    <row r="1749" spans="1:13">
      <c r="A1749" t="s">
        <v>2807</v>
      </c>
      <c r="B1749" s="342">
        <v>0.2</v>
      </c>
      <c r="C1749" s="342">
        <v>0.254</v>
      </c>
      <c r="D1749" s="342">
        <v>0.20399999999999999</v>
      </c>
      <c r="E1749" s="342">
        <v>0.217</v>
      </c>
      <c r="F1749" s="342">
        <v>0.30399999999999999</v>
      </c>
      <c r="G1749" s="342">
        <v>0.215</v>
      </c>
      <c r="H1749" s="342">
        <v>0.20100000000000001</v>
      </c>
      <c r="I1749" s="342">
        <v>0.23599999999999999</v>
      </c>
      <c r="J1749" s="342">
        <v>0.20799999999999999</v>
      </c>
      <c r="K1749" s="342">
        <v>0.19600000000000001</v>
      </c>
      <c r="L1749" s="342">
        <v>0.253</v>
      </c>
      <c r="M1749" s="342">
        <v>0.19700000000000001</v>
      </c>
    </row>
    <row r="1750" spans="1:13">
      <c r="A1750" t="s">
        <v>1618</v>
      </c>
      <c r="B1750" s="342">
        <v>0.56200000000000006</v>
      </c>
      <c r="C1750" s="342">
        <v>0.71599999999999997</v>
      </c>
      <c r="D1750" s="342">
        <v>0.67400000000000004</v>
      </c>
      <c r="E1750" s="342">
        <v>0.56299999999999994</v>
      </c>
      <c r="F1750" s="342">
        <v>0.65300000000000002</v>
      </c>
      <c r="G1750" s="342">
        <v>0.66800000000000004</v>
      </c>
      <c r="H1750" s="342">
        <v>0.53900000000000003</v>
      </c>
      <c r="I1750" s="342">
        <v>0.73899999999999999</v>
      </c>
      <c r="J1750" s="342">
        <v>0.67800000000000005</v>
      </c>
      <c r="K1750" s="342">
        <v>0.57099999999999995</v>
      </c>
      <c r="L1750" s="342">
        <v>0.71799999999999997</v>
      </c>
      <c r="M1750" s="342">
        <v>0.67300000000000004</v>
      </c>
    </row>
    <row r="1751" spans="1:13">
      <c r="A1751" t="s">
        <v>1619</v>
      </c>
      <c r="B1751" s="342">
        <v>5.3999999999999999E-2</v>
      </c>
      <c r="C1751" s="342">
        <v>2.7E-2</v>
      </c>
      <c r="D1751" s="342">
        <v>4.1000000000000002E-2</v>
      </c>
      <c r="E1751" s="342">
        <v>7.6999999999999999E-2</v>
      </c>
      <c r="F1751" s="342">
        <v>0.03</v>
      </c>
      <c r="G1751" s="342">
        <v>5.8000000000000003E-2</v>
      </c>
      <c r="H1751" s="342">
        <v>0.05</v>
      </c>
      <c r="I1751" s="342">
        <v>1.7999999999999999E-2</v>
      </c>
      <c r="J1751" s="342">
        <v>3.5000000000000003E-2</v>
      </c>
      <c r="K1751" s="342">
        <v>5.0999999999999997E-2</v>
      </c>
      <c r="L1751" s="342">
        <v>3.2000000000000001E-2</v>
      </c>
      <c r="M1751" s="342">
        <v>0.04</v>
      </c>
    </row>
    <row r="1752" spans="1:13">
      <c r="A1752" t="s">
        <v>1620</v>
      </c>
      <c r="B1752" s="342">
        <v>0.624</v>
      </c>
      <c r="C1752" s="342">
        <v>2.0150000000000001</v>
      </c>
      <c r="D1752" s="342">
        <v>0.94599999999999995</v>
      </c>
      <c r="E1752" s="342">
        <v>0.46200000000000002</v>
      </c>
      <c r="F1752" s="342">
        <v>2.073</v>
      </c>
      <c r="G1752" s="342">
        <v>0.627</v>
      </c>
      <c r="H1752" s="342">
        <v>0.54</v>
      </c>
      <c r="I1752" s="342">
        <v>1.9370000000000001</v>
      </c>
      <c r="J1752" s="342">
        <v>0.95199999999999996</v>
      </c>
      <c r="K1752" s="342">
        <v>0.73099999999999998</v>
      </c>
      <c r="L1752" s="342">
        <v>2.0649999999999999</v>
      </c>
      <c r="M1752" s="342">
        <v>1.119</v>
      </c>
    </row>
    <row r="1753" spans="1:13">
      <c r="A1753" t="s">
        <v>2808</v>
      </c>
      <c r="B1753" s="342">
        <v>0.878</v>
      </c>
      <c r="C1753" s="342">
        <v>0.32700000000000001</v>
      </c>
      <c r="D1753" s="342">
        <v>0.68200000000000005</v>
      </c>
      <c r="E1753" s="342">
        <v>0.95399999999999996</v>
      </c>
      <c r="F1753" s="342">
        <v>0.39200000000000002</v>
      </c>
      <c r="G1753" s="342">
        <v>0.79500000000000004</v>
      </c>
      <c r="H1753" s="342">
        <v>0.84199999999999997</v>
      </c>
      <c r="I1753" s="342">
        <v>0.29899999999999999</v>
      </c>
      <c r="J1753" s="342">
        <v>0.67100000000000004</v>
      </c>
      <c r="K1753" s="342">
        <v>0.86899999999999999</v>
      </c>
      <c r="L1753" s="342">
        <v>0.33100000000000002</v>
      </c>
      <c r="M1753" s="342">
        <v>0.63</v>
      </c>
    </row>
    <row r="1754" spans="1:13">
      <c r="A1754" t="s">
        <v>2809</v>
      </c>
      <c r="B1754" s="342">
        <v>0</v>
      </c>
      <c r="C1754" s="342">
        <v>0</v>
      </c>
      <c r="D1754" s="342">
        <v>0</v>
      </c>
      <c r="E1754" s="342">
        <v>0</v>
      </c>
      <c r="F1754" s="342">
        <v>0</v>
      </c>
      <c r="G1754" s="342">
        <v>0</v>
      </c>
      <c r="H1754" s="342">
        <v>0</v>
      </c>
      <c r="I1754" s="342">
        <v>0</v>
      </c>
      <c r="J1754" s="342">
        <v>0</v>
      </c>
      <c r="K1754" s="342">
        <v>0</v>
      </c>
      <c r="L1754" s="342">
        <v>1E-3</v>
      </c>
      <c r="M1754" s="342">
        <v>0</v>
      </c>
    </row>
    <row r="1755" spans="1:13">
      <c r="A1755" t="s">
        <v>2810</v>
      </c>
      <c r="B1755" s="342">
        <v>1.4079999999999999</v>
      </c>
      <c r="C1755" s="342">
        <v>0.16300000000000001</v>
      </c>
      <c r="D1755" s="342">
        <v>0.72099999999999997</v>
      </c>
      <c r="E1755" s="342">
        <v>2.0670000000000002</v>
      </c>
      <c r="F1755" s="342">
        <v>0.189</v>
      </c>
      <c r="G1755" s="342">
        <v>1.2669999999999999</v>
      </c>
      <c r="H1755" s="342">
        <v>1.5609999999999999</v>
      </c>
      <c r="I1755" s="342">
        <v>0.154</v>
      </c>
      <c r="J1755" s="342">
        <v>0.70499999999999996</v>
      </c>
      <c r="K1755" s="342">
        <v>1.19</v>
      </c>
      <c r="L1755" s="342">
        <v>0.161</v>
      </c>
      <c r="M1755" s="342">
        <v>0.56299999999999994</v>
      </c>
    </row>
    <row r="1756" spans="1:13">
      <c r="A1756" t="s">
        <v>9</v>
      </c>
      <c r="B1756">
        <v>1279.8599999999999</v>
      </c>
      <c r="C1756">
        <v>42.25</v>
      </c>
      <c r="D1756">
        <v>79.569999999999993</v>
      </c>
      <c r="E1756">
        <v>184.68</v>
      </c>
      <c r="F1756">
        <v>18.72</v>
      </c>
      <c r="G1756">
        <v>46.14</v>
      </c>
      <c r="H1756" t="s">
        <v>1468</v>
      </c>
      <c r="I1756">
        <v>53.8</v>
      </c>
      <c r="J1756">
        <v>94.5</v>
      </c>
      <c r="K1756" t="s">
        <v>1468</v>
      </c>
      <c r="L1756">
        <v>54.53</v>
      </c>
      <c r="M1756">
        <v>89.6</v>
      </c>
    </row>
    <row r="1757" spans="1:13">
      <c r="A1757" t="s">
        <v>8</v>
      </c>
      <c r="B1757">
        <v>60.53</v>
      </c>
      <c r="C1757">
        <v>11.82</v>
      </c>
      <c r="D1757">
        <v>22.91</v>
      </c>
      <c r="E1757">
        <v>43.51</v>
      </c>
      <c r="F1757">
        <v>23.96</v>
      </c>
      <c r="G1757">
        <v>36.909999999999997</v>
      </c>
      <c r="H1757">
        <v>169.09</v>
      </c>
      <c r="I1757">
        <v>10.7</v>
      </c>
      <c r="J1757">
        <v>19.829999999999998</v>
      </c>
      <c r="K1757">
        <v>51.99</v>
      </c>
      <c r="L1757">
        <v>10.98</v>
      </c>
      <c r="M1757">
        <v>22.76</v>
      </c>
    </row>
    <row r="1758" spans="1:13">
      <c r="A1758" t="s">
        <v>10</v>
      </c>
      <c r="B1758">
        <v>201.69</v>
      </c>
      <c r="C1758">
        <v>40.19</v>
      </c>
      <c r="D1758">
        <v>63.49</v>
      </c>
      <c r="E1758">
        <v>5853.39</v>
      </c>
      <c r="F1758">
        <v>148.41</v>
      </c>
      <c r="G1758">
        <v>103.88</v>
      </c>
      <c r="H1758">
        <v>424.91</v>
      </c>
      <c r="I1758">
        <v>92.7</v>
      </c>
      <c r="J1758">
        <v>82.62</v>
      </c>
      <c r="K1758">
        <v>140.25</v>
      </c>
      <c r="L1758">
        <v>23.6</v>
      </c>
      <c r="M1758">
        <v>49.35</v>
      </c>
    </row>
    <row r="1759" spans="1:13">
      <c r="A1759" t="s">
        <v>1621</v>
      </c>
      <c r="B1759" s="342">
        <v>1.2E-2</v>
      </c>
      <c r="C1759" s="342">
        <v>8.3000000000000004E-2</v>
      </c>
      <c r="D1759" s="342">
        <v>0.04</v>
      </c>
      <c r="E1759" s="342">
        <v>2.8000000000000001E-2</v>
      </c>
      <c r="F1759" s="342">
        <v>8.7999999999999995E-2</v>
      </c>
      <c r="G1759" s="342">
        <v>3.9E-2</v>
      </c>
      <c r="H1759" t="s">
        <v>1468</v>
      </c>
      <c r="I1759" s="342">
        <v>0.10100000000000001</v>
      </c>
      <c r="J1759" s="342">
        <v>4.9000000000000002E-2</v>
      </c>
      <c r="K1759" t="s">
        <v>1468</v>
      </c>
      <c r="L1759" s="342">
        <v>6.7000000000000004E-2</v>
      </c>
      <c r="M1759" s="342">
        <v>3.5000000000000003E-2</v>
      </c>
    </row>
    <row r="1761" spans="1:13">
      <c r="A1761" t="s">
        <v>2920</v>
      </c>
    </row>
    <row r="1763" spans="1:13">
      <c r="A1763" t="s">
        <v>158</v>
      </c>
      <c r="B1763" t="s">
        <v>2806</v>
      </c>
      <c r="E1763">
        <v>2017</v>
      </c>
      <c r="H1763">
        <v>2018</v>
      </c>
      <c r="K1763">
        <v>2019</v>
      </c>
    </row>
    <row r="1764" spans="1:13">
      <c r="B1764" t="s">
        <v>1623</v>
      </c>
      <c r="C1764" t="s">
        <v>1624</v>
      </c>
      <c r="D1764" t="s">
        <v>1622</v>
      </c>
      <c r="E1764" t="s">
        <v>1623</v>
      </c>
      <c r="F1764" t="s">
        <v>1624</v>
      </c>
      <c r="G1764" t="s">
        <v>1622</v>
      </c>
      <c r="H1764" t="s">
        <v>1623</v>
      </c>
      <c r="I1764" t="s">
        <v>1624</v>
      </c>
      <c r="J1764" t="s">
        <v>1622</v>
      </c>
      <c r="K1764" t="s">
        <v>1623</v>
      </c>
      <c r="L1764" t="s">
        <v>1624</v>
      </c>
      <c r="M1764" t="s">
        <v>1622</v>
      </c>
    </row>
    <row r="1765" spans="1:13">
      <c r="A1765" t="s">
        <v>2807</v>
      </c>
      <c r="B1765" s="342">
        <v>0.81299999999999994</v>
      </c>
      <c r="C1765" s="342">
        <v>0.94</v>
      </c>
      <c r="D1765" s="342">
        <v>0.89</v>
      </c>
      <c r="E1765" s="342">
        <v>0.82299999999999995</v>
      </c>
      <c r="F1765" s="342">
        <v>0.94399999999999995</v>
      </c>
      <c r="G1765" s="342">
        <v>0.872</v>
      </c>
      <c r="H1765" s="342">
        <v>0.82899999999999996</v>
      </c>
      <c r="I1765" s="342">
        <v>0.93899999999999995</v>
      </c>
      <c r="J1765" s="342">
        <v>0.89800000000000002</v>
      </c>
      <c r="K1765" s="342">
        <v>0.72799999999999998</v>
      </c>
      <c r="L1765" s="342">
        <v>0.93899999999999995</v>
      </c>
      <c r="M1765" s="342">
        <v>0.90400000000000003</v>
      </c>
    </row>
    <row r="1766" spans="1:13">
      <c r="A1766" t="s">
        <v>1618</v>
      </c>
      <c r="B1766" s="342">
        <v>9.8000000000000004E-2</v>
      </c>
      <c r="C1766" s="342">
        <v>5.0999999999999997E-2</v>
      </c>
      <c r="D1766" s="342">
        <v>7.4999999999999997E-2</v>
      </c>
      <c r="E1766" s="342">
        <v>8.4000000000000005E-2</v>
      </c>
      <c r="F1766" s="342">
        <v>4.8000000000000001E-2</v>
      </c>
      <c r="G1766" s="342">
        <v>9.0999999999999998E-2</v>
      </c>
      <c r="H1766" s="342">
        <v>9.0999999999999998E-2</v>
      </c>
      <c r="I1766" s="342">
        <v>5.1999999999999998E-2</v>
      </c>
      <c r="J1766" s="342">
        <v>6.5000000000000002E-2</v>
      </c>
      <c r="K1766" s="342">
        <v>0.16400000000000001</v>
      </c>
      <c r="L1766" s="342">
        <v>5.1999999999999998E-2</v>
      </c>
      <c r="M1766" s="342">
        <v>6.7000000000000004E-2</v>
      </c>
    </row>
    <row r="1767" spans="1:13">
      <c r="A1767" t="s">
        <v>1619</v>
      </c>
      <c r="B1767" s="342">
        <v>1.7000000000000001E-2</v>
      </c>
      <c r="C1767" s="342">
        <v>5.0000000000000001E-3</v>
      </c>
      <c r="D1767" s="342">
        <v>8.9999999999999993E-3</v>
      </c>
      <c r="E1767" s="342">
        <v>5.0000000000000001E-3</v>
      </c>
      <c r="F1767" s="342">
        <v>2E-3</v>
      </c>
      <c r="G1767" s="342">
        <v>4.0000000000000001E-3</v>
      </c>
      <c r="H1767" s="342">
        <v>2.5999999999999999E-2</v>
      </c>
      <c r="I1767" s="342">
        <v>6.0000000000000001E-3</v>
      </c>
      <c r="J1767" s="342">
        <v>1.2999999999999999E-2</v>
      </c>
      <c r="K1767" s="342">
        <v>2.1999999999999999E-2</v>
      </c>
      <c r="L1767" s="342">
        <v>5.0000000000000001E-3</v>
      </c>
      <c r="M1767" s="342">
        <v>8.9999999999999993E-3</v>
      </c>
    </row>
    <row r="1768" spans="1:13">
      <c r="A1768" t="s">
        <v>1620</v>
      </c>
      <c r="B1768" s="342">
        <v>0.94399999999999995</v>
      </c>
      <c r="C1768" s="342">
        <v>2.331</v>
      </c>
      <c r="D1768" s="342">
        <v>1.526</v>
      </c>
      <c r="E1768" s="342">
        <v>0.89700000000000002</v>
      </c>
      <c r="F1768" s="342">
        <v>2.19</v>
      </c>
      <c r="G1768" s="342">
        <v>1.464</v>
      </c>
      <c r="H1768" s="342">
        <v>1.0920000000000001</v>
      </c>
      <c r="I1768" s="342">
        <v>2.2210000000000001</v>
      </c>
      <c r="J1768" s="342">
        <v>1.609</v>
      </c>
      <c r="K1768" s="342">
        <v>0.72399999999999998</v>
      </c>
      <c r="L1768" s="342">
        <v>2.5840000000000001</v>
      </c>
      <c r="M1768" s="342">
        <v>1.5189999999999999</v>
      </c>
    </row>
    <row r="1769" spans="1:13">
      <c r="A1769" t="s">
        <v>2808</v>
      </c>
      <c r="B1769" s="342">
        <v>0.439</v>
      </c>
      <c r="C1769" s="342">
        <v>0.40300000000000002</v>
      </c>
      <c r="D1769" s="342">
        <v>0.42699999999999999</v>
      </c>
      <c r="E1769" s="342">
        <v>0.41299999999999998</v>
      </c>
      <c r="F1769" s="342">
        <v>0.35499999999999998</v>
      </c>
      <c r="G1769" s="342">
        <v>0.47</v>
      </c>
      <c r="H1769" s="342">
        <v>0.42399999999999999</v>
      </c>
      <c r="I1769" s="342">
        <v>0.45400000000000001</v>
      </c>
      <c r="J1769" s="342">
        <v>0.42199999999999999</v>
      </c>
      <c r="K1769" s="342">
        <v>0.53600000000000003</v>
      </c>
      <c r="L1769" s="342">
        <v>0.376</v>
      </c>
      <c r="M1769" s="342">
        <v>0.36799999999999999</v>
      </c>
    </row>
    <row r="1770" spans="1:13">
      <c r="A1770" t="s">
        <v>2809</v>
      </c>
      <c r="B1770" s="342">
        <v>1.7000000000000001E-2</v>
      </c>
      <c r="C1770" s="342">
        <v>3.0000000000000001E-3</v>
      </c>
      <c r="D1770" s="342">
        <v>7.0000000000000001E-3</v>
      </c>
      <c r="E1770" s="342">
        <v>0.02</v>
      </c>
      <c r="F1770" s="342">
        <v>2E-3</v>
      </c>
      <c r="G1770" s="342">
        <v>8.0000000000000002E-3</v>
      </c>
      <c r="H1770" s="342">
        <v>1.9E-2</v>
      </c>
      <c r="I1770" s="342">
        <v>5.0000000000000001E-3</v>
      </c>
      <c r="J1770" s="342">
        <v>8.9999999999999993E-3</v>
      </c>
      <c r="K1770" s="342">
        <v>3.0000000000000001E-3</v>
      </c>
      <c r="L1770" s="342">
        <v>3.0000000000000001E-3</v>
      </c>
      <c r="M1770" s="342">
        <v>2E-3</v>
      </c>
    </row>
    <row r="1771" spans="1:13">
      <c r="A1771" t="s">
        <v>2810</v>
      </c>
      <c r="B1771" s="342">
        <v>0.48199999999999998</v>
      </c>
      <c r="C1771" s="342">
        <v>0.17499999999999999</v>
      </c>
      <c r="D1771" s="342">
        <v>0.28399999999999997</v>
      </c>
      <c r="E1771" s="342">
        <v>0.48299999999999998</v>
      </c>
      <c r="F1771" s="342">
        <v>0.16300000000000001</v>
      </c>
      <c r="G1771" s="342">
        <v>0.32600000000000001</v>
      </c>
      <c r="H1771" s="342">
        <v>0.40600000000000003</v>
      </c>
      <c r="I1771" s="342">
        <v>0.20699999999999999</v>
      </c>
      <c r="J1771" s="342">
        <v>0.26800000000000002</v>
      </c>
      <c r="K1771" s="342">
        <v>0.74399999999999999</v>
      </c>
      <c r="L1771" s="342">
        <v>0.14699999999999999</v>
      </c>
      <c r="M1771" s="342">
        <v>0.24399999999999999</v>
      </c>
    </row>
    <row r="1772" spans="1:13">
      <c r="A1772" t="s">
        <v>9</v>
      </c>
      <c r="B1772">
        <v>11.59</v>
      </c>
      <c r="C1772">
        <v>9.7100000000000009</v>
      </c>
      <c r="D1772">
        <v>10.7</v>
      </c>
      <c r="E1772">
        <v>13.81</v>
      </c>
      <c r="F1772">
        <v>6.8</v>
      </c>
      <c r="G1772">
        <v>10.96</v>
      </c>
      <c r="H1772">
        <v>12.94</v>
      </c>
      <c r="I1772">
        <v>11.21</v>
      </c>
      <c r="J1772">
        <v>11.31</v>
      </c>
      <c r="K1772">
        <v>6.24</v>
      </c>
      <c r="L1772">
        <v>11.2</v>
      </c>
      <c r="M1772">
        <v>9.69</v>
      </c>
    </row>
    <row r="1773" spans="1:13">
      <c r="A1773" t="s">
        <v>8</v>
      </c>
      <c r="B1773">
        <v>21.91</v>
      </c>
      <c r="C1773">
        <v>20.239999999999998</v>
      </c>
      <c r="D1773">
        <v>16.170000000000002</v>
      </c>
      <c r="E1773">
        <v>20.190000000000001</v>
      </c>
      <c r="F1773">
        <v>16.54</v>
      </c>
      <c r="G1773">
        <v>13.06</v>
      </c>
      <c r="H1773">
        <v>22.05</v>
      </c>
      <c r="I1773">
        <v>19.95</v>
      </c>
      <c r="J1773">
        <v>19.38</v>
      </c>
      <c r="K1773">
        <v>28.89</v>
      </c>
      <c r="L1773">
        <v>24.17</v>
      </c>
      <c r="M1773">
        <v>18.61</v>
      </c>
    </row>
    <row r="1774" spans="1:13">
      <c r="A1774" t="s">
        <v>10</v>
      </c>
      <c r="B1774">
        <v>33.159999999999997</v>
      </c>
      <c r="C1774">
        <v>28.32</v>
      </c>
      <c r="D1774">
        <v>33.36</v>
      </c>
      <c r="E1774">
        <v>33</v>
      </c>
      <c r="F1774">
        <v>25.42</v>
      </c>
      <c r="G1774">
        <v>32.49</v>
      </c>
      <c r="H1774">
        <v>29.9</v>
      </c>
      <c r="I1774">
        <v>27.44</v>
      </c>
      <c r="J1774">
        <v>32.880000000000003</v>
      </c>
      <c r="K1774">
        <v>54.51</v>
      </c>
      <c r="L1774">
        <v>31.85</v>
      </c>
      <c r="M1774">
        <v>35.42</v>
      </c>
    </row>
    <row r="1775" spans="1:13">
      <c r="A1775" t="s">
        <v>1621</v>
      </c>
      <c r="B1775" s="342">
        <v>0.10199999999999999</v>
      </c>
      <c r="C1775" s="342">
        <v>0.11700000000000001</v>
      </c>
      <c r="D1775" s="342">
        <v>0.125</v>
      </c>
      <c r="E1775" s="342">
        <v>9.1999999999999998E-2</v>
      </c>
      <c r="F1775" s="342">
        <v>0.16800000000000001</v>
      </c>
      <c r="G1775" s="342">
        <v>0.13700000000000001</v>
      </c>
      <c r="H1775" s="342">
        <v>8.8999999999999996E-2</v>
      </c>
      <c r="I1775" s="342">
        <v>0.10299999999999999</v>
      </c>
      <c r="J1775" s="342">
        <v>0.11</v>
      </c>
      <c r="K1775" s="342">
        <v>0.17599999999999999</v>
      </c>
      <c r="L1775" s="342">
        <v>9.9000000000000005E-2</v>
      </c>
      <c r="M1775" s="342">
        <v>0.129</v>
      </c>
    </row>
    <row r="1777" spans="1:13">
      <c r="A1777" t="s">
        <v>2921</v>
      </c>
    </row>
    <row r="1779" spans="1:13">
      <c r="A1779" t="s">
        <v>158</v>
      </c>
      <c r="B1779" t="s">
        <v>2806</v>
      </c>
      <c r="E1779">
        <v>2017</v>
      </c>
      <c r="H1779">
        <v>2018</v>
      </c>
      <c r="K1779">
        <v>2019</v>
      </c>
    </row>
    <row r="1780" spans="1:13">
      <c r="B1780" t="s">
        <v>1623</v>
      </c>
      <c r="C1780" t="s">
        <v>1624</v>
      </c>
      <c r="D1780" t="s">
        <v>1622</v>
      </c>
      <c r="E1780" t="s">
        <v>1623</v>
      </c>
      <c r="F1780" t="s">
        <v>1624</v>
      </c>
      <c r="G1780" t="s">
        <v>1622</v>
      </c>
      <c r="H1780" t="s">
        <v>1623</v>
      </c>
      <c r="I1780" t="s">
        <v>1624</v>
      </c>
      <c r="J1780" t="s">
        <v>1622</v>
      </c>
      <c r="K1780" t="s">
        <v>1623</v>
      </c>
      <c r="L1780" t="s">
        <v>1624</v>
      </c>
      <c r="M1780" t="s">
        <v>1622</v>
      </c>
    </row>
    <row r="1781" spans="1:13">
      <c r="A1781" t="s">
        <v>2807</v>
      </c>
      <c r="B1781" s="342">
        <v>0.76800000000000002</v>
      </c>
      <c r="C1781" s="342">
        <v>0.91200000000000003</v>
      </c>
      <c r="D1781" s="342">
        <v>0.871</v>
      </c>
      <c r="E1781" s="342">
        <v>0.81799999999999995</v>
      </c>
      <c r="F1781" s="342">
        <v>0.91300000000000003</v>
      </c>
      <c r="G1781" s="342">
        <v>0.88400000000000001</v>
      </c>
      <c r="H1781" s="342">
        <v>0.68400000000000005</v>
      </c>
      <c r="I1781" s="342">
        <v>0.91200000000000003</v>
      </c>
      <c r="J1781" s="342">
        <v>0.85</v>
      </c>
      <c r="K1781" s="342">
        <v>0.83399999999999996</v>
      </c>
      <c r="L1781" s="342">
        <v>0.91</v>
      </c>
      <c r="M1781" s="342">
        <v>0.88</v>
      </c>
    </row>
    <row r="1782" spans="1:13">
      <c r="A1782" t="s">
        <v>1618</v>
      </c>
      <c r="B1782" s="342">
        <v>9.6000000000000002E-2</v>
      </c>
      <c r="C1782" s="342">
        <v>7.5999999999999998E-2</v>
      </c>
      <c r="D1782" s="342">
        <v>8.2000000000000003E-2</v>
      </c>
      <c r="E1782" s="342">
        <v>9.0999999999999998E-2</v>
      </c>
      <c r="F1782" s="342">
        <v>7.4999999999999997E-2</v>
      </c>
      <c r="G1782" s="342">
        <v>0.08</v>
      </c>
      <c r="H1782" s="342">
        <v>0.107</v>
      </c>
      <c r="I1782" s="342">
        <v>7.6999999999999999E-2</v>
      </c>
      <c r="J1782" s="342">
        <v>8.4000000000000005E-2</v>
      </c>
      <c r="K1782" s="342">
        <v>8.5000000000000006E-2</v>
      </c>
      <c r="L1782" s="342">
        <v>7.6999999999999999E-2</v>
      </c>
      <c r="M1782" s="342">
        <v>8.3000000000000004E-2</v>
      </c>
    </row>
    <row r="1783" spans="1:13">
      <c r="A1783" t="s">
        <v>1619</v>
      </c>
      <c r="B1783" s="342">
        <v>8.9999999999999993E-3</v>
      </c>
      <c r="C1783" s="342">
        <v>5.0000000000000001E-3</v>
      </c>
      <c r="D1783" s="342">
        <v>7.0000000000000001E-3</v>
      </c>
      <c r="E1783" s="342">
        <v>3.0000000000000001E-3</v>
      </c>
      <c r="F1783" s="342">
        <v>2E-3</v>
      </c>
      <c r="G1783" s="342">
        <v>3.0000000000000001E-3</v>
      </c>
      <c r="H1783" s="342">
        <v>1.0999999999999999E-2</v>
      </c>
      <c r="I1783" s="342">
        <v>6.0000000000000001E-3</v>
      </c>
      <c r="J1783" s="342">
        <v>8.9999999999999993E-3</v>
      </c>
      <c r="K1783" s="342">
        <v>1.2999999999999999E-2</v>
      </c>
      <c r="L1783" s="342">
        <v>6.0000000000000001E-3</v>
      </c>
      <c r="M1783" s="342">
        <v>8.9999999999999993E-3</v>
      </c>
    </row>
    <row r="1784" spans="1:13">
      <c r="A1784" t="s">
        <v>1620</v>
      </c>
      <c r="B1784" s="342">
        <v>0.98799999999999999</v>
      </c>
      <c r="C1784" s="342">
        <v>2.7709999999999999</v>
      </c>
      <c r="D1784" s="342">
        <v>1.79</v>
      </c>
      <c r="E1784" s="342">
        <v>1.4239999999999999</v>
      </c>
      <c r="F1784" s="342">
        <v>3.069</v>
      </c>
      <c r="G1784" s="342">
        <v>2.1179999999999999</v>
      </c>
      <c r="H1784" s="342">
        <v>0.69399999999999995</v>
      </c>
      <c r="I1784" s="342">
        <v>2.7240000000000002</v>
      </c>
      <c r="J1784" s="342">
        <v>1.4830000000000001</v>
      </c>
      <c r="K1784" s="342">
        <v>1.3759999999999999</v>
      </c>
      <c r="L1784" s="342">
        <v>2.5219999999999998</v>
      </c>
      <c r="M1784" s="342">
        <v>1.92</v>
      </c>
    </row>
    <row r="1785" spans="1:13">
      <c r="A1785" t="s">
        <v>2808</v>
      </c>
      <c r="B1785" s="342">
        <v>0.312</v>
      </c>
      <c r="C1785" s="342">
        <v>0.38500000000000001</v>
      </c>
      <c r="D1785" s="342">
        <v>0.36099999999999999</v>
      </c>
      <c r="E1785" s="342">
        <v>0.45700000000000002</v>
      </c>
      <c r="F1785" s="342">
        <v>0.35799999999999998</v>
      </c>
      <c r="G1785" s="342">
        <v>0.39800000000000002</v>
      </c>
      <c r="H1785" s="342">
        <v>0.21099999999999999</v>
      </c>
      <c r="I1785" s="342">
        <v>0.39700000000000002</v>
      </c>
      <c r="J1785" s="342">
        <v>0.3</v>
      </c>
      <c r="K1785" s="342">
        <v>0.45200000000000001</v>
      </c>
      <c r="L1785" s="342">
        <v>0.40100000000000002</v>
      </c>
      <c r="M1785" s="342">
        <v>0.41599999999999998</v>
      </c>
    </row>
    <row r="1786" spans="1:13">
      <c r="A1786" t="s">
        <v>2809</v>
      </c>
      <c r="B1786" s="342">
        <v>6.0000000000000001E-3</v>
      </c>
      <c r="C1786" s="342">
        <v>8.0000000000000002E-3</v>
      </c>
      <c r="D1786" s="342">
        <v>8.0000000000000002E-3</v>
      </c>
      <c r="E1786" s="342">
        <v>1.0999999999999999E-2</v>
      </c>
      <c r="F1786" s="342">
        <v>1.2E-2</v>
      </c>
      <c r="G1786" s="342">
        <v>0.01</v>
      </c>
      <c r="H1786" s="342">
        <v>4.0000000000000001E-3</v>
      </c>
      <c r="I1786" s="342">
        <v>7.0000000000000001E-3</v>
      </c>
      <c r="J1786" s="342">
        <v>6.0000000000000001E-3</v>
      </c>
      <c r="K1786" s="342">
        <v>7.0000000000000001E-3</v>
      </c>
      <c r="L1786" s="342">
        <v>6.0000000000000001E-3</v>
      </c>
      <c r="M1786" s="342">
        <v>8.0000000000000002E-3</v>
      </c>
    </row>
    <row r="1787" spans="1:13">
      <c r="A1787" t="s">
        <v>2810</v>
      </c>
      <c r="B1787" s="342">
        <v>0.32200000000000001</v>
      </c>
      <c r="C1787" s="342">
        <v>0.14199999999999999</v>
      </c>
      <c r="D1787" s="342">
        <v>0.20599999999999999</v>
      </c>
      <c r="E1787" s="342">
        <v>0.32800000000000001</v>
      </c>
      <c r="F1787" s="342">
        <v>0.12</v>
      </c>
      <c r="G1787" s="342">
        <v>0.193</v>
      </c>
      <c r="H1787" s="342">
        <v>0.309</v>
      </c>
      <c r="I1787" s="342">
        <v>0.14799999999999999</v>
      </c>
      <c r="J1787" s="342">
        <v>0.20699999999999999</v>
      </c>
      <c r="K1787" s="342">
        <v>0.33300000000000002</v>
      </c>
      <c r="L1787" s="342">
        <v>0.161</v>
      </c>
      <c r="M1787" s="342">
        <v>0.22</v>
      </c>
    </row>
    <row r="1788" spans="1:13">
      <c r="A1788" t="s">
        <v>9</v>
      </c>
      <c r="B1788">
        <v>9.11</v>
      </c>
      <c r="C1788">
        <v>12.42</v>
      </c>
      <c r="D1788">
        <v>10.38</v>
      </c>
      <c r="E1788">
        <v>7.92</v>
      </c>
      <c r="F1788">
        <v>12.93</v>
      </c>
      <c r="G1788">
        <v>10.56</v>
      </c>
      <c r="H1788">
        <v>10.43</v>
      </c>
      <c r="I1788">
        <v>12.07</v>
      </c>
      <c r="J1788">
        <v>10.62</v>
      </c>
      <c r="K1788">
        <v>8.85</v>
      </c>
      <c r="L1788">
        <v>12.2</v>
      </c>
      <c r="M1788">
        <v>9.91</v>
      </c>
    </row>
    <row r="1789" spans="1:13">
      <c r="A1789" t="s">
        <v>8</v>
      </c>
      <c r="B1789">
        <v>12.24</v>
      </c>
      <c r="C1789">
        <v>18.82</v>
      </c>
      <c r="D1789">
        <v>15.15</v>
      </c>
      <c r="E1789">
        <v>13.91</v>
      </c>
      <c r="F1789">
        <v>21.46</v>
      </c>
      <c r="G1789">
        <v>17.41</v>
      </c>
      <c r="H1789">
        <v>14.33</v>
      </c>
      <c r="I1789">
        <v>18.579999999999998</v>
      </c>
      <c r="J1789">
        <v>15.61</v>
      </c>
      <c r="K1789">
        <v>9.34</v>
      </c>
      <c r="L1789">
        <v>16.579999999999998</v>
      </c>
      <c r="M1789">
        <v>12.77</v>
      </c>
    </row>
    <row r="1790" spans="1:13">
      <c r="A1790" t="s">
        <v>10</v>
      </c>
      <c r="B1790">
        <v>27.86</v>
      </c>
      <c r="C1790">
        <v>32.33</v>
      </c>
      <c r="D1790">
        <v>29.35</v>
      </c>
      <c r="E1790">
        <v>24.29</v>
      </c>
      <c r="F1790">
        <v>33.15</v>
      </c>
      <c r="G1790">
        <v>29.08</v>
      </c>
      <c r="H1790">
        <v>29.89</v>
      </c>
      <c r="I1790">
        <v>32.51</v>
      </c>
      <c r="J1790">
        <v>30.14</v>
      </c>
      <c r="K1790">
        <v>29.23</v>
      </c>
      <c r="L1790">
        <v>31.23</v>
      </c>
      <c r="M1790">
        <v>28.77</v>
      </c>
    </row>
    <row r="1791" spans="1:13">
      <c r="A1791" t="s">
        <v>1621</v>
      </c>
      <c r="B1791" s="342">
        <v>0.156</v>
      </c>
      <c r="C1791" s="342">
        <v>0.10299999999999999</v>
      </c>
      <c r="D1791" s="342">
        <v>0.128</v>
      </c>
      <c r="E1791" s="342">
        <v>0.157</v>
      </c>
      <c r="F1791" s="342">
        <v>9.4E-2</v>
      </c>
      <c r="G1791" s="342">
        <v>0.11799999999999999</v>
      </c>
      <c r="H1791" s="342">
        <v>0.13200000000000001</v>
      </c>
      <c r="I1791" s="342">
        <v>0.106</v>
      </c>
      <c r="J1791" s="342">
        <v>0.125</v>
      </c>
      <c r="K1791" s="342">
        <v>0.186</v>
      </c>
      <c r="L1791" s="342">
        <v>0.11</v>
      </c>
      <c r="M1791" s="342">
        <v>0.14399999999999999</v>
      </c>
    </row>
    <row r="1793" spans="1:13">
      <c r="A1793" t="s">
        <v>2922</v>
      </c>
    </row>
    <row r="1795" spans="1:13">
      <c r="A1795" t="s">
        <v>158</v>
      </c>
      <c r="B1795" t="s">
        <v>2806</v>
      </c>
      <c r="E1795">
        <v>2017</v>
      </c>
      <c r="H1795">
        <v>2018</v>
      </c>
      <c r="K1795">
        <v>2019</v>
      </c>
    </row>
    <row r="1796" spans="1:13">
      <c r="B1796" t="s">
        <v>1623</v>
      </c>
      <c r="C1796" t="s">
        <v>1624</v>
      </c>
      <c r="D1796" t="s">
        <v>1622</v>
      </c>
      <c r="E1796" t="s">
        <v>1623</v>
      </c>
      <c r="F1796" t="s">
        <v>1624</v>
      </c>
      <c r="G1796" t="s">
        <v>1622</v>
      </c>
      <c r="H1796" t="s">
        <v>1623</v>
      </c>
      <c r="I1796" t="s">
        <v>1624</v>
      </c>
      <c r="J1796" t="s">
        <v>1622</v>
      </c>
      <c r="K1796" t="s">
        <v>1623</v>
      </c>
      <c r="L1796" t="s">
        <v>1624</v>
      </c>
      <c r="M1796" t="s">
        <v>1622</v>
      </c>
    </row>
    <row r="1797" spans="1:13">
      <c r="A1797" t="s">
        <v>2807</v>
      </c>
      <c r="B1797" s="342">
        <v>0.79400000000000004</v>
      </c>
      <c r="C1797" s="342">
        <v>0.83899999999999997</v>
      </c>
      <c r="D1797" s="342">
        <v>0.81499999999999995</v>
      </c>
      <c r="E1797" s="342">
        <v>0.81499999999999995</v>
      </c>
      <c r="F1797" s="342">
        <v>0.77900000000000003</v>
      </c>
      <c r="G1797" s="342">
        <v>0.81100000000000005</v>
      </c>
      <c r="H1797" s="342">
        <v>0.77800000000000002</v>
      </c>
      <c r="I1797" s="342">
        <v>0.876</v>
      </c>
      <c r="J1797" s="342">
        <v>0.82</v>
      </c>
      <c r="K1797" s="342">
        <v>0.77200000000000002</v>
      </c>
      <c r="L1797" s="342">
        <v>0.90200000000000002</v>
      </c>
      <c r="M1797" s="342">
        <v>0.81299999999999994</v>
      </c>
    </row>
    <row r="1798" spans="1:13">
      <c r="A1798" t="s">
        <v>1618</v>
      </c>
      <c r="B1798" s="342">
        <v>0.104</v>
      </c>
      <c r="C1798" s="342">
        <v>0.14000000000000001</v>
      </c>
      <c r="D1798" s="342">
        <v>0.14299999999999999</v>
      </c>
      <c r="E1798" s="342">
        <v>0.09</v>
      </c>
      <c r="F1798" s="342">
        <v>0.19600000000000001</v>
      </c>
      <c r="G1798" s="342">
        <v>0.14699999999999999</v>
      </c>
      <c r="H1798" s="342">
        <v>0.114</v>
      </c>
      <c r="I1798" s="342">
        <v>0.108</v>
      </c>
      <c r="J1798" s="342">
        <v>0.13900000000000001</v>
      </c>
      <c r="K1798" s="342">
        <v>0.11799999999999999</v>
      </c>
      <c r="L1798" s="342">
        <v>7.8E-2</v>
      </c>
      <c r="M1798" s="342">
        <v>0.14299999999999999</v>
      </c>
    </row>
    <row r="1799" spans="1:13">
      <c r="A1799" t="s">
        <v>1619</v>
      </c>
      <c r="B1799" s="342">
        <v>1.2E-2</v>
      </c>
      <c r="C1799" s="342">
        <v>6.0000000000000001E-3</v>
      </c>
      <c r="D1799" s="342">
        <v>7.0000000000000001E-3</v>
      </c>
      <c r="E1799" s="342">
        <v>3.0000000000000001E-3</v>
      </c>
      <c r="F1799" s="342">
        <v>4.0000000000000001E-3</v>
      </c>
      <c r="G1799" s="342">
        <v>3.0000000000000001E-3</v>
      </c>
      <c r="H1799" s="342">
        <v>0.02</v>
      </c>
      <c r="I1799" s="342">
        <v>8.0000000000000002E-3</v>
      </c>
      <c r="J1799" s="342">
        <v>8.9999999999999993E-3</v>
      </c>
      <c r="K1799" s="342">
        <v>2.1000000000000001E-2</v>
      </c>
      <c r="L1799" s="342">
        <v>8.0000000000000002E-3</v>
      </c>
      <c r="M1799" s="342">
        <v>8.9999999999999993E-3</v>
      </c>
    </row>
    <row r="1800" spans="1:13">
      <c r="A1800" t="s">
        <v>1620</v>
      </c>
      <c r="B1800" s="342">
        <v>0.98799999999999999</v>
      </c>
      <c r="C1800" s="342">
        <v>1.468</v>
      </c>
      <c r="D1800" s="342">
        <v>1.335</v>
      </c>
      <c r="E1800" s="342">
        <v>1.0529999999999999</v>
      </c>
      <c r="F1800" s="342">
        <v>1.5</v>
      </c>
      <c r="G1800" s="342">
        <v>1.3640000000000001</v>
      </c>
      <c r="H1800" s="342">
        <v>0.90500000000000003</v>
      </c>
      <c r="I1800" s="342">
        <v>1.4930000000000001</v>
      </c>
      <c r="J1800" s="342">
        <v>1.339</v>
      </c>
      <c r="K1800" s="342">
        <v>0.98599999999999999</v>
      </c>
      <c r="L1800" s="342">
        <v>1.3939999999999999</v>
      </c>
      <c r="M1800" s="342">
        <v>1.3049999999999999</v>
      </c>
    </row>
    <row r="1801" spans="1:13">
      <c r="A1801" t="s">
        <v>2808</v>
      </c>
      <c r="B1801" s="342">
        <v>0.42699999999999999</v>
      </c>
      <c r="C1801" s="342">
        <v>0.33900000000000002</v>
      </c>
      <c r="D1801" s="342">
        <v>0.35299999999999998</v>
      </c>
      <c r="E1801" s="342">
        <v>0.41299999999999998</v>
      </c>
      <c r="F1801" s="342">
        <v>0.32500000000000001</v>
      </c>
      <c r="G1801" s="342">
        <v>0.34599999999999997</v>
      </c>
      <c r="H1801" s="342">
        <v>0.45900000000000002</v>
      </c>
      <c r="I1801" s="342">
        <v>0.36</v>
      </c>
      <c r="J1801" s="342">
        <v>0.35</v>
      </c>
      <c r="K1801" s="342">
        <v>0.41</v>
      </c>
      <c r="L1801" s="342">
        <v>0.34200000000000003</v>
      </c>
      <c r="M1801" s="342">
        <v>0.36399999999999999</v>
      </c>
    </row>
    <row r="1802" spans="1:13">
      <c r="A1802" t="s">
        <v>2809</v>
      </c>
      <c r="B1802" s="342">
        <v>1.2E-2</v>
      </c>
      <c r="C1802" s="342">
        <v>5.0000000000000001E-3</v>
      </c>
      <c r="D1802" s="342">
        <v>8.9999999999999993E-3</v>
      </c>
      <c r="E1802" s="342">
        <v>2.1000000000000001E-2</v>
      </c>
      <c r="F1802" s="342">
        <v>5.0000000000000001E-3</v>
      </c>
      <c r="G1802" s="342">
        <v>8.0000000000000002E-3</v>
      </c>
      <c r="H1802" s="342">
        <v>5.0000000000000001E-3</v>
      </c>
      <c r="I1802" s="342">
        <v>5.0000000000000001E-3</v>
      </c>
      <c r="J1802" s="342">
        <v>8.9999999999999993E-3</v>
      </c>
      <c r="K1802" s="342">
        <v>4.0000000000000001E-3</v>
      </c>
      <c r="L1802" s="342">
        <v>5.0000000000000001E-3</v>
      </c>
      <c r="M1802" s="342">
        <v>0.01</v>
      </c>
    </row>
    <row r="1803" spans="1:13">
      <c r="A1803" t="s">
        <v>2810</v>
      </c>
      <c r="B1803" s="342">
        <v>0.44400000000000001</v>
      </c>
      <c r="C1803" s="342">
        <v>0.23499999999999999</v>
      </c>
      <c r="D1803" s="342">
        <v>0.27200000000000002</v>
      </c>
      <c r="E1803" s="342">
        <v>0.41199999999999998</v>
      </c>
      <c r="F1803" s="342">
        <v>0.22</v>
      </c>
      <c r="G1803" s="342">
        <v>0.26</v>
      </c>
      <c r="H1803" s="342">
        <v>0.51200000000000001</v>
      </c>
      <c r="I1803" s="342">
        <v>0.245</v>
      </c>
      <c r="J1803" s="342">
        <v>0.26800000000000002</v>
      </c>
      <c r="K1803" s="342">
        <v>0.42</v>
      </c>
      <c r="L1803" s="342">
        <v>0.249</v>
      </c>
      <c r="M1803" s="342">
        <v>0.28699999999999998</v>
      </c>
    </row>
    <row r="1804" spans="1:13">
      <c r="A1804" t="s">
        <v>9</v>
      </c>
      <c r="B1804">
        <v>7.39</v>
      </c>
      <c r="C1804">
        <v>9.26</v>
      </c>
      <c r="D1804">
        <v>9.5399999999999991</v>
      </c>
      <c r="E1804">
        <v>7.43</v>
      </c>
      <c r="F1804">
        <v>9.4</v>
      </c>
      <c r="G1804">
        <v>9.4600000000000009</v>
      </c>
      <c r="H1804">
        <v>7.5</v>
      </c>
      <c r="I1804">
        <v>8.83</v>
      </c>
      <c r="J1804">
        <v>9.67</v>
      </c>
      <c r="K1804">
        <v>7.18</v>
      </c>
      <c r="L1804">
        <v>9.48</v>
      </c>
      <c r="M1804">
        <v>9.4700000000000006</v>
      </c>
    </row>
    <row r="1805" spans="1:13">
      <c r="A1805" t="s">
        <v>8</v>
      </c>
      <c r="B1805">
        <v>6.11</v>
      </c>
      <c r="C1805">
        <v>6.71</v>
      </c>
      <c r="D1805">
        <v>6.35</v>
      </c>
      <c r="E1805">
        <v>7.48</v>
      </c>
      <c r="F1805">
        <v>6.87</v>
      </c>
      <c r="G1805">
        <v>7.08</v>
      </c>
      <c r="H1805">
        <v>5.0599999999999996</v>
      </c>
      <c r="I1805">
        <v>6.42</v>
      </c>
      <c r="J1805">
        <v>6.08</v>
      </c>
      <c r="K1805">
        <v>5.6</v>
      </c>
      <c r="L1805">
        <v>6.77</v>
      </c>
      <c r="M1805">
        <v>6.05</v>
      </c>
    </row>
    <row r="1806" spans="1:13">
      <c r="A1806" t="s">
        <v>10</v>
      </c>
      <c r="B1806">
        <v>23</v>
      </c>
      <c r="C1806">
        <v>14.83</v>
      </c>
      <c r="D1806">
        <v>16.489999999999998</v>
      </c>
      <c r="E1806">
        <v>21.25</v>
      </c>
      <c r="F1806">
        <v>14.2</v>
      </c>
      <c r="G1806">
        <v>15.89</v>
      </c>
      <c r="H1806">
        <v>26.5</v>
      </c>
      <c r="I1806">
        <v>14.46</v>
      </c>
      <c r="J1806">
        <v>17.420000000000002</v>
      </c>
      <c r="K1806">
        <v>22.85</v>
      </c>
      <c r="L1806">
        <v>16.47</v>
      </c>
      <c r="M1806">
        <v>16.190000000000001</v>
      </c>
    </row>
    <row r="1807" spans="1:13">
      <c r="A1807" t="s">
        <v>1621</v>
      </c>
      <c r="B1807" s="342">
        <v>0.25600000000000001</v>
      </c>
      <c r="C1807" s="342">
        <v>0.189</v>
      </c>
      <c r="D1807" s="342">
        <v>0.20200000000000001</v>
      </c>
      <c r="E1807" s="342">
        <v>0.221</v>
      </c>
      <c r="F1807" s="342">
        <v>0.182</v>
      </c>
      <c r="G1807" s="342">
        <v>0.184</v>
      </c>
      <c r="H1807" s="342">
        <v>0.29299999999999998</v>
      </c>
      <c r="I1807" s="342">
        <v>0.2</v>
      </c>
      <c r="J1807" s="342">
        <v>0.21</v>
      </c>
      <c r="K1807" s="342">
        <v>0.27400000000000002</v>
      </c>
      <c r="L1807" s="342">
        <v>0.193</v>
      </c>
      <c r="M1807" s="342">
        <v>0.20899999999999999</v>
      </c>
    </row>
    <row r="1809" spans="1:13">
      <c r="A1809" t="s">
        <v>2923</v>
      </c>
    </row>
    <row r="1811" spans="1:13">
      <c r="A1811" t="s">
        <v>158</v>
      </c>
      <c r="B1811" t="s">
        <v>2806</v>
      </c>
      <c r="E1811">
        <v>2017</v>
      </c>
      <c r="H1811">
        <v>2018</v>
      </c>
      <c r="K1811">
        <v>2019</v>
      </c>
    </row>
    <row r="1812" spans="1:13">
      <c r="B1812" t="s">
        <v>1623</v>
      </c>
      <c r="C1812" t="s">
        <v>1624</v>
      </c>
      <c r="D1812" t="s">
        <v>1622</v>
      </c>
      <c r="E1812" t="s">
        <v>1623</v>
      </c>
      <c r="F1812" t="s">
        <v>1624</v>
      </c>
      <c r="G1812" t="s">
        <v>1622</v>
      </c>
      <c r="H1812" t="s">
        <v>1623</v>
      </c>
      <c r="I1812" t="s">
        <v>1624</v>
      </c>
      <c r="J1812" t="s">
        <v>1622</v>
      </c>
      <c r="K1812" t="s">
        <v>1623</v>
      </c>
      <c r="L1812" t="s">
        <v>1624</v>
      </c>
      <c r="M1812" t="s">
        <v>1622</v>
      </c>
    </row>
    <row r="1813" spans="1:13">
      <c r="A1813" t="s">
        <v>2807</v>
      </c>
      <c r="B1813" s="342">
        <v>0.73899999999999999</v>
      </c>
      <c r="C1813" s="342">
        <v>0.872</v>
      </c>
      <c r="D1813" s="342">
        <v>0.83799999999999997</v>
      </c>
      <c r="E1813" s="342">
        <v>0.70799999999999996</v>
      </c>
      <c r="F1813" s="342">
        <v>0.872</v>
      </c>
      <c r="G1813" s="342">
        <v>0.83599999999999997</v>
      </c>
      <c r="H1813" s="342">
        <v>0.747</v>
      </c>
      <c r="I1813" s="342">
        <v>0.872</v>
      </c>
      <c r="J1813" s="342">
        <v>0.84</v>
      </c>
      <c r="K1813" s="342">
        <v>0.749</v>
      </c>
      <c r="L1813" s="342">
        <v>0.872</v>
      </c>
      <c r="M1813" s="342">
        <v>0.83799999999999997</v>
      </c>
    </row>
    <row r="1814" spans="1:13">
      <c r="A1814" t="s">
        <v>1618</v>
      </c>
      <c r="B1814" s="342">
        <v>0.115</v>
      </c>
      <c r="C1814" s="342">
        <v>0.1</v>
      </c>
      <c r="D1814" s="342">
        <v>9.4E-2</v>
      </c>
      <c r="E1814" s="342">
        <v>0.14299999999999999</v>
      </c>
      <c r="F1814" s="342">
        <v>9.8000000000000004E-2</v>
      </c>
      <c r="G1814" s="342">
        <v>9.8000000000000004E-2</v>
      </c>
      <c r="H1814" s="342">
        <v>0.115</v>
      </c>
      <c r="I1814" s="342">
        <v>0.10100000000000001</v>
      </c>
      <c r="J1814" s="342">
        <v>9.4E-2</v>
      </c>
      <c r="K1814" s="342">
        <v>9.9000000000000005E-2</v>
      </c>
      <c r="L1814" s="342">
        <v>0.10100000000000001</v>
      </c>
      <c r="M1814" s="342">
        <v>9.0999999999999998E-2</v>
      </c>
    </row>
    <row r="1815" spans="1:13">
      <c r="A1815" t="s">
        <v>1619</v>
      </c>
      <c r="B1815" s="342">
        <v>1.9E-2</v>
      </c>
      <c r="C1815" s="342">
        <v>1.4E-2</v>
      </c>
      <c r="D1815" s="342">
        <v>1.6E-2</v>
      </c>
      <c r="E1815" s="342">
        <v>4.0000000000000001E-3</v>
      </c>
      <c r="F1815" s="342">
        <v>3.0000000000000001E-3</v>
      </c>
      <c r="G1815" s="342">
        <v>4.0000000000000001E-3</v>
      </c>
      <c r="H1815" s="342">
        <v>2.5000000000000001E-2</v>
      </c>
      <c r="I1815" s="342">
        <v>1.7000000000000001E-2</v>
      </c>
      <c r="J1815" s="342">
        <v>2.1999999999999999E-2</v>
      </c>
      <c r="K1815" s="342">
        <v>2.1999999999999999E-2</v>
      </c>
      <c r="L1815" s="342">
        <v>1.7999999999999999E-2</v>
      </c>
      <c r="M1815" s="342">
        <v>0.02</v>
      </c>
    </row>
    <row r="1816" spans="1:13">
      <c r="A1816" t="s">
        <v>1620</v>
      </c>
      <c r="B1816" s="342">
        <v>0.996</v>
      </c>
      <c r="C1816" s="342">
        <v>1.3580000000000001</v>
      </c>
      <c r="D1816" s="342">
        <v>1.2450000000000001</v>
      </c>
      <c r="E1816" s="342">
        <v>0.98499999999999999</v>
      </c>
      <c r="F1816" s="342">
        <v>1.42</v>
      </c>
      <c r="G1816" s="342">
        <v>1.3340000000000001</v>
      </c>
      <c r="H1816" s="342">
        <v>1.044</v>
      </c>
      <c r="I1816" s="342">
        <v>1.341</v>
      </c>
      <c r="J1816" s="342">
        <v>1.2490000000000001</v>
      </c>
      <c r="K1816" s="342">
        <v>0.95799999999999996</v>
      </c>
      <c r="L1816" s="342">
        <v>1.327</v>
      </c>
      <c r="M1816" s="342">
        <v>1.18</v>
      </c>
    </row>
    <row r="1817" spans="1:13">
      <c r="A1817" t="s">
        <v>2808</v>
      </c>
      <c r="B1817" s="342">
        <v>0.42499999999999999</v>
      </c>
      <c r="C1817" s="342">
        <v>0.41499999999999998</v>
      </c>
      <c r="D1817" s="342">
        <v>0.42799999999999999</v>
      </c>
      <c r="E1817" s="342">
        <v>0.439</v>
      </c>
      <c r="F1817" s="342">
        <v>0.42299999999999999</v>
      </c>
      <c r="G1817" s="342">
        <v>0.42899999999999999</v>
      </c>
      <c r="H1817" s="342">
        <v>0.39200000000000002</v>
      </c>
      <c r="I1817" s="342">
        <v>0.40699999999999997</v>
      </c>
      <c r="J1817" s="342">
        <v>0.43099999999999999</v>
      </c>
      <c r="K1817" s="342">
        <v>0.44900000000000001</v>
      </c>
      <c r="L1817" s="342">
        <v>0.41699999999999998</v>
      </c>
      <c r="M1817" s="342">
        <v>0.42399999999999999</v>
      </c>
    </row>
    <row r="1818" spans="1:13">
      <c r="A1818" t="s">
        <v>2809</v>
      </c>
      <c r="B1818" s="342">
        <v>2E-3</v>
      </c>
      <c r="C1818" s="342">
        <v>5.0000000000000001E-3</v>
      </c>
      <c r="D1818" s="342">
        <v>5.0000000000000001E-3</v>
      </c>
      <c r="E1818" s="342">
        <v>1E-3</v>
      </c>
      <c r="F1818" s="342">
        <v>6.0000000000000001E-3</v>
      </c>
      <c r="G1818" s="342">
        <v>4.0000000000000001E-3</v>
      </c>
      <c r="H1818" s="342">
        <v>4.0000000000000001E-3</v>
      </c>
      <c r="I1818" s="342">
        <v>3.0000000000000001E-3</v>
      </c>
      <c r="J1818" s="342">
        <v>5.0000000000000001E-3</v>
      </c>
      <c r="K1818" s="342">
        <v>2E-3</v>
      </c>
      <c r="L1818" s="342">
        <v>7.0000000000000001E-3</v>
      </c>
      <c r="M1818" s="342">
        <v>5.0000000000000001E-3</v>
      </c>
    </row>
    <row r="1819" spans="1:13">
      <c r="A1819" t="s">
        <v>2810</v>
      </c>
      <c r="B1819" s="342">
        <v>0.43</v>
      </c>
      <c r="C1819" s="342">
        <v>0.309</v>
      </c>
      <c r="D1819" s="342">
        <v>0.34699999999999998</v>
      </c>
      <c r="E1819" s="342">
        <v>0.44700000000000001</v>
      </c>
      <c r="F1819" s="342">
        <v>0.30199999999999999</v>
      </c>
      <c r="G1819" s="342">
        <v>0.32500000000000001</v>
      </c>
      <c r="H1819" s="342">
        <v>0.379</v>
      </c>
      <c r="I1819" s="342">
        <v>0.30599999999999999</v>
      </c>
      <c r="J1819" s="342">
        <v>0.34899999999999998</v>
      </c>
      <c r="K1819" s="342">
        <v>0.47</v>
      </c>
      <c r="L1819" s="342">
        <v>0.32</v>
      </c>
      <c r="M1819" s="342">
        <v>0.36299999999999999</v>
      </c>
    </row>
    <row r="1820" spans="1:13">
      <c r="A1820" t="s">
        <v>9</v>
      </c>
      <c r="B1820">
        <v>8.66</v>
      </c>
      <c r="C1820">
        <v>9.16</v>
      </c>
      <c r="D1820">
        <v>9.34</v>
      </c>
      <c r="E1820">
        <v>9.64</v>
      </c>
      <c r="F1820">
        <v>11.13</v>
      </c>
      <c r="G1820">
        <v>10.7</v>
      </c>
      <c r="H1820">
        <v>9.44</v>
      </c>
      <c r="I1820">
        <v>8.34</v>
      </c>
      <c r="J1820">
        <v>9.56</v>
      </c>
      <c r="K1820">
        <v>7.61</v>
      </c>
      <c r="L1820">
        <v>8.83</v>
      </c>
      <c r="M1820">
        <v>8.32</v>
      </c>
    </row>
    <row r="1821" spans="1:13">
      <c r="A1821" t="s">
        <v>8</v>
      </c>
      <c r="B1821">
        <v>6.07</v>
      </c>
      <c r="C1821">
        <v>5.3</v>
      </c>
      <c r="D1821">
        <v>5.73</v>
      </c>
      <c r="E1821">
        <v>6.22</v>
      </c>
      <c r="F1821">
        <v>5.42</v>
      </c>
      <c r="G1821">
        <v>6.21</v>
      </c>
      <c r="H1821">
        <v>5.59</v>
      </c>
      <c r="I1821">
        <v>5.15</v>
      </c>
      <c r="J1821">
        <v>5.79</v>
      </c>
      <c r="K1821">
        <v>6.52</v>
      </c>
      <c r="L1821">
        <v>5.37</v>
      </c>
      <c r="M1821">
        <v>5.35</v>
      </c>
    </row>
    <row r="1822" spans="1:13">
      <c r="A1822" t="s">
        <v>10</v>
      </c>
      <c r="B1822">
        <v>20.57</v>
      </c>
      <c r="C1822">
        <v>14.16</v>
      </c>
      <c r="D1822">
        <v>18.16</v>
      </c>
      <c r="E1822">
        <v>23.23</v>
      </c>
      <c r="F1822">
        <v>17.3</v>
      </c>
      <c r="G1822">
        <v>21.45</v>
      </c>
      <c r="H1822">
        <v>20.99</v>
      </c>
      <c r="I1822">
        <v>14.36</v>
      </c>
      <c r="J1822">
        <v>18.690000000000001</v>
      </c>
      <c r="K1822">
        <v>18.97</v>
      </c>
      <c r="L1822">
        <v>12.08</v>
      </c>
      <c r="M1822">
        <v>15.81</v>
      </c>
    </row>
    <row r="1823" spans="1:13">
      <c r="A1823" t="s">
        <v>1621</v>
      </c>
      <c r="B1823" s="342">
        <v>0.23200000000000001</v>
      </c>
      <c r="C1823" s="342">
        <v>0.22700000000000001</v>
      </c>
      <c r="D1823" s="342">
        <v>0.22700000000000001</v>
      </c>
      <c r="E1823" s="342">
        <v>0.221</v>
      </c>
      <c r="F1823" s="342">
        <v>0.217</v>
      </c>
      <c r="G1823" s="342">
        <v>0.20799999999999999</v>
      </c>
      <c r="H1823" s="342">
        <v>0.23699999999999999</v>
      </c>
      <c r="I1823" s="342">
        <v>0.24399999999999999</v>
      </c>
      <c r="J1823" s="342">
        <v>0.224</v>
      </c>
      <c r="K1823" s="342">
        <v>0.23200000000000001</v>
      </c>
      <c r="L1823" s="342">
        <v>0.217</v>
      </c>
      <c r="M1823" s="342">
        <v>0.24399999999999999</v>
      </c>
    </row>
    <row r="1825" spans="1:13">
      <c r="A1825" t="s">
        <v>2924</v>
      </c>
    </row>
    <row r="1827" spans="1:13">
      <c r="A1827" t="s">
        <v>158</v>
      </c>
      <c r="B1827" t="s">
        <v>2806</v>
      </c>
      <c r="E1827">
        <v>2017</v>
      </c>
      <c r="H1827">
        <v>2018</v>
      </c>
      <c r="K1827">
        <v>2019</v>
      </c>
    </row>
    <row r="1828" spans="1:13">
      <c r="B1828" t="s">
        <v>1623</v>
      </c>
      <c r="C1828" t="s">
        <v>1624</v>
      </c>
      <c r="D1828" t="s">
        <v>1622</v>
      </c>
      <c r="E1828" t="s">
        <v>1623</v>
      </c>
      <c r="F1828" t="s">
        <v>1624</v>
      </c>
      <c r="G1828" t="s">
        <v>1622</v>
      </c>
      <c r="H1828" t="s">
        <v>1623</v>
      </c>
      <c r="I1828" t="s">
        <v>1624</v>
      </c>
      <c r="J1828" t="s">
        <v>1622</v>
      </c>
      <c r="K1828" t="s">
        <v>1623</v>
      </c>
      <c r="L1828" t="s">
        <v>1624</v>
      </c>
      <c r="M1828" t="s">
        <v>1622</v>
      </c>
    </row>
    <row r="1829" spans="1:13">
      <c r="A1829" t="s">
        <v>2807</v>
      </c>
      <c r="B1829" s="342">
        <v>0.73199999999999998</v>
      </c>
      <c r="C1829" s="342">
        <v>0.84899999999999998</v>
      </c>
      <c r="D1829" s="342">
        <v>0.82299999999999995</v>
      </c>
      <c r="E1829" s="342">
        <v>0.73099999999999998</v>
      </c>
      <c r="F1829" s="342">
        <v>0.85399999999999998</v>
      </c>
      <c r="G1829" s="342">
        <v>0.82699999999999996</v>
      </c>
      <c r="H1829" s="342">
        <v>0.755</v>
      </c>
      <c r="I1829" s="342">
        <v>0.85299999999999998</v>
      </c>
      <c r="J1829" s="342">
        <v>0.82699999999999996</v>
      </c>
      <c r="K1829" s="342">
        <v>0.71299999999999997</v>
      </c>
      <c r="L1829" s="342">
        <v>0.83899999999999997</v>
      </c>
      <c r="M1829" s="342">
        <v>0.81499999999999995</v>
      </c>
    </row>
    <row r="1830" spans="1:13">
      <c r="A1830" t="s">
        <v>1618</v>
      </c>
      <c r="B1830" s="342">
        <v>0.158</v>
      </c>
      <c r="C1830" s="342">
        <v>0.13500000000000001</v>
      </c>
      <c r="D1830" s="342">
        <v>0.13</v>
      </c>
      <c r="E1830" s="342">
        <v>0.16200000000000001</v>
      </c>
      <c r="F1830" s="342">
        <v>0.127</v>
      </c>
      <c r="G1830" s="342">
        <v>0.127</v>
      </c>
      <c r="H1830" s="342">
        <v>0.13800000000000001</v>
      </c>
      <c r="I1830" s="342">
        <v>0.13100000000000001</v>
      </c>
      <c r="J1830" s="342">
        <v>0.125</v>
      </c>
      <c r="K1830" s="342">
        <v>0.17299999999999999</v>
      </c>
      <c r="L1830" s="342">
        <v>0.14599999999999999</v>
      </c>
      <c r="M1830" s="342">
        <v>0.13900000000000001</v>
      </c>
    </row>
    <row r="1831" spans="1:13">
      <c r="A1831" t="s">
        <v>1619</v>
      </c>
      <c r="B1831" s="342">
        <v>2.1999999999999999E-2</v>
      </c>
      <c r="C1831" s="342">
        <v>1.0999999999999999E-2</v>
      </c>
      <c r="D1831" s="342">
        <v>1.4E-2</v>
      </c>
      <c r="E1831" s="342">
        <v>8.9999999999999993E-3</v>
      </c>
      <c r="F1831" s="342">
        <v>5.0000000000000001E-3</v>
      </c>
      <c r="G1831" s="342">
        <v>6.0000000000000001E-3</v>
      </c>
      <c r="H1831" s="342">
        <v>2.9000000000000001E-2</v>
      </c>
      <c r="I1831" s="342">
        <v>1.2E-2</v>
      </c>
      <c r="J1831" s="342">
        <v>1.7000000000000001E-2</v>
      </c>
      <c r="K1831" s="342">
        <v>2.5999999999999999E-2</v>
      </c>
      <c r="L1831" s="342">
        <v>1.7000000000000001E-2</v>
      </c>
      <c r="M1831" s="342">
        <v>1.9E-2</v>
      </c>
    </row>
    <row r="1832" spans="1:13">
      <c r="A1832" t="s">
        <v>1620</v>
      </c>
      <c r="B1832" s="342">
        <v>0.94099999999999995</v>
      </c>
      <c r="C1832" s="342">
        <v>1.67</v>
      </c>
      <c r="D1832" s="342">
        <v>1.3240000000000001</v>
      </c>
      <c r="E1832" s="342">
        <v>1.0229999999999999</v>
      </c>
      <c r="F1832" s="342">
        <v>1.8380000000000001</v>
      </c>
      <c r="G1832" s="342">
        <v>1.4159999999999999</v>
      </c>
      <c r="H1832" s="342">
        <v>0.85899999999999999</v>
      </c>
      <c r="I1832" s="342">
        <v>1.726</v>
      </c>
      <c r="J1832" s="342">
        <v>1.3140000000000001</v>
      </c>
      <c r="K1832" s="342">
        <v>0.95499999999999996</v>
      </c>
      <c r="L1832" s="342">
        <v>1.4830000000000001</v>
      </c>
      <c r="M1832" s="342">
        <v>1.256</v>
      </c>
    </row>
    <row r="1833" spans="1:13">
      <c r="A1833" t="s">
        <v>2808</v>
      </c>
      <c r="B1833" s="342">
        <v>0.54200000000000004</v>
      </c>
      <c r="C1833" s="342">
        <v>0.41299999999999998</v>
      </c>
      <c r="D1833" s="342">
        <v>0.45700000000000002</v>
      </c>
      <c r="E1833" s="342">
        <v>0.53100000000000003</v>
      </c>
      <c r="F1833" s="342">
        <v>0.435</v>
      </c>
      <c r="G1833" s="342">
        <v>0.47</v>
      </c>
      <c r="H1833" s="342">
        <v>0.54900000000000004</v>
      </c>
      <c r="I1833" s="342">
        <v>0.40300000000000002</v>
      </c>
      <c r="J1833" s="342">
        <v>0.44400000000000001</v>
      </c>
      <c r="K1833" s="342">
        <v>0.54400000000000004</v>
      </c>
      <c r="L1833" s="342">
        <v>0.40500000000000003</v>
      </c>
      <c r="M1833" s="342">
        <v>0.46</v>
      </c>
    </row>
    <row r="1834" spans="1:13">
      <c r="A1834" t="s">
        <v>2809</v>
      </c>
      <c r="B1834" s="342">
        <v>0.01</v>
      </c>
      <c r="C1834" s="342">
        <v>2.8000000000000001E-2</v>
      </c>
      <c r="D1834" s="342">
        <v>1.4999999999999999E-2</v>
      </c>
      <c r="E1834" s="342">
        <v>1.2E-2</v>
      </c>
      <c r="F1834" s="342">
        <v>8.9999999999999993E-3</v>
      </c>
      <c r="G1834" s="342">
        <v>0.01</v>
      </c>
      <c r="H1834" s="342">
        <v>0.01</v>
      </c>
      <c r="I1834" s="342">
        <v>1.4999999999999999E-2</v>
      </c>
      <c r="J1834" s="342">
        <v>0.01</v>
      </c>
      <c r="K1834" s="342">
        <v>8.9999999999999993E-3</v>
      </c>
      <c r="L1834" s="342">
        <v>5.6000000000000001E-2</v>
      </c>
      <c r="M1834" s="342">
        <v>2.4E-2</v>
      </c>
    </row>
    <row r="1835" spans="1:13">
      <c r="A1835" t="s">
        <v>2810</v>
      </c>
      <c r="B1835" s="342">
        <v>0.58699999999999997</v>
      </c>
      <c r="C1835" s="342">
        <v>0.26400000000000001</v>
      </c>
      <c r="D1835" s="342">
        <v>0.35699999999999998</v>
      </c>
      <c r="E1835" s="342">
        <v>0.53100000000000003</v>
      </c>
      <c r="F1835" s="342">
        <v>0.24199999999999999</v>
      </c>
      <c r="G1835" s="342">
        <v>0.33900000000000002</v>
      </c>
      <c r="H1835" s="342">
        <v>0.65</v>
      </c>
      <c r="I1835" s="342">
        <v>0.24199999999999999</v>
      </c>
      <c r="J1835" s="342">
        <v>0.34599999999999997</v>
      </c>
      <c r="K1835" s="342">
        <v>0.57899999999999996</v>
      </c>
      <c r="L1835" s="342">
        <v>0.311</v>
      </c>
      <c r="M1835" s="342">
        <v>0.38500000000000001</v>
      </c>
    </row>
    <row r="1836" spans="1:13">
      <c r="A1836" t="s">
        <v>9</v>
      </c>
      <c r="B1836">
        <v>7.48</v>
      </c>
      <c r="C1836">
        <v>10.74</v>
      </c>
      <c r="D1836">
        <v>8.58</v>
      </c>
      <c r="E1836">
        <v>7.06</v>
      </c>
      <c r="F1836">
        <v>10.19</v>
      </c>
      <c r="G1836">
        <v>8.4600000000000009</v>
      </c>
      <c r="H1836">
        <v>7.2</v>
      </c>
      <c r="I1836">
        <v>11.27</v>
      </c>
      <c r="J1836">
        <v>8.7100000000000009</v>
      </c>
      <c r="K1836">
        <v>8.17</v>
      </c>
      <c r="L1836">
        <v>10.71</v>
      </c>
      <c r="M1836">
        <v>8.5399999999999991</v>
      </c>
    </row>
    <row r="1837" spans="1:13">
      <c r="A1837" t="s">
        <v>8</v>
      </c>
      <c r="B1837">
        <v>7.43</v>
      </c>
      <c r="C1837">
        <v>8.93</v>
      </c>
      <c r="D1837">
        <v>8.0299999999999994</v>
      </c>
      <c r="E1837">
        <v>9.16</v>
      </c>
      <c r="F1837">
        <v>9.19</v>
      </c>
      <c r="G1837">
        <v>8.49</v>
      </c>
      <c r="H1837">
        <v>6.46</v>
      </c>
      <c r="I1837">
        <v>8.51</v>
      </c>
      <c r="J1837">
        <v>7.72</v>
      </c>
      <c r="K1837">
        <v>7.2</v>
      </c>
      <c r="L1837">
        <v>9.2200000000000006</v>
      </c>
      <c r="M1837">
        <v>7.97</v>
      </c>
    </row>
    <row r="1838" spans="1:13">
      <c r="A1838" t="s">
        <v>10</v>
      </c>
      <c r="B1838">
        <v>21.75</v>
      </c>
      <c r="C1838">
        <v>19.649999999999999</v>
      </c>
      <c r="D1838">
        <v>18.52</v>
      </c>
      <c r="E1838">
        <v>22.87</v>
      </c>
      <c r="F1838">
        <v>18.34</v>
      </c>
      <c r="G1838">
        <v>19.079999999999998</v>
      </c>
      <c r="H1838">
        <v>19.079999999999998</v>
      </c>
      <c r="I1838">
        <v>19.57</v>
      </c>
      <c r="J1838">
        <v>18.329999999999998</v>
      </c>
      <c r="K1838">
        <v>23.67</v>
      </c>
      <c r="L1838">
        <v>21.2</v>
      </c>
      <c r="M1838">
        <v>18.23</v>
      </c>
    </row>
    <row r="1839" spans="1:13">
      <c r="A1839" t="s">
        <v>1621</v>
      </c>
      <c r="B1839" s="342">
        <v>0.222</v>
      </c>
      <c r="C1839" s="342">
        <v>0.154</v>
      </c>
      <c r="D1839" s="342">
        <v>0.187</v>
      </c>
      <c r="E1839" s="342">
        <v>0.20699999999999999</v>
      </c>
      <c r="F1839" s="342">
        <v>0.152</v>
      </c>
      <c r="G1839" s="342">
        <v>0.184</v>
      </c>
      <c r="H1839" s="342">
        <v>0.24099999999999999</v>
      </c>
      <c r="I1839" s="342">
        <v>0.155</v>
      </c>
      <c r="J1839" s="342">
        <v>0.19</v>
      </c>
      <c r="K1839" s="342">
        <v>0.219</v>
      </c>
      <c r="L1839" s="342">
        <v>0.155</v>
      </c>
      <c r="M1839" s="342">
        <v>0.188</v>
      </c>
    </row>
    <row r="1841" spans="1:13">
      <c r="A1841" t="s">
        <v>2925</v>
      </c>
    </row>
    <row r="1843" spans="1:13">
      <c r="A1843" t="s">
        <v>158</v>
      </c>
      <c r="B1843" t="s">
        <v>2806</v>
      </c>
      <c r="E1843">
        <v>2017</v>
      </c>
      <c r="H1843">
        <v>2018</v>
      </c>
      <c r="K1843">
        <v>2019</v>
      </c>
    </row>
    <row r="1844" spans="1:13">
      <c r="B1844" t="s">
        <v>1623</v>
      </c>
      <c r="C1844" t="s">
        <v>1624</v>
      </c>
      <c r="D1844" t="s">
        <v>1622</v>
      </c>
      <c r="E1844" t="s">
        <v>1623</v>
      </c>
      <c r="F1844" t="s">
        <v>1624</v>
      </c>
      <c r="G1844" t="s">
        <v>1622</v>
      </c>
      <c r="H1844" t="s">
        <v>1623</v>
      </c>
      <c r="I1844" t="s">
        <v>1624</v>
      </c>
      <c r="J1844" t="s">
        <v>1622</v>
      </c>
      <c r="K1844" t="s">
        <v>1623</v>
      </c>
      <c r="L1844" t="s">
        <v>1624</v>
      </c>
      <c r="M1844" t="s">
        <v>1622</v>
      </c>
    </row>
    <row r="1845" spans="1:13">
      <c r="A1845" t="s">
        <v>2807</v>
      </c>
      <c r="B1845" s="342">
        <v>0.83499999999999996</v>
      </c>
      <c r="C1845" s="342">
        <v>0.90100000000000002</v>
      </c>
      <c r="D1845" s="342">
        <v>0.877</v>
      </c>
      <c r="E1845" s="342">
        <v>0.85199999999999998</v>
      </c>
      <c r="F1845" s="342">
        <v>0.91300000000000003</v>
      </c>
      <c r="G1845" s="342">
        <v>0.88200000000000001</v>
      </c>
      <c r="H1845" s="342">
        <v>0.82899999999999996</v>
      </c>
      <c r="I1845" s="342">
        <v>0.89700000000000002</v>
      </c>
      <c r="J1845" s="342">
        <v>0.877</v>
      </c>
      <c r="K1845" s="342">
        <v>0.81899999999999995</v>
      </c>
      <c r="L1845" s="342">
        <v>0.9</v>
      </c>
      <c r="M1845" s="342">
        <v>0.872</v>
      </c>
    </row>
    <row r="1846" spans="1:13">
      <c r="A1846" t="s">
        <v>1618</v>
      </c>
      <c r="B1846" s="342">
        <v>4.2000000000000003E-2</v>
      </c>
      <c r="C1846" s="342">
        <v>8.1000000000000003E-2</v>
      </c>
      <c r="D1846" s="342">
        <v>6.9000000000000006E-2</v>
      </c>
      <c r="E1846" s="342">
        <v>4.1000000000000002E-2</v>
      </c>
      <c r="F1846" s="342">
        <v>7.1999999999999995E-2</v>
      </c>
      <c r="G1846" s="342">
        <v>6.2E-2</v>
      </c>
      <c r="H1846" s="342">
        <v>4.2999999999999997E-2</v>
      </c>
      <c r="I1846" s="342">
        <v>8.4000000000000005E-2</v>
      </c>
      <c r="J1846" s="342">
        <v>7.3999999999999996E-2</v>
      </c>
      <c r="K1846" s="342">
        <v>4.1000000000000002E-2</v>
      </c>
      <c r="L1846" s="342">
        <v>8.2000000000000003E-2</v>
      </c>
      <c r="M1846" s="342">
        <v>6.7000000000000004E-2</v>
      </c>
    </row>
    <row r="1847" spans="1:13">
      <c r="A1847" t="s">
        <v>1619</v>
      </c>
      <c r="B1847" s="342">
        <v>8.9999999999999993E-3</v>
      </c>
      <c r="C1847" s="342">
        <v>5.0000000000000001E-3</v>
      </c>
      <c r="D1847" s="342">
        <v>8.0000000000000002E-3</v>
      </c>
      <c r="E1847" s="342">
        <v>2E-3</v>
      </c>
      <c r="F1847" s="342">
        <v>2E-3</v>
      </c>
      <c r="G1847" s="342">
        <v>2E-3</v>
      </c>
      <c r="H1847" s="342">
        <v>1.4E-2</v>
      </c>
      <c r="I1847" s="342">
        <v>5.0000000000000001E-3</v>
      </c>
      <c r="J1847" s="342">
        <v>8.9999999999999993E-3</v>
      </c>
      <c r="K1847" s="342">
        <v>0.01</v>
      </c>
      <c r="L1847" s="342">
        <v>0.01</v>
      </c>
      <c r="M1847" s="342">
        <v>1.0999999999999999E-2</v>
      </c>
    </row>
    <row r="1848" spans="1:13">
      <c r="A1848" t="s">
        <v>1620</v>
      </c>
      <c r="B1848" s="342">
        <v>0.96299999999999997</v>
      </c>
      <c r="C1848" s="342">
        <v>1.399</v>
      </c>
      <c r="D1848" s="342">
        <v>1.1890000000000001</v>
      </c>
      <c r="E1848" s="342">
        <v>1.038</v>
      </c>
      <c r="F1848" s="342">
        <v>1.3839999999999999</v>
      </c>
      <c r="G1848" s="342">
        <v>1.2230000000000001</v>
      </c>
      <c r="H1848" s="342">
        <v>0.98599999999999999</v>
      </c>
      <c r="I1848" s="342">
        <v>1.52</v>
      </c>
      <c r="J1848" s="342">
        <v>1.2989999999999999</v>
      </c>
      <c r="K1848" s="342">
        <v>0.85499999999999998</v>
      </c>
      <c r="L1848" s="342">
        <v>1.0580000000000001</v>
      </c>
      <c r="M1848" s="342">
        <v>1.022</v>
      </c>
    </row>
    <row r="1849" spans="1:13">
      <c r="A1849" t="s">
        <v>2808</v>
      </c>
      <c r="B1849" s="342">
        <v>0.24</v>
      </c>
      <c r="C1849" s="342">
        <v>0.28599999999999998</v>
      </c>
      <c r="D1849" s="342">
        <v>0.30399999999999999</v>
      </c>
      <c r="E1849" s="342">
        <v>0.23100000000000001</v>
      </c>
      <c r="F1849" s="342">
        <v>0.28599999999999998</v>
      </c>
      <c r="G1849" s="342">
        <v>0.308</v>
      </c>
      <c r="H1849" s="342">
        <v>0.27500000000000002</v>
      </c>
      <c r="I1849" s="342">
        <v>0.247</v>
      </c>
      <c r="J1849" s="342">
        <v>0.29399999999999998</v>
      </c>
      <c r="K1849" s="342">
        <v>0.20499999999999999</v>
      </c>
      <c r="L1849" s="342">
        <v>0.40300000000000002</v>
      </c>
      <c r="M1849" s="342">
        <v>0.313</v>
      </c>
    </row>
    <row r="1850" spans="1:13">
      <c r="A1850" t="s">
        <v>2809</v>
      </c>
      <c r="B1850" s="342">
        <v>4.0000000000000001E-3</v>
      </c>
      <c r="C1850" s="342">
        <v>1.4E-2</v>
      </c>
      <c r="D1850" s="342">
        <v>1.0999999999999999E-2</v>
      </c>
      <c r="E1850" s="342">
        <v>1E-3</v>
      </c>
      <c r="F1850" s="342">
        <v>2.1999999999999999E-2</v>
      </c>
      <c r="G1850" s="342">
        <v>1.0999999999999999E-2</v>
      </c>
      <c r="H1850" s="342">
        <v>2E-3</v>
      </c>
      <c r="I1850" s="342">
        <v>1.4E-2</v>
      </c>
      <c r="J1850" s="342">
        <v>1.0999999999999999E-2</v>
      </c>
      <c r="K1850" s="342">
        <v>1.0999999999999999E-2</v>
      </c>
      <c r="L1850" s="342">
        <v>2E-3</v>
      </c>
      <c r="M1850" s="342">
        <v>1.0999999999999999E-2</v>
      </c>
    </row>
    <row r="1851" spans="1:13">
      <c r="A1851" t="s">
        <v>2810</v>
      </c>
      <c r="B1851" s="342">
        <v>0.254</v>
      </c>
      <c r="C1851" s="342">
        <v>0.214</v>
      </c>
      <c r="D1851" s="342">
        <v>0.26500000000000001</v>
      </c>
      <c r="E1851" s="342">
        <v>0.224</v>
      </c>
      <c r="F1851" s="342">
        <v>0.223</v>
      </c>
      <c r="G1851" s="342">
        <v>0.26100000000000001</v>
      </c>
      <c r="H1851" s="342">
        <v>0.28199999999999997</v>
      </c>
      <c r="I1851" s="342">
        <v>0.17199999999999999</v>
      </c>
      <c r="J1851" s="342">
        <v>0.23499999999999999</v>
      </c>
      <c r="K1851" s="342">
        <v>0.252</v>
      </c>
      <c r="L1851" s="342">
        <v>0.38300000000000001</v>
      </c>
      <c r="M1851" s="342">
        <v>0.317</v>
      </c>
    </row>
    <row r="1852" spans="1:13">
      <c r="A1852" t="s">
        <v>9</v>
      </c>
      <c r="B1852">
        <v>7.89</v>
      </c>
      <c r="C1852">
        <v>9.19</v>
      </c>
      <c r="D1852">
        <v>8.44</v>
      </c>
      <c r="E1852">
        <v>6.98</v>
      </c>
      <c r="F1852">
        <v>8.15</v>
      </c>
      <c r="G1852">
        <v>8.2200000000000006</v>
      </c>
      <c r="H1852">
        <v>7.65</v>
      </c>
      <c r="I1852">
        <v>10.23</v>
      </c>
      <c r="J1852">
        <v>9.19</v>
      </c>
      <c r="K1852">
        <v>10.02</v>
      </c>
      <c r="L1852">
        <v>7.54</v>
      </c>
      <c r="M1852">
        <v>7.66</v>
      </c>
    </row>
    <row r="1853" spans="1:13">
      <c r="A1853" t="s">
        <v>8</v>
      </c>
      <c r="B1853">
        <v>14.15</v>
      </c>
      <c r="C1853">
        <v>6.96</v>
      </c>
      <c r="D1853">
        <v>8.64</v>
      </c>
      <c r="E1853">
        <v>11.07</v>
      </c>
      <c r="F1853">
        <v>8.02</v>
      </c>
      <c r="G1853">
        <v>9.6199999999999992</v>
      </c>
      <c r="H1853">
        <v>14.7</v>
      </c>
      <c r="I1853">
        <v>6.46</v>
      </c>
      <c r="J1853">
        <v>7.85</v>
      </c>
      <c r="K1853">
        <v>20.43</v>
      </c>
      <c r="L1853">
        <v>7.75</v>
      </c>
      <c r="M1853">
        <v>9.18</v>
      </c>
    </row>
    <row r="1854" spans="1:13">
      <c r="A1854" t="s">
        <v>10</v>
      </c>
      <c r="B1854">
        <v>24.8</v>
      </c>
      <c r="C1854">
        <v>13.48</v>
      </c>
      <c r="D1854">
        <v>16.27</v>
      </c>
      <c r="E1854">
        <v>24.68</v>
      </c>
      <c r="F1854">
        <v>27.16</v>
      </c>
      <c r="G1854">
        <v>22.44</v>
      </c>
      <c r="H1854">
        <v>26.83</v>
      </c>
      <c r="I1854">
        <v>10.97</v>
      </c>
      <c r="J1854">
        <v>13.18</v>
      </c>
      <c r="K1854">
        <v>22.48</v>
      </c>
      <c r="L1854">
        <v>15.4</v>
      </c>
      <c r="M1854">
        <v>18.100000000000001</v>
      </c>
    </row>
    <row r="1855" spans="1:13">
      <c r="A1855" t="s">
        <v>1621</v>
      </c>
      <c r="B1855" s="342">
        <v>0.157</v>
      </c>
      <c r="C1855" s="342">
        <v>0.17799999999999999</v>
      </c>
      <c r="D1855" s="342">
        <v>0.17299999999999999</v>
      </c>
      <c r="E1855" s="342">
        <v>0.193</v>
      </c>
      <c r="F1855" s="342">
        <v>0.21099999999999999</v>
      </c>
      <c r="G1855" s="342">
        <v>0.18099999999999999</v>
      </c>
      <c r="H1855" s="342">
        <v>0.161</v>
      </c>
      <c r="I1855" s="342">
        <v>0.161</v>
      </c>
      <c r="J1855" s="342">
        <v>0.16</v>
      </c>
      <c r="K1855" s="342">
        <v>0.104</v>
      </c>
      <c r="L1855" s="342">
        <v>0.19700000000000001</v>
      </c>
      <c r="M1855" s="342">
        <v>0.184</v>
      </c>
    </row>
    <row r="1857" spans="1:13">
      <c r="A1857" t="s">
        <v>2926</v>
      </c>
    </row>
    <row r="1859" spans="1:13">
      <c r="A1859" t="s">
        <v>158</v>
      </c>
      <c r="B1859" t="s">
        <v>2806</v>
      </c>
      <c r="E1859">
        <v>2017</v>
      </c>
      <c r="H1859">
        <v>2018</v>
      </c>
      <c r="K1859">
        <v>2019</v>
      </c>
    </row>
    <row r="1860" spans="1:13">
      <c r="B1860" t="s">
        <v>1623</v>
      </c>
      <c r="C1860" t="s">
        <v>1624</v>
      </c>
      <c r="D1860" t="s">
        <v>1622</v>
      </c>
      <c r="E1860" t="s">
        <v>1623</v>
      </c>
      <c r="F1860" t="s">
        <v>1624</v>
      </c>
      <c r="G1860" t="s">
        <v>1622</v>
      </c>
      <c r="H1860" t="s">
        <v>1623</v>
      </c>
      <c r="I1860" t="s">
        <v>1624</v>
      </c>
      <c r="J1860" t="s">
        <v>1622</v>
      </c>
      <c r="K1860" t="s">
        <v>1623</v>
      </c>
      <c r="L1860" t="s">
        <v>1624</v>
      </c>
      <c r="M1860" t="s">
        <v>1622</v>
      </c>
    </row>
    <row r="1861" spans="1:13">
      <c r="A1861" t="s">
        <v>2807</v>
      </c>
      <c r="B1861" s="342">
        <v>0.41299999999999998</v>
      </c>
      <c r="C1861" s="342">
        <v>0.79200000000000004</v>
      </c>
      <c r="D1861" s="342">
        <v>0.70299999999999996</v>
      </c>
      <c r="E1861" s="342">
        <v>0.4</v>
      </c>
      <c r="F1861" s="342">
        <v>0.755</v>
      </c>
      <c r="G1861" s="342">
        <v>0.68700000000000006</v>
      </c>
      <c r="H1861" s="342">
        <v>0.41199999999999998</v>
      </c>
      <c r="I1861" s="342">
        <v>0.76</v>
      </c>
      <c r="J1861" s="342">
        <v>0.71399999999999997</v>
      </c>
      <c r="K1861" s="342">
        <v>0.42299999999999999</v>
      </c>
      <c r="L1861" s="342">
        <v>0.84099999999999997</v>
      </c>
      <c r="M1861" s="342">
        <v>0.70599999999999996</v>
      </c>
    </row>
    <row r="1862" spans="1:13">
      <c r="A1862" t="s">
        <v>1618</v>
      </c>
      <c r="B1862" s="342">
        <v>0.48799999999999999</v>
      </c>
      <c r="C1862" s="342">
        <v>0.193</v>
      </c>
      <c r="D1862" s="342">
        <v>0.247</v>
      </c>
      <c r="E1862" s="342">
        <v>0.495</v>
      </c>
      <c r="F1862" s="342">
        <v>0.24</v>
      </c>
      <c r="G1862" s="342">
        <v>0.26700000000000002</v>
      </c>
      <c r="H1862" s="342">
        <v>0.49399999999999999</v>
      </c>
      <c r="I1862" s="342">
        <v>0.23100000000000001</v>
      </c>
      <c r="J1862" s="342">
        <v>0.23699999999999999</v>
      </c>
      <c r="K1862" s="342">
        <v>0.47899999999999998</v>
      </c>
      <c r="L1862" s="342">
        <v>0.13200000000000001</v>
      </c>
      <c r="M1862" s="342">
        <v>0.24099999999999999</v>
      </c>
    </row>
    <row r="1863" spans="1:13">
      <c r="A1863" t="s">
        <v>1619</v>
      </c>
      <c r="B1863" s="342">
        <v>2.1999999999999999E-2</v>
      </c>
      <c r="C1863" s="342">
        <v>1.4E-2</v>
      </c>
      <c r="D1863" s="342">
        <v>1.4E-2</v>
      </c>
      <c r="E1863" s="342">
        <v>2.4E-2</v>
      </c>
      <c r="F1863" s="342">
        <v>4.0000000000000001E-3</v>
      </c>
      <c r="G1863" s="342">
        <v>0.01</v>
      </c>
      <c r="H1863" s="342">
        <v>2.3E-2</v>
      </c>
      <c r="I1863" s="342">
        <v>3.1E-2</v>
      </c>
      <c r="J1863" s="342">
        <v>1.6E-2</v>
      </c>
      <c r="K1863" s="342">
        <v>2.1000000000000001E-2</v>
      </c>
      <c r="L1863" s="342">
        <v>1.2E-2</v>
      </c>
      <c r="M1863" s="342">
        <v>1.4E-2</v>
      </c>
    </row>
    <row r="1864" spans="1:13">
      <c r="A1864" t="s">
        <v>1620</v>
      </c>
      <c r="B1864" s="342">
        <v>0.78900000000000003</v>
      </c>
      <c r="C1864" s="342">
        <v>1.264</v>
      </c>
      <c r="D1864" s="342">
        <v>1.129</v>
      </c>
      <c r="E1864" s="342">
        <v>0.85499999999999998</v>
      </c>
      <c r="F1864" s="342">
        <v>1.2669999999999999</v>
      </c>
      <c r="G1864" s="342">
        <v>1.2290000000000001</v>
      </c>
      <c r="H1864" s="342">
        <v>0.76800000000000002</v>
      </c>
      <c r="I1864" s="342">
        <v>1.0980000000000001</v>
      </c>
      <c r="J1864" s="342">
        <v>1.1080000000000001</v>
      </c>
      <c r="K1864" s="342">
        <v>0.77300000000000002</v>
      </c>
      <c r="L1864" s="342">
        <v>1.391</v>
      </c>
      <c r="M1864" s="342">
        <v>1.0760000000000001</v>
      </c>
    </row>
    <row r="1865" spans="1:13">
      <c r="A1865" t="s">
        <v>2808</v>
      </c>
      <c r="B1865" s="342">
        <v>0.25800000000000001</v>
      </c>
      <c r="C1865" s="342">
        <v>0.36</v>
      </c>
      <c r="D1865" s="342">
        <v>0.30399999999999999</v>
      </c>
      <c r="E1865" s="342">
        <v>0.32100000000000001</v>
      </c>
      <c r="F1865" s="342">
        <v>0.32500000000000001</v>
      </c>
      <c r="G1865" s="342">
        <v>0.34699999999999998</v>
      </c>
      <c r="H1865" s="342">
        <v>0.24399999999999999</v>
      </c>
      <c r="I1865" s="342">
        <v>0.28599999999999998</v>
      </c>
      <c r="J1865" s="342">
        <v>0.28399999999999997</v>
      </c>
      <c r="K1865" s="342">
        <v>0.23699999999999999</v>
      </c>
      <c r="L1865" s="342">
        <v>0.44800000000000001</v>
      </c>
      <c r="M1865" s="342">
        <v>0.29199999999999998</v>
      </c>
    </row>
    <row r="1866" spans="1:13">
      <c r="A1866" t="s">
        <v>2809</v>
      </c>
      <c r="B1866" s="342">
        <v>4.0000000000000001E-3</v>
      </c>
      <c r="C1866" s="342">
        <v>1.4999999999999999E-2</v>
      </c>
      <c r="D1866" s="342">
        <v>1.0999999999999999E-2</v>
      </c>
      <c r="E1866" s="342">
        <v>4.0000000000000001E-3</v>
      </c>
      <c r="F1866" s="342">
        <v>5.0000000000000001E-3</v>
      </c>
      <c r="G1866" s="342">
        <v>1.4E-2</v>
      </c>
      <c r="H1866" s="342">
        <v>5.0000000000000001E-3</v>
      </c>
      <c r="I1866" s="342">
        <v>5.0000000000000001E-3</v>
      </c>
      <c r="J1866" s="342">
        <v>0.01</v>
      </c>
      <c r="K1866" s="342">
        <v>4.0000000000000001E-3</v>
      </c>
      <c r="L1866" s="342">
        <v>3.1E-2</v>
      </c>
      <c r="M1866" s="342">
        <v>0.01</v>
      </c>
    </row>
    <row r="1867" spans="1:13">
      <c r="A1867" t="s">
        <v>2810</v>
      </c>
      <c r="B1867" s="342">
        <v>0.33300000000000002</v>
      </c>
      <c r="C1867" s="342">
        <v>0.29699999999999999</v>
      </c>
      <c r="D1867" s="342">
        <v>0.27900000000000003</v>
      </c>
      <c r="E1867" s="342">
        <v>0.38100000000000001</v>
      </c>
      <c r="F1867" s="342">
        <v>0.26</v>
      </c>
      <c r="G1867" s="342">
        <v>0.29299999999999998</v>
      </c>
      <c r="H1867" s="342">
        <v>0.32400000000000001</v>
      </c>
      <c r="I1867" s="342">
        <v>0.26500000000000001</v>
      </c>
      <c r="J1867" s="342">
        <v>0.26500000000000001</v>
      </c>
      <c r="K1867" s="342">
        <v>0.312</v>
      </c>
      <c r="L1867" s="342">
        <v>0.34499999999999997</v>
      </c>
      <c r="M1867" s="342">
        <v>0.28000000000000003</v>
      </c>
    </row>
    <row r="1868" spans="1:13">
      <c r="A1868" t="s">
        <v>9</v>
      </c>
      <c r="B1868">
        <v>14.97</v>
      </c>
      <c r="C1868">
        <v>8.39</v>
      </c>
      <c r="D1868">
        <v>10.09</v>
      </c>
      <c r="E1868">
        <v>13.08</v>
      </c>
      <c r="F1868">
        <v>8.0399999999999991</v>
      </c>
      <c r="G1868">
        <v>9.02</v>
      </c>
      <c r="H1868">
        <v>16.3</v>
      </c>
      <c r="I1868">
        <v>7.53</v>
      </c>
      <c r="J1868">
        <v>10.31</v>
      </c>
      <c r="K1868">
        <v>15.17</v>
      </c>
      <c r="L1868">
        <v>9.3800000000000008</v>
      </c>
      <c r="M1868">
        <v>10.97</v>
      </c>
    </row>
    <row r="1869" spans="1:13">
      <c r="A1869" t="s">
        <v>8</v>
      </c>
      <c r="B1869">
        <v>22.04</v>
      </c>
      <c r="C1869">
        <v>8.6199999999999992</v>
      </c>
      <c r="D1869">
        <v>12.8</v>
      </c>
      <c r="E1869">
        <v>36.14</v>
      </c>
      <c r="F1869">
        <v>9.9499999999999993</v>
      </c>
      <c r="G1869">
        <v>12.16</v>
      </c>
      <c r="H1869">
        <v>19.13</v>
      </c>
      <c r="I1869">
        <v>8.06</v>
      </c>
      <c r="J1869">
        <v>12.76</v>
      </c>
      <c r="K1869">
        <v>20.100000000000001</v>
      </c>
      <c r="L1869">
        <v>8.1300000000000008</v>
      </c>
      <c r="M1869">
        <v>13.46</v>
      </c>
    </row>
    <row r="1870" spans="1:13">
      <c r="A1870" t="s">
        <v>10</v>
      </c>
      <c r="B1870">
        <v>32.83</v>
      </c>
      <c r="C1870">
        <v>18.16</v>
      </c>
      <c r="D1870">
        <v>19.899999999999999</v>
      </c>
      <c r="E1870">
        <v>35.75</v>
      </c>
      <c r="F1870">
        <v>15.07</v>
      </c>
      <c r="G1870">
        <v>17.350000000000001</v>
      </c>
      <c r="H1870">
        <v>31.2</v>
      </c>
      <c r="I1870">
        <v>18.510000000000002</v>
      </c>
      <c r="J1870">
        <v>20.399999999999999</v>
      </c>
      <c r="K1870">
        <v>32.79</v>
      </c>
      <c r="L1870">
        <v>21.28</v>
      </c>
      <c r="M1870">
        <v>22.13</v>
      </c>
    </row>
    <row r="1871" spans="1:13">
      <c r="A1871" t="s">
        <v>1621</v>
      </c>
      <c r="B1871" s="342">
        <v>8.2000000000000003E-2</v>
      </c>
      <c r="C1871" s="342">
        <v>0.18</v>
      </c>
      <c r="D1871" s="342">
        <v>0.127</v>
      </c>
      <c r="E1871" s="342">
        <v>7.5999999999999998E-2</v>
      </c>
      <c r="F1871" s="342">
        <v>0.159</v>
      </c>
      <c r="G1871" s="342">
        <v>0.13500000000000001</v>
      </c>
      <c r="H1871" s="342">
        <v>8.2000000000000003E-2</v>
      </c>
      <c r="I1871" s="342">
        <v>0.20300000000000001</v>
      </c>
      <c r="J1871" s="342">
        <v>0.126</v>
      </c>
      <c r="K1871" s="342">
        <v>8.5000000000000006E-2</v>
      </c>
      <c r="L1871" s="342">
        <v>0.183</v>
      </c>
      <c r="M1871" s="342">
        <v>0.12</v>
      </c>
    </row>
    <row r="1873" spans="1:13">
      <c r="A1873" t="s">
        <v>2927</v>
      </c>
    </row>
    <row r="1875" spans="1:13">
      <c r="A1875" t="s">
        <v>158</v>
      </c>
      <c r="B1875" t="s">
        <v>2806</v>
      </c>
      <c r="E1875">
        <v>2017</v>
      </c>
      <c r="H1875">
        <v>2018</v>
      </c>
      <c r="K1875">
        <v>2019</v>
      </c>
    </row>
    <row r="1876" spans="1:13">
      <c r="B1876" t="s">
        <v>1623</v>
      </c>
      <c r="C1876" t="s">
        <v>1624</v>
      </c>
      <c r="D1876" t="s">
        <v>1622</v>
      </c>
      <c r="E1876" t="s">
        <v>1623</v>
      </c>
      <c r="F1876" t="s">
        <v>1624</v>
      </c>
      <c r="G1876" t="s">
        <v>1622</v>
      </c>
      <c r="H1876" t="s">
        <v>1623</v>
      </c>
      <c r="I1876" t="s">
        <v>1624</v>
      </c>
      <c r="J1876" t="s">
        <v>1622</v>
      </c>
      <c r="K1876" t="s">
        <v>1623</v>
      </c>
      <c r="L1876" t="s">
        <v>1624</v>
      </c>
      <c r="M1876" t="s">
        <v>1622</v>
      </c>
    </row>
    <row r="1877" spans="1:13">
      <c r="A1877" t="s">
        <v>2807</v>
      </c>
      <c r="B1877" s="342">
        <v>0.71299999999999997</v>
      </c>
      <c r="C1877" s="342">
        <v>0.92800000000000005</v>
      </c>
      <c r="D1877" s="342">
        <v>0.872</v>
      </c>
      <c r="E1877" s="342">
        <v>0.69699999999999995</v>
      </c>
      <c r="F1877" s="342">
        <v>0.90400000000000003</v>
      </c>
      <c r="G1877" s="342">
        <v>0.83499999999999996</v>
      </c>
      <c r="H1877" s="342">
        <v>0.746</v>
      </c>
      <c r="I1877" s="342">
        <v>0.94599999999999995</v>
      </c>
      <c r="J1877" s="342">
        <v>0.88200000000000001</v>
      </c>
      <c r="K1877" s="342">
        <v>0.68899999999999995</v>
      </c>
      <c r="L1877" s="342">
        <v>0.92200000000000004</v>
      </c>
      <c r="M1877" s="342">
        <v>0.88500000000000001</v>
      </c>
    </row>
    <row r="1878" spans="1:13">
      <c r="A1878" t="s">
        <v>1618</v>
      </c>
      <c r="B1878" s="342">
        <v>0.17599999999999999</v>
      </c>
      <c r="C1878" s="342">
        <v>5.8999999999999997E-2</v>
      </c>
      <c r="D1878" s="342">
        <v>8.5000000000000006E-2</v>
      </c>
      <c r="E1878" s="342">
        <v>0.19400000000000001</v>
      </c>
      <c r="F1878" s="342">
        <v>8.2000000000000003E-2</v>
      </c>
      <c r="G1878" s="342">
        <v>0.112</v>
      </c>
      <c r="H1878" s="342">
        <v>0.151</v>
      </c>
      <c r="I1878" s="342">
        <v>0.04</v>
      </c>
      <c r="J1878" s="342">
        <v>7.4999999999999997E-2</v>
      </c>
      <c r="K1878" s="342">
        <v>0.187</v>
      </c>
      <c r="L1878" s="342">
        <v>6.6000000000000003E-2</v>
      </c>
      <c r="M1878" s="342">
        <v>7.9000000000000001E-2</v>
      </c>
    </row>
    <row r="1879" spans="1:13">
      <c r="A1879" t="s">
        <v>1619</v>
      </c>
      <c r="B1879" s="342">
        <v>1.6E-2</v>
      </c>
      <c r="C1879" s="342">
        <v>0.01</v>
      </c>
      <c r="D1879" s="342">
        <v>1.0999999999999999E-2</v>
      </c>
      <c r="E1879" s="342">
        <v>4.0000000000000001E-3</v>
      </c>
      <c r="F1879" s="342">
        <v>5.0000000000000001E-3</v>
      </c>
      <c r="G1879" s="342">
        <v>4.0000000000000001E-3</v>
      </c>
      <c r="H1879" s="342">
        <v>0.02</v>
      </c>
      <c r="I1879" s="342">
        <v>1.0999999999999999E-2</v>
      </c>
      <c r="J1879" s="342">
        <v>1.2999999999999999E-2</v>
      </c>
      <c r="K1879" s="342">
        <v>2.8000000000000001E-2</v>
      </c>
      <c r="L1879" s="342">
        <v>1.0999999999999999E-2</v>
      </c>
      <c r="M1879" s="342">
        <v>1.4E-2</v>
      </c>
    </row>
    <row r="1880" spans="1:13">
      <c r="A1880" t="s">
        <v>1620</v>
      </c>
      <c r="B1880" s="342">
        <v>1.016</v>
      </c>
      <c r="C1880" s="342">
        <v>1.581</v>
      </c>
      <c r="D1880" s="342">
        <v>1.1519999999999999</v>
      </c>
      <c r="E1880" s="342">
        <v>1.0169999999999999</v>
      </c>
      <c r="F1880" s="342">
        <v>1.5</v>
      </c>
      <c r="G1880" s="342">
        <v>1.0409999999999999</v>
      </c>
      <c r="H1880" s="342">
        <v>0.995</v>
      </c>
      <c r="I1880" s="342">
        <v>1.5009999999999999</v>
      </c>
      <c r="J1880" s="342">
        <v>1.123</v>
      </c>
      <c r="K1880" s="342">
        <v>1.0429999999999999</v>
      </c>
      <c r="L1880" s="342">
        <v>1.72</v>
      </c>
      <c r="M1880" s="342">
        <v>1.28</v>
      </c>
    </row>
    <row r="1881" spans="1:13">
      <c r="A1881" t="s">
        <v>2808</v>
      </c>
      <c r="B1881" s="342">
        <v>0.45700000000000002</v>
      </c>
      <c r="C1881" s="342">
        <v>0.29599999999999999</v>
      </c>
      <c r="D1881" s="342">
        <v>0.308</v>
      </c>
      <c r="E1881" s="342">
        <v>0.45100000000000001</v>
      </c>
      <c r="F1881" s="342">
        <v>0.38100000000000001</v>
      </c>
      <c r="G1881" s="342">
        <v>0.36299999999999999</v>
      </c>
      <c r="H1881" s="342">
        <v>0.44</v>
      </c>
      <c r="I1881" s="342">
        <v>0.26700000000000002</v>
      </c>
      <c r="J1881" s="342">
        <v>0.28000000000000003</v>
      </c>
      <c r="K1881" s="342">
        <v>0.48799999999999999</v>
      </c>
      <c r="L1881" s="342">
        <v>0.28100000000000003</v>
      </c>
      <c r="M1881" s="342">
        <v>0.30099999999999999</v>
      </c>
    </row>
    <row r="1882" spans="1:13">
      <c r="A1882" t="s">
        <v>2809</v>
      </c>
      <c r="B1882" s="342">
        <v>8.0000000000000002E-3</v>
      </c>
      <c r="C1882" s="342">
        <v>1.0999999999999999E-2</v>
      </c>
      <c r="D1882" s="342">
        <v>7.0000000000000001E-3</v>
      </c>
      <c r="E1882" s="342">
        <v>5.0000000000000001E-3</v>
      </c>
      <c r="F1882" s="342">
        <v>2.1999999999999999E-2</v>
      </c>
      <c r="G1882" s="342">
        <v>8.0000000000000002E-3</v>
      </c>
      <c r="H1882" s="342">
        <v>5.0000000000000001E-3</v>
      </c>
      <c r="I1882" s="342">
        <v>6.0000000000000001E-3</v>
      </c>
      <c r="J1882" s="342">
        <v>5.0000000000000001E-3</v>
      </c>
      <c r="K1882" s="342">
        <v>1.6E-2</v>
      </c>
      <c r="L1882" s="342">
        <v>8.9999999999999993E-3</v>
      </c>
      <c r="M1882" s="342">
        <v>0.01</v>
      </c>
    </row>
    <row r="1883" spans="1:13">
      <c r="A1883" t="s">
        <v>2810</v>
      </c>
      <c r="B1883" s="342">
        <v>0.45800000000000002</v>
      </c>
      <c r="C1883" s="342">
        <v>0.19400000000000001</v>
      </c>
      <c r="D1883" s="342">
        <v>0.27400000000000002</v>
      </c>
      <c r="E1883" s="342">
        <v>0.44800000000000001</v>
      </c>
      <c r="F1883" s="342">
        <v>0.26900000000000002</v>
      </c>
      <c r="G1883" s="342">
        <v>0.35599999999999998</v>
      </c>
      <c r="H1883" s="342">
        <v>0.44800000000000001</v>
      </c>
      <c r="I1883" s="342">
        <v>0.182</v>
      </c>
      <c r="J1883" s="342">
        <v>0.254</v>
      </c>
      <c r="K1883" s="342">
        <v>0.48399999999999999</v>
      </c>
      <c r="L1883" s="342">
        <v>0.16900000000000001</v>
      </c>
      <c r="M1883" s="342">
        <v>0.24199999999999999</v>
      </c>
    </row>
    <row r="1884" spans="1:13">
      <c r="A1884" t="s">
        <v>9</v>
      </c>
      <c r="B1884">
        <v>7.28</v>
      </c>
      <c r="C1884">
        <v>11.31</v>
      </c>
      <c r="D1884">
        <v>10.19</v>
      </c>
      <c r="E1884">
        <v>7.71</v>
      </c>
      <c r="F1884">
        <v>8.9700000000000006</v>
      </c>
      <c r="G1884">
        <v>9.0500000000000007</v>
      </c>
      <c r="H1884">
        <v>7.39</v>
      </c>
      <c r="I1884">
        <v>11.32</v>
      </c>
      <c r="J1884">
        <v>10.77</v>
      </c>
      <c r="K1884">
        <v>6.67</v>
      </c>
      <c r="L1884">
        <v>13.02</v>
      </c>
      <c r="M1884">
        <v>10.4</v>
      </c>
    </row>
    <row r="1885" spans="1:13">
      <c r="A1885" t="s">
        <v>8</v>
      </c>
      <c r="B1885">
        <v>7.85</v>
      </c>
      <c r="C1885">
        <v>4.99</v>
      </c>
      <c r="D1885">
        <v>5.17</v>
      </c>
      <c r="E1885">
        <v>8.31</v>
      </c>
      <c r="F1885">
        <v>6.8</v>
      </c>
      <c r="G1885">
        <v>6.26</v>
      </c>
      <c r="H1885">
        <v>6.35</v>
      </c>
      <c r="I1885">
        <v>4.4400000000000004</v>
      </c>
      <c r="J1885">
        <v>4.4800000000000004</v>
      </c>
      <c r="K1885">
        <v>10.23</v>
      </c>
      <c r="L1885">
        <v>4.96</v>
      </c>
      <c r="M1885">
        <v>5.53</v>
      </c>
    </row>
    <row r="1886" spans="1:13">
      <c r="A1886" t="s">
        <v>10</v>
      </c>
      <c r="B1886">
        <v>20.16</v>
      </c>
      <c r="C1886">
        <v>19.03</v>
      </c>
      <c r="D1886">
        <v>25.15</v>
      </c>
      <c r="E1886">
        <v>16.23</v>
      </c>
      <c r="F1886">
        <v>19.059999999999999</v>
      </c>
      <c r="G1886">
        <v>22.88</v>
      </c>
      <c r="H1886">
        <v>33.07</v>
      </c>
      <c r="I1886">
        <v>18.850000000000001</v>
      </c>
      <c r="J1886">
        <v>26.98</v>
      </c>
      <c r="K1886">
        <v>16.87</v>
      </c>
      <c r="L1886">
        <v>19.2</v>
      </c>
      <c r="M1886">
        <v>24.79</v>
      </c>
    </row>
    <row r="1887" spans="1:13">
      <c r="A1887" t="s">
        <v>1621</v>
      </c>
      <c r="B1887" s="342">
        <v>0.215</v>
      </c>
      <c r="C1887" s="342">
        <v>0.23599999999999999</v>
      </c>
      <c r="D1887" s="342">
        <v>0.252</v>
      </c>
      <c r="E1887" s="342">
        <v>0.189</v>
      </c>
      <c r="F1887" s="342">
        <v>0.20599999999999999</v>
      </c>
      <c r="G1887" s="342">
        <v>0.22700000000000001</v>
      </c>
      <c r="H1887" s="342">
        <v>0.26200000000000001</v>
      </c>
      <c r="I1887" s="342">
        <v>0.26100000000000001</v>
      </c>
      <c r="J1887" s="342">
        <v>0.27900000000000003</v>
      </c>
      <c r="K1887" s="342">
        <v>0.188</v>
      </c>
      <c r="L1887" s="342">
        <v>0.22600000000000001</v>
      </c>
      <c r="M1887" s="342">
        <v>0.23699999999999999</v>
      </c>
    </row>
    <row r="1890" spans="1:13">
      <c r="A1890" t="s">
        <v>2928</v>
      </c>
    </row>
    <row r="1891" spans="1:13">
      <c r="A1891" t="s">
        <v>158</v>
      </c>
      <c r="B1891" t="s">
        <v>2806</v>
      </c>
      <c r="E1891">
        <v>2017</v>
      </c>
      <c r="H1891">
        <v>2018</v>
      </c>
      <c r="K1891">
        <v>2019</v>
      </c>
    </row>
    <row r="1892" spans="1:13">
      <c r="B1892" t="s">
        <v>1623</v>
      </c>
      <c r="C1892" t="s">
        <v>1624</v>
      </c>
      <c r="D1892" t="s">
        <v>1622</v>
      </c>
      <c r="E1892" t="s">
        <v>1623</v>
      </c>
      <c r="F1892" t="s">
        <v>1624</v>
      </c>
      <c r="G1892" t="s">
        <v>1622</v>
      </c>
      <c r="H1892" t="s">
        <v>1623</v>
      </c>
      <c r="I1892" t="s">
        <v>1624</v>
      </c>
      <c r="J1892" t="s">
        <v>1622</v>
      </c>
      <c r="K1892" t="s">
        <v>1623</v>
      </c>
      <c r="L1892" t="s">
        <v>1624</v>
      </c>
      <c r="M1892" t="s">
        <v>1622</v>
      </c>
    </row>
    <row r="1893" spans="1:13">
      <c r="A1893" t="s">
        <v>2807</v>
      </c>
      <c r="B1893" s="342">
        <v>0.77900000000000003</v>
      </c>
      <c r="C1893" s="342">
        <v>0.84299999999999997</v>
      </c>
      <c r="D1893" s="342">
        <v>0.74199999999999999</v>
      </c>
      <c r="E1893" s="342">
        <v>0.77600000000000002</v>
      </c>
      <c r="F1893" s="342">
        <v>0.84199999999999997</v>
      </c>
      <c r="G1893" s="342">
        <v>0.72899999999999998</v>
      </c>
      <c r="H1893" s="342">
        <v>0.81699999999999995</v>
      </c>
      <c r="I1893" s="342">
        <v>0.83699999999999997</v>
      </c>
      <c r="J1893" s="342">
        <v>0.74399999999999999</v>
      </c>
      <c r="K1893" s="342">
        <v>0.77</v>
      </c>
      <c r="L1893" s="342">
        <v>0.86699999999999999</v>
      </c>
      <c r="M1893" s="342">
        <v>0.755</v>
      </c>
    </row>
    <row r="1894" spans="1:13">
      <c r="A1894" t="s">
        <v>1618</v>
      </c>
      <c r="B1894" s="342">
        <v>0.13100000000000001</v>
      </c>
      <c r="C1894" s="342">
        <v>0.128</v>
      </c>
      <c r="D1894" s="342">
        <v>0.21099999999999999</v>
      </c>
      <c r="E1894" s="342">
        <v>0.13400000000000001</v>
      </c>
      <c r="F1894" s="342">
        <v>0.125</v>
      </c>
      <c r="G1894" s="342">
        <v>0.22</v>
      </c>
      <c r="H1894" s="342">
        <v>9.7000000000000003E-2</v>
      </c>
      <c r="I1894" s="342">
        <v>0.13400000000000001</v>
      </c>
      <c r="J1894" s="342">
        <v>0.20799999999999999</v>
      </c>
      <c r="K1894" s="342">
        <v>0.12</v>
      </c>
      <c r="L1894" s="342">
        <v>0.11700000000000001</v>
      </c>
      <c r="M1894" s="342">
        <v>0.20399999999999999</v>
      </c>
    </row>
    <row r="1895" spans="1:13">
      <c r="A1895" t="s">
        <v>1619</v>
      </c>
      <c r="B1895" s="342">
        <v>4.0000000000000001E-3</v>
      </c>
      <c r="C1895" s="342">
        <v>8.9999999999999993E-3</v>
      </c>
      <c r="D1895" s="342">
        <v>5.0000000000000001E-3</v>
      </c>
      <c r="E1895" s="342">
        <v>2E-3</v>
      </c>
      <c r="F1895" s="342">
        <v>3.0000000000000001E-3</v>
      </c>
      <c r="G1895" s="342">
        <v>4.0000000000000001E-3</v>
      </c>
      <c r="H1895" s="342">
        <v>1.7999999999999999E-2</v>
      </c>
      <c r="I1895" s="342">
        <v>1.0999999999999999E-2</v>
      </c>
      <c r="J1895" s="342">
        <v>5.0000000000000001E-3</v>
      </c>
      <c r="K1895" s="342">
        <v>1.9E-2</v>
      </c>
      <c r="L1895" s="342">
        <v>2.8000000000000001E-2</v>
      </c>
      <c r="M1895" s="342">
        <v>7.0000000000000001E-3</v>
      </c>
    </row>
    <row r="1896" spans="1:13">
      <c r="A1896" t="s">
        <v>1620</v>
      </c>
      <c r="B1896" s="342">
        <v>1.1379999999999999</v>
      </c>
      <c r="C1896" s="342">
        <v>0.93</v>
      </c>
      <c r="D1896" s="342">
        <v>1.1319999999999999</v>
      </c>
      <c r="E1896" s="342">
        <v>1.645</v>
      </c>
      <c r="F1896" s="342">
        <v>1.006</v>
      </c>
      <c r="G1896" s="342">
        <v>1.1850000000000001</v>
      </c>
      <c r="H1896" s="342">
        <v>0.25700000000000001</v>
      </c>
      <c r="I1896" s="342">
        <v>0.81599999999999995</v>
      </c>
      <c r="J1896" s="342">
        <v>1.135</v>
      </c>
      <c r="K1896" s="342">
        <v>0.65700000000000003</v>
      </c>
      <c r="L1896" s="342">
        <v>1.1759999999999999</v>
      </c>
      <c r="M1896" s="342">
        <v>1.081</v>
      </c>
    </row>
    <row r="1897" spans="1:13">
      <c r="A1897" t="s">
        <v>2808</v>
      </c>
      <c r="B1897" s="342">
        <v>0.41699999999999998</v>
      </c>
      <c r="C1897" s="342">
        <v>0.29899999999999999</v>
      </c>
      <c r="D1897" s="342">
        <v>0.35399999999999998</v>
      </c>
      <c r="E1897" s="342">
        <v>0.51</v>
      </c>
      <c r="F1897" s="342">
        <v>0.29399999999999998</v>
      </c>
      <c r="G1897" s="342">
        <v>0.36699999999999999</v>
      </c>
      <c r="H1897" s="342">
        <v>0.20499999999999999</v>
      </c>
      <c r="I1897" s="342">
        <v>0.28899999999999998</v>
      </c>
      <c r="J1897" s="342">
        <v>0.35699999999999998</v>
      </c>
      <c r="K1897" s="342">
        <v>0.54200000000000004</v>
      </c>
      <c r="L1897" s="342">
        <v>0.377</v>
      </c>
      <c r="M1897" s="342">
        <v>0.33900000000000002</v>
      </c>
    </row>
    <row r="1898" spans="1:13">
      <c r="A1898" t="s">
        <v>2809</v>
      </c>
      <c r="B1898" s="342">
        <v>2E-3</v>
      </c>
      <c r="C1898" s="342">
        <v>1.4999999999999999E-2</v>
      </c>
      <c r="D1898" s="342">
        <v>3.3000000000000002E-2</v>
      </c>
      <c r="E1898" s="342">
        <v>1E-3</v>
      </c>
      <c r="F1898" s="342">
        <v>1.4999999999999999E-2</v>
      </c>
      <c r="G1898" s="342">
        <v>3.1E-2</v>
      </c>
      <c r="H1898" s="342">
        <v>4.0000000000000001E-3</v>
      </c>
      <c r="I1898" s="342">
        <v>1.2E-2</v>
      </c>
      <c r="J1898" s="342">
        <v>3.1E-2</v>
      </c>
      <c r="K1898" s="342">
        <v>0</v>
      </c>
      <c r="L1898" s="342">
        <v>3.5999999999999997E-2</v>
      </c>
      <c r="M1898" s="342">
        <v>3.6999999999999998E-2</v>
      </c>
    </row>
    <row r="1899" spans="1:13">
      <c r="A1899" t="s">
        <v>2810</v>
      </c>
      <c r="B1899" s="342">
        <v>0.36799999999999999</v>
      </c>
      <c r="C1899" s="342">
        <v>0.33800000000000002</v>
      </c>
      <c r="D1899" s="342">
        <v>0.34200000000000003</v>
      </c>
      <c r="E1899" s="342">
        <v>0.311</v>
      </c>
      <c r="F1899" s="342">
        <v>0.307</v>
      </c>
      <c r="G1899" s="342">
        <v>0.33600000000000002</v>
      </c>
      <c r="H1899" s="342">
        <v>0.81499999999999995</v>
      </c>
      <c r="I1899" s="342">
        <v>0.36899999999999999</v>
      </c>
      <c r="J1899" s="342">
        <v>0.34200000000000003</v>
      </c>
      <c r="K1899" s="342">
        <v>0.82599999999999996</v>
      </c>
      <c r="L1899" s="342">
        <v>0.35099999999999998</v>
      </c>
      <c r="M1899" s="342">
        <v>0.34799999999999998</v>
      </c>
    </row>
    <row r="1900" spans="1:13">
      <c r="A1900" t="s">
        <v>9</v>
      </c>
      <c r="B1900">
        <v>8.48</v>
      </c>
      <c r="C1900">
        <v>6.29</v>
      </c>
      <c r="D1900">
        <v>9.09</v>
      </c>
      <c r="E1900">
        <v>9.36</v>
      </c>
      <c r="F1900">
        <v>7.25</v>
      </c>
      <c r="G1900">
        <v>8.85</v>
      </c>
      <c r="H1900">
        <v>4.66</v>
      </c>
      <c r="I1900">
        <v>5.82</v>
      </c>
      <c r="J1900">
        <v>8.83</v>
      </c>
      <c r="K1900">
        <v>5.27</v>
      </c>
      <c r="L1900">
        <v>5.15</v>
      </c>
      <c r="M1900">
        <v>9.6</v>
      </c>
    </row>
    <row r="1901" spans="1:13">
      <c r="A1901" t="s">
        <v>8</v>
      </c>
      <c r="B1901">
        <v>7.16</v>
      </c>
      <c r="C1901">
        <v>8.07</v>
      </c>
      <c r="D1901">
        <v>9.52</v>
      </c>
      <c r="E1901">
        <v>6.59</v>
      </c>
      <c r="F1901">
        <v>10.73</v>
      </c>
      <c r="G1901">
        <v>9.7100000000000009</v>
      </c>
      <c r="H1901">
        <v>16.25</v>
      </c>
      <c r="I1901">
        <v>6.16</v>
      </c>
      <c r="J1901">
        <v>9.59</v>
      </c>
      <c r="K1901">
        <v>51.82</v>
      </c>
      <c r="L1901">
        <v>9.34</v>
      </c>
      <c r="M1901">
        <v>9.26</v>
      </c>
    </row>
    <row r="1902" spans="1:13">
      <c r="A1902" t="s">
        <v>10</v>
      </c>
      <c r="B1902">
        <v>20.78</v>
      </c>
      <c r="C1902">
        <v>13.99</v>
      </c>
      <c r="D1902">
        <v>18.77</v>
      </c>
      <c r="E1902">
        <v>19.82</v>
      </c>
      <c r="F1902">
        <v>18.52</v>
      </c>
      <c r="G1902">
        <v>16.63</v>
      </c>
      <c r="H1902">
        <v>84.51</v>
      </c>
      <c r="I1902">
        <v>12.37</v>
      </c>
      <c r="J1902">
        <v>21.77</v>
      </c>
      <c r="K1902">
        <v>16.75</v>
      </c>
      <c r="L1902">
        <v>9.4700000000000006</v>
      </c>
      <c r="M1902">
        <v>18.87</v>
      </c>
    </row>
    <row r="1903" spans="1:13">
      <c r="A1903" t="s">
        <v>1621</v>
      </c>
      <c r="B1903" s="342">
        <v>0.20899999999999999</v>
      </c>
      <c r="C1903" s="342">
        <v>0.21099999999999999</v>
      </c>
      <c r="D1903" s="342">
        <v>0.16200000000000001</v>
      </c>
      <c r="E1903" s="342">
        <v>0.20799999999999999</v>
      </c>
      <c r="F1903" s="342">
        <v>0.17699999999999999</v>
      </c>
      <c r="G1903" s="342">
        <v>0.156</v>
      </c>
      <c r="H1903" s="342">
        <v>0.26400000000000001</v>
      </c>
      <c r="I1903" s="342">
        <v>0.253</v>
      </c>
      <c r="J1903" s="342">
        <v>0.17199999999999999</v>
      </c>
      <c r="K1903" s="342">
        <v>0.14899999999999999</v>
      </c>
      <c r="L1903" s="342">
        <v>0.19600000000000001</v>
      </c>
      <c r="M1903" s="342">
        <v>0.159</v>
      </c>
    </row>
    <row r="1905" spans="1:13">
      <c r="A1905" t="s">
        <v>2929</v>
      </c>
    </row>
    <row r="1907" spans="1:13">
      <c r="A1907" t="s">
        <v>158</v>
      </c>
      <c r="B1907" t="s">
        <v>2806</v>
      </c>
      <c r="E1907">
        <v>2017</v>
      </c>
      <c r="H1907">
        <v>2018</v>
      </c>
      <c r="K1907">
        <v>2019</v>
      </c>
    </row>
    <row r="1908" spans="1:13">
      <c r="B1908" t="s">
        <v>1623</v>
      </c>
      <c r="C1908" t="s">
        <v>1624</v>
      </c>
      <c r="D1908" t="s">
        <v>1622</v>
      </c>
      <c r="E1908" t="s">
        <v>1623</v>
      </c>
      <c r="F1908" t="s">
        <v>1624</v>
      </c>
      <c r="G1908" t="s">
        <v>1622</v>
      </c>
      <c r="H1908" t="s">
        <v>1623</v>
      </c>
      <c r="I1908" t="s">
        <v>1624</v>
      </c>
      <c r="J1908" t="s">
        <v>1622</v>
      </c>
      <c r="K1908" t="s">
        <v>1623</v>
      </c>
      <c r="L1908" t="s">
        <v>1624</v>
      </c>
      <c r="M1908" t="s">
        <v>1622</v>
      </c>
    </row>
    <row r="1909" spans="1:13">
      <c r="A1909" t="s">
        <v>2807</v>
      </c>
      <c r="B1909" s="342">
        <v>0.71699999999999997</v>
      </c>
      <c r="C1909" s="342">
        <v>0.86499999999999999</v>
      </c>
      <c r="D1909" s="342">
        <v>0.84099999999999997</v>
      </c>
      <c r="E1909" s="342">
        <v>0.71599999999999997</v>
      </c>
      <c r="F1909" s="342">
        <v>0.88700000000000001</v>
      </c>
      <c r="G1909" s="342">
        <v>0.84299999999999997</v>
      </c>
      <c r="H1909" s="342">
        <v>0.72499999999999998</v>
      </c>
      <c r="I1909" s="342">
        <v>0.88200000000000001</v>
      </c>
      <c r="J1909" s="342">
        <v>0.83199999999999996</v>
      </c>
      <c r="K1909" s="342">
        <v>0.70899999999999996</v>
      </c>
      <c r="L1909" s="342">
        <v>0.84399999999999997</v>
      </c>
      <c r="M1909" s="342">
        <v>0.84799999999999998</v>
      </c>
    </row>
    <row r="1910" spans="1:13">
      <c r="A1910" t="s">
        <v>1618</v>
      </c>
      <c r="B1910" s="342">
        <v>0.13100000000000001</v>
      </c>
      <c r="C1910" s="342">
        <v>0.121</v>
      </c>
      <c r="D1910" s="342">
        <v>0.11700000000000001</v>
      </c>
      <c r="E1910" s="342">
        <v>0.13200000000000001</v>
      </c>
      <c r="F1910" s="342">
        <v>0.10299999999999999</v>
      </c>
      <c r="G1910" s="342">
        <v>0.11600000000000001</v>
      </c>
      <c r="H1910" s="342">
        <v>0.121</v>
      </c>
      <c r="I1910" s="342">
        <v>0.10299999999999999</v>
      </c>
      <c r="J1910" s="342">
        <v>0.11600000000000001</v>
      </c>
      <c r="K1910" s="342">
        <v>0.14199999999999999</v>
      </c>
      <c r="L1910" s="342">
        <v>0.14099999999999999</v>
      </c>
      <c r="M1910" s="342">
        <v>0.11799999999999999</v>
      </c>
    </row>
    <row r="1911" spans="1:13">
      <c r="A1911" t="s">
        <v>1619</v>
      </c>
      <c r="B1911" s="342">
        <v>1.2999999999999999E-2</v>
      </c>
      <c r="C1911" s="342">
        <v>4.0000000000000001E-3</v>
      </c>
      <c r="D1911" s="342">
        <v>5.0000000000000001E-3</v>
      </c>
      <c r="E1911" s="342">
        <v>6.0000000000000001E-3</v>
      </c>
      <c r="F1911" s="342">
        <v>2E-3</v>
      </c>
      <c r="G1911" s="342">
        <v>2E-3</v>
      </c>
      <c r="H1911" s="342">
        <v>1.6E-2</v>
      </c>
      <c r="I1911" s="342">
        <v>4.0000000000000001E-3</v>
      </c>
      <c r="J1911" s="342">
        <v>5.0000000000000001E-3</v>
      </c>
      <c r="K1911" s="342">
        <v>1.6E-2</v>
      </c>
      <c r="L1911" s="342">
        <v>5.0000000000000001E-3</v>
      </c>
      <c r="M1911" s="342">
        <v>8.0000000000000002E-3</v>
      </c>
    </row>
    <row r="1912" spans="1:13">
      <c r="A1912" t="s">
        <v>1620</v>
      </c>
      <c r="B1912" s="342">
        <v>0.54600000000000004</v>
      </c>
      <c r="C1912" s="342">
        <v>1.2529999999999999</v>
      </c>
      <c r="D1912" s="342">
        <v>1.1080000000000001</v>
      </c>
      <c r="E1912" s="342">
        <v>0.54300000000000004</v>
      </c>
      <c r="F1912" s="342">
        <v>1.2270000000000001</v>
      </c>
      <c r="G1912" s="342">
        <v>1.238</v>
      </c>
      <c r="H1912" s="342">
        <v>0.53700000000000003</v>
      </c>
      <c r="I1912" s="342">
        <v>1.284</v>
      </c>
      <c r="J1912" s="342">
        <v>1</v>
      </c>
      <c r="K1912" s="342">
        <v>0.55900000000000005</v>
      </c>
      <c r="L1912" s="342">
        <v>1.238</v>
      </c>
      <c r="M1912" s="342">
        <v>1.121</v>
      </c>
    </row>
    <row r="1913" spans="1:13">
      <c r="A1913" t="s">
        <v>2808</v>
      </c>
      <c r="B1913" s="342">
        <v>0.20300000000000001</v>
      </c>
      <c r="C1913" s="342">
        <v>0.23599999999999999</v>
      </c>
      <c r="D1913" s="342">
        <v>0.23799999999999999</v>
      </c>
      <c r="E1913" s="342">
        <v>0.21199999999999999</v>
      </c>
      <c r="F1913" s="342">
        <v>0.251</v>
      </c>
      <c r="G1913" s="342">
        <v>0.26700000000000002</v>
      </c>
      <c r="H1913" s="342">
        <v>0.159</v>
      </c>
      <c r="I1913" s="342">
        <v>0.22500000000000001</v>
      </c>
      <c r="J1913" s="342">
        <v>0.21</v>
      </c>
      <c r="K1913" s="342">
        <v>0.24299999999999999</v>
      </c>
      <c r="L1913" s="342">
        <v>0.24</v>
      </c>
      <c r="M1913" s="342">
        <v>0.246</v>
      </c>
    </row>
    <row r="1914" spans="1:13">
      <c r="A1914" t="s">
        <v>2809</v>
      </c>
      <c r="B1914" s="342">
        <v>5.0000000000000001E-3</v>
      </c>
      <c r="C1914" s="342">
        <v>4.0000000000000001E-3</v>
      </c>
      <c r="D1914" s="342">
        <v>8.9999999999999993E-3</v>
      </c>
      <c r="E1914" s="342">
        <v>5.0000000000000001E-3</v>
      </c>
      <c r="F1914" s="342">
        <v>4.0000000000000001E-3</v>
      </c>
      <c r="G1914" s="342">
        <v>1.0999999999999999E-2</v>
      </c>
      <c r="H1914" s="342">
        <v>5.0000000000000001E-3</v>
      </c>
      <c r="I1914" s="342">
        <v>3.0000000000000001E-3</v>
      </c>
      <c r="J1914" s="342">
        <v>7.0000000000000001E-3</v>
      </c>
      <c r="K1914" s="342">
        <v>4.0000000000000001E-3</v>
      </c>
      <c r="L1914" s="342">
        <v>5.0000000000000001E-3</v>
      </c>
      <c r="M1914" s="342">
        <v>8.9999999999999993E-3</v>
      </c>
    </row>
    <row r="1915" spans="1:13">
      <c r="A1915" t="s">
        <v>2810</v>
      </c>
      <c r="B1915" s="342">
        <v>0.38</v>
      </c>
      <c r="C1915" s="342">
        <v>0.192</v>
      </c>
      <c r="D1915" s="342">
        <v>0.223</v>
      </c>
      <c r="E1915" s="342">
        <v>0.4</v>
      </c>
      <c r="F1915" s="342">
        <v>0.20799999999999999</v>
      </c>
      <c r="G1915" s="342">
        <v>0.22500000000000001</v>
      </c>
      <c r="H1915" s="342">
        <v>0.30499999999999999</v>
      </c>
      <c r="I1915" s="342">
        <v>0.17799999999999999</v>
      </c>
      <c r="J1915" s="342">
        <v>0.217</v>
      </c>
      <c r="K1915" s="342">
        <v>0.443</v>
      </c>
      <c r="L1915" s="342">
        <v>0.19800000000000001</v>
      </c>
      <c r="M1915" s="342">
        <v>0.22700000000000001</v>
      </c>
    </row>
    <row r="1916" spans="1:13">
      <c r="A1916" t="s">
        <v>9</v>
      </c>
      <c r="B1916">
        <v>5.34</v>
      </c>
      <c r="C1916">
        <v>6.85</v>
      </c>
      <c r="D1916">
        <v>7.35</v>
      </c>
      <c r="E1916">
        <v>5.39</v>
      </c>
      <c r="F1916">
        <v>6.58</v>
      </c>
      <c r="G1916">
        <v>7.87</v>
      </c>
      <c r="H1916">
        <v>5.23</v>
      </c>
      <c r="I1916">
        <v>7.48</v>
      </c>
      <c r="J1916">
        <v>7.54</v>
      </c>
      <c r="K1916">
        <v>5.43</v>
      </c>
      <c r="L1916">
        <v>6.49</v>
      </c>
      <c r="M1916">
        <v>6.77</v>
      </c>
    </row>
    <row r="1917" spans="1:13">
      <c r="A1917" t="s">
        <v>8</v>
      </c>
      <c r="B1917">
        <v>9.67</v>
      </c>
      <c r="C1917">
        <v>7.28</v>
      </c>
      <c r="D1917">
        <v>8.11</v>
      </c>
      <c r="E1917">
        <v>9.7200000000000006</v>
      </c>
      <c r="F1917">
        <v>7.64</v>
      </c>
      <c r="G1917">
        <v>9.32</v>
      </c>
      <c r="H1917">
        <v>9.65</v>
      </c>
      <c r="I1917">
        <v>6.44</v>
      </c>
      <c r="J1917">
        <v>7.79</v>
      </c>
      <c r="K1917">
        <v>9.64</v>
      </c>
      <c r="L1917">
        <v>7.99</v>
      </c>
      <c r="M1917">
        <v>7.54</v>
      </c>
    </row>
    <row r="1918" spans="1:13">
      <c r="A1918" t="s">
        <v>10</v>
      </c>
      <c r="B1918">
        <v>12.29</v>
      </c>
      <c r="C1918">
        <v>15.02</v>
      </c>
      <c r="D1918">
        <v>17.11</v>
      </c>
      <c r="E1918">
        <v>10.06</v>
      </c>
      <c r="F1918">
        <v>16.010000000000002</v>
      </c>
      <c r="G1918">
        <v>18.39</v>
      </c>
      <c r="H1918">
        <v>12.08</v>
      </c>
      <c r="I1918">
        <v>13.38</v>
      </c>
      <c r="J1918">
        <v>16.809999999999999</v>
      </c>
      <c r="K1918">
        <v>15.54</v>
      </c>
      <c r="L1918">
        <v>16.309999999999999</v>
      </c>
      <c r="M1918">
        <v>16.38</v>
      </c>
    </row>
    <row r="1919" spans="1:13">
      <c r="A1919" t="s">
        <v>1621</v>
      </c>
      <c r="B1919" s="342">
        <v>0.20899999999999999</v>
      </c>
      <c r="C1919" s="342">
        <v>0.217</v>
      </c>
      <c r="D1919" s="342">
        <v>0.20100000000000001</v>
      </c>
      <c r="E1919" s="342">
        <v>0.189</v>
      </c>
      <c r="F1919" s="342">
        <v>0.22</v>
      </c>
      <c r="G1919" s="342">
        <v>0.18</v>
      </c>
      <c r="H1919" s="342">
        <v>0.21199999999999999</v>
      </c>
      <c r="I1919" s="342">
        <v>0.214</v>
      </c>
      <c r="J1919" s="342">
        <v>0.20100000000000001</v>
      </c>
      <c r="K1919" s="342">
        <v>0.224</v>
      </c>
      <c r="L1919" s="342">
        <v>0.218</v>
      </c>
      <c r="M1919" s="342">
        <v>0.219</v>
      </c>
    </row>
    <row r="1921" spans="1:13">
      <c r="A1921" t="s">
        <v>2930</v>
      </c>
    </row>
    <row r="1923" spans="1:13">
      <c r="A1923" t="s">
        <v>158</v>
      </c>
      <c r="B1923" t="s">
        <v>2806</v>
      </c>
      <c r="E1923">
        <v>2017</v>
      </c>
      <c r="H1923">
        <v>2018</v>
      </c>
      <c r="K1923">
        <v>2019</v>
      </c>
    </row>
    <row r="1924" spans="1:13">
      <c r="B1924" t="s">
        <v>1623</v>
      </c>
      <c r="C1924" t="s">
        <v>1624</v>
      </c>
      <c r="D1924" t="s">
        <v>1622</v>
      </c>
      <c r="E1924" t="s">
        <v>1623</v>
      </c>
      <c r="F1924" t="s">
        <v>1624</v>
      </c>
      <c r="G1924" t="s">
        <v>1622</v>
      </c>
      <c r="H1924" t="s">
        <v>1623</v>
      </c>
      <c r="I1924" t="s">
        <v>1624</v>
      </c>
      <c r="J1924" t="s">
        <v>1622</v>
      </c>
      <c r="K1924" t="s">
        <v>1623</v>
      </c>
      <c r="L1924" t="s">
        <v>1624</v>
      </c>
      <c r="M1924" t="s">
        <v>1622</v>
      </c>
    </row>
    <row r="1925" spans="1:13">
      <c r="A1925" t="s">
        <v>2807</v>
      </c>
      <c r="B1925" s="342">
        <v>0.59299999999999997</v>
      </c>
      <c r="C1925" s="342">
        <v>0.67200000000000004</v>
      </c>
      <c r="D1925" s="342">
        <v>0.66200000000000003</v>
      </c>
      <c r="E1925" s="342">
        <v>0.59899999999999998</v>
      </c>
      <c r="F1925" s="342">
        <v>0.65500000000000003</v>
      </c>
      <c r="G1925" s="342">
        <v>0.66600000000000004</v>
      </c>
      <c r="H1925" s="342">
        <v>0.59199999999999997</v>
      </c>
      <c r="I1925" s="342">
        <v>0.63700000000000001</v>
      </c>
      <c r="J1925" s="342">
        <v>0.66300000000000003</v>
      </c>
      <c r="K1925" s="342">
        <v>0.59199999999999997</v>
      </c>
      <c r="L1925" s="342">
        <v>0.78100000000000003</v>
      </c>
      <c r="M1925" s="342">
        <v>0.65700000000000003</v>
      </c>
    </row>
    <row r="1926" spans="1:13">
      <c r="A1926" t="s">
        <v>1618</v>
      </c>
      <c r="B1926" s="342">
        <v>0.26800000000000002</v>
      </c>
      <c r="C1926" s="342">
        <v>0.30399999999999999</v>
      </c>
      <c r="D1926" s="342">
        <v>0.28899999999999998</v>
      </c>
      <c r="E1926" s="342">
        <v>0.27900000000000003</v>
      </c>
      <c r="F1926" s="342">
        <v>0.32100000000000001</v>
      </c>
      <c r="G1926" s="342">
        <v>0.29399999999999998</v>
      </c>
      <c r="H1926" s="342">
        <v>0.27200000000000002</v>
      </c>
      <c r="I1926" s="342">
        <v>0.33600000000000002</v>
      </c>
      <c r="J1926" s="342">
        <v>0.28799999999999998</v>
      </c>
      <c r="K1926" s="342">
        <v>0.25600000000000001</v>
      </c>
      <c r="L1926" s="342">
        <v>0.19800000000000001</v>
      </c>
      <c r="M1926" s="342">
        <v>0.28699999999999998</v>
      </c>
    </row>
    <row r="1927" spans="1:13">
      <c r="A1927" t="s">
        <v>1619</v>
      </c>
      <c r="B1927" s="342">
        <v>1.6E-2</v>
      </c>
      <c r="C1927" s="342">
        <v>1.6E-2</v>
      </c>
      <c r="D1927" s="342">
        <v>1.6E-2</v>
      </c>
      <c r="E1927" s="342">
        <v>1.2E-2</v>
      </c>
      <c r="F1927" s="342">
        <v>1.4E-2</v>
      </c>
      <c r="G1927" s="342">
        <v>1.2E-2</v>
      </c>
      <c r="H1927" s="342">
        <v>1.4999999999999999E-2</v>
      </c>
      <c r="I1927" s="342">
        <v>1.9E-2</v>
      </c>
      <c r="J1927" s="342">
        <v>1.4999999999999999E-2</v>
      </c>
      <c r="K1927" s="342">
        <v>1.7999999999999999E-2</v>
      </c>
      <c r="L1927" s="342">
        <v>1.4999999999999999E-2</v>
      </c>
      <c r="M1927" s="342">
        <v>0.02</v>
      </c>
    </row>
    <row r="1928" spans="1:13">
      <c r="A1928" t="s">
        <v>1620</v>
      </c>
      <c r="B1928" s="342">
        <v>0.60399999999999998</v>
      </c>
      <c r="C1928" s="342">
        <v>0.64500000000000002</v>
      </c>
      <c r="D1928" s="342">
        <v>0.74299999999999999</v>
      </c>
      <c r="E1928" s="342">
        <v>0.47299999999999998</v>
      </c>
      <c r="F1928" s="342">
        <v>0.59699999999999998</v>
      </c>
      <c r="G1928" s="342">
        <v>0.621</v>
      </c>
      <c r="H1928" s="342">
        <v>0.64</v>
      </c>
      <c r="I1928" s="342">
        <v>0.57999999999999996</v>
      </c>
      <c r="J1928" s="342">
        <v>0.71799999999999997</v>
      </c>
      <c r="K1928" s="342">
        <v>0.68500000000000005</v>
      </c>
      <c r="L1928" s="342">
        <v>1.093</v>
      </c>
      <c r="M1928" s="342">
        <v>0.91600000000000004</v>
      </c>
    </row>
    <row r="1929" spans="1:13">
      <c r="A1929" t="s">
        <v>2808</v>
      </c>
      <c r="B1929" s="342">
        <v>0.52800000000000002</v>
      </c>
      <c r="C1929" s="342">
        <v>0.29599999999999999</v>
      </c>
      <c r="D1929" s="342">
        <v>0.40699999999999997</v>
      </c>
      <c r="E1929" s="342">
        <v>0.53700000000000003</v>
      </c>
      <c r="F1929" s="342">
        <v>0.29499999999999998</v>
      </c>
      <c r="G1929" s="342">
        <v>0.36499999999999999</v>
      </c>
      <c r="H1929" s="342">
        <v>0.50800000000000001</v>
      </c>
      <c r="I1929" s="342">
        <v>0.215</v>
      </c>
      <c r="J1929" s="342">
        <v>0.36099999999999999</v>
      </c>
      <c r="K1929" s="342">
        <v>0.54</v>
      </c>
      <c r="L1929" s="342">
        <v>0.58499999999999996</v>
      </c>
      <c r="M1929" s="342">
        <v>0.51100000000000001</v>
      </c>
    </row>
    <row r="1930" spans="1:13">
      <c r="A1930" t="s">
        <v>2809</v>
      </c>
      <c r="B1930" s="342">
        <v>2.1999999999999999E-2</v>
      </c>
      <c r="C1930" s="342">
        <v>0.04</v>
      </c>
      <c r="D1930" s="342">
        <v>2.8000000000000001E-2</v>
      </c>
      <c r="E1930" s="342">
        <v>2.5000000000000001E-2</v>
      </c>
      <c r="F1930" s="342">
        <v>3.1E-2</v>
      </c>
      <c r="G1930" s="342">
        <v>2.7E-2</v>
      </c>
      <c r="H1930" s="342">
        <v>2.1000000000000001E-2</v>
      </c>
      <c r="I1930" s="342">
        <v>3.5999999999999997E-2</v>
      </c>
      <c r="J1930" s="342">
        <v>2.5999999999999999E-2</v>
      </c>
      <c r="K1930" s="342">
        <v>2.1000000000000001E-2</v>
      </c>
      <c r="L1930" s="342">
        <v>9.5000000000000001E-2</v>
      </c>
      <c r="M1930" s="342">
        <v>2.9000000000000001E-2</v>
      </c>
    </row>
    <row r="1931" spans="1:13">
      <c r="A1931" t="s">
        <v>2810</v>
      </c>
      <c r="B1931" s="342">
        <v>0.91200000000000003</v>
      </c>
      <c r="C1931" s="342">
        <v>0.52100000000000002</v>
      </c>
      <c r="D1931" s="342">
        <v>0.58399999999999996</v>
      </c>
      <c r="E1931" s="342">
        <v>1.1890000000000001</v>
      </c>
      <c r="F1931" s="342">
        <v>0.54600000000000004</v>
      </c>
      <c r="G1931" s="342">
        <v>0.63200000000000001</v>
      </c>
      <c r="H1931" s="342">
        <v>0.82799999999999996</v>
      </c>
      <c r="I1931" s="342">
        <v>0.433</v>
      </c>
      <c r="J1931" s="342">
        <v>0.53900000000000003</v>
      </c>
      <c r="K1931" s="342">
        <v>0.82</v>
      </c>
      <c r="L1931" s="342">
        <v>0.623</v>
      </c>
      <c r="M1931" s="342">
        <v>0.59</v>
      </c>
    </row>
    <row r="1932" spans="1:13">
      <c r="A1932" t="s">
        <v>9</v>
      </c>
      <c r="B1932">
        <v>8.42</v>
      </c>
      <c r="C1932">
        <v>9.0399999999999991</v>
      </c>
      <c r="D1932">
        <v>9.11</v>
      </c>
      <c r="E1932">
        <v>6.13</v>
      </c>
      <c r="F1932">
        <v>7.61</v>
      </c>
      <c r="G1932">
        <v>7.4</v>
      </c>
      <c r="H1932">
        <v>9.5500000000000007</v>
      </c>
      <c r="I1932">
        <v>12.15</v>
      </c>
      <c r="J1932">
        <v>9.94</v>
      </c>
      <c r="K1932">
        <v>9.58</v>
      </c>
      <c r="L1932">
        <v>9.0399999999999991</v>
      </c>
      <c r="M1932">
        <v>10.1</v>
      </c>
    </row>
    <row r="1933" spans="1:13">
      <c r="A1933" t="s">
        <v>8</v>
      </c>
      <c r="B1933">
        <v>13.88</v>
      </c>
      <c r="C1933">
        <v>18.48</v>
      </c>
      <c r="D1933">
        <v>15.78</v>
      </c>
      <c r="E1933">
        <v>9.9700000000000006</v>
      </c>
      <c r="F1933">
        <v>16.260000000000002</v>
      </c>
      <c r="G1933">
        <v>14.29</v>
      </c>
      <c r="H1933">
        <v>15.62</v>
      </c>
      <c r="I1933">
        <v>25.72</v>
      </c>
      <c r="J1933">
        <v>16.38</v>
      </c>
      <c r="K1933">
        <v>16.11</v>
      </c>
      <c r="L1933">
        <v>15.68</v>
      </c>
      <c r="M1933">
        <v>16.54</v>
      </c>
    </row>
    <row r="1934" spans="1:13">
      <c r="A1934" t="s">
        <v>10</v>
      </c>
      <c r="B1934">
        <v>22.2</v>
      </c>
      <c r="C1934">
        <v>11.66</v>
      </c>
      <c r="D1934">
        <v>14.55</v>
      </c>
      <c r="E1934">
        <v>16.47</v>
      </c>
      <c r="F1934">
        <v>11.31</v>
      </c>
      <c r="G1934">
        <v>12.08</v>
      </c>
      <c r="H1934">
        <v>27.92</v>
      </c>
      <c r="I1934">
        <v>12.48</v>
      </c>
      <c r="J1934">
        <v>15.49</v>
      </c>
      <c r="K1934">
        <v>22.74</v>
      </c>
      <c r="L1934">
        <v>11.17</v>
      </c>
      <c r="M1934">
        <v>16.16</v>
      </c>
    </row>
    <row r="1935" spans="1:13">
      <c r="A1935" t="s">
        <v>1621</v>
      </c>
      <c r="B1935" s="342">
        <v>0.14599999999999999</v>
      </c>
      <c r="C1935" s="342">
        <v>7.9000000000000001E-2</v>
      </c>
      <c r="D1935" s="342">
        <v>0.104</v>
      </c>
      <c r="E1935" s="342">
        <v>0.20300000000000001</v>
      </c>
      <c r="F1935" s="342">
        <v>0.105</v>
      </c>
      <c r="G1935" s="342">
        <v>0.122</v>
      </c>
      <c r="H1935" s="342">
        <v>0.13300000000000001</v>
      </c>
      <c r="I1935" s="342">
        <v>4.1000000000000002E-2</v>
      </c>
      <c r="J1935" s="342">
        <v>9.7000000000000003E-2</v>
      </c>
      <c r="K1935" s="342">
        <v>0.123</v>
      </c>
      <c r="L1935" s="342">
        <v>8.5000000000000006E-2</v>
      </c>
      <c r="M1935" s="342">
        <v>9.8000000000000004E-2</v>
      </c>
    </row>
    <row r="1937" spans="1:13">
      <c r="A1937" t="s">
        <v>2931</v>
      </c>
    </row>
    <row r="1939" spans="1:13">
      <c r="A1939" t="s">
        <v>158</v>
      </c>
      <c r="B1939" t="s">
        <v>2806</v>
      </c>
      <c r="E1939">
        <v>2017</v>
      </c>
      <c r="H1939">
        <v>2018</v>
      </c>
      <c r="K1939">
        <v>2019</v>
      </c>
    </row>
    <row r="1940" spans="1:13">
      <c r="B1940" t="s">
        <v>1623</v>
      </c>
      <c r="C1940" t="s">
        <v>1624</v>
      </c>
      <c r="D1940" t="s">
        <v>1622</v>
      </c>
      <c r="E1940" t="s">
        <v>1623</v>
      </c>
      <c r="F1940" t="s">
        <v>1624</v>
      </c>
      <c r="G1940" t="s">
        <v>1622</v>
      </c>
      <c r="H1940" t="s">
        <v>1623</v>
      </c>
      <c r="I1940" t="s">
        <v>1624</v>
      </c>
      <c r="J1940" t="s">
        <v>1622</v>
      </c>
      <c r="K1940" t="s">
        <v>1623</v>
      </c>
      <c r="L1940" t="s">
        <v>1624</v>
      </c>
      <c r="M1940" t="s">
        <v>1622</v>
      </c>
    </row>
    <row r="1941" spans="1:13">
      <c r="A1941" t="s">
        <v>2807</v>
      </c>
      <c r="B1941" s="342">
        <v>0.78600000000000003</v>
      </c>
      <c r="C1941" s="342">
        <v>0.86099999999999999</v>
      </c>
      <c r="D1941" s="342">
        <v>0.76300000000000001</v>
      </c>
      <c r="E1941" s="342">
        <v>0.85</v>
      </c>
      <c r="F1941" s="342">
        <v>0.91800000000000004</v>
      </c>
      <c r="G1941" s="342">
        <v>0.755</v>
      </c>
      <c r="H1941" s="342">
        <v>0.75900000000000001</v>
      </c>
      <c r="I1941" s="342">
        <v>0.85599999999999998</v>
      </c>
      <c r="J1941" s="342">
        <v>0.76500000000000001</v>
      </c>
      <c r="K1941" s="342">
        <v>0.72799999999999998</v>
      </c>
      <c r="L1941" s="342">
        <v>0.82899999999999996</v>
      </c>
      <c r="M1941" s="342">
        <v>0.76900000000000002</v>
      </c>
    </row>
    <row r="1942" spans="1:13">
      <c r="A1942" t="s">
        <v>1618</v>
      </c>
      <c r="B1942" s="342">
        <v>0.13</v>
      </c>
      <c r="C1942" s="342">
        <v>0.11799999999999999</v>
      </c>
      <c r="D1942" s="342">
        <v>0.19900000000000001</v>
      </c>
      <c r="E1942" s="342">
        <v>9.4E-2</v>
      </c>
      <c r="F1942" s="342">
        <v>7.5999999999999998E-2</v>
      </c>
      <c r="G1942" s="342">
        <v>0.20699999999999999</v>
      </c>
      <c r="H1942" s="342">
        <v>0.13300000000000001</v>
      </c>
      <c r="I1942" s="342">
        <v>0.113</v>
      </c>
      <c r="J1942" s="342">
        <v>0.191</v>
      </c>
      <c r="K1942" s="342">
        <v>0.16700000000000001</v>
      </c>
      <c r="L1942" s="342">
        <v>0.157</v>
      </c>
      <c r="M1942" s="342">
        <v>0.20100000000000001</v>
      </c>
    </row>
    <row r="1943" spans="1:13">
      <c r="A1943" t="s">
        <v>1619</v>
      </c>
      <c r="B1943" s="342">
        <v>1.2999999999999999E-2</v>
      </c>
      <c r="C1943" s="342">
        <v>3.0000000000000001E-3</v>
      </c>
      <c r="D1943" s="342">
        <v>1.2E-2</v>
      </c>
      <c r="E1943" s="342">
        <v>0</v>
      </c>
      <c r="F1943" s="342">
        <v>1E-3</v>
      </c>
      <c r="G1943" s="342">
        <v>1.0999999999999999E-2</v>
      </c>
      <c r="H1943" s="342">
        <v>2.4E-2</v>
      </c>
      <c r="I1943" s="342">
        <v>3.0000000000000001E-3</v>
      </c>
      <c r="J1943" s="342">
        <v>1.0999999999999999E-2</v>
      </c>
      <c r="K1943" s="342">
        <v>2.3E-2</v>
      </c>
      <c r="L1943" s="342">
        <v>5.0000000000000001E-3</v>
      </c>
      <c r="M1943" s="342">
        <v>1.4E-2</v>
      </c>
    </row>
    <row r="1944" spans="1:13">
      <c r="A1944" t="s">
        <v>1620</v>
      </c>
      <c r="B1944" s="342">
        <v>0.68500000000000005</v>
      </c>
      <c r="C1944" s="342">
        <v>1.0069999999999999</v>
      </c>
      <c r="D1944" s="342">
        <v>0.73499999999999999</v>
      </c>
      <c r="E1944" s="342">
        <v>1.0249999999999999</v>
      </c>
      <c r="F1944" s="342">
        <v>1.1599999999999999</v>
      </c>
      <c r="G1944" s="342">
        <v>0.81699999999999995</v>
      </c>
      <c r="H1944" s="342">
        <v>0.54400000000000004</v>
      </c>
      <c r="I1944" s="342">
        <v>1.056</v>
      </c>
      <c r="J1944" s="342">
        <v>0.78600000000000003</v>
      </c>
      <c r="K1944" s="342">
        <v>0.54200000000000004</v>
      </c>
      <c r="L1944" s="342">
        <v>0.85199999999999998</v>
      </c>
      <c r="M1944" s="342">
        <v>0.63300000000000001</v>
      </c>
    </row>
    <row r="1945" spans="1:13">
      <c r="A1945" t="s">
        <v>2808</v>
      </c>
      <c r="B1945" s="342">
        <v>0.52800000000000002</v>
      </c>
      <c r="C1945" s="342">
        <v>0.33500000000000002</v>
      </c>
      <c r="D1945" s="342">
        <v>0.34799999999999998</v>
      </c>
      <c r="E1945" s="342">
        <v>0.66600000000000004</v>
      </c>
      <c r="F1945" s="342">
        <v>0.19400000000000001</v>
      </c>
      <c r="G1945" s="342">
        <v>0.376</v>
      </c>
      <c r="H1945" s="342">
        <v>0.88600000000000001</v>
      </c>
      <c r="I1945" s="342">
        <v>0.33400000000000002</v>
      </c>
      <c r="J1945" s="342">
        <v>0.38</v>
      </c>
      <c r="K1945" s="342">
        <v>0.32200000000000001</v>
      </c>
      <c r="L1945" s="342">
        <v>0.41299999999999998</v>
      </c>
      <c r="M1945" s="342">
        <v>0.30199999999999999</v>
      </c>
    </row>
    <row r="1946" spans="1:13">
      <c r="A1946" t="s">
        <v>2809</v>
      </c>
      <c r="B1946" s="342">
        <v>8.0000000000000002E-3</v>
      </c>
      <c r="C1946" s="342">
        <v>7.0000000000000001E-3</v>
      </c>
      <c r="D1946" s="342">
        <v>2.5999999999999999E-2</v>
      </c>
      <c r="E1946" s="342">
        <v>0</v>
      </c>
      <c r="F1946" s="342">
        <v>8.0000000000000002E-3</v>
      </c>
      <c r="G1946" s="342">
        <v>2.7E-2</v>
      </c>
      <c r="H1946" s="342">
        <v>0</v>
      </c>
      <c r="I1946" s="342">
        <v>6.0000000000000001E-3</v>
      </c>
      <c r="J1946" s="342">
        <v>2.5999999999999999E-2</v>
      </c>
      <c r="K1946" s="342">
        <v>1.6E-2</v>
      </c>
      <c r="L1946" s="342">
        <v>6.0000000000000001E-3</v>
      </c>
      <c r="M1946" s="342">
        <v>2.4E-2</v>
      </c>
    </row>
    <row r="1947" spans="1:13">
      <c r="A1947" t="s">
        <v>2810</v>
      </c>
      <c r="B1947" s="342">
        <v>0.78400000000000003</v>
      </c>
      <c r="C1947" s="342">
        <v>0.33900000000000002</v>
      </c>
      <c r="D1947" s="342">
        <v>0.50900000000000001</v>
      </c>
      <c r="E1947" s="342">
        <v>0.65</v>
      </c>
      <c r="F1947" s="342">
        <v>0.17399999999999999</v>
      </c>
      <c r="G1947" s="342">
        <v>0.49399999999999999</v>
      </c>
      <c r="H1947" s="342">
        <v>1.63</v>
      </c>
      <c r="I1947" s="342">
        <v>0.32200000000000001</v>
      </c>
      <c r="J1947" s="342">
        <v>0.51700000000000002</v>
      </c>
      <c r="K1947" s="342">
        <v>0.625</v>
      </c>
      <c r="L1947" s="342">
        <v>0.49199999999999999</v>
      </c>
      <c r="M1947" s="342">
        <v>0.51400000000000001</v>
      </c>
    </row>
    <row r="1948" spans="1:13">
      <c r="A1948" t="s">
        <v>9</v>
      </c>
      <c r="B1948">
        <v>8.6300000000000008</v>
      </c>
      <c r="C1948">
        <v>9.94</v>
      </c>
      <c r="D1948">
        <v>11.73</v>
      </c>
      <c r="E1948">
        <v>12.65</v>
      </c>
      <c r="F1948">
        <v>10.99</v>
      </c>
      <c r="G1948">
        <v>10.67</v>
      </c>
      <c r="H1948">
        <v>9.8000000000000007</v>
      </c>
      <c r="I1948">
        <v>9.56</v>
      </c>
      <c r="J1948">
        <v>11.32</v>
      </c>
      <c r="K1948">
        <v>6.24</v>
      </c>
      <c r="L1948">
        <v>9.92</v>
      </c>
      <c r="M1948">
        <v>13.48</v>
      </c>
    </row>
    <row r="1949" spans="1:13">
      <c r="A1949" t="s">
        <v>8</v>
      </c>
      <c r="B1949">
        <v>8.94</v>
      </c>
      <c r="C1949">
        <v>6.56</v>
      </c>
      <c r="D1949">
        <v>7.96</v>
      </c>
      <c r="E1949">
        <v>5.63</v>
      </c>
      <c r="F1949">
        <v>5.99</v>
      </c>
      <c r="G1949">
        <v>8.65</v>
      </c>
      <c r="H1949">
        <v>12.44</v>
      </c>
      <c r="I1949">
        <v>6.5</v>
      </c>
      <c r="J1949">
        <v>7.97</v>
      </c>
      <c r="K1949">
        <v>19.18</v>
      </c>
      <c r="L1949">
        <v>7.2</v>
      </c>
      <c r="M1949">
        <v>7.4</v>
      </c>
    </row>
    <row r="1950" spans="1:13">
      <c r="A1950" t="s">
        <v>10</v>
      </c>
      <c r="B1950">
        <v>35.58</v>
      </c>
      <c r="C1950">
        <v>20.27</v>
      </c>
      <c r="D1950">
        <v>12.41</v>
      </c>
      <c r="E1950">
        <v>28.37</v>
      </c>
      <c r="F1950">
        <v>27.24</v>
      </c>
      <c r="G1950">
        <v>16.12</v>
      </c>
      <c r="H1950">
        <v>24.66</v>
      </c>
      <c r="I1950">
        <v>18.22</v>
      </c>
      <c r="J1950">
        <v>13.54</v>
      </c>
      <c r="K1950">
        <v>62.59</v>
      </c>
      <c r="L1950">
        <v>20.48</v>
      </c>
      <c r="M1950">
        <v>9.5299999999999994</v>
      </c>
    </row>
    <row r="1951" spans="1:13">
      <c r="A1951" t="s">
        <v>1621</v>
      </c>
      <c r="B1951" s="342">
        <v>0.2</v>
      </c>
      <c r="C1951" s="342">
        <v>0.20399999999999999</v>
      </c>
      <c r="D1951" s="342">
        <v>0.13</v>
      </c>
      <c r="E1951" s="342">
        <v>0.222</v>
      </c>
      <c r="F1951" s="342">
        <v>0.221</v>
      </c>
      <c r="G1951" s="342">
        <v>0.14699999999999999</v>
      </c>
      <c r="H1951" s="342">
        <v>0.14199999999999999</v>
      </c>
      <c r="I1951" s="342">
        <v>0.20399999999999999</v>
      </c>
      <c r="J1951" s="342">
        <v>0.14000000000000001</v>
      </c>
      <c r="K1951" s="342">
        <v>0.19600000000000001</v>
      </c>
      <c r="L1951" s="342">
        <v>0.191</v>
      </c>
      <c r="M1951" s="342">
        <v>0.105</v>
      </c>
    </row>
    <row r="1953" spans="1:13">
      <c r="A1953" t="s">
        <v>2932</v>
      </c>
    </row>
    <row r="1955" spans="1:13">
      <c r="A1955" t="s">
        <v>158</v>
      </c>
      <c r="B1955" t="s">
        <v>2806</v>
      </c>
      <c r="E1955">
        <v>2017</v>
      </c>
      <c r="H1955">
        <v>2018</v>
      </c>
      <c r="K1955">
        <v>2019</v>
      </c>
    </row>
    <row r="1956" spans="1:13">
      <c r="B1956" t="s">
        <v>1623</v>
      </c>
      <c r="C1956" t="s">
        <v>1624</v>
      </c>
      <c r="D1956" t="s">
        <v>1622</v>
      </c>
      <c r="E1956" t="s">
        <v>1623</v>
      </c>
      <c r="F1956" t="s">
        <v>1624</v>
      </c>
      <c r="G1956" t="s">
        <v>1622</v>
      </c>
      <c r="H1956" t="s">
        <v>1623</v>
      </c>
      <c r="I1956" t="s">
        <v>1624</v>
      </c>
      <c r="J1956" t="s">
        <v>1622</v>
      </c>
      <c r="K1956" t="s">
        <v>1623</v>
      </c>
      <c r="L1956" t="s">
        <v>1624</v>
      </c>
      <c r="M1956" t="s">
        <v>1622</v>
      </c>
    </row>
    <row r="1957" spans="1:13">
      <c r="A1957" t="s">
        <v>2807</v>
      </c>
      <c r="B1957" s="342">
        <v>0.73699999999999999</v>
      </c>
      <c r="C1957" s="342">
        <v>0.72299999999999998</v>
      </c>
      <c r="D1957" s="342">
        <v>0.77200000000000002</v>
      </c>
      <c r="E1957" s="342">
        <v>0.72499999999999998</v>
      </c>
      <c r="F1957" s="342">
        <v>0.70199999999999996</v>
      </c>
      <c r="G1957" s="342">
        <v>0.76100000000000001</v>
      </c>
      <c r="H1957" s="342">
        <v>0.74099999999999999</v>
      </c>
      <c r="I1957" s="342">
        <v>0.73699999999999999</v>
      </c>
      <c r="J1957" s="342">
        <v>0.77800000000000002</v>
      </c>
      <c r="K1957" s="342">
        <v>0.73499999999999999</v>
      </c>
      <c r="L1957" s="342">
        <v>0.74199999999999999</v>
      </c>
      <c r="M1957" s="342">
        <v>0.77600000000000002</v>
      </c>
    </row>
    <row r="1958" spans="1:13">
      <c r="A1958" t="s">
        <v>1618</v>
      </c>
      <c r="B1958" s="342">
        <v>0.14199999999999999</v>
      </c>
      <c r="C1958" s="342">
        <v>0.245</v>
      </c>
      <c r="D1958" s="342">
        <v>0.17499999999999999</v>
      </c>
      <c r="E1958" s="342">
        <v>0.13700000000000001</v>
      </c>
      <c r="F1958" s="342">
        <v>0.26</v>
      </c>
      <c r="G1958" s="342">
        <v>0.186</v>
      </c>
      <c r="H1958" s="342">
        <v>0.14399999999999999</v>
      </c>
      <c r="I1958" s="342">
        <v>0.23300000000000001</v>
      </c>
      <c r="J1958" s="342">
        <v>0.16800000000000001</v>
      </c>
      <c r="K1958" s="342">
        <v>0.14000000000000001</v>
      </c>
      <c r="L1958" s="342">
        <v>0.23200000000000001</v>
      </c>
      <c r="M1958" s="342">
        <v>0.17199999999999999</v>
      </c>
    </row>
    <row r="1959" spans="1:13">
      <c r="A1959" t="s">
        <v>1619</v>
      </c>
      <c r="B1959" s="342">
        <v>1.4E-2</v>
      </c>
      <c r="C1959" s="342">
        <v>1.4E-2</v>
      </c>
      <c r="D1959" s="342">
        <v>8.9999999999999993E-3</v>
      </c>
      <c r="E1959" s="342">
        <v>1.0999999999999999E-2</v>
      </c>
      <c r="F1959" s="342">
        <v>0.01</v>
      </c>
      <c r="G1959" s="342">
        <v>6.0000000000000001E-3</v>
      </c>
      <c r="H1959" s="342">
        <v>6.0000000000000001E-3</v>
      </c>
      <c r="I1959" s="342">
        <v>1.2999999999999999E-2</v>
      </c>
      <c r="J1959" s="342">
        <v>8.0000000000000002E-3</v>
      </c>
      <c r="K1959" s="342">
        <v>2.1000000000000001E-2</v>
      </c>
      <c r="L1959" s="342">
        <v>1.9E-2</v>
      </c>
      <c r="M1959" s="342">
        <v>1.2E-2</v>
      </c>
    </row>
    <row r="1960" spans="1:13">
      <c r="A1960" t="s">
        <v>1620</v>
      </c>
      <c r="B1960" s="342">
        <v>1.111</v>
      </c>
      <c r="C1960" s="342">
        <v>0.78400000000000003</v>
      </c>
      <c r="D1960" s="342">
        <v>0.97199999999999998</v>
      </c>
      <c r="E1960" s="342">
        <v>0.77600000000000002</v>
      </c>
      <c r="F1960" s="342">
        <v>0.77900000000000003</v>
      </c>
      <c r="G1960" s="342">
        <v>1.008</v>
      </c>
      <c r="H1960" s="342">
        <v>1.125</v>
      </c>
      <c r="I1960" s="342">
        <v>0.75800000000000001</v>
      </c>
      <c r="J1960" s="342">
        <v>0.96099999999999997</v>
      </c>
      <c r="K1960" s="342">
        <v>1.1399999999999999</v>
      </c>
      <c r="L1960" s="342">
        <v>0.79800000000000004</v>
      </c>
      <c r="M1960" s="342">
        <v>0.95099999999999996</v>
      </c>
    </row>
    <row r="1961" spans="1:13">
      <c r="A1961" t="s">
        <v>2808</v>
      </c>
      <c r="B1961" s="342">
        <v>0.50700000000000001</v>
      </c>
      <c r="C1961" s="342">
        <v>0.32100000000000001</v>
      </c>
      <c r="D1961" s="342">
        <v>0.38600000000000001</v>
      </c>
      <c r="E1961" s="342">
        <v>0.45600000000000002</v>
      </c>
      <c r="F1961" s="342">
        <v>0.30599999999999999</v>
      </c>
      <c r="G1961" s="342">
        <v>0.38900000000000001</v>
      </c>
      <c r="H1961" s="342">
        <v>0.53600000000000003</v>
      </c>
      <c r="I1961" s="342">
        <v>0.24</v>
      </c>
      <c r="J1961" s="342">
        <v>0.377</v>
      </c>
      <c r="K1961" s="342">
        <v>0.48899999999999999</v>
      </c>
      <c r="L1961" s="342">
        <v>0.36499999999999999</v>
      </c>
      <c r="M1961" s="342">
        <v>0.39300000000000002</v>
      </c>
    </row>
    <row r="1962" spans="1:13">
      <c r="A1962" t="s">
        <v>2809</v>
      </c>
      <c r="B1962" s="342">
        <v>7.0000000000000001E-3</v>
      </c>
      <c r="C1962" s="342">
        <v>6.0000000000000001E-3</v>
      </c>
      <c r="D1962" s="342">
        <v>7.0000000000000001E-3</v>
      </c>
      <c r="E1962" s="342">
        <v>1.4999999999999999E-2</v>
      </c>
      <c r="F1962" s="342">
        <v>7.0000000000000001E-3</v>
      </c>
      <c r="G1962" s="342">
        <v>6.0000000000000001E-3</v>
      </c>
      <c r="H1962" s="342">
        <v>7.0000000000000001E-3</v>
      </c>
      <c r="I1962" s="342">
        <v>1E-3</v>
      </c>
      <c r="J1962" s="342">
        <v>7.0000000000000001E-3</v>
      </c>
      <c r="K1962" s="342">
        <v>7.0000000000000001E-3</v>
      </c>
      <c r="L1962" s="342">
        <v>8.0000000000000002E-3</v>
      </c>
      <c r="M1962" s="342">
        <v>7.0000000000000001E-3</v>
      </c>
    </row>
    <row r="1963" spans="1:13">
      <c r="A1963" t="s">
        <v>2810</v>
      </c>
      <c r="B1963" s="342">
        <v>0.46300000000000002</v>
      </c>
      <c r="C1963" s="342">
        <v>0.41699999999999998</v>
      </c>
      <c r="D1963" s="342">
        <v>0.40400000000000003</v>
      </c>
      <c r="E1963" s="342">
        <v>0.60799999999999998</v>
      </c>
      <c r="F1963" s="342">
        <v>0.40100000000000002</v>
      </c>
      <c r="G1963" s="342">
        <v>0.39200000000000002</v>
      </c>
      <c r="H1963" s="342">
        <v>0.48299999999999998</v>
      </c>
      <c r="I1963" s="342">
        <v>0.318</v>
      </c>
      <c r="J1963" s="342">
        <v>0.4</v>
      </c>
      <c r="K1963" s="342">
        <v>0.435</v>
      </c>
      <c r="L1963" s="342">
        <v>0.46700000000000003</v>
      </c>
      <c r="M1963" s="342">
        <v>0.42</v>
      </c>
    </row>
    <row r="1964" spans="1:13">
      <c r="A1964" t="s">
        <v>9</v>
      </c>
      <c r="B1964">
        <v>10.3</v>
      </c>
      <c r="C1964">
        <v>11.53</v>
      </c>
      <c r="D1964">
        <v>10.220000000000001</v>
      </c>
      <c r="E1964">
        <v>6.98</v>
      </c>
      <c r="F1964">
        <v>11.28</v>
      </c>
      <c r="G1964">
        <v>10.130000000000001</v>
      </c>
      <c r="H1964">
        <v>11.49</v>
      </c>
      <c r="I1964">
        <v>12.31</v>
      </c>
      <c r="J1964">
        <v>10.34</v>
      </c>
      <c r="K1964">
        <v>9.83</v>
      </c>
      <c r="L1964">
        <v>11.58</v>
      </c>
      <c r="M1964">
        <v>10.19</v>
      </c>
    </row>
    <row r="1965" spans="1:13">
      <c r="A1965" t="s">
        <v>8</v>
      </c>
      <c r="B1965">
        <v>18.579999999999998</v>
      </c>
      <c r="C1965">
        <v>14.52</v>
      </c>
      <c r="D1965">
        <v>14.35</v>
      </c>
      <c r="E1965">
        <v>9.32</v>
      </c>
      <c r="F1965">
        <v>15.73</v>
      </c>
      <c r="G1965">
        <v>14.76</v>
      </c>
      <c r="H1965">
        <v>19.420000000000002</v>
      </c>
      <c r="I1965">
        <v>16.670000000000002</v>
      </c>
      <c r="J1965">
        <v>14.08</v>
      </c>
      <c r="K1965">
        <v>19.440000000000001</v>
      </c>
      <c r="L1965">
        <v>12.86</v>
      </c>
      <c r="M1965">
        <v>14.22</v>
      </c>
    </row>
    <row r="1966" spans="1:13">
      <c r="A1966" t="s">
        <v>10</v>
      </c>
      <c r="B1966">
        <v>10.48</v>
      </c>
      <c r="C1966">
        <v>9.36</v>
      </c>
      <c r="D1966">
        <v>9.59</v>
      </c>
      <c r="E1966">
        <v>13.67</v>
      </c>
      <c r="F1966">
        <v>9.35</v>
      </c>
      <c r="G1966">
        <v>9.48</v>
      </c>
      <c r="H1966">
        <v>10.45</v>
      </c>
      <c r="I1966">
        <v>12.33</v>
      </c>
      <c r="J1966">
        <v>9.57</v>
      </c>
      <c r="K1966">
        <v>10.31</v>
      </c>
      <c r="L1966">
        <v>8.7100000000000009</v>
      </c>
      <c r="M1966">
        <v>9.73</v>
      </c>
    </row>
    <row r="1967" spans="1:13">
      <c r="A1967" t="s">
        <v>1621</v>
      </c>
      <c r="B1967" s="342">
        <v>5.6000000000000001E-2</v>
      </c>
      <c r="C1967" s="342">
        <v>4.9000000000000002E-2</v>
      </c>
      <c r="D1967" s="342">
        <v>6.3E-2</v>
      </c>
      <c r="E1967" s="342">
        <v>0.17699999999999999</v>
      </c>
      <c r="F1967" s="342">
        <v>4.4999999999999998E-2</v>
      </c>
      <c r="G1967" s="342">
        <v>6.0999999999999999E-2</v>
      </c>
      <c r="H1967" s="342">
        <v>4.2999999999999997E-2</v>
      </c>
      <c r="I1967" s="342">
        <v>0.06</v>
      </c>
      <c r="J1967" s="342">
        <v>6.3E-2</v>
      </c>
      <c r="K1967" s="342">
        <v>5.6000000000000001E-2</v>
      </c>
      <c r="L1967" s="342">
        <v>4.9000000000000002E-2</v>
      </c>
      <c r="M1967" s="342">
        <v>6.6000000000000003E-2</v>
      </c>
    </row>
    <row r="1969" spans="1:13">
      <c r="A1969" t="s">
        <v>2933</v>
      </c>
    </row>
    <row r="1971" spans="1:13">
      <c r="A1971" t="s">
        <v>158</v>
      </c>
      <c r="B1971" t="s">
        <v>2806</v>
      </c>
      <c r="E1971">
        <v>2017</v>
      </c>
      <c r="H1971">
        <v>2018</v>
      </c>
      <c r="K1971">
        <v>2019</v>
      </c>
    </row>
    <row r="1972" spans="1:13">
      <c r="B1972" t="s">
        <v>1623</v>
      </c>
      <c r="C1972" t="s">
        <v>1624</v>
      </c>
      <c r="D1972" t="s">
        <v>1622</v>
      </c>
      <c r="E1972" t="s">
        <v>1623</v>
      </c>
      <c r="F1972" t="s">
        <v>1624</v>
      </c>
      <c r="G1972" t="s">
        <v>1622</v>
      </c>
      <c r="H1972" t="s">
        <v>1623</v>
      </c>
      <c r="I1972" t="s">
        <v>1624</v>
      </c>
      <c r="J1972" t="s">
        <v>1622</v>
      </c>
      <c r="K1972" t="s">
        <v>1623</v>
      </c>
      <c r="L1972" t="s">
        <v>1624</v>
      </c>
      <c r="M1972" t="s">
        <v>1622</v>
      </c>
    </row>
    <row r="1973" spans="1:13">
      <c r="A1973" t="s">
        <v>2807</v>
      </c>
      <c r="B1973" s="342">
        <v>0.69599999999999995</v>
      </c>
      <c r="C1973" s="342">
        <v>0.85899999999999999</v>
      </c>
      <c r="D1973" s="342">
        <v>0.79600000000000004</v>
      </c>
      <c r="E1973" s="342">
        <v>0.70499999999999996</v>
      </c>
      <c r="F1973" s="342">
        <v>0.84799999999999998</v>
      </c>
      <c r="G1973" s="342">
        <v>0.78600000000000003</v>
      </c>
      <c r="H1973" s="342">
        <v>0.70599999999999996</v>
      </c>
      <c r="I1973" s="342">
        <v>0.86099999999999999</v>
      </c>
      <c r="J1973" s="342">
        <v>0.8</v>
      </c>
      <c r="K1973" s="342">
        <v>0.67600000000000005</v>
      </c>
      <c r="L1973" s="342">
        <v>0.86499999999999999</v>
      </c>
      <c r="M1973" s="342">
        <v>0.79900000000000004</v>
      </c>
    </row>
    <row r="1974" spans="1:13">
      <c r="A1974" t="s">
        <v>1618</v>
      </c>
      <c r="B1974" s="342">
        <v>0.14099999999999999</v>
      </c>
      <c r="C1974" s="342">
        <v>0.11600000000000001</v>
      </c>
      <c r="D1974" s="342">
        <v>0.13800000000000001</v>
      </c>
      <c r="E1974" s="342">
        <v>0.13900000000000001</v>
      </c>
      <c r="F1974" s="342">
        <v>0.124</v>
      </c>
      <c r="G1974" s="342">
        <v>0.14499999999999999</v>
      </c>
      <c r="H1974" s="342">
        <v>0.13600000000000001</v>
      </c>
      <c r="I1974" s="342">
        <v>0.11600000000000001</v>
      </c>
      <c r="J1974" s="342">
        <v>0.13600000000000001</v>
      </c>
      <c r="K1974" s="342">
        <v>0.14899999999999999</v>
      </c>
      <c r="L1974" s="342">
        <v>0.11</v>
      </c>
      <c r="M1974" s="342">
        <v>0.13400000000000001</v>
      </c>
    </row>
    <row r="1975" spans="1:13">
      <c r="A1975" t="s">
        <v>1619</v>
      </c>
      <c r="B1975" s="342">
        <v>1.2999999999999999E-2</v>
      </c>
      <c r="C1975" s="342">
        <v>8.0000000000000002E-3</v>
      </c>
      <c r="D1975" s="342">
        <v>0.01</v>
      </c>
      <c r="E1975" s="342">
        <v>6.0000000000000001E-3</v>
      </c>
      <c r="F1975" s="342">
        <v>4.0000000000000001E-3</v>
      </c>
      <c r="G1975" s="342">
        <v>5.0000000000000001E-3</v>
      </c>
      <c r="H1975" s="342">
        <v>1.6E-2</v>
      </c>
      <c r="I1975" s="342">
        <v>7.0000000000000001E-3</v>
      </c>
      <c r="J1975" s="342">
        <v>1.0999999999999999E-2</v>
      </c>
      <c r="K1975" s="342">
        <v>1.7000000000000001E-2</v>
      </c>
      <c r="L1975" s="342">
        <v>1.2E-2</v>
      </c>
      <c r="M1975" s="342">
        <v>1.4E-2</v>
      </c>
    </row>
    <row r="1976" spans="1:13">
      <c r="A1976" t="s">
        <v>1620</v>
      </c>
      <c r="B1976" s="342">
        <v>0.83599999999999997</v>
      </c>
      <c r="C1976" s="342">
        <v>1.647</v>
      </c>
      <c r="D1976" s="342">
        <v>1.2070000000000001</v>
      </c>
      <c r="E1976" s="342">
        <v>0.91100000000000003</v>
      </c>
      <c r="F1976" s="342">
        <v>1.5920000000000001</v>
      </c>
      <c r="G1976" s="342">
        <v>1.2190000000000001</v>
      </c>
      <c r="H1976" s="342">
        <v>0.82199999999999995</v>
      </c>
      <c r="I1976" s="342">
        <v>1.6739999999999999</v>
      </c>
      <c r="J1976" s="342">
        <v>1.202</v>
      </c>
      <c r="K1976" s="342">
        <v>0.78300000000000003</v>
      </c>
      <c r="L1976" s="342">
        <v>1.6679999999999999</v>
      </c>
      <c r="M1976" s="342">
        <v>1.2030000000000001</v>
      </c>
    </row>
    <row r="1977" spans="1:13">
      <c r="A1977" t="s">
        <v>2808</v>
      </c>
      <c r="B1977" s="342">
        <v>0.38800000000000001</v>
      </c>
      <c r="C1977" s="342">
        <v>0.42099999999999999</v>
      </c>
      <c r="D1977" s="342">
        <v>0.44</v>
      </c>
      <c r="E1977" s="342">
        <v>0.40300000000000002</v>
      </c>
      <c r="F1977" s="342">
        <v>0.40899999999999997</v>
      </c>
      <c r="G1977" s="342">
        <v>0.432</v>
      </c>
      <c r="H1977" s="342">
        <v>0.38200000000000001</v>
      </c>
      <c r="I1977" s="342">
        <v>0.40300000000000002</v>
      </c>
      <c r="J1977" s="342">
        <v>0.44700000000000001</v>
      </c>
      <c r="K1977" s="342">
        <v>0.38100000000000001</v>
      </c>
      <c r="L1977" s="342">
        <v>0.44500000000000001</v>
      </c>
      <c r="M1977" s="342">
        <v>0.44</v>
      </c>
    </row>
    <row r="1978" spans="1:13">
      <c r="A1978" t="s">
        <v>2809</v>
      </c>
      <c r="B1978" s="342">
        <v>5.0000000000000001E-3</v>
      </c>
      <c r="C1978" s="342">
        <v>0.05</v>
      </c>
      <c r="D1978" s="342">
        <v>2.1999999999999999E-2</v>
      </c>
      <c r="E1978" s="342">
        <v>6.0000000000000001E-3</v>
      </c>
      <c r="F1978" s="342">
        <v>5.2999999999999999E-2</v>
      </c>
      <c r="G1978" s="342">
        <v>2.3E-2</v>
      </c>
      <c r="H1978" s="342">
        <v>4.0000000000000001E-3</v>
      </c>
      <c r="I1978" s="342">
        <v>5.1999999999999998E-2</v>
      </c>
      <c r="J1978" s="342">
        <v>2.1000000000000001E-2</v>
      </c>
      <c r="K1978" s="342">
        <v>5.0000000000000001E-3</v>
      </c>
      <c r="L1978" s="342">
        <v>4.4999999999999998E-2</v>
      </c>
      <c r="M1978" s="342">
        <v>2.1000000000000001E-2</v>
      </c>
    </row>
    <row r="1979" spans="1:13">
      <c r="A1979" t="s">
        <v>2810</v>
      </c>
      <c r="B1979" s="342">
        <v>0.47</v>
      </c>
      <c r="C1979" s="342">
        <v>0.28599999999999998</v>
      </c>
      <c r="D1979" s="342">
        <v>0.38300000000000001</v>
      </c>
      <c r="E1979" s="342">
        <v>0.45</v>
      </c>
      <c r="F1979" s="342">
        <v>0.28999999999999998</v>
      </c>
      <c r="G1979" s="342">
        <v>0.374</v>
      </c>
      <c r="H1979" s="342">
        <v>0.47</v>
      </c>
      <c r="I1979" s="342">
        <v>0.27200000000000002</v>
      </c>
      <c r="J1979" s="342">
        <v>0.38900000000000001</v>
      </c>
      <c r="K1979" s="342">
        <v>0.49199999999999999</v>
      </c>
      <c r="L1979" s="342">
        <v>0.29299999999999998</v>
      </c>
      <c r="M1979" s="342">
        <v>0.38400000000000001</v>
      </c>
    </row>
    <row r="1980" spans="1:13">
      <c r="A1980" t="s">
        <v>9</v>
      </c>
      <c r="B1980">
        <v>7.02</v>
      </c>
      <c r="C1980">
        <v>8.9600000000000009</v>
      </c>
      <c r="D1980">
        <v>7.62</v>
      </c>
      <c r="E1980">
        <v>6.72</v>
      </c>
      <c r="F1980">
        <v>7.47</v>
      </c>
      <c r="G1980">
        <v>6.84</v>
      </c>
      <c r="H1980">
        <v>7.15</v>
      </c>
      <c r="I1980">
        <v>9.6</v>
      </c>
      <c r="J1980">
        <v>7.88</v>
      </c>
      <c r="K1980">
        <v>7.23</v>
      </c>
      <c r="L1980">
        <v>9.93</v>
      </c>
      <c r="M1980">
        <v>8.15</v>
      </c>
    </row>
    <row r="1981" spans="1:13">
      <c r="A1981" t="s">
        <v>8</v>
      </c>
      <c r="B1981">
        <v>7.12</v>
      </c>
      <c r="C1981">
        <v>9.73</v>
      </c>
      <c r="D1981">
        <v>8.42</v>
      </c>
      <c r="E1981">
        <v>7.78</v>
      </c>
      <c r="F1981">
        <v>11</v>
      </c>
      <c r="G1981">
        <v>8.84</v>
      </c>
      <c r="H1981">
        <v>6.78</v>
      </c>
      <c r="I1981">
        <v>8.93</v>
      </c>
      <c r="J1981">
        <v>8.19</v>
      </c>
      <c r="K1981">
        <v>6.86</v>
      </c>
      <c r="L1981">
        <v>9.6</v>
      </c>
      <c r="M1981">
        <v>8.3000000000000007</v>
      </c>
    </row>
    <row r="1982" spans="1:13">
      <c r="A1982" t="s">
        <v>10</v>
      </c>
      <c r="B1982">
        <v>17.29</v>
      </c>
      <c r="C1982">
        <v>13.47</v>
      </c>
      <c r="D1982">
        <v>14.21</v>
      </c>
      <c r="E1982">
        <v>17.03</v>
      </c>
      <c r="F1982">
        <v>10.73</v>
      </c>
      <c r="G1982">
        <v>12.49</v>
      </c>
      <c r="H1982">
        <v>18.37</v>
      </c>
      <c r="I1982">
        <v>14.43</v>
      </c>
      <c r="J1982">
        <v>14.69</v>
      </c>
      <c r="K1982">
        <v>16.57</v>
      </c>
      <c r="L1982">
        <v>15.61</v>
      </c>
      <c r="M1982">
        <v>15.5</v>
      </c>
    </row>
    <row r="1983" spans="1:13">
      <c r="A1983" t="s">
        <v>1621</v>
      </c>
      <c r="B1983" s="342">
        <v>0.22500000000000001</v>
      </c>
      <c r="C1983" s="342">
        <v>0.14000000000000001</v>
      </c>
      <c r="D1983" s="342">
        <v>0.18</v>
      </c>
      <c r="E1983" s="342">
        <v>0.219</v>
      </c>
      <c r="F1983" s="342">
        <v>0.13200000000000001</v>
      </c>
      <c r="G1983" s="342">
        <v>0.17899999999999999</v>
      </c>
      <c r="H1983" s="342">
        <v>0.23300000000000001</v>
      </c>
      <c r="I1983" s="342">
        <v>0.14699999999999999</v>
      </c>
      <c r="J1983" s="342">
        <v>0.18099999999999999</v>
      </c>
      <c r="K1983" s="342">
        <v>0.224</v>
      </c>
      <c r="L1983" s="342">
        <v>0.14099999999999999</v>
      </c>
      <c r="M1983" s="342">
        <v>0.17899999999999999</v>
      </c>
    </row>
    <row r="1985" spans="1:13">
      <c r="A1985" t="s">
        <v>2934</v>
      </c>
    </row>
    <row r="1987" spans="1:13">
      <c r="A1987" t="s">
        <v>158</v>
      </c>
      <c r="B1987" t="s">
        <v>2806</v>
      </c>
      <c r="E1987">
        <v>2017</v>
      </c>
      <c r="H1987">
        <v>2018</v>
      </c>
      <c r="K1987">
        <v>2019</v>
      </c>
    </row>
    <row r="1988" spans="1:13">
      <c r="B1988" t="s">
        <v>1623</v>
      </c>
      <c r="C1988" t="s">
        <v>1624</v>
      </c>
      <c r="D1988" t="s">
        <v>1622</v>
      </c>
      <c r="E1988" t="s">
        <v>1623</v>
      </c>
      <c r="F1988" t="s">
        <v>1624</v>
      </c>
      <c r="G1988" t="s">
        <v>1622</v>
      </c>
      <c r="H1988" t="s">
        <v>1623</v>
      </c>
      <c r="I1988" t="s">
        <v>1624</v>
      </c>
      <c r="J1988" t="s">
        <v>1622</v>
      </c>
      <c r="K1988" t="s">
        <v>1623</v>
      </c>
      <c r="L1988" t="s">
        <v>1624</v>
      </c>
      <c r="M1988" t="s">
        <v>1622</v>
      </c>
    </row>
    <row r="1989" spans="1:13">
      <c r="A1989" t="s">
        <v>2807</v>
      </c>
      <c r="B1989" s="342">
        <v>0.53200000000000003</v>
      </c>
      <c r="C1989" s="342">
        <v>0.77600000000000002</v>
      </c>
      <c r="D1989" s="342">
        <v>0.627</v>
      </c>
      <c r="E1989" s="342">
        <v>0.55100000000000005</v>
      </c>
      <c r="F1989" s="342">
        <v>0.76</v>
      </c>
      <c r="G1989" s="342">
        <v>0.625</v>
      </c>
      <c r="H1989" s="342">
        <v>0.52900000000000003</v>
      </c>
      <c r="I1989" s="342">
        <v>0.76400000000000001</v>
      </c>
      <c r="J1989" s="342">
        <v>0.63</v>
      </c>
      <c r="K1989" s="342">
        <v>0.51800000000000002</v>
      </c>
      <c r="L1989" s="342">
        <v>0.79600000000000004</v>
      </c>
      <c r="M1989" s="342">
        <v>0.626</v>
      </c>
    </row>
    <row r="1990" spans="1:13">
      <c r="A1990" t="s">
        <v>1618</v>
      </c>
      <c r="B1990" s="342">
        <v>0.316</v>
      </c>
      <c r="C1990" s="342">
        <v>0.20200000000000001</v>
      </c>
      <c r="D1990" s="342">
        <v>0.26800000000000002</v>
      </c>
      <c r="E1990" s="342">
        <v>0.29899999999999999</v>
      </c>
      <c r="F1990" s="342">
        <v>0.219</v>
      </c>
      <c r="G1990" s="342">
        <v>0.26800000000000002</v>
      </c>
      <c r="H1990" s="342">
        <v>0.316</v>
      </c>
      <c r="I1990" s="342">
        <v>0.214</v>
      </c>
      <c r="J1990" s="342">
        <v>0.26500000000000001</v>
      </c>
      <c r="K1990" s="342">
        <v>0.33</v>
      </c>
      <c r="L1990" s="342">
        <v>0.182</v>
      </c>
      <c r="M1990" s="342">
        <v>0.27100000000000002</v>
      </c>
    </row>
    <row r="1991" spans="1:13">
      <c r="A1991" t="s">
        <v>1619</v>
      </c>
      <c r="B1991" s="342">
        <v>1.0999999999999999E-2</v>
      </c>
      <c r="C1991" s="342">
        <v>1.4999999999999999E-2</v>
      </c>
      <c r="D1991" s="342">
        <v>1.2999999999999999E-2</v>
      </c>
      <c r="E1991" s="342">
        <v>6.0000000000000001E-3</v>
      </c>
      <c r="F1991" s="342">
        <v>7.0000000000000001E-3</v>
      </c>
      <c r="G1991" s="342">
        <v>6.0000000000000001E-3</v>
      </c>
      <c r="H1991" s="342">
        <v>1.4E-2</v>
      </c>
      <c r="I1991" s="342">
        <v>1.7999999999999999E-2</v>
      </c>
      <c r="J1991" s="342">
        <v>1.7999999999999999E-2</v>
      </c>
      <c r="K1991" s="342">
        <v>1.2E-2</v>
      </c>
      <c r="L1991" s="342">
        <v>1.6E-2</v>
      </c>
      <c r="M1991" s="342">
        <v>1.4999999999999999E-2</v>
      </c>
    </row>
    <row r="1992" spans="1:13">
      <c r="A1992" t="s">
        <v>1620</v>
      </c>
      <c r="B1992" s="342">
        <v>0.81</v>
      </c>
      <c r="C1992" s="342">
        <v>1.115</v>
      </c>
      <c r="D1992" s="342">
        <v>0.91800000000000004</v>
      </c>
      <c r="E1992" s="342">
        <v>0.78500000000000003</v>
      </c>
      <c r="F1992" s="342">
        <v>1.161</v>
      </c>
      <c r="G1992" s="342">
        <v>0.90800000000000003</v>
      </c>
      <c r="H1992" s="342">
        <v>0.80900000000000005</v>
      </c>
      <c r="I1992" s="342">
        <v>1.04</v>
      </c>
      <c r="J1992" s="342">
        <v>0.90500000000000003</v>
      </c>
      <c r="K1992" s="342">
        <v>0.83099999999999996</v>
      </c>
      <c r="L1992" s="342">
        <v>1.1639999999999999</v>
      </c>
      <c r="M1992" s="342">
        <v>0.93799999999999994</v>
      </c>
    </row>
    <row r="1993" spans="1:13">
      <c r="A1993" t="s">
        <v>2808</v>
      </c>
      <c r="B1993" s="342">
        <v>0.218</v>
      </c>
      <c r="C1993" s="342">
        <v>0.41099999999999998</v>
      </c>
      <c r="D1993" s="342">
        <v>0.29199999999999998</v>
      </c>
      <c r="E1993" s="342">
        <v>0.21299999999999999</v>
      </c>
      <c r="F1993" s="342">
        <v>0.40799999999999997</v>
      </c>
      <c r="G1993" s="342">
        <v>0.27300000000000002</v>
      </c>
      <c r="H1993" s="342">
        <v>0.21299999999999999</v>
      </c>
      <c r="I1993" s="342">
        <v>0.41299999999999998</v>
      </c>
      <c r="J1993" s="342">
        <v>0.29599999999999999</v>
      </c>
      <c r="K1993" s="342">
        <v>0.22600000000000001</v>
      </c>
      <c r="L1993" s="342">
        <v>0.41099999999999998</v>
      </c>
      <c r="M1993" s="342">
        <v>0.30599999999999999</v>
      </c>
    </row>
    <row r="1994" spans="1:13">
      <c r="A1994" t="s">
        <v>2809</v>
      </c>
      <c r="B1994" s="342">
        <v>8.0000000000000002E-3</v>
      </c>
      <c r="C1994" s="342">
        <v>0.02</v>
      </c>
      <c r="D1994" s="342">
        <v>1.2E-2</v>
      </c>
      <c r="E1994" s="342">
        <v>7.0000000000000001E-3</v>
      </c>
      <c r="F1994" s="342">
        <v>2.7E-2</v>
      </c>
      <c r="G1994" s="342">
        <v>1.2E-2</v>
      </c>
      <c r="H1994" s="342">
        <v>8.9999999999999993E-3</v>
      </c>
      <c r="I1994" s="342">
        <v>2.5000000000000001E-2</v>
      </c>
      <c r="J1994" s="342">
        <v>1.2E-2</v>
      </c>
      <c r="K1994" s="342">
        <v>8.9999999999999993E-3</v>
      </c>
      <c r="L1994" s="342">
        <v>1.2E-2</v>
      </c>
      <c r="M1994" s="342">
        <v>1.2999999999999999E-2</v>
      </c>
    </row>
    <row r="1995" spans="1:13">
      <c r="A1995" t="s">
        <v>2810</v>
      </c>
      <c r="B1995" s="342">
        <v>0.27900000000000003</v>
      </c>
      <c r="C1995" s="342">
        <v>0.38700000000000001</v>
      </c>
      <c r="D1995" s="342">
        <v>0.33200000000000002</v>
      </c>
      <c r="E1995" s="342">
        <v>0.28000000000000003</v>
      </c>
      <c r="F1995" s="342">
        <v>0.374</v>
      </c>
      <c r="G1995" s="342">
        <v>0.314</v>
      </c>
      <c r="H1995" s="342">
        <v>0.27500000000000002</v>
      </c>
      <c r="I1995" s="342">
        <v>0.42099999999999999</v>
      </c>
      <c r="J1995" s="342">
        <v>0.34100000000000003</v>
      </c>
      <c r="K1995" s="342">
        <v>0.28199999999999997</v>
      </c>
      <c r="L1995" s="342">
        <v>0.36299999999999999</v>
      </c>
      <c r="M1995" s="342">
        <v>0.33900000000000002</v>
      </c>
    </row>
    <row r="1996" spans="1:13">
      <c r="A1996" t="s">
        <v>9</v>
      </c>
      <c r="B1996">
        <v>10.45</v>
      </c>
      <c r="C1996">
        <v>8.1300000000000008</v>
      </c>
      <c r="D1996">
        <v>9.19</v>
      </c>
      <c r="E1996">
        <v>9.57</v>
      </c>
      <c r="F1996">
        <v>8.32</v>
      </c>
      <c r="G1996">
        <v>9.02</v>
      </c>
      <c r="H1996">
        <v>11.2</v>
      </c>
      <c r="I1996">
        <v>9.0500000000000007</v>
      </c>
      <c r="J1996">
        <v>9.6300000000000008</v>
      </c>
      <c r="K1996">
        <v>10.59</v>
      </c>
      <c r="L1996">
        <v>7.38</v>
      </c>
      <c r="M1996">
        <v>8.98</v>
      </c>
    </row>
    <row r="1997" spans="1:13">
      <c r="A1997" t="s">
        <v>8</v>
      </c>
      <c r="B1997">
        <v>2.83</v>
      </c>
      <c r="C1997">
        <v>5.21</v>
      </c>
      <c r="D1997">
        <v>3.79</v>
      </c>
      <c r="E1997">
        <v>2.67</v>
      </c>
      <c r="F1997">
        <v>4.68</v>
      </c>
      <c r="G1997">
        <v>3.64</v>
      </c>
      <c r="H1997">
        <v>2.79</v>
      </c>
      <c r="I1997">
        <v>5.3</v>
      </c>
      <c r="J1997">
        <v>3.67</v>
      </c>
      <c r="K1997">
        <v>3.03</v>
      </c>
      <c r="L1997">
        <v>5.48</v>
      </c>
      <c r="M1997">
        <v>4.0199999999999996</v>
      </c>
    </row>
    <row r="1998" spans="1:13">
      <c r="A1998" t="s">
        <v>10</v>
      </c>
      <c r="B1998">
        <v>26.94</v>
      </c>
      <c r="C1998">
        <v>10.28</v>
      </c>
      <c r="D1998">
        <v>17.59</v>
      </c>
      <c r="E1998">
        <v>27.98</v>
      </c>
      <c r="F1998">
        <v>10.94</v>
      </c>
      <c r="G1998">
        <v>18.57</v>
      </c>
      <c r="H1998">
        <v>28.56</v>
      </c>
      <c r="I1998">
        <v>11.76</v>
      </c>
      <c r="J1998">
        <v>18.37</v>
      </c>
      <c r="K1998">
        <v>24.9</v>
      </c>
      <c r="L1998">
        <v>8.98</v>
      </c>
      <c r="M1998">
        <v>16.29</v>
      </c>
    </row>
    <row r="1999" spans="1:13">
      <c r="A1999" t="s">
        <v>1621</v>
      </c>
      <c r="B1999" s="342">
        <v>0.41199999999999998</v>
      </c>
      <c r="C1999" s="342">
        <v>0.218</v>
      </c>
      <c r="D1999" s="342">
        <v>0.316</v>
      </c>
      <c r="E1999" s="342">
        <v>0.44400000000000001</v>
      </c>
      <c r="F1999" s="342">
        <v>0.24299999999999999</v>
      </c>
      <c r="G1999" s="342">
        <v>0.33200000000000002</v>
      </c>
      <c r="H1999" s="342">
        <v>0.41299999999999998</v>
      </c>
      <c r="I1999" s="342">
        <v>0.214</v>
      </c>
      <c r="J1999" s="342">
        <v>0.32200000000000001</v>
      </c>
      <c r="K1999" s="342">
        <v>0.38400000000000001</v>
      </c>
      <c r="L1999" s="342">
        <v>0.20699999999999999</v>
      </c>
      <c r="M1999" s="342">
        <v>0.29899999999999999</v>
      </c>
    </row>
    <row r="2001" spans="1:13">
      <c r="A2001" t="s">
        <v>2935</v>
      </c>
    </row>
    <row r="2003" spans="1:13">
      <c r="A2003" t="s">
        <v>158</v>
      </c>
      <c r="B2003" t="s">
        <v>2806</v>
      </c>
      <c r="E2003">
        <v>2017</v>
      </c>
      <c r="H2003">
        <v>2018</v>
      </c>
      <c r="K2003">
        <v>2019</v>
      </c>
    </row>
    <row r="2004" spans="1:13">
      <c r="B2004" t="s">
        <v>1623</v>
      </c>
      <c r="C2004" t="s">
        <v>1624</v>
      </c>
      <c r="D2004" t="s">
        <v>1622</v>
      </c>
      <c r="E2004" t="s">
        <v>1623</v>
      </c>
      <c r="F2004" t="s">
        <v>1624</v>
      </c>
      <c r="G2004" t="s">
        <v>1622</v>
      </c>
      <c r="H2004" t="s">
        <v>1623</v>
      </c>
      <c r="I2004" t="s">
        <v>1624</v>
      </c>
      <c r="J2004" t="s">
        <v>1622</v>
      </c>
      <c r="K2004" t="s">
        <v>1623</v>
      </c>
      <c r="L2004" t="s">
        <v>1624</v>
      </c>
      <c r="M2004" t="s">
        <v>1622</v>
      </c>
    </row>
    <row r="2005" spans="1:13">
      <c r="A2005" t="s">
        <v>2807</v>
      </c>
      <c r="B2005" s="342">
        <v>0.53200000000000003</v>
      </c>
      <c r="C2005" s="342">
        <v>0.77600000000000002</v>
      </c>
      <c r="D2005" s="342">
        <v>0.627</v>
      </c>
      <c r="E2005" s="342">
        <v>0.55100000000000005</v>
      </c>
      <c r="F2005" s="342">
        <v>0.76</v>
      </c>
      <c r="G2005" s="342">
        <v>0.625</v>
      </c>
      <c r="H2005" s="342">
        <v>0.52900000000000003</v>
      </c>
      <c r="I2005" s="342">
        <v>0.76400000000000001</v>
      </c>
      <c r="J2005" s="342">
        <v>0.63</v>
      </c>
      <c r="K2005" s="342">
        <v>0.51800000000000002</v>
      </c>
      <c r="L2005" s="342">
        <v>0.79600000000000004</v>
      </c>
      <c r="M2005" s="342">
        <v>0.626</v>
      </c>
    </row>
    <row r="2006" spans="1:13">
      <c r="A2006" t="s">
        <v>1618</v>
      </c>
      <c r="B2006" s="342">
        <v>0.316</v>
      </c>
      <c r="C2006" s="342">
        <v>0.20200000000000001</v>
      </c>
      <c r="D2006" s="342">
        <v>0.26800000000000002</v>
      </c>
      <c r="E2006" s="342">
        <v>0.29899999999999999</v>
      </c>
      <c r="F2006" s="342">
        <v>0.219</v>
      </c>
      <c r="G2006" s="342">
        <v>0.26800000000000002</v>
      </c>
      <c r="H2006" s="342">
        <v>0.316</v>
      </c>
      <c r="I2006" s="342">
        <v>0.214</v>
      </c>
      <c r="J2006" s="342">
        <v>0.26500000000000001</v>
      </c>
      <c r="K2006" s="342">
        <v>0.33</v>
      </c>
      <c r="L2006" s="342">
        <v>0.182</v>
      </c>
      <c r="M2006" s="342">
        <v>0.27100000000000002</v>
      </c>
    </row>
    <row r="2007" spans="1:13">
      <c r="A2007" t="s">
        <v>1619</v>
      </c>
      <c r="B2007" s="342">
        <v>1.0999999999999999E-2</v>
      </c>
      <c r="C2007" s="342">
        <v>1.4999999999999999E-2</v>
      </c>
      <c r="D2007" s="342">
        <v>1.2999999999999999E-2</v>
      </c>
      <c r="E2007" s="342">
        <v>6.0000000000000001E-3</v>
      </c>
      <c r="F2007" s="342">
        <v>7.0000000000000001E-3</v>
      </c>
      <c r="G2007" s="342">
        <v>6.0000000000000001E-3</v>
      </c>
      <c r="H2007" s="342">
        <v>1.4E-2</v>
      </c>
      <c r="I2007" s="342">
        <v>1.7999999999999999E-2</v>
      </c>
      <c r="J2007" s="342">
        <v>1.7999999999999999E-2</v>
      </c>
      <c r="K2007" s="342">
        <v>1.2E-2</v>
      </c>
      <c r="L2007" s="342">
        <v>1.6E-2</v>
      </c>
      <c r="M2007" s="342">
        <v>1.4999999999999999E-2</v>
      </c>
    </row>
    <row r="2008" spans="1:13">
      <c r="A2008" t="s">
        <v>1620</v>
      </c>
      <c r="B2008" s="342">
        <v>0.81</v>
      </c>
      <c r="C2008" s="342">
        <v>1.115</v>
      </c>
      <c r="D2008" s="342">
        <v>0.91800000000000004</v>
      </c>
      <c r="E2008" s="342">
        <v>0.78500000000000003</v>
      </c>
      <c r="F2008" s="342">
        <v>1.161</v>
      </c>
      <c r="G2008" s="342">
        <v>0.90800000000000003</v>
      </c>
      <c r="H2008" s="342">
        <v>0.80900000000000005</v>
      </c>
      <c r="I2008" s="342">
        <v>1.04</v>
      </c>
      <c r="J2008" s="342">
        <v>0.90500000000000003</v>
      </c>
      <c r="K2008" s="342">
        <v>0.83099999999999996</v>
      </c>
      <c r="L2008" s="342">
        <v>1.1639999999999999</v>
      </c>
      <c r="M2008" s="342">
        <v>0.93799999999999994</v>
      </c>
    </row>
    <row r="2009" spans="1:13">
      <c r="A2009" t="s">
        <v>2808</v>
      </c>
      <c r="B2009" s="342">
        <v>0.218</v>
      </c>
      <c r="C2009" s="342">
        <v>0.41099999999999998</v>
      </c>
      <c r="D2009" s="342">
        <v>0.29199999999999998</v>
      </c>
      <c r="E2009" s="342">
        <v>0.21299999999999999</v>
      </c>
      <c r="F2009" s="342">
        <v>0.40799999999999997</v>
      </c>
      <c r="G2009" s="342">
        <v>0.27300000000000002</v>
      </c>
      <c r="H2009" s="342">
        <v>0.21299999999999999</v>
      </c>
      <c r="I2009" s="342">
        <v>0.41299999999999998</v>
      </c>
      <c r="J2009" s="342">
        <v>0.29599999999999999</v>
      </c>
      <c r="K2009" s="342">
        <v>0.22600000000000001</v>
      </c>
      <c r="L2009" s="342">
        <v>0.41099999999999998</v>
      </c>
      <c r="M2009" s="342">
        <v>0.30599999999999999</v>
      </c>
    </row>
    <row r="2010" spans="1:13">
      <c r="A2010" t="s">
        <v>2809</v>
      </c>
      <c r="B2010" s="342">
        <v>8.0000000000000002E-3</v>
      </c>
      <c r="C2010" s="342">
        <v>0.02</v>
      </c>
      <c r="D2010" s="342">
        <v>1.2E-2</v>
      </c>
      <c r="E2010" s="342">
        <v>7.0000000000000001E-3</v>
      </c>
      <c r="F2010" s="342">
        <v>2.7E-2</v>
      </c>
      <c r="G2010" s="342">
        <v>1.2E-2</v>
      </c>
      <c r="H2010" s="342">
        <v>8.9999999999999993E-3</v>
      </c>
      <c r="I2010" s="342">
        <v>2.5000000000000001E-2</v>
      </c>
      <c r="J2010" s="342">
        <v>1.2E-2</v>
      </c>
      <c r="K2010" s="342">
        <v>8.9999999999999993E-3</v>
      </c>
      <c r="L2010" s="342">
        <v>1.2E-2</v>
      </c>
      <c r="M2010" s="342">
        <v>1.2999999999999999E-2</v>
      </c>
    </row>
    <row r="2011" spans="1:13">
      <c r="A2011" t="s">
        <v>2810</v>
      </c>
      <c r="B2011" s="342">
        <v>0.27900000000000003</v>
      </c>
      <c r="C2011" s="342">
        <v>0.38700000000000001</v>
      </c>
      <c r="D2011" s="342">
        <v>0.33200000000000002</v>
      </c>
      <c r="E2011" s="342">
        <v>0.28000000000000003</v>
      </c>
      <c r="F2011" s="342">
        <v>0.374</v>
      </c>
      <c r="G2011" s="342">
        <v>0.314</v>
      </c>
      <c r="H2011" s="342">
        <v>0.27500000000000002</v>
      </c>
      <c r="I2011" s="342">
        <v>0.42099999999999999</v>
      </c>
      <c r="J2011" s="342">
        <v>0.34100000000000003</v>
      </c>
      <c r="K2011" s="342">
        <v>0.28199999999999997</v>
      </c>
      <c r="L2011" s="342">
        <v>0.36299999999999999</v>
      </c>
      <c r="M2011" s="342">
        <v>0.33900000000000002</v>
      </c>
    </row>
    <row r="2012" spans="1:13">
      <c r="A2012" t="s">
        <v>9</v>
      </c>
      <c r="B2012">
        <v>10.45</v>
      </c>
      <c r="C2012">
        <v>8.1300000000000008</v>
      </c>
      <c r="D2012">
        <v>9.19</v>
      </c>
      <c r="E2012">
        <v>9.57</v>
      </c>
      <c r="F2012">
        <v>8.32</v>
      </c>
      <c r="G2012">
        <v>9.02</v>
      </c>
      <c r="H2012">
        <v>11.2</v>
      </c>
      <c r="I2012">
        <v>9.0500000000000007</v>
      </c>
      <c r="J2012">
        <v>9.6300000000000008</v>
      </c>
      <c r="K2012">
        <v>10.59</v>
      </c>
      <c r="L2012">
        <v>7.38</v>
      </c>
      <c r="M2012">
        <v>8.98</v>
      </c>
    </row>
    <row r="2013" spans="1:13">
      <c r="A2013" t="s">
        <v>8</v>
      </c>
      <c r="B2013">
        <v>2.83</v>
      </c>
      <c r="C2013">
        <v>5.21</v>
      </c>
      <c r="D2013">
        <v>3.79</v>
      </c>
      <c r="E2013">
        <v>2.67</v>
      </c>
      <c r="F2013">
        <v>4.68</v>
      </c>
      <c r="G2013">
        <v>3.64</v>
      </c>
      <c r="H2013">
        <v>2.79</v>
      </c>
      <c r="I2013">
        <v>5.3</v>
      </c>
      <c r="J2013">
        <v>3.67</v>
      </c>
      <c r="K2013">
        <v>3.03</v>
      </c>
      <c r="L2013">
        <v>5.48</v>
      </c>
      <c r="M2013">
        <v>4.0199999999999996</v>
      </c>
    </row>
    <row r="2014" spans="1:13">
      <c r="A2014" t="s">
        <v>10</v>
      </c>
      <c r="B2014">
        <v>26.94</v>
      </c>
      <c r="C2014">
        <v>10.28</v>
      </c>
      <c r="D2014">
        <v>17.59</v>
      </c>
      <c r="E2014">
        <v>27.98</v>
      </c>
      <c r="F2014">
        <v>10.94</v>
      </c>
      <c r="G2014">
        <v>18.57</v>
      </c>
      <c r="H2014">
        <v>28.56</v>
      </c>
      <c r="I2014">
        <v>11.76</v>
      </c>
      <c r="J2014">
        <v>18.37</v>
      </c>
      <c r="K2014">
        <v>24.9</v>
      </c>
      <c r="L2014">
        <v>8.98</v>
      </c>
      <c r="M2014">
        <v>16.29</v>
      </c>
    </row>
    <row r="2015" spans="1:13">
      <c r="A2015" t="s">
        <v>1621</v>
      </c>
      <c r="B2015" s="342">
        <v>0.41199999999999998</v>
      </c>
      <c r="C2015" s="342">
        <v>0.218</v>
      </c>
      <c r="D2015" s="342">
        <v>0.316</v>
      </c>
      <c r="E2015" s="342">
        <v>0.44400000000000001</v>
      </c>
      <c r="F2015" s="342">
        <v>0.24299999999999999</v>
      </c>
      <c r="G2015" s="342">
        <v>0.33200000000000002</v>
      </c>
      <c r="H2015" s="342">
        <v>0.41299999999999998</v>
      </c>
      <c r="I2015" s="342">
        <v>0.214</v>
      </c>
      <c r="J2015" s="342">
        <v>0.32200000000000001</v>
      </c>
      <c r="K2015" s="342">
        <v>0.38400000000000001</v>
      </c>
      <c r="L2015" s="342">
        <v>0.20699999999999999</v>
      </c>
      <c r="M2015" s="342">
        <v>0.29899999999999999</v>
      </c>
    </row>
    <row r="2017" spans="1:13">
      <c r="A2017" t="s">
        <v>2936</v>
      </c>
    </row>
    <row r="2019" spans="1:13">
      <c r="A2019" t="s">
        <v>158</v>
      </c>
      <c r="B2019" t="s">
        <v>2806</v>
      </c>
      <c r="E2019">
        <v>2017</v>
      </c>
      <c r="H2019">
        <v>2018</v>
      </c>
      <c r="K2019">
        <v>2019</v>
      </c>
    </row>
    <row r="2020" spans="1:13">
      <c r="B2020" t="s">
        <v>1623</v>
      </c>
      <c r="C2020" t="s">
        <v>1624</v>
      </c>
      <c r="D2020" t="s">
        <v>1622</v>
      </c>
      <c r="E2020" t="s">
        <v>1623</v>
      </c>
      <c r="F2020" t="s">
        <v>1624</v>
      </c>
      <c r="G2020" t="s">
        <v>1622</v>
      </c>
      <c r="H2020" t="s">
        <v>1623</v>
      </c>
      <c r="I2020" t="s">
        <v>1624</v>
      </c>
      <c r="J2020" t="s">
        <v>1622</v>
      </c>
      <c r="K2020" t="s">
        <v>1623</v>
      </c>
      <c r="L2020" t="s">
        <v>1624</v>
      </c>
      <c r="M2020" t="s">
        <v>1622</v>
      </c>
    </row>
    <row r="2021" spans="1:13">
      <c r="A2021" t="s">
        <v>2807</v>
      </c>
      <c r="B2021" s="342">
        <v>0.38600000000000001</v>
      </c>
      <c r="C2021" s="342">
        <v>0.63500000000000001</v>
      </c>
      <c r="D2021" s="342">
        <v>0.39800000000000002</v>
      </c>
      <c r="E2021" s="342">
        <v>0.375</v>
      </c>
      <c r="F2021" s="342">
        <v>0.61499999999999999</v>
      </c>
      <c r="G2021" s="342">
        <v>0.38500000000000001</v>
      </c>
      <c r="H2021" s="342">
        <v>0.38300000000000001</v>
      </c>
      <c r="I2021" s="342">
        <v>0.623</v>
      </c>
      <c r="J2021" s="342">
        <v>0.39600000000000002</v>
      </c>
      <c r="K2021" s="342">
        <v>0.4</v>
      </c>
      <c r="L2021" s="342">
        <v>0.66900000000000004</v>
      </c>
      <c r="M2021" s="342">
        <v>0.41399999999999998</v>
      </c>
    </row>
    <row r="2022" spans="1:13">
      <c r="A2022" t="s">
        <v>1618</v>
      </c>
      <c r="B2022" s="342">
        <v>0.32500000000000001</v>
      </c>
      <c r="C2022" s="342">
        <v>0.35</v>
      </c>
      <c r="D2022" s="342">
        <v>0.33800000000000002</v>
      </c>
      <c r="E2022" s="342">
        <v>0.32700000000000001</v>
      </c>
      <c r="F2022" s="342">
        <v>0.36899999999999999</v>
      </c>
      <c r="G2022" s="342">
        <v>0.33700000000000002</v>
      </c>
      <c r="H2022" s="342">
        <v>0.315</v>
      </c>
      <c r="I2022" s="342">
        <v>0.36</v>
      </c>
      <c r="J2022" s="342">
        <v>0.33100000000000002</v>
      </c>
      <c r="K2022" s="342">
        <v>0.33500000000000002</v>
      </c>
      <c r="L2022" s="342">
        <v>0.32200000000000001</v>
      </c>
      <c r="M2022" s="342">
        <v>0.34599999999999997</v>
      </c>
    </row>
    <row r="2023" spans="1:13">
      <c r="A2023" t="s">
        <v>1619</v>
      </c>
      <c r="B2023" s="342">
        <v>1.2E-2</v>
      </c>
      <c r="C2023" s="342">
        <v>2.5999999999999999E-2</v>
      </c>
      <c r="D2023" s="342">
        <v>1.2E-2</v>
      </c>
      <c r="E2023" s="342">
        <v>8.0000000000000002E-3</v>
      </c>
      <c r="F2023" s="342">
        <v>4.0000000000000001E-3</v>
      </c>
      <c r="G2023" s="342">
        <v>7.0000000000000001E-3</v>
      </c>
      <c r="H2023" s="342">
        <v>0.01</v>
      </c>
      <c r="I2023" s="342">
        <v>2.8000000000000001E-2</v>
      </c>
      <c r="J2023" s="342">
        <v>0.01</v>
      </c>
      <c r="K2023" s="342">
        <v>1.9E-2</v>
      </c>
      <c r="L2023" s="342">
        <v>4.1000000000000002E-2</v>
      </c>
      <c r="M2023" s="342">
        <v>1.7999999999999999E-2</v>
      </c>
    </row>
    <row r="2024" spans="1:13">
      <c r="A2024" t="s">
        <v>1620</v>
      </c>
      <c r="B2024" s="342">
        <v>0.501</v>
      </c>
      <c r="C2024" s="342">
        <v>0.60599999999999998</v>
      </c>
      <c r="D2024" s="342">
        <v>0.53700000000000003</v>
      </c>
      <c r="E2024" s="342">
        <v>0.47099999999999997</v>
      </c>
      <c r="F2024" s="342">
        <v>0.56299999999999994</v>
      </c>
      <c r="G2024" s="342">
        <v>0.505</v>
      </c>
      <c r="H2024" s="342">
        <v>0.53</v>
      </c>
      <c r="I2024" s="342">
        <v>0.747</v>
      </c>
      <c r="J2024" s="342">
        <v>0.56799999999999995</v>
      </c>
      <c r="K2024" s="342">
        <v>0.504</v>
      </c>
      <c r="L2024" s="342">
        <v>0.501</v>
      </c>
      <c r="M2024" s="342">
        <v>0.54100000000000004</v>
      </c>
    </row>
    <row r="2025" spans="1:13">
      <c r="A2025" t="s">
        <v>2808</v>
      </c>
      <c r="B2025" s="342">
        <v>0.249</v>
      </c>
      <c r="C2025" s="342">
        <v>0.53200000000000003</v>
      </c>
      <c r="D2025" s="342">
        <v>0.25700000000000001</v>
      </c>
      <c r="E2025" s="342">
        <v>0.23400000000000001</v>
      </c>
      <c r="F2025" s="342">
        <v>0.59</v>
      </c>
      <c r="G2025" s="342">
        <v>0.24399999999999999</v>
      </c>
      <c r="H2025" s="342">
        <v>0.252</v>
      </c>
      <c r="I2025" s="342">
        <v>0.497</v>
      </c>
      <c r="J2025" s="342">
        <v>0.26</v>
      </c>
      <c r="K2025" s="342">
        <v>0.26400000000000001</v>
      </c>
      <c r="L2025" s="342">
        <v>0.52500000000000002</v>
      </c>
      <c r="M2025" s="342">
        <v>0.27</v>
      </c>
    </row>
    <row r="2026" spans="1:13">
      <c r="A2026" t="s">
        <v>2809</v>
      </c>
      <c r="B2026" s="342">
        <v>0.442</v>
      </c>
      <c r="C2026" s="342">
        <v>0.01</v>
      </c>
      <c r="D2026" s="342">
        <v>0.40699999999999997</v>
      </c>
      <c r="E2026" s="342">
        <v>0.40799999999999997</v>
      </c>
      <c r="F2026" s="342">
        <v>5.0000000000000001E-3</v>
      </c>
      <c r="G2026" s="342">
        <v>0.38100000000000001</v>
      </c>
      <c r="H2026" s="342">
        <v>0.44800000000000001</v>
      </c>
      <c r="I2026" s="342">
        <v>5.0000000000000001E-3</v>
      </c>
      <c r="J2026" s="342">
        <v>0.41299999999999998</v>
      </c>
      <c r="K2026" s="342">
        <v>0.47499999999999998</v>
      </c>
      <c r="L2026" s="342">
        <v>1.9E-2</v>
      </c>
      <c r="M2026" s="342">
        <v>0.432</v>
      </c>
    </row>
    <row r="2027" spans="1:13">
      <c r="A2027" t="s">
        <v>2810</v>
      </c>
      <c r="B2027" s="342">
        <v>1.381</v>
      </c>
      <c r="C2027" s="342">
        <v>0.89600000000000002</v>
      </c>
      <c r="D2027" s="342">
        <v>1.2390000000000001</v>
      </c>
      <c r="E2027" s="342">
        <v>1.363</v>
      </c>
      <c r="F2027" s="342">
        <v>1.056</v>
      </c>
      <c r="G2027" s="342">
        <v>1.238</v>
      </c>
      <c r="H2027" s="342">
        <v>1.3220000000000001</v>
      </c>
      <c r="I2027" s="342">
        <v>0.67100000000000004</v>
      </c>
      <c r="J2027" s="342">
        <v>1.1839999999999999</v>
      </c>
      <c r="K2027" s="342">
        <v>1.4650000000000001</v>
      </c>
      <c r="L2027" s="342">
        <v>1.087</v>
      </c>
      <c r="M2027" s="342">
        <v>1.2989999999999999</v>
      </c>
    </row>
    <row r="2028" spans="1:13">
      <c r="A2028" t="s">
        <v>9</v>
      </c>
      <c r="B2028">
        <v>5.84</v>
      </c>
      <c r="C2028">
        <v>14.27</v>
      </c>
      <c r="D2028">
        <v>5.33</v>
      </c>
      <c r="E2028">
        <v>5.47</v>
      </c>
      <c r="F2028">
        <v>25.59</v>
      </c>
      <c r="G2028">
        <v>5.0599999999999996</v>
      </c>
      <c r="H2028">
        <v>6.4</v>
      </c>
      <c r="I2028">
        <v>12.79</v>
      </c>
      <c r="J2028">
        <v>5.73</v>
      </c>
      <c r="K2028">
        <v>5.69</v>
      </c>
      <c r="L2028">
        <v>11.94</v>
      </c>
      <c r="M2028">
        <v>5.23</v>
      </c>
    </row>
    <row r="2029" spans="1:13">
      <c r="A2029" t="s">
        <v>8</v>
      </c>
      <c r="B2029">
        <v>16.66</v>
      </c>
      <c r="C2029">
        <v>5.77</v>
      </c>
      <c r="D2029">
        <v>13.61</v>
      </c>
      <c r="E2029">
        <v>18.329999999999998</v>
      </c>
      <c r="F2029">
        <v>6.87</v>
      </c>
      <c r="G2029">
        <v>15.33</v>
      </c>
      <c r="H2029">
        <v>19.04</v>
      </c>
      <c r="I2029">
        <v>5.71</v>
      </c>
      <c r="J2029">
        <v>14.61</v>
      </c>
      <c r="K2029">
        <v>13.46</v>
      </c>
      <c r="L2029">
        <v>5.17</v>
      </c>
      <c r="M2029">
        <v>11.4</v>
      </c>
    </row>
    <row r="2030" spans="1:13">
      <c r="A2030" t="s">
        <v>10</v>
      </c>
      <c r="B2030">
        <v>10.25</v>
      </c>
      <c r="C2030">
        <v>20.86</v>
      </c>
      <c r="D2030">
        <v>11</v>
      </c>
      <c r="E2030">
        <v>11.42</v>
      </c>
      <c r="F2030">
        <v>17.38</v>
      </c>
      <c r="G2030">
        <v>12.12</v>
      </c>
      <c r="H2030">
        <v>11.46</v>
      </c>
      <c r="I2030">
        <v>26.43</v>
      </c>
      <c r="J2030">
        <v>12.23</v>
      </c>
      <c r="K2030">
        <v>8.35</v>
      </c>
      <c r="L2030">
        <v>18.32</v>
      </c>
      <c r="M2030">
        <v>9.11</v>
      </c>
    </row>
    <row r="2031" spans="1:13">
      <c r="A2031" t="s">
        <v>1621</v>
      </c>
      <c r="B2031" s="342">
        <v>0.13400000000000001</v>
      </c>
      <c r="C2031" s="342">
        <v>0.19500000000000001</v>
      </c>
      <c r="D2031" s="342">
        <v>0.17</v>
      </c>
      <c r="E2031" s="342">
        <v>0.15</v>
      </c>
      <c r="F2031" s="342">
        <v>0.127</v>
      </c>
      <c r="G2031" s="342">
        <v>0.18</v>
      </c>
      <c r="H2031" s="342">
        <v>0.121</v>
      </c>
      <c r="I2031" s="342">
        <v>0.216</v>
      </c>
      <c r="J2031" s="342">
        <v>0.161</v>
      </c>
      <c r="K2031" s="342">
        <v>0.13</v>
      </c>
      <c r="L2031" s="342">
        <v>0.223</v>
      </c>
      <c r="M2031" s="342">
        <v>0.16900000000000001</v>
      </c>
    </row>
    <row r="2033" spans="1:13">
      <c r="A2033" t="s">
        <v>2937</v>
      </c>
    </row>
    <row r="2035" spans="1:13">
      <c r="A2035" t="s">
        <v>158</v>
      </c>
      <c r="B2035" t="s">
        <v>2806</v>
      </c>
      <c r="E2035">
        <v>2017</v>
      </c>
      <c r="H2035">
        <v>2018</v>
      </c>
      <c r="K2035">
        <v>2019</v>
      </c>
    </row>
    <row r="2036" spans="1:13">
      <c r="B2036" t="s">
        <v>1623</v>
      </c>
      <c r="C2036" t="s">
        <v>1624</v>
      </c>
      <c r="D2036" t="s">
        <v>1622</v>
      </c>
      <c r="E2036" t="s">
        <v>1623</v>
      </c>
      <c r="F2036" t="s">
        <v>1624</v>
      </c>
      <c r="G2036" t="s">
        <v>1622</v>
      </c>
      <c r="H2036" t="s">
        <v>1623</v>
      </c>
      <c r="I2036" t="s">
        <v>1624</v>
      </c>
      <c r="J2036" t="s">
        <v>1622</v>
      </c>
      <c r="K2036" t="s">
        <v>1623</v>
      </c>
      <c r="L2036" t="s">
        <v>1624</v>
      </c>
      <c r="M2036" t="s">
        <v>1622</v>
      </c>
    </row>
    <row r="2037" spans="1:13">
      <c r="A2037" t="s">
        <v>2807</v>
      </c>
      <c r="B2037" s="342">
        <v>0.60199999999999998</v>
      </c>
      <c r="C2037" s="342">
        <v>0.57899999999999996</v>
      </c>
      <c r="D2037" s="342">
        <v>0.57099999999999995</v>
      </c>
      <c r="E2037" s="342">
        <v>0.61799999999999999</v>
      </c>
      <c r="F2037" s="342">
        <v>0.57799999999999996</v>
      </c>
      <c r="G2037" s="342">
        <v>0.56000000000000005</v>
      </c>
      <c r="H2037" s="342">
        <v>0.68300000000000005</v>
      </c>
      <c r="I2037" s="342">
        <v>0.57499999999999996</v>
      </c>
      <c r="J2037" s="342">
        <v>0.57599999999999996</v>
      </c>
      <c r="K2037" s="342">
        <v>0.53400000000000003</v>
      </c>
      <c r="L2037" s="342">
        <v>0.58499999999999996</v>
      </c>
      <c r="M2037" s="342">
        <v>0.57799999999999996</v>
      </c>
    </row>
    <row r="2038" spans="1:13">
      <c r="A2038" t="s">
        <v>1618</v>
      </c>
      <c r="B2038" s="342">
        <v>0.20200000000000001</v>
      </c>
      <c r="C2038" s="342">
        <v>0.372</v>
      </c>
      <c r="D2038" s="342">
        <v>0.33900000000000002</v>
      </c>
      <c r="E2038" s="342">
        <v>0.157</v>
      </c>
      <c r="F2038" s="342">
        <v>0.373</v>
      </c>
      <c r="G2038" s="342">
        <v>0.34</v>
      </c>
      <c r="H2038" s="342">
        <v>0.112</v>
      </c>
      <c r="I2038" s="342">
        <v>0.372</v>
      </c>
      <c r="J2038" s="342">
        <v>0.33300000000000002</v>
      </c>
      <c r="K2038" s="342">
        <v>0.29299999999999998</v>
      </c>
      <c r="L2038" s="342">
        <v>0.371</v>
      </c>
      <c r="M2038" s="342">
        <v>0.34200000000000003</v>
      </c>
    </row>
    <row r="2039" spans="1:13">
      <c r="A2039" t="s">
        <v>1619</v>
      </c>
      <c r="B2039" s="342">
        <v>8.0000000000000002E-3</v>
      </c>
      <c r="C2039" s="342">
        <v>1.2999999999999999E-2</v>
      </c>
      <c r="D2039" s="342">
        <v>1.2E-2</v>
      </c>
      <c r="E2039" s="342">
        <v>4.0000000000000001E-3</v>
      </c>
      <c r="F2039" s="342">
        <v>8.9999999999999993E-3</v>
      </c>
      <c r="G2039" s="342">
        <v>8.0000000000000002E-3</v>
      </c>
      <c r="H2039" s="342">
        <v>1.9E-2</v>
      </c>
      <c r="I2039" s="342">
        <v>1.4E-2</v>
      </c>
      <c r="J2039" s="342">
        <v>1.2999999999999999E-2</v>
      </c>
      <c r="K2039" s="342">
        <v>3.0000000000000001E-3</v>
      </c>
      <c r="L2039" s="342">
        <v>1.7000000000000001E-2</v>
      </c>
      <c r="M2039" s="342">
        <v>1.4999999999999999E-2</v>
      </c>
    </row>
    <row r="2040" spans="1:13">
      <c r="A2040" t="s">
        <v>1620</v>
      </c>
      <c r="B2040" s="342">
        <v>0.59599999999999997</v>
      </c>
      <c r="C2040" s="342">
        <v>0.52700000000000002</v>
      </c>
      <c r="D2040" s="342">
        <v>0.56499999999999995</v>
      </c>
      <c r="E2040" s="342">
        <v>0.49099999999999999</v>
      </c>
      <c r="F2040" s="342">
        <v>0.498</v>
      </c>
      <c r="G2040" s="342">
        <v>0.53100000000000003</v>
      </c>
      <c r="H2040" s="342">
        <v>0.48399999999999999</v>
      </c>
      <c r="I2040" s="342">
        <v>0.50600000000000001</v>
      </c>
      <c r="J2040" s="342">
        <v>0.56100000000000005</v>
      </c>
      <c r="K2040" s="342">
        <v>0.84199999999999997</v>
      </c>
      <c r="L2040" s="342">
        <v>0.58599999999999997</v>
      </c>
      <c r="M2040" s="342">
        <v>0.61199999999999999</v>
      </c>
    </row>
    <row r="2041" spans="1:13">
      <c r="A2041" t="s">
        <v>2808</v>
      </c>
      <c r="B2041" s="342">
        <v>0.214</v>
      </c>
      <c r="C2041" s="342">
        <v>0.55500000000000005</v>
      </c>
      <c r="D2041" s="342">
        <v>0.44700000000000001</v>
      </c>
      <c r="E2041" s="342">
        <v>0.23699999999999999</v>
      </c>
      <c r="F2041" s="342">
        <v>0.53800000000000003</v>
      </c>
      <c r="G2041" s="342">
        <v>0.42199999999999999</v>
      </c>
      <c r="H2041" s="342">
        <v>0.22</v>
      </c>
      <c r="I2041" s="342">
        <v>0.51800000000000002</v>
      </c>
      <c r="J2041" s="342">
        <v>0.435</v>
      </c>
      <c r="K2041" s="342">
        <v>0.182</v>
      </c>
      <c r="L2041" s="342">
        <v>0.61799999999999999</v>
      </c>
      <c r="M2041" s="342">
        <v>0.49199999999999999</v>
      </c>
    </row>
    <row r="2042" spans="1:13">
      <c r="A2042" t="s">
        <v>2809</v>
      </c>
      <c r="B2042" s="342">
        <v>5.5E-2</v>
      </c>
      <c r="C2042" s="342">
        <v>4.7E-2</v>
      </c>
      <c r="D2042" s="342">
        <v>4.3999999999999997E-2</v>
      </c>
      <c r="E2042" s="342">
        <v>1.4999999999999999E-2</v>
      </c>
      <c r="F2042" s="342">
        <v>4.5999999999999999E-2</v>
      </c>
      <c r="G2042" s="342">
        <v>0.04</v>
      </c>
      <c r="H2042" s="342">
        <v>6.8000000000000005E-2</v>
      </c>
      <c r="I2042" s="342">
        <v>4.5999999999999999E-2</v>
      </c>
      <c r="J2042" s="342">
        <v>4.5999999999999999E-2</v>
      </c>
      <c r="K2042" s="342">
        <v>0.08</v>
      </c>
      <c r="L2042" s="342">
        <v>4.9000000000000002E-2</v>
      </c>
      <c r="M2042" s="342">
        <v>4.7E-2</v>
      </c>
    </row>
    <row r="2043" spans="1:13">
      <c r="A2043" t="s">
        <v>2810</v>
      </c>
      <c r="B2043" s="342">
        <v>0.45100000000000001</v>
      </c>
      <c r="C2043" s="342">
        <v>1.141</v>
      </c>
      <c r="D2043" s="342">
        <v>0.86899999999999999</v>
      </c>
      <c r="E2043" s="342">
        <v>0.51300000000000001</v>
      </c>
      <c r="F2043" s="342">
        <v>1.1719999999999999</v>
      </c>
      <c r="G2043" s="342">
        <v>0.86899999999999999</v>
      </c>
      <c r="H2043" s="342">
        <v>0.59299999999999997</v>
      </c>
      <c r="I2043" s="342">
        <v>1.1140000000000001</v>
      </c>
      <c r="J2043" s="342">
        <v>0.85799999999999998</v>
      </c>
      <c r="K2043" s="342">
        <v>0.311</v>
      </c>
      <c r="L2043" s="342">
        <v>1.137</v>
      </c>
      <c r="M2043" s="342">
        <v>0.88100000000000001</v>
      </c>
    </row>
    <row r="2044" spans="1:13">
      <c r="A2044" t="s">
        <v>9</v>
      </c>
      <c r="B2044">
        <v>5.09</v>
      </c>
      <c r="C2044">
        <v>4.13</v>
      </c>
      <c r="D2044">
        <v>4.5599999999999996</v>
      </c>
      <c r="E2044">
        <v>6.34</v>
      </c>
      <c r="F2044">
        <v>3.51</v>
      </c>
      <c r="G2044">
        <v>4.22</v>
      </c>
      <c r="H2044">
        <v>5.46</v>
      </c>
      <c r="I2044">
        <v>3.93</v>
      </c>
      <c r="J2044">
        <v>4.37</v>
      </c>
      <c r="K2044">
        <v>4.37</v>
      </c>
      <c r="L2044">
        <v>5.37</v>
      </c>
      <c r="M2044">
        <v>5.26</v>
      </c>
    </row>
    <row r="2045" spans="1:13">
      <c r="A2045" t="s">
        <v>8</v>
      </c>
      <c r="B2045">
        <v>9.7200000000000006</v>
      </c>
      <c r="C2045">
        <v>11.83</v>
      </c>
      <c r="D2045">
        <v>11.58</v>
      </c>
      <c r="E2045">
        <v>12.67</v>
      </c>
      <c r="F2045">
        <v>12.02</v>
      </c>
      <c r="G2045">
        <v>12.41</v>
      </c>
      <c r="H2045">
        <v>9.7899999999999991</v>
      </c>
      <c r="I2045">
        <v>11.79</v>
      </c>
      <c r="J2045">
        <v>11.61</v>
      </c>
      <c r="K2045">
        <v>8.5</v>
      </c>
      <c r="L2045">
        <v>11.67</v>
      </c>
      <c r="M2045">
        <v>10.76</v>
      </c>
    </row>
    <row r="2046" spans="1:13">
      <c r="A2046" t="s">
        <v>10</v>
      </c>
      <c r="B2046">
        <v>25.45</v>
      </c>
      <c r="C2046">
        <v>17.809999999999999</v>
      </c>
      <c r="D2046">
        <v>19.739999999999998</v>
      </c>
      <c r="E2046">
        <v>26.94</v>
      </c>
      <c r="F2046">
        <v>16.239999999999998</v>
      </c>
      <c r="G2046">
        <v>18.82</v>
      </c>
      <c r="H2046">
        <v>32.04</v>
      </c>
      <c r="I2046">
        <v>20.329999999999998</v>
      </c>
      <c r="J2046">
        <v>22.51</v>
      </c>
      <c r="K2046">
        <v>21.56</v>
      </c>
      <c r="L2046">
        <v>17.41</v>
      </c>
      <c r="M2046">
        <v>18.5</v>
      </c>
    </row>
    <row r="2047" spans="1:13">
      <c r="A2047" t="s">
        <v>1621</v>
      </c>
      <c r="B2047" s="342">
        <v>0.26</v>
      </c>
      <c r="C2047" s="342">
        <v>0.27</v>
      </c>
      <c r="D2047" s="342">
        <v>0.255</v>
      </c>
      <c r="E2047" s="342">
        <v>0.19900000000000001</v>
      </c>
      <c r="F2047" s="342">
        <v>0.307</v>
      </c>
      <c r="G2047" s="342">
        <v>0.26400000000000001</v>
      </c>
      <c r="H2047" s="342">
        <v>0.254</v>
      </c>
      <c r="I2047" s="342">
        <v>0.28999999999999998</v>
      </c>
      <c r="J2047" s="342">
        <v>0.27</v>
      </c>
      <c r="K2047" s="342">
        <v>0.3</v>
      </c>
      <c r="L2047" s="342">
        <v>0.215</v>
      </c>
      <c r="M2047" s="342">
        <v>0.22900000000000001</v>
      </c>
    </row>
    <row r="2049" spans="1:13">
      <c r="A2049" t="s">
        <v>2938</v>
      </c>
    </row>
    <row r="2051" spans="1:13">
      <c r="A2051" t="s">
        <v>158</v>
      </c>
      <c r="B2051" t="s">
        <v>2806</v>
      </c>
      <c r="E2051">
        <v>2017</v>
      </c>
      <c r="H2051">
        <v>2018</v>
      </c>
      <c r="K2051">
        <v>2019</v>
      </c>
    </row>
    <row r="2052" spans="1:13">
      <c r="B2052" t="s">
        <v>1623</v>
      </c>
      <c r="C2052" t="s">
        <v>1624</v>
      </c>
      <c r="D2052" t="s">
        <v>1622</v>
      </c>
      <c r="E2052" t="s">
        <v>1623</v>
      </c>
      <c r="F2052" t="s">
        <v>1624</v>
      </c>
      <c r="G2052" t="s">
        <v>1622</v>
      </c>
      <c r="H2052" t="s">
        <v>1623</v>
      </c>
      <c r="I2052" t="s">
        <v>1624</v>
      </c>
      <c r="J2052" t="s">
        <v>1622</v>
      </c>
      <c r="K2052" t="s">
        <v>1623</v>
      </c>
      <c r="L2052" t="s">
        <v>1624</v>
      </c>
      <c r="M2052" t="s">
        <v>1622</v>
      </c>
    </row>
    <row r="2053" spans="1:13">
      <c r="A2053" t="s">
        <v>2807</v>
      </c>
      <c r="B2053" s="342">
        <v>0.59699999999999998</v>
      </c>
      <c r="C2053" s="342">
        <v>0.67</v>
      </c>
      <c r="D2053" s="342">
        <v>0.63300000000000001</v>
      </c>
      <c r="E2053" s="342">
        <v>0.57299999999999995</v>
      </c>
      <c r="F2053" s="342">
        <v>0.73099999999999998</v>
      </c>
      <c r="G2053" s="342">
        <v>0.623</v>
      </c>
      <c r="H2053" s="342">
        <v>0.63100000000000001</v>
      </c>
      <c r="I2053" s="342">
        <v>0.63700000000000001</v>
      </c>
      <c r="J2053" s="342">
        <v>0.64500000000000002</v>
      </c>
      <c r="K2053" s="342">
        <v>0.58199999999999996</v>
      </c>
      <c r="L2053" s="342">
        <v>0.71499999999999997</v>
      </c>
      <c r="M2053" s="342">
        <v>0.63100000000000001</v>
      </c>
    </row>
    <row r="2054" spans="1:13">
      <c r="A2054" t="s">
        <v>1618</v>
      </c>
      <c r="B2054" s="342">
        <v>0.28000000000000003</v>
      </c>
      <c r="C2054" s="342">
        <v>0.30099999999999999</v>
      </c>
      <c r="D2054" s="342">
        <v>0.30199999999999999</v>
      </c>
      <c r="E2054" s="342">
        <v>0.31900000000000001</v>
      </c>
      <c r="F2054" s="342">
        <v>0.25800000000000001</v>
      </c>
      <c r="G2054" s="342">
        <v>0.32400000000000001</v>
      </c>
      <c r="H2054" s="342">
        <v>0.25800000000000001</v>
      </c>
      <c r="I2054" s="342">
        <v>0.32900000000000001</v>
      </c>
      <c r="J2054" s="342">
        <v>0.29199999999999998</v>
      </c>
      <c r="K2054" s="342">
        <v>0.27500000000000002</v>
      </c>
      <c r="L2054" s="342">
        <v>0.25900000000000001</v>
      </c>
      <c r="M2054" s="342">
        <v>0.29299999999999998</v>
      </c>
    </row>
    <row r="2055" spans="1:13">
      <c r="A2055" t="s">
        <v>1619</v>
      </c>
      <c r="B2055" s="342">
        <v>2.1000000000000001E-2</v>
      </c>
      <c r="C2055" s="342">
        <v>1.7000000000000001E-2</v>
      </c>
      <c r="D2055" s="342">
        <v>0.02</v>
      </c>
      <c r="E2055" s="342">
        <v>1.4999999999999999E-2</v>
      </c>
      <c r="F2055" s="342">
        <v>5.0000000000000001E-3</v>
      </c>
      <c r="G2055" s="342">
        <v>1.6E-2</v>
      </c>
      <c r="H2055" s="342">
        <v>0.02</v>
      </c>
      <c r="I2055" s="342">
        <v>1.9E-2</v>
      </c>
      <c r="J2055" s="342">
        <v>1.9E-2</v>
      </c>
      <c r="K2055" s="342">
        <v>2.7E-2</v>
      </c>
      <c r="L2055" s="342">
        <v>0.02</v>
      </c>
      <c r="M2055" s="342">
        <v>2.4E-2</v>
      </c>
    </row>
    <row r="2056" spans="1:13">
      <c r="A2056" t="s">
        <v>1620</v>
      </c>
      <c r="B2056" s="342">
        <v>1.2529999999999999</v>
      </c>
      <c r="C2056" s="342">
        <v>0.76100000000000001</v>
      </c>
      <c r="D2056" s="342">
        <v>0.88100000000000001</v>
      </c>
      <c r="E2056" s="342">
        <v>1.4690000000000001</v>
      </c>
      <c r="F2056" s="342">
        <v>0.80700000000000005</v>
      </c>
      <c r="G2056" s="342">
        <v>0.88200000000000001</v>
      </c>
      <c r="H2056" s="342">
        <v>1.452</v>
      </c>
      <c r="I2056" s="342">
        <v>0.68799999999999994</v>
      </c>
      <c r="J2056" s="342">
        <v>0.88300000000000001</v>
      </c>
      <c r="K2056" s="342">
        <v>1.0169999999999999</v>
      </c>
      <c r="L2056" s="342">
        <v>0.998</v>
      </c>
      <c r="M2056" s="342">
        <v>0.878</v>
      </c>
    </row>
    <row r="2057" spans="1:13">
      <c r="A2057" t="s">
        <v>2808</v>
      </c>
      <c r="B2057" s="342">
        <v>0.58099999999999996</v>
      </c>
      <c r="C2057" s="342">
        <v>0.60799999999999998</v>
      </c>
      <c r="D2057" s="342">
        <v>0.59599999999999997</v>
      </c>
      <c r="E2057" s="342">
        <v>0.629</v>
      </c>
      <c r="F2057" s="342">
        <v>0.57699999999999996</v>
      </c>
      <c r="G2057" s="342">
        <v>0.622</v>
      </c>
      <c r="H2057" s="342">
        <v>0.59899999999999998</v>
      </c>
      <c r="I2057" s="342">
        <v>0.60899999999999999</v>
      </c>
      <c r="J2057" s="342">
        <v>0.60099999999999998</v>
      </c>
      <c r="K2057" s="342">
        <v>0.54700000000000004</v>
      </c>
      <c r="L2057" s="342">
        <v>0.629</v>
      </c>
      <c r="M2057" s="342">
        <v>0.56899999999999995</v>
      </c>
    </row>
    <row r="2058" spans="1:13">
      <c r="A2058" t="s">
        <v>2809</v>
      </c>
      <c r="B2058" s="342">
        <v>1.2E-2</v>
      </c>
      <c r="C2058" s="342">
        <v>1.7999999999999999E-2</v>
      </c>
      <c r="D2058" s="342">
        <v>2.1999999999999999E-2</v>
      </c>
      <c r="E2058" s="342">
        <v>1.4999999999999999E-2</v>
      </c>
      <c r="F2058" s="342">
        <v>5.0000000000000001E-3</v>
      </c>
      <c r="G2058" s="342">
        <v>2.5999999999999999E-2</v>
      </c>
      <c r="H2058" s="342">
        <v>1.4E-2</v>
      </c>
      <c r="I2058" s="342">
        <v>1.9E-2</v>
      </c>
      <c r="J2058" s="342">
        <v>2.1000000000000001E-2</v>
      </c>
      <c r="K2058" s="342">
        <v>0.01</v>
      </c>
      <c r="L2058" s="342">
        <v>2.1999999999999999E-2</v>
      </c>
      <c r="M2058" s="342">
        <v>1.9E-2</v>
      </c>
    </row>
    <row r="2059" spans="1:13">
      <c r="A2059" t="s">
        <v>2810</v>
      </c>
      <c r="B2059" s="342">
        <v>0.47399999999999998</v>
      </c>
      <c r="C2059" s="342">
        <v>0.82199999999999995</v>
      </c>
      <c r="D2059" s="342">
        <v>0.70099999999999996</v>
      </c>
      <c r="E2059" s="342">
        <v>0.438</v>
      </c>
      <c r="F2059" s="342">
        <v>0.72099999999999997</v>
      </c>
      <c r="G2059" s="342">
        <v>0.73499999999999999</v>
      </c>
      <c r="H2059" s="342">
        <v>0.42199999999999999</v>
      </c>
      <c r="I2059" s="342">
        <v>0.91300000000000003</v>
      </c>
      <c r="J2059" s="342">
        <v>0.70399999999999996</v>
      </c>
      <c r="K2059" s="342">
        <v>0.54700000000000004</v>
      </c>
      <c r="L2059" s="342">
        <v>0.65300000000000002</v>
      </c>
      <c r="M2059" s="342">
        <v>0.66900000000000004</v>
      </c>
    </row>
    <row r="2060" spans="1:13">
      <c r="A2060" t="s">
        <v>9</v>
      </c>
      <c r="B2060">
        <v>12.01</v>
      </c>
      <c r="C2060">
        <v>9.27</v>
      </c>
      <c r="D2060">
        <v>9.9</v>
      </c>
      <c r="E2060">
        <v>12.41</v>
      </c>
      <c r="F2060">
        <v>9.4700000000000006</v>
      </c>
      <c r="G2060">
        <v>9.6999999999999993</v>
      </c>
      <c r="H2060">
        <v>11.79</v>
      </c>
      <c r="I2060">
        <v>9.1199999999999992</v>
      </c>
      <c r="J2060">
        <v>9.89</v>
      </c>
      <c r="K2060">
        <v>11.97</v>
      </c>
      <c r="L2060">
        <v>9.5299999999999994</v>
      </c>
      <c r="M2060">
        <v>10.09</v>
      </c>
    </row>
    <row r="2061" spans="1:13">
      <c r="A2061" t="s">
        <v>8</v>
      </c>
      <c r="B2061">
        <v>15.46</v>
      </c>
      <c r="C2061">
        <v>7.75</v>
      </c>
      <c r="D2061">
        <v>10.23</v>
      </c>
      <c r="E2061">
        <v>19</v>
      </c>
      <c r="F2061">
        <v>3.91</v>
      </c>
      <c r="G2061">
        <v>9.39</v>
      </c>
      <c r="H2061">
        <v>12.84</v>
      </c>
      <c r="I2061">
        <v>9.18</v>
      </c>
      <c r="J2061">
        <v>10.44</v>
      </c>
      <c r="K2061">
        <v>16.53</v>
      </c>
      <c r="L2061">
        <v>9.93</v>
      </c>
      <c r="M2061">
        <v>10.86</v>
      </c>
    </row>
    <row r="2062" spans="1:13">
      <c r="A2062" t="s">
        <v>10</v>
      </c>
      <c r="B2062">
        <v>27.76</v>
      </c>
      <c r="C2062">
        <v>13.47</v>
      </c>
      <c r="D2062">
        <v>16.98</v>
      </c>
      <c r="E2062">
        <v>29.96</v>
      </c>
      <c r="F2062">
        <v>9.35</v>
      </c>
      <c r="G2062">
        <v>14.61</v>
      </c>
      <c r="H2062">
        <v>25.65</v>
      </c>
      <c r="I2062">
        <v>15.53</v>
      </c>
      <c r="J2062">
        <v>16.940000000000001</v>
      </c>
      <c r="K2062">
        <v>28.52</v>
      </c>
      <c r="L2062">
        <v>12.69</v>
      </c>
      <c r="M2062">
        <v>19.73</v>
      </c>
    </row>
    <row r="2063" spans="1:13">
      <c r="A2063" t="s">
        <v>1621</v>
      </c>
      <c r="B2063" s="342">
        <v>0.112</v>
      </c>
      <c r="C2063" s="342">
        <v>0.16300000000000001</v>
      </c>
      <c r="D2063" s="342">
        <v>0.14000000000000001</v>
      </c>
      <c r="E2063" s="342">
        <v>0.1</v>
      </c>
      <c r="F2063" s="342">
        <v>0.255</v>
      </c>
      <c r="G2063" s="342">
        <v>0.14099999999999999</v>
      </c>
      <c r="H2063" s="342">
        <v>0.124</v>
      </c>
      <c r="I2063" s="342">
        <v>0.154</v>
      </c>
      <c r="J2063" s="342">
        <v>0.13800000000000001</v>
      </c>
      <c r="K2063" s="342">
        <v>0.109</v>
      </c>
      <c r="L2063" s="342">
        <v>0.127</v>
      </c>
      <c r="M2063" s="342">
        <v>0.14099999999999999</v>
      </c>
    </row>
    <row r="2065" spans="1:13">
      <c r="A2065" t="s">
        <v>2939</v>
      </c>
    </row>
    <row r="2067" spans="1:13">
      <c r="A2067" t="s">
        <v>158</v>
      </c>
      <c r="B2067" t="s">
        <v>2806</v>
      </c>
      <c r="E2067">
        <v>2017</v>
      </c>
      <c r="H2067">
        <v>2018</v>
      </c>
      <c r="K2067">
        <v>2019</v>
      </c>
    </row>
    <row r="2068" spans="1:13">
      <c r="B2068" t="s">
        <v>1623</v>
      </c>
      <c r="C2068" t="s">
        <v>1624</v>
      </c>
      <c r="D2068" t="s">
        <v>1622</v>
      </c>
      <c r="E2068" t="s">
        <v>1623</v>
      </c>
      <c r="F2068" t="s">
        <v>1624</v>
      </c>
      <c r="G2068" t="s">
        <v>1622</v>
      </c>
      <c r="H2068" t="s">
        <v>1623</v>
      </c>
      <c r="I2068" t="s">
        <v>1624</v>
      </c>
      <c r="J2068" t="s">
        <v>1622</v>
      </c>
      <c r="K2068" t="s">
        <v>1623</v>
      </c>
      <c r="L2068" t="s">
        <v>1624</v>
      </c>
      <c r="M2068" t="s">
        <v>1622</v>
      </c>
    </row>
    <row r="2069" spans="1:13">
      <c r="A2069" t="s">
        <v>2807</v>
      </c>
      <c r="B2069" t="s">
        <v>1468</v>
      </c>
      <c r="C2069" t="s">
        <v>1468</v>
      </c>
      <c r="D2069" t="s">
        <v>1468</v>
      </c>
      <c r="E2069" t="s">
        <v>1468</v>
      </c>
      <c r="F2069" t="s">
        <v>1468</v>
      </c>
      <c r="G2069" t="s">
        <v>1468</v>
      </c>
      <c r="H2069" t="s">
        <v>1468</v>
      </c>
      <c r="I2069" t="s">
        <v>1468</v>
      </c>
      <c r="J2069" t="s">
        <v>1468</v>
      </c>
      <c r="K2069" t="s">
        <v>1468</v>
      </c>
      <c r="L2069" t="s">
        <v>1468</v>
      </c>
      <c r="M2069" t="s">
        <v>1468</v>
      </c>
    </row>
    <row r="2070" spans="1:13">
      <c r="A2070" t="s">
        <v>1618</v>
      </c>
      <c r="B2070" t="s">
        <v>1468</v>
      </c>
      <c r="C2070" t="s">
        <v>1468</v>
      </c>
      <c r="D2070" t="s">
        <v>1468</v>
      </c>
      <c r="E2070" t="s">
        <v>1468</v>
      </c>
      <c r="F2070" t="s">
        <v>1468</v>
      </c>
      <c r="G2070" t="s">
        <v>1468</v>
      </c>
      <c r="H2070" t="s">
        <v>1468</v>
      </c>
      <c r="I2070" t="s">
        <v>1468</v>
      </c>
      <c r="J2070" t="s">
        <v>1468</v>
      </c>
      <c r="K2070" t="s">
        <v>1468</v>
      </c>
      <c r="L2070" t="s">
        <v>1468</v>
      </c>
      <c r="M2070" t="s">
        <v>1468</v>
      </c>
    </row>
    <row r="2071" spans="1:13">
      <c r="A2071" t="s">
        <v>1619</v>
      </c>
      <c r="B2071" t="s">
        <v>1468</v>
      </c>
      <c r="C2071" t="s">
        <v>1468</v>
      </c>
      <c r="D2071" t="s">
        <v>1468</v>
      </c>
      <c r="E2071" t="s">
        <v>1468</v>
      </c>
      <c r="F2071" t="s">
        <v>1468</v>
      </c>
      <c r="G2071" t="s">
        <v>1468</v>
      </c>
      <c r="H2071" t="s">
        <v>1468</v>
      </c>
      <c r="I2071" t="s">
        <v>1468</v>
      </c>
      <c r="J2071" t="s">
        <v>1468</v>
      </c>
      <c r="K2071" t="s">
        <v>1468</v>
      </c>
      <c r="L2071" t="s">
        <v>1468</v>
      </c>
      <c r="M2071" t="s">
        <v>1468</v>
      </c>
    </row>
    <row r="2072" spans="1:13">
      <c r="A2072" t="s">
        <v>1620</v>
      </c>
      <c r="B2072" t="s">
        <v>1468</v>
      </c>
      <c r="C2072" t="s">
        <v>1468</v>
      </c>
      <c r="D2072" t="s">
        <v>1468</v>
      </c>
      <c r="E2072" t="s">
        <v>1468</v>
      </c>
      <c r="F2072" t="s">
        <v>1468</v>
      </c>
      <c r="G2072" t="s">
        <v>1468</v>
      </c>
      <c r="H2072" t="s">
        <v>1468</v>
      </c>
      <c r="I2072" t="s">
        <v>1468</v>
      </c>
      <c r="J2072" t="s">
        <v>1468</v>
      </c>
      <c r="K2072" t="s">
        <v>1468</v>
      </c>
      <c r="L2072" t="s">
        <v>1468</v>
      </c>
      <c r="M2072" t="s">
        <v>1468</v>
      </c>
    </row>
    <row r="2073" spans="1:13">
      <c r="A2073" t="s">
        <v>2808</v>
      </c>
      <c r="B2073" t="s">
        <v>1468</v>
      </c>
      <c r="C2073" t="s">
        <v>1468</v>
      </c>
      <c r="D2073" t="s">
        <v>1468</v>
      </c>
      <c r="E2073" t="s">
        <v>1468</v>
      </c>
      <c r="F2073" t="s">
        <v>1468</v>
      </c>
      <c r="G2073" t="s">
        <v>1468</v>
      </c>
      <c r="H2073" t="s">
        <v>1468</v>
      </c>
      <c r="I2073" t="s">
        <v>1468</v>
      </c>
      <c r="J2073" t="s">
        <v>1468</v>
      </c>
      <c r="K2073" t="s">
        <v>1468</v>
      </c>
      <c r="L2073" t="s">
        <v>1468</v>
      </c>
      <c r="M2073" t="s">
        <v>1468</v>
      </c>
    </row>
    <row r="2074" spans="1:13">
      <c r="A2074" t="s">
        <v>2809</v>
      </c>
      <c r="B2074" t="s">
        <v>1468</v>
      </c>
      <c r="C2074" t="s">
        <v>1468</v>
      </c>
      <c r="D2074" t="s">
        <v>1468</v>
      </c>
      <c r="E2074" t="s">
        <v>1468</v>
      </c>
      <c r="F2074" t="s">
        <v>1468</v>
      </c>
      <c r="G2074" t="s">
        <v>1468</v>
      </c>
      <c r="H2074" t="s">
        <v>1468</v>
      </c>
      <c r="I2074" t="s">
        <v>1468</v>
      </c>
      <c r="J2074" t="s">
        <v>1468</v>
      </c>
      <c r="K2074" t="s">
        <v>1468</v>
      </c>
      <c r="L2074" t="s">
        <v>1468</v>
      </c>
      <c r="M2074" t="s">
        <v>1468</v>
      </c>
    </row>
    <row r="2075" spans="1:13">
      <c r="A2075" t="s">
        <v>2810</v>
      </c>
      <c r="B2075" t="s">
        <v>1468</v>
      </c>
      <c r="C2075" t="s">
        <v>1468</v>
      </c>
      <c r="D2075" t="s">
        <v>1468</v>
      </c>
      <c r="E2075" t="s">
        <v>1468</v>
      </c>
      <c r="F2075" t="s">
        <v>1468</v>
      </c>
      <c r="G2075" t="s">
        <v>1468</v>
      </c>
      <c r="H2075" t="s">
        <v>1468</v>
      </c>
      <c r="I2075" t="s">
        <v>1468</v>
      </c>
      <c r="J2075" t="s">
        <v>1468</v>
      </c>
      <c r="K2075" t="s">
        <v>1468</v>
      </c>
      <c r="L2075" t="s">
        <v>1468</v>
      </c>
      <c r="M2075" t="s">
        <v>1468</v>
      </c>
    </row>
    <row r="2076" spans="1:13">
      <c r="A2076" t="s">
        <v>9</v>
      </c>
      <c r="B2076" t="s">
        <v>1468</v>
      </c>
      <c r="C2076" t="s">
        <v>1468</v>
      </c>
      <c r="D2076" t="s">
        <v>1468</v>
      </c>
      <c r="E2076" t="s">
        <v>1468</v>
      </c>
      <c r="F2076" t="s">
        <v>1468</v>
      </c>
      <c r="G2076" t="s">
        <v>1468</v>
      </c>
      <c r="H2076" t="s">
        <v>1468</v>
      </c>
      <c r="I2076" t="s">
        <v>1468</v>
      </c>
      <c r="J2076" t="s">
        <v>1468</v>
      </c>
      <c r="K2076" t="s">
        <v>1468</v>
      </c>
      <c r="L2076" t="s">
        <v>1468</v>
      </c>
      <c r="M2076" t="s">
        <v>1468</v>
      </c>
    </row>
    <row r="2077" spans="1:13">
      <c r="A2077" t="s">
        <v>8</v>
      </c>
      <c r="B2077" t="s">
        <v>1468</v>
      </c>
      <c r="C2077" t="s">
        <v>1468</v>
      </c>
      <c r="D2077" t="s">
        <v>1468</v>
      </c>
      <c r="E2077" t="s">
        <v>1468</v>
      </c>
      <c r="F2077" t="s">
        <v>1468</v>
      </c>
      <c r="G2077" t="s">
        <v>1468</v>
      </c>
      <c r="H2077" t="s">
        <v>1468</v>
      </c>
      <c r="I2077" t="s">
        <v>1468</v>
      </c>
      <c r="J2077" t="s">
        <v>1468</v>
      </c>
      <c r="K2077" t="s">
        <v>1468</v>
      </c>
      <c r="L2077" t="s">
        <v>1468</v>
      </c>
      <c r="M2077" t="s">
        <v>1468</v>
      </c>
    </row>
    <row r="2078" spans="1:13">
      <c r="A2078" t="s">
        <v>10</v>
      </c>
      <c r="B2078" t="s">
        <v>1468</v>
      </c>
      <c r="C2078" t="s">
        <v>1468</v>
      </c>
      <c r="D2078" t="s">
        <v>1468</v>
      </c>
      <c r="E2078" t="s">
        <v>1468</v>
      </c>
      <c r="F2078" t="s">
        <v>1468</v>
      </c>
      <c r="G2078" t="s">
        <v>1468</v>
      </c>
      <c r="H2078" t="s">
        <v>1468</v>
      </c>
      <c r="I2078" t="s">
        <v>1468</v>
      </c>
      <c r="J2078" t="s">
        <v>1468</v>
      </c>
      <c r="K2078" t="s">
        <v>1468</v>
      </c>
      <c r="L2078" t="s">
        <v>1468</v>
      </c>
      <c r="M2078" t="s">
        <v>1468</v>
      </c>
    </row>
    <row r="2079" spans="1:13">
      <c r="A2079" t="s">
        <v>1621</v>
      </c>
      <c r="B2079" t="s">
        <v>1468</v>
      </c>
      <c r="C2079" t="s">
        <v>1468</v>
      </c>
      <c r="D2079" t="s">
        <v>1468</v>
      </c>
      <c r="E2079" t="s">
        <v>1468</v>
      </c>
      <c r="F2079" t="s">
        <v>1468</v>
      </c>
      <c r="G2079" t="s">
        <v>1468</v>
      </c>
      <c r="H2079" t="s">
        <v>1468</v>
      </c>
      <c r="I2079" t="s">
        <v>1468</v>
      </c>
      <c r="J2079" t="s">
        <v>1468</v>
      </c>
      <c r="K2079" t="s">
        <v>1468</v>
      </c>
      <c r="L2079" t="s">
        <v>1468</v>
      </c>
      <c r="M2079" t="s">
        <v>1468</v>
      </c>
    </row>
    <row r="2081" spans="1:13">
      <c r="A2081" t="s">
        <v>2940</v>
      </c>
    </row>
    <row r="2083" spans="1:13">
      <c r="A2083" t="s">
        <v>158</v>
      </c>
      <c r="B2083" t="s">
        <v>2806</v>
      </c>
      <c r="E2083">
        <v>2017</v>
      </c>
      <c r="H2083">
        <v>2018</v>
      </c>
      <c r="K2083">
        <v>2019</v>
      </c>
    </row>
    <row r="2084" spans="1:13">
      <c r="B2084" t="s">
        <v>1623</v>
      </c>
      <c r="C2084" t="s">
        <v>1624</v>
      </c>
      <c r="D2084" t="s">
        <v>1622</v>
      </c>
      <c r="E2084" t="s">
        <v>1623</v>
      </c>
      <c r="F2084" t="s">
        <v>1624</v>
      </c>
      <c r="G2084" t="s">
        <v>1622</v>
      </c>
      <c r="H2084" t="s">
        <v>1623</v>
      </c>
      <c r="I2084" t="s">
        <v>1624</v>
      </c>
      <c r="J2084" t="s">
        <v>1622</v>
      </c>
      <c r="K2084" t="s">
        <v>1623</v>
      </c>
      <c r="L2084" t="s">
        <v>1624</v>
      </c>
      <c r="M2084" t="s">
        <v>1622</v>
      </c>
    </row>
    <row r="2085" spans="1:13">
      <c r="A2085" t="s">
        <v>2807</v>
      </c>
      <c r="B2085" s="342">
        <v>0.626</v>
      </c>
      <c r="C2085" s="342">
        <v>0.80500000000000005</v>
      </c>
      <c r="D2085" s="342">
        <v>0.73099999999999998</v>
      </c>
      <c r="E2085" s="342">
        <v>0.72699999999999998</v>
      </c>
      <c r="F2085" s="342">
        <v>0.80300000000000005</v>
      </c>
      <c r="G2085" s="342">
        <v>0.748</v>
      </c>
      <c r="H2085" s="342">
        <v>0.64100000000000001</v>
      </c>
      <c r="I2085" s="342">
        <v>0.80500000000000005</v>
      </c>
      <c r="J2085" s="342">
        <v>0.74</v>
      </c>
      <c r="K2085" s="342">
        <v>0.52300000000000002</v>
      </c>
      <c r="L2085" s="342">
        <v>0.81399999999999995</v>
      </c>
      <c r="M2085" s="342">
        <v>0.70299999999999996</v>
      </c>
    </row>
    <row r="2086" spans="1:13">
      <c r="A2086" t="s">
        <v>1618</v>
      </c>
      <c r="B2086" s="342">
        <v>0.14000000000000001</v>
      </c>
      <c r="C2086" s="342">
        <v>0.17399999999999999</v>
      </c>
      <c r="D2086" s="342">
        <v>0.19900000000000001</v>
      </c>
      <c r="E2086" s="342">
        <v>0.127</v>
      </c>
      <c r="F2086" s="342">
        <v>0.17199999999999999</v>
      </c>
      <c r="G2086" s="342">
        <v>0.19500000000000001</v>
      </c>
      <c r="H2086" s="342">
        <v>0.16</v>
      </c>
      <c r="I2086" s="342">
        <v>0.17799999999999999</v>
      </c>
      <c r="J2086" s="342">
        <v>0.20100000000000001</v>
      </c>
      <c r="K2086" s="342">
        <v>0.13900000000000001</v>
      </c>
      <c r="L2086" s="342">
        <v>0.16200000000000001</v>
      </c>
      <c r="M2086" s="342">
        <v>0.20100000000000001</v>
      </c>
    </row>
    <row r="2087" spans="1:13">
      <c r="A2087" t="s">
        <v>1619</v>
      </c>
      <c r="B2087" s="342">
        <v>1.2999999999999999E-2</v>
      </c>
      <c r="C2087" s="342">
        <v>8.0000000000000002E-3</v>
      </c>
      <c r="D2087" s="342">
        <v>1.4E-2</v>
      </c>
      <c r="E2087" s="342">
        <v>5.0000000000000001E-3</v>
      </c>
      <c r="F2087" s="342">
        <v>4.0000000000000001E-3</v>
      </c>
      <c r="G2087" s="342">
        <v>5.0000000000000001E-3</v>
      </c>
      <c r="H2087" s="342">
        <v>1.6E-2</v>
      </c>
      <c r="I2087" s="342">
        <v>1.2E-2</v>
      </c>
      <c r="J2087" s="342">
        <v>1.4999999999999999E-2</v>
      </c>
      <c r="K2087" s="342">
        <v>1.7000000000000001E-2</v>
      </c>
      <c r="L2087" s="342">
        <v>1.4E-2</v>
      </c>
      <c r="M2087" s="342">
        <v>2.1999999999999999E-2</v>
      </c>
    </row>
    <row r="2088" spans="1:13">
      <c r="A2088" t="s">
        <v>1620</v>
      </c>
      <c r="B2088" s="342">
        <v>0.26800000000000002</v>
      </c>
      <c r="C2088" s="342">
        <v>1.431</v>
      </c>
      <c r="D2088" s="342">
        <v>0.83699999999999997</v>
      </c>
      <c r="E2088" s="342">
        <v>0.70799999999999996</v>
      </c>
      <c r="F2088" s="342">
        <v>1.488</v>
      </c>
      <c r="G2088" s="342">
        <v>0.90200000000000002</v>
      </c>
      <c r="H2088" s="342">
        <v>0.60399999999999998</v>
      </c>
      <c r="I2088" s="342">
        <v>1.43</v>
      </c>
      <c r="J2088" s="342">
        <v>0.89800000000000002</v>
      </c>
      <c r="K2088" s="342">
        <v>0.13700000000000001</v>
      </c>
      <c r="L2088" s="342">
        <v>1.228</v>
      </c>
      <c r="M2088" s="342">
        <v>0.72399999999999998</v>
      </c>
    </row>
    <row r="2089" spans="1:13">
      <c r="A2089" t="s">
        <v>2808</v>
      </c>
      <c r="B2089" s="342">
        <v>0.19800000000000001</v>
      </c>
      <c r="C2089" s="342">
        <v>0.41299999999999998</v>
      </c>
      <c r="D2089" s="342">
        <v>0.34699999999999998</v>
      </c>
      <c r="E2089" s="342">
        <v>0.48299999999999998</v>
      </c>
      <c r="F2089" s="342">
        <v>0.41699999999999998</v>
      </c>
      <c r="G2089" s="342">
        <v>0.36299999999999999</v>
      </c>
      <c r="H2089" s="342">
        <v>0.501</v>
      </c>
      <c r="I2089" s="342">
        <v>0.41099999999999998</v>
      </c>
      <c r="J2089" s="342">
        <v>0.375</v>
      </c>
      <c r="K2089" s="342">
        <v>9.9000000000000005E-2</v>
      </c>
      <c r="L2089" s="342">
        <v>0.40200000000000002</v>
      </c>
      <c r="M2089" s="342">
        <v>0.30599999999999999</v>
      </c>
    </row>
    <row r="2090" spans="1:13">
      <c r="A2090" t="s">
        <v>2809</v>
      </c>
      <c r="B2090" s="342">
        <v>1.4999999999999999E-2</v>
      </c>
      <c r="C2090" s="342">
        <v>1.2E-2</v>
      </c>
      <c r="D2090" s="342">
        <v>1.2999999999999999E-2</v>
      </c>
      <c r="E2090" s="342">
        <v>1.2E-2</v>
      </c>
      <c r="F2090" s="342">
        <v>1.0999999999999999E-2</v>
      </c>
      <c r="G2090" s="342">
        <v>1.0999999999999999E-2</v>
      </c>
      <c r="H2090" s="342">
        <v>1.2E-2</v>
      </c>
      <c r="I2090" s="342">
        <v>0.01</v>
      </c>
      <c r="J2090" s="342">
        <v>1.2E-2</v>
      </c>
      <c r="K2090" s="342">
        <v>1.6E-2</v>
      </c>
      <c r="L2090" s="342">
        <v>2.3E-2</v>
      </c>
      <c r="M2090" s="342">
        <v>1.7000000000000001E-2</v>
      </c>
    </row>
    <row r="2091" spans="1:13">
      <c r="A2091" t="s">
        <v>2810</v>
      </c>
      <c r="B2091" s="342">
        <v>0.79300000000000004</v>
      </c>
      <c r="C2091" s="342">
        <v>0.29699999999999999</v>
      </c>
      <c r="D2091" s="342">
        <v>0.43099999999999999</v>
      </c>
      <c r="E2091" s="342">
        <v>0.7</v>
      </c>
      <c r="F2091" s="342">
        <v>0.28799999999999998</v>
      </c>
      <c r="G2091" s="342">
        <v>0.41499999999999998</v>
      </c>
      <c r="H2091" s="342">
        <v>0.84899999999999998</v>
      </c>
      <c r="I2091" s="342">
        <v>0.29499999999999998</v>
      </c>
      <c r="J2091" s="342">
        <v>0.43099999999999999</v>
      </c>
      <c r="K2091" s="342">
        <v>0.83899999999999997</v>
      </c>
      <c r="L2091" s="342">
        <v>0.34599999999999997</v>
      </c>
      <c r="M2091" s="342">
        <v>0.44600000000000001</v>
      </c>
    </row>
    <row r="2092" spans="1:13">
      <c r="A2092" t="s">
        <v>9</v>
      </c>
      <c r="B2092">
        <v>6.13</v>
      </c>
      <c r="C2092">
        <v>8.15</v>
      </c>
      <c r="D2092">
        <v>6.9</v>
      </c>
      <c r="E2092">
        <v>5.77</v>
      </c>
      <c r="F2092">
        <v>8.56</v>
      </c>
      <c r="G2092">
        <v>6.84</v>
      </c>
      <c r="H2092">
        <v>5.29</v>
      </c>
      <c r="I2092">
        <v>7.62</v>
      </c>
      <c r="J2092">
        <v>6.62</v>
      </c>
      <c r="K2092">
        <v>7.37</v>
      </c>
      <c r="L2092">
        <v>8.9600000000000009</v>
      </c>
      <c r="M2092">
        <v>7.33</v>
      </c>
    </row>
    <row r="2093" spans="1:13">
      <c r="A2093" t="s">
        <v>8</v>
      </c>
      <c r="B2093">
        <v>9.92</v>
      </c>
      <c r="C2093">
        <v>7.85</v>
      </c>
      <c r="D2093">
        <v>9.27</v>
      </c>
      <c r="E2093">
        <v>9.39</v>
      </c>
      <c r="F2093">
        <v>8.0299999999999994</v>
      </c>
      <c r="G2093">
        <v>8.8800000000000008</v>
      </c>
      <c r="H2093">
        <v>8.2799999999999994</v>
      </c>
      <c r="I2093">
        <v>8.43</v>
      </c>
      <c r="J2093">
        <v>8.4499999999999993</v>
      </c>
      <c r="K2093">
        <v>12.26</v>
      </c>
      <c r="L2093">
        <v>5.65</v>
      </c>
      <c r="M2093">
        <v>11.02</v>
      </c>
    </row>
    <row r="2094" spans="1:13">
      <c r="A2094" t="s">
        <v>10</v>
      </c>
      <c r="B2094">
        <v>16.05</v>
      </c>
      <c r="C2094">
        <v>10.44</v>
      </c>
      <c r="D2094">
        <v>10.029999999999999</v>
      </c>
      <c r="E2094">
        <v>15.84</v>
      </c>
      <c r="F2094">
        <v>10.68</v>
      </c>
      <c r="G2094">
        <v>8.7200000000000006</v>
      </c>
      <c r="H2094">
        <v>14.06</v>
      </c>
      <c r="I2094">
        <v>9.5500000000000007</v>
      </c>
      <c r="J2094">
        <v>10.15</v>
      </c>
      <c r="K2094">
        <v>18.100000000000001</v>
      </c>
      <c r="L2094">
        <v>14.66</v>
      </c>
      <c r="M2094">
        <v>11.75</v>
      </c>
    </row>
    <row r="2095" spans="1:13">
      <c r="A2095" t="s">
        <v>1621</v>
      </c>
      <c r="B2095" s="342">
        <v>0.20200000000000001</v>
      </c>
      <c r="C2095" s="342">
        <v>0.154</v>
      </c>
      <c r="D2095" s="342">
        <v>0.153</v>
      </c>
      <c r="E2095" s="342">
        <v>0.217</v>
      </c>
      <c r="F2095" s="342">
        <v>0.14799999999999999</v>
      </c>
      <c r="G2095" s="342">
        <v>0.14399999999999999</v>
      </c>
      <c r="H2095" s="342">
        <v>0.23899999999999999</v>
      </c>
      <c r="I2095" s="342">
        <v>0.14499999999999999</v>
      </c>
      <c r="J2095" s="342">
        <v>0.17100000000000001</v>
      </c>
      <c r="K2095" s="342">
        <v>0.16200000000000001</v>
      </c>
      <c r="L2095" s="342">
        <v>0.22</v>
      </c>
      <c r="M2095" s="342">
        <v>0.14199999999999999</v>
      </c>
    </row>
    <row r="2097" spans="1:13">
      <c r="A2097" t="s">
        <v>2941</v>
      </c>
    </row>
    <row r="2099" spans="1:13">
      <c r="A2099" t="s">
        <v>158</v>
      </c>
      <c r="B2099" t="s">
        <v>2806</v>
      </c>
      <c r="E2099">
        <v>2017</v>
      </c>
      <c r="H2099">
        <v>2018</v>
      </c>
      <c r="K2099">
        <v>2019</v>
      </c>
    </row>
    <row r="2100" spans="1:13">
      <c r="B2100" t="s">
        <v>1623</v>
      </c>
      <c r="C2100" t="s">
        <v>1624</v>
      </c>
      <c r="D2100" t="s">
        <v>1622</v>
      </c>
      <c r="E2100" t="s">
        <v>1623</v>
      </c>
      <c r="F2100" t="s">
        <v>1624</v>
      </c>
      <c r="G2100" t="s">
        <v>1622</v>
      </c>
      <c r="H2100" t="s">
        <v>1623</v>
      </c>
      <c r="I2100" t="s">
        <v>1624</v>
      </c>
      <c r="J2100" t="s">
        <v>1622</v>
      </c>
      <c r="K2100" t="s">
        <v>1623</v>
      </c>
      <c r="L2100" t="s">
        <v>1624</v>
      </c>
      <c r="M2100" t="s">
        <v>1622</v>
      </c>
    </row>
    <row r="2101" spans="1:13">
      <c r="A2101" t="s">
        <v>2807</v>
      </c>
      <c r="B2101" s="342">
        <v>0.61899999999999999</v>
      </c>
      <c r="C2101" s="342">
        <v>0.79600000000000004</v>
      </c>
      <c r="D2101" s="342">
        <v>0.73499999999999999</v>
      </c>
      <c r="E2101" s="342">
        <v>0.67400000000000004</v>
      </c>
      <c r="F2101" s="342">
        <v>0.77100000000000002</v>
      </c>
      <c r="G2101" s="342">
        <v>0.74</v>
      </c>
      <c r="H2101" s="342">
        <v>0.61499999999999999</v>
      </c>
      <c r="I2101" s="342">
        <v>0.77700000000000002</v>
      </c>
      <c r="J2101" s="342">
        <v>0.71299999999999997</v>
      </c>
      <c r="K2101" s="342">
        <v>0.61</v>
      </c>
      <c r="L2101" s="342">
        <v>0.82199999999999995</v>
      </c>
      <c r="M2101" s="342">
        <v>0.746</v>
      </c>
    </row>
    <row r="2102" spans="1:13">
      <c r="A2102" t="s">
        <v>1618</v>
      </c>
      <c r="B2102" s="342">
        <v>0.24</v>
      </c>
      <c r="C2102" s="342">
        <v>0.185</v>
      </c>
      <c r="D2102" s="342">
        <v>0.20599999999999999</v>
      </c>
      <c r="E2102" s="342">
        <v>0.20200000000000001</v>
      </c>
      <c r="F2102" s="342">
        <v>0.21</v>
      </c>
      <c r="G2102" s="342">
        <v>0.217</v>
      </c>
      <c r="H2102" s="342">
        <v>0.23799999999999999</v>
      </c>
      <c r="I2102" s="342">
        <v>0.20499999999999999</v>
      </c>
      <c r="J2102" s="342">
        <v>0.21199999999999999</v>
      </c>
      <c r="K2102" s="342">
        <v>0.25</v>
      </c>
      <c r="L2102" s="342">
        <v>0.159</v>
      </c>
      <c r="M2102" s="342">
        <v>0.19400000000000001</v>
      </c>
    </row>
    <row r="2103" spans="1:13">
      <c r="A2103" t="s">
        <v>1619</v>
      </c>
      <c r="B2103" s="342">
        <v>6.0000000000000001E-3</v>
      </c>
      <c r="C2103" s="342">
        <v>8.0000000000000002E-3</v>
      </c>
      <c r="D2103" s="342">
        <v>8.9999999999999993E-3</v>
      </c>
      <c r="E2103" s="342">
        <v>1.6E-2</v>
      </c>
      <c r="F2103" s="342">
        <v>4.0000000000000001E-3</v>
      </c>
      <c r="G2103" s="342">
        <v>7.0000000000000001E-3</v>
      </c>
      <c r="H2103" s="342">
        <v>4.0000000000000001E-3</v>
      </c>
      <c r="I2103" s="342">
        <v>1.4999999999999999E-2</v>
      </c>
      <c r="J2103" s="342">
        <v>1.2E-2</v>
      </c>
      <c r="K2103" s="342">
        <v>5.0000000000000001E-3</v>
      </c>
      <c r="L2103" s="342">
        <v>7.0000000000000001E-3</v>
      </c>
      <c r="M2103" s="342">
        <v>8.0000000000000002E-3</v>
      </c>
    </row>
    <row r="2104" spans="1:13">
      <c r="A2104" t="s">
        <v>1620</v>
      </c>
      <c r="B2104" s="342">
        <v>1.2749999999999999</v>
      </c>
      <c r="C2104" s="342">
        <v>1.3879999999999999</v>
      </c>
      <c r="D2104" s="342">
        <v>1.278</v>
      </c>
      <c r="E2104" s="342">
        <v>0.48199999999999998</v>
      </c>
      <c r="F2104" s="342">
        <v>1.4530000000000001</v>
      </c>
      <c r="G2104" s="342">
        <v>1.1439999999999999</v>
      </c>
      <c r="H2104" s="342">
        <v>1.679</v>
      </c>
      <c r="I2104" s="342">
        <v>1.5</v>
      </c>
      <c r="J2104" s="342">
        <v>1.431</v>
      </c>
      <c r="K2104" s="342">
        <v>1.5369999999999999</v>
      </c>
      <c r="L2104" s="342">
        <v>1.2989999999999999</v>
      </c>
      <c r="M2104" s="342">
        <v>1.28</v>
      </c>
    </row>
    <row r="2105" spans="1:13">
      <c r="A2105" t="s">
        <v>2808</v>
      </c>
      <c r="B2105" s="342">
        <v>0.23799999999999999</v>
      </c>
      <c r="C2105" s="342">
        <v>0.41899999999999998</v>
      </c>
      <c r="D2105" s="342">
        <v>0.36299999999999999</v>
      </c>
      <c r="E2105" s="342">
        <v>0.28299999999999997</v>
      </c>
      <c r="F2105" s="342">
        <v>0.39600000000000002</v>
      </c>
      <c r="G2105" s="342">
        <v>0.35499999999999998</v>
      </c>
      <c r="H2105" s="342">
        <v>0.21199999999999999</v>
      </c>
      <c r="I2105" s="342">
        <v>0.35799999999999998</v>
      </c>
      <c r="J2105" s="342">
        <v>0.32200000000000001</v>
      </c>
      <c r="K2105" s="342">
        <v>0.22500000000000001</v>
      </c>
      <c r="L2105" s="342">
        <v>0.46100000000000002</v>
      </c>
      <c r="M2105" s="342">
        <v>0.39400000000000002</v>
      </c>
    </row>
    <row r="2106" spans="1:13">
      <c r="A2106" t="s">
        <v>2809</v>
      </c>
      <c r="B2106" s="342">
        <v>1.9E-2</v>
      </c>
      <c r="C2106" s="342">
        <v>2.1000000000000001E-2</v>
      </c>
      <c r="D2106" s="342">
        <v>3.1E-2</v>
      </c>
      <c r="E2106" s="342">
        <v>3.1E-2</v>
      </c>
      <c r="F2106" s="342">
        <v>3.1E-2</v>
      </c>
      <c r="G2106" s="342">
        <v>4.4999999999999998E-2</v>
      </c>
      <c r="H2106" s="342">
        <v>1.2999999999999999E-2</v>
      </c>
      <c r="I2106" s="342">
        <v>2.5999999999999999E-2</v>
      </c>
      <c r="J2106" s="342">
        <v>0.03</v>
      </c>
      <c r="K2106" s="342">
        <v>1.7000000000000001E-2</v>
      </c>
      <c r="L2106" s="342">
        <v>1.2E-2</v>
      </c>
      <c r="M2106" s="342">
        <v>2.1000000000000001E-2</v>
      </c>
    </row>
    <row r="2107" spans="1:13">
      <c r="A2107" t="s">
        <v>2810</v>
      </c>
      <c r="B2107" s="342">
        <v>0.20200000000000001</v>
      </c>
      <c r="C2107" s="342">
        <v>0.317</v>
      </c>
      <c r="D2107" s="342">
        <v>0.308</v>
      </c>
      <c r="E2107" s="342">
        <v>0.65200000000000002</v>
      </c>
      <c r="F2107" s="342">
        <v>0.29299999999999998</v>
      </c>
      <c r="G2107" s="342">
        <v>0.34899999999999998</v>
      </c>
      <c r="H2107" s="342">
        <v>0.13300000000000001</v>
      </c>
      <c r="I2107" s="342">
        <v>0.25600000000000001</v>
      </c>
      <c r="J2107" s="342">
        <v>0.246</v>
      </c>
      <c r="K2107" s="342">
        <v>0.157</v>
      </c>
      <c r="L2107" s="342">
        <v>0.36499999999999999</v>
      </c>
      <c r="M2107" s="342">
        <v>0.32500000000000001</v>
      </c>
    </row>
    <row r="2108" spans="1:13">
      <c r="A2108" t="s">
        <v>9</v>
      </c>
      <c r="B2108">
        <v>5.91</v>
      </c>
      <c r="C2108">
        <v>7.35</v>
      </c>
      <c r="D2108">
        <v>6.9</v>
      </c>
      <c r="E2108">
        <v>1.75</v>
      </c>
      <c r="F2108">
        <v>6</v>
      </c>
      <c r="G2108">
        <v>5.12</v>
      </c>
      <c r="H2108">
        <v>8.7100000000000009</v>
      </c>
      <c r="I2108">
        <v>7.98</v>
      </c>
      <c r="J2108">
        <v>7.89</v>
      </c>
      <c r="K2108">
        <v>8.1</v>
      </c>
      <c r="L2108">
        <v>8.23</v>
      </c>
      <c r="M2108">
        <v>8.01</v>
      </c>
    </row>
    <row r="2109" spans="1:13">
      <c r="A2109" t="s">
        <v>8</v>
      </c>
      <c r="B2109">
        <v>9.3000000000000007</v>
      </c>
      <c r="C2109">
        <v>9.2799999999999994</v>
      </c>
      <c r="D2109">
        <v>9.24</v>
      </c>
      <c r="E2109">
        <v>3.46</v>
      </c>
      <c r="F2109">
        <v>8.6300000000000008</v>
      </c>
      <c r="G2109">
        <v>8.06</v>
      </c>
      <c r="H2109">
        <v>11.03</v>
      </c>
      <c r="I2109">
        <v>11.24</v>
      </c>
      <c r="J2109">
        <v>10.5</v>
      </c>
      <c r="K2109">
        <v>12.54</v>
      </c>
      <c r="L2109">
        <v>8.9</v>
      </c>
      <c r="M2109">
        <v>9.35</v>
      </c>
    </row>
    <row r="2110" spans="1:13">
      <c r="A2110" t="s">
        <v>10</v>
      </c>
      <c r="B2110">
        <v>14.52</v>
      </c>
      <c r="C2110">
        <v>8.34</v>
      </c>
      <c r="D2110">
        <v>10.47</v>
      </c>
      <c r="E2110">
        <v>4.49</v>
      </c>
      <c r="F2110">
        <v>7.12</v>
      </c>
      <c r="G2110">
        <v>7.77</v>
      </c>
      <c r="H2110">
        <v>20.43</v>
      </c>
      <c r="I2110">
        <v>17.45</v>
      </c>
      <c r="J2110">
        <v>18.079999999999998</v>
      </c>
      <c r="K2110">
        <v>19.77</v>
      </c>
      <c r="L2110">
        <v>7.18</v>
      </c>
      <c r="M2110">
        <v>9.82</v>
      </c>
    </row>
    <row r="2111" spans="1:13">
      <c r="A2111" t="s">
        <v>1621</v>
      </c>
      <c r="B2111" s="342">
        <v>0.20799999999999999</v>
      </c>
      <c r="C2111" s="342">
        <v>0.124</v>
      </c>
      <c r="D2111" s="342">
        <v>0.158</v>
      </c>
      <c r="E2111" s="342">
        <v>0.63700000000000001</v>
      </c>
      <c r="F2111" s="342">
        <v>0.14199999999999999</v>
      </c>
      <c r="G2111" s="342">
        <v>0.191</v>
      </c>
      <c r="H2111" s="342">
        <v>0.156</v>
      </c>
      <c r="I2111" s="342">
        <v>0.157</v>
      </c>
      <c r="J2111" s="342">
        <v>0.16700000000000001</v>
      </c>
      <c r="K2111" s="342">
        <v>0.153</v>
      </c>
      <c r="L2111" s="342">
        <v>9.5000000000000001E-2</v>
      </c>
      <c r="M2111" s="342">
        <v>0.13</v>
      </c>
    </row>
    <row r="2113" spans="1:13">
      <c r="A2113" t="s">
        <v>2942</v>
      </c>
    </row>
    <row r="2115" spans="1:13">
      <c r="A2115" t="s">
        <v>158</v>
      </c>
      <c r="B2115" t="s">
        <v>2806</v>
      </c>
      <c r="E2115">
        <v>2017</v>
      </c>
      <c r="H2115">
        <v>2018</v>
      </c>
      <c r="K2115">
        <v>2019</v>
      </c>
    </row>
    <row r="2116" spans="1:13">
      <c r="B2116" t="s">
        <v>1623</v>
      </c>
      <c r="C2116" t="s">
        <v>1624</v>
      </c>
      <c r="D2116" t="s">
        <v>1622</v>
      </c>
      <c r="E2116" t="s">
        <v>1623</v>
      </c>
      <c r="F2116" t="s">
        <v>1624</v>
      </c>
      <c r="G2116" t="s">
        <v>1622</v>
      </c>
      <c r="H2116" t="s">
        <v>1623</v>
      </c>
      <c r="I2116" t="s">
        <v>1624</v>
      </c>
      <c r="J2116" t="s">
        <v>1622</v>
      </c>
      <c r="K2116" t="s">
        <v>1623</v>
      </c>
      <c r="L2116" t="s">
        <v>1624</v>
      </c>
      <c r="M2116" t="s">
        <v>1622</v>
      </c>
    </row>
    <row r="2117" spans="1:13">
      <c r="A2117" t="s">
        <v>2807</v>
      </c>
      <c r="B2117" s="342">
        <v>0.70899999999999996</v>
      </c>
      <c r="C2117" s="342">
        <v>0.88500000000000001</v>
      </c>
      <c r="D2117" s="342">
        <v>0.83499999999999996</v>
      </c>
      <c r="E2117" s="342">
        <v>0.71399999999999997</v>
      </c>
      <c r="F2117" s="342">
        <v>0.88700000000000001</v>
      </c>
      <c r="G2117" s="342">
        <v>0.83199999999999996</v>
      </c>
      <c r="H2117" s="342">
        <v>0.70799999999999996</v>
      </c>
      <c r="I2117" s="342">
        <v>0.88600000000000001</v>
      </c>
      <c r="J2117" s="342">
        <v>0.83599999999999997</v>
      </c>
      <c r="K2117" s="342">
        <v>0.70199999999999996</v>
      </c>
      <c r="L2117" s="342">
        <v>0.88400000000000001</v>
      </c>
      <c r="M2117" s="342">
        <v>0.83799999999999997</v>
      </c>
    </row>
    <row r="2118" spans="1:13">
      <c r="A2118" t="s">
        <v>1618</v>
      </c>
      <c r="B2118" s="342">
        <v>0.121</v>
      </c>
      <c r="C2118" s="342">
        <v>9.2999999999999999E-2</v>
      </c>
      <c r="D2118" s="342">
        <v>0.105</v>
      </c>
      <c r="E2118" s="342">
        <v>0.11799999999999999</v>
      </c>
      <c r="F2118" s="342">
        <v>9.1999999999999998E-2</v>
      </c>
      <c r="G2118" s="342">
        <v>0.104</v>
      </c>
      <c r="H2118" s="342">
        <v>0.123</v>
      </c>
      <c r="I2118" s="342">
        <v>9.1999999999999998E-2</v>
      </c>
      <c r="J2118" s="342">
        <v>0.105</v>
      </c>
      <c r="K2118" s="342">
        <v>0.123</v>
      </c>
      <c r="L2118" s="342">
        <v>9.4E-2</v>
      </c>
      <c r="M2118" s="342">
        <v>0.105</v>
      </c>
    </row>
    <row r="2119" spans="1:13">
      <c r="A2119" t="s">
        <v>1619</v>
      </c>
      <c r="B2119" s="342">
        <v>1.6E-2</v>
      </c>
      <c r="C2119" s="342">
        <v>1.2999999999999999E-2</v>
      </c>
      <c r="D2119" s="342">
        <v>1.4E-2</v>
      </c>
      <c r="E2119" s="342">
        <v>6.0000000000000001E-3</v>
      </c>
      <c r="F2119" s="342">
        <v>4.0000000000000001E-3</v>
      </c>
      <c r="G2119" s="342">
        <v>4.0000000000000001E-3</v>
      </c>
      <c r="H2119" s="342">
        <v>2.3E-2</v>
      </c>
      <c r="I2119" s="342">
        <v>1.6E-2</v>
      </c>
      <c r="J2119" s="342">
        <v>1.9E-2</v>
      </c>
      <c r="K2119" s="342">
        <v>2.5000000000000001E-2</v>
      </c>
      <c r="L2119" s="342">
        <v>1.7999999999999999E-2</v>
      </c>
      <c r="M2119" s="342">
        <v>1.7999999999999999E-2</v>
      </c>
    </row>
    <row r="2120" spans="1:13">
      <c r="A2120" t="s">
        <v>1620</v>
      </c>
      <c r="B2120" s="342">
        <v>0.72199999999999998</v>
      </c>
      <c r="C2120" s="342">
        <v>1.0509999999999999</v>
      </c>
      <c r="D2120" s="342">
        <v>0.91900000000000004</v>
      </c>
      <c r="E2120" s="342">
        <v>0.78500000000000003</v>
      </c>
      <c r="F2120" s="342">
        <v>1.0509999999999999</v>
      </c>
      <c r="G2120" s="342">
        <v>0.93799999999999994</v>
      </c>
      <c r="H2120" s="342">
        <v>0.69099999999999995</v>
      </c>
      <c r="I2120" s="342">
        <v>1.06</v>
      </c>
      <c r="J2120" s="342">
        <v>0.93100000000000005</v>
      </c>
      <c r="K2120" s="342">
        <v>0.67700000000000005</v>
      </c>
      <c r="L2120" s="342">
        <v>1.0409999999999999</v>
      </c>
      <c r="M2120" s="342">
        <v>0.89100000000000001</v>
      </c>
    </row>
    <row r="2121" spans="1:13">
      <c r="A2121" t="s">
        <v>2808</v>
      </c>
      <c r="B2121" s="342">
        <v>0.49399999999999999</v>
      </c>
      <c r="C2121" s="342">
        <v>0.39200000000000002</v>
      </c>
      <c r="D2121" s="342">
        <v>0.41899999999999998</v>
      </c>
      <c r="E2121" s="342">
        <v>0.49399999999999999</v>
      </c>
      <c r="F2121" s="342">
        <v>0.39</v>
      </c>
      <c r="G2121" s="342">
        <v>0.42199999999999999</v>
      </c>
      <c r="H2121" s="342">
        <v>0.49099999999999999</v>
      </c>
      <c r="I2121" s="342">
        <v>0.378</v>
      </c>
      <c r="J2121" s="342">
        <v>0.41799999999999998</v>
      </c>
      <c r="K2121" s="342">
        <v>0.498</v>
      </c>
      <c r="L2121" s="342">
        <v>0.41</v>
      </c>
      <c r="M2121" s="342">
        <v>0.41599999999999998</v>
      </c>
    </row>
    <row r="2122" spans="1:13">
      <c r="A2122" t="s">
        <v>2809</v>
      </c>
      <c r="B2122" s="342">
        <v>8.0000000000000002E-3</v>
      </c>
      <c r="C2122" s="342">
        <v>1.2999999999999999E-2</v>
      </c>
      <c r="D2122" s="342">
        <v>1.4E-2</v>
      </c>
      <c r="E2122" s="342">
        <v>8.9999999999999993E-3</v>
      </c>
      <c r="F2122" s="342">
        <v>1.2E-2</v>
      </c>
      <c r="G2122" s="342">
        <v>1.0999999999999999E-2</v>
      </c>
      <c r="H2122" s="342">
        <v>7.0000000000000001E-3</v>
      </c>
      <c r="I2122" s="342">
        <v>1.2E-2</v>
      </c>
      <c r="J2122" s="342">
        <v>1.2E-2</v>
      </c>
      <c r="K2122" s="342">
        <v>7.0000000000000001E-3</v>
      </c>
      <c r="L2122" s="342">
        <v>1.4E-2</v>
      </c>
      <c r="M2122" s="342">
        <v>1.7999999999999999E-2</v>
      </c>
    </row>
    <row r="2123" spans="1:13">
      <c r="A2123" t="s">
        <v>2810</v>
      </c>
      <c r="B2123" s="342">
        <v>0.69499999999999995</v>
      </c>
      <c r="C2123" s="342">
        <v>0.38600000000000001</v>
      </c>
      <c r="D2123" s="342">
        <v>0.47</v>
      </c>
      <c r="E2123" s="342">
        <v>0.64100000000000001</v>
      </c>
      <c r="F2123" s="342">
        <v>0.38200000000000001</v>
      </c>
      <c r="G2123" s="342">
        <v>0.46100000000000002</v>
      </c>
      <c r="H2123" s="342">
        <v>0.72099999999999997</v>
      </c>
      <c r="I2123" s="342">
        <v>0.36799999999999999</v>
      </c>
      <c r="J2123" s="342">
        <v>0.46200000000000002</v>
      </c>
      <c r="K2123" s="342">
        <v>0.745</v>
      </c>
      <c r="L2123" s="342">
        <v>0.40799999999999997</v>
      </c>
      <c r="M2123" s="342">
        <v>0.48799999999999999</v>
      </c>
    </row>
    <row r="2124" spans="1:13">
      <c r="A2124" t="s">
        <v>9</v>
      </c>
      <c r="B2124">
        <v>4.9400000000000004</v>
      </c>
      <c r="C2124">
        <v>6.08</v>
      </c>
      <c r="D2124">
        <v>5.53</v>
      </c>
      <c r="E2124">
        <v>4.87</v>
      </c>
      <c r="F2124">
        <v>5.96</v>
      </c>
      <c r="G2124">
        <v>5.48</v>
      </c>
      <c r="H2124">
        <v>4.92</v>
      </c>
      <c r="I2124">
        <v>5.87</v>
      </c>
      <c r="J2124">
        <v>5.5</v>
      </c>
      <c r="K2124">
        <v>5.09</v>
      </c>
      <c r="L2124">
        <v>6.44</v>
      </c>
      <c r="M2124">
        <v>5.61</v>
      </c>
    </row>
    <row r="2125" spans="1:13">
      <c r="A2125" t="s">
        <v>8</v>
      </c>
      <c r="B2125">
        <v>10.48</v>
      </c>
      <c r="C2125">
        <v>8.0500000000000007</v>
      </c>
      <c r="D2125">
        <v>8.09</v>
      </c>
      <c r="E2125">
        <v>10.41</v>
      </c>
      <c r="F2125">
        <v>7.51</v>
      </c>
      <c r="G2125">
        <v>8.19</v>
      </c>
      <c r="H2125">
        <v>9.6199999999999992</v>
      </c>
      <c r="I2125">
        <v>8.43</v>
      </c>
      <c r="J2125">
        <v>8.25</v>
      </c>
      <c r="K2125">
        <v>12.05</v>
      </c>
      <c r="L2125">
        <v>8.25</v>
      </c>
      <c r="M2125">
        <v>7.85</v>
      </c>
    </row>
    <row r="2126" spans="1:13">
      <c r="A2126" t="s">
        <v>10</v>
      </c>
      <c r="B2126">
        <v>14.16</v>
      </c>
      <c r="C2126">
        <v>9.5</v>
      </c>
      <c r="D2126">
        <v>10.51</v>
      </c>
      <c r="E2126">
        <v>13.98</v>
      </c>
      <c r="F2126">
        <v>8.77</v>
      </c>
      <c r="G2126">
        <v>10</v>
      </c>
      <c r="H2126">
        <v>13.42</v>
      </c>
      <c r="I2126">
        <v>9.52</v>
      </c>
      <c r="J2126">
        <v>10.41</v>
      </c>
      <c r="K2126">
        <v>15.64</v>
      </c>
      <c r="L2126">
        <v>10.33</v>
      </c>
      <c r="M2126">
        <v>11.16</v>
      </c>
    </row>
    <row r="2127" spans="1:13">
      <c r="A2127" t="s">
        <v>1621</v>
      </c>
      <c r="B2127" s="342">
        <v>0.22700000000000001</v>
      </c>
      <c r="C2127" s="342">
        <v>0.184</v>
      </c>
      <c r="D2127" s="342">
        <v>0.20899999999999999</v>
      </c>
      <c r="E2127" s="342">
        <v>0.23</v>
      </c>
      <c r="F2127" s="342">
        <v>0.187</v>
      </c>
      <c r="G2127" s="342">
        <v>0.20499999999999999</v>
      </c>
      <c r="H2127" s="342">
        <v>0.23300000000000001</v>
      </c>
      <c r="I2127" s="342">
        <v>0.184</v>
      </c>
      <c r="J2127" s="342">
        <v>0.20699999999999999</v>
      </c>
      <c r="K2127" s="342">
        <v>0.215</v>
      </c>
      <c r="L2127" s="342">
        <v>0.18</v>
      </c>
      <c r="M2127" s="342">
        <v>0.216</v>
      </c>
    </row>
    <row r="2129" spans="1:13">
      <c r="A2129" t="s">
        <v>2943</v>
      </c>
    </row>
    <row r="2131" spans="1:13">
      <c r="A2131" t="s">
        <v>158</v>
      </c>
      <c r="B2131" t="s">
        <v>2806</v>
      </c>
      <c r="E2131">
        <v>2017</v>
      </c>
      <c r="H2131">
        <v>2018</v>
      </c>
      <c r="K2131">
        <v>2019</v>
      </c>
    </row>
    <row r="2132" spans="1:13">
      <c r="B2132" t="s">
        <v>1623</v>
      </c>
      <c r="C2132" t="s">
        <v>1624</v>
      </c>
      <c r="D2132" t="s">
        <v>1622</v>
      </c>
      <c r="E2132" t="s">
        <v>1623</v>
      </c>
      <c r="F2132" t="s">
        <v>1624</v>
      </c>
      <c r="G2132" t="s">
        <v>1622</v>
      </c>
      <c r="H2132" t="s">
        <v>1623</v>
      </c>
      <c r="I2132" t="s">
        <v>1624</v>
      </c>
      <c r="J2132" t="s">
        <v>1622</v>
      </c>
      <c r="K2132" t="s">
        <v>1623</v>
      </c>
      <c r="L2132" t="s">
        <v>1624</v>
      </c>
      <c r="M2132" t="s">
        <v>1622</v>
      </c>
    </row>
    <row r="2133" spans="1:13">
      <c r="A2133" t="s">
        <v>2807</v>
      </c>
      <c r="B2133" s="342">
        <v>0.64600000000000002</v>
      </c>
      <c r="C2133" s="342">
        <v>0.83099999999999996</v>
      </c>
      <c r="D2133" s="342">
        <v>0.73099999999999998</v>
      </c>
      <c r="E2133" s="342">
        <v>0.65</v>
      </c>
      <c r="F2133" s="342">
        <v>0.82</v>
      </c>
      <c r="G2133" s="342">
        <v>0.71899999999999997</v>
      </c>
      <c r="H2133" s="342">
        <v>0.63200000000000001</v>
      </c>
      <c r="I2133" s="342">
        <v>0.84899999999999998</v>
      </c>
      <c r="J2133" s="342">
        <v>0.73899999999999999</v>
      </c>
      <c r="K2133" s="342">
        <v>0.66300000000000003</v>
      </c>
      <c r="L2133" s="342">
        <v>0.81499999999999995</v>
      </c>
      <c r="M2133" s="342">
        <v>0.73399999999999999</v>
      </c>
    </row>
    <row r="2134" spans="1:13">
      <c r="A2134" t="s">
        <v>1618</v>
      </c>
      <c r="B2134" s="342">
        <v>0.22500000000000001</v>
      </c>
      <c r="C2134" s="342">
        <v>0.14699999999999999</v>
      </c>
      <c r="D2134" s="342">
        <v>0.19400000000000001</v>
      </c>
      <c r="E2134" s="342">
        <v>0.21299999999999999</v>
      </c>
      <c r="F2134" s="342">
        <v>0.158</v>
      </c>
      <c r="G2134" s="342">
        <v>0.20200000000000001</v>
      </c>
      <c r="H2134" s="342">
        <v>0.252</v>
      </c>
      <c r="I2134" s="342">
        <v>0.13</v>
      </c>
      <c r="J2134" s="342">
        <v>0.189</v>
      </c>
      <c r="K2134" s="342">
        <v>0.19900000000000001</v>
      </c>
      <c r="L2134" s="342">
        <v>0.16300000000000001</v>
      </c>
      <c r="M2134" s="342">
        <v>0.19</v>
      </c>
    </row>
    <row r="2135" spans="1:13">
      <c r="A2135" t="s">
        <v>1619</v>
      </c>
      <c r="B2135" s="342">
        <v>2.1000000000000001E-2</v>
      </c>
      <c r="C2135" s="342">
        <v>1.0999999999999999E-2</v>
      </c>
      <c r="D2135" s="342">
        <v>1.4E-2</v>
      </c>
      <c r="E2135" s="342">
        <v>4.0000000000000001E-3</v>
      </c>
      <c r="F2135" s="342">
        <v>5.0000000000000001E-3</v>
      </c>
      <c r="G2135" s="342">
        <v>4.0000000000000001E-3</v>
      </c>
      <c r="H2135" s="342">
        <v>2.5000000000000001E-2</v>
      </c>
      <c r="I2135" s="342">
        <v>1.2999999999999999E-2</v>
      </c>
      <c r="J2135" s="342">
        <v>1.9E-2</v>
      </c>
      <c r="K2135" s="342">
        <v>3.3000000000000002E-2</v>
      </c>
      <c r="L2135" s="342">
        <v>1.4999999999999999E-2</v>
      </c>
      <c r="M2135" s="342">
        <v>1.9E-2</v>
      </c>
    </row>
    <row r="2136" spans="1:13">
      <c r="A2136" t="s">
        <v>1620</v>
      </c>
      <c r="B2136" s="342">
        <v>1.1930000000000001</v>
      </c>
      <c r="C2136" s="342">
        <v>1.137</v>
      </c>
      <c r="D2136" s="342">
        <v>1.1719999999999999</v>
      </c>
      <c r="E2136" s="342">
        <v>1.194</v>
      </c>
      <c r="F2136" s="342">
        <v>1.2270000000000001</v>
      </c>
      <c r="G2136" s="342">
        <v>1.232</v>
      </c>
      <c r="H2136" s="342">
        <v>1.2889999999999999</v>
      </c>
      <c r="I2136" s="342">
        <v>1.0740000000000001</v>
      </c>
      <c r="J2136" s="342">
        <v>1.1679999999999999</v>
      </c>
      <c r="K2136" s="342">
        <v>1.0760000000000001</v>
      </c>
      <c r="L2136" s="342">
        <v>1.1499999999999999</v>
      </c>
      <c r="M2136" s="342">
        <v>1.1240000000000001</v>
      </c>
    </row>
    <row r="2137" spans="1:13">
      <c r="A2137" t="s">
        <v>2808</v>
      </c>
      <c r="B2137" s="342">
        <v>0.36799999999999999</v>
      </c>
      <c r="C2137" s="342">
        <v>0.47499999999999998</v>
      </c>
      <c r="D2137" s="342">
        <v>0.435</v>
      </c>
      <c r="E2137" s="342">
        <v>0.40500000000000003</v>
      </c>
      <c r="F2137" s="342">
        <v>0.44500000000000001</v>
      </c>
      <c r="G2137" s="342">
        <v>0.44400000000000001</v>
      </c>
      <c r="H2137" s="342">
        <v>0.34399999999999997</v>
      </c>
      <c r="I2137" s="342">
        <v>0.48699999999999999</v>
      </c>
      <c r="J2137" s="342">
        <v>0.42399999999999999</v>
      </c>
      <c r="K2137" s="342">
        <v>0.36499999999999999</v>
      </c>
      <c r="L2137" s="342">
        <v>0.48399999999999999</v>
      </c>
      <c r="M2137" s="342">
        <v>0.437</v>
      </c>
    </row>
    <row r="2138" spans="1:13">
      <c r="A2138" t="s">
        <v>2809</v>
      </c>
      <c r="B2138" s="342">
        <v>6.0000000000000001E-3</v>
      </c>
      <c r="C2138" s="342">
        <v>8.9999999999999993E-3</v>
      </c>
      <c r="D2138" s="342">
        <v>0.01</v>
      </c>
      <c r="E2138" s="342">
        <v>3.0000000000000001E-3</v>
      </c>
      <c r="F2138" s="342">
        <v>8.0000000000000002E-3</v>
      </c>
      <c r="G2138" s="342">
        <v>8.0000000000000002E-3</v>
      </c>
      <c r="H2138" s="342">
        <v>8.0000000000000002E-3</v>
      </c>
      <c r="I2138" s="342">
        <v>0.01</v>
      </c>
      <c r="J2138" s="342">
        <v>0.01</v>
      </c>
      <c r="K2138" s="342">
        <v>5.0000000000000001E-3</v>
      </c>
      <c r="L2138" s="342">
        <v>8.0000000000000002E-3</v>
      </c>
      <c r="M2138" s="342">
        <v>1.0999999999999999E-2</v>
      </c>
    </row>
    <row r="2139" spans="1:13">
      <c r="A2139" t="s">
        <v>2810</v>
      </c>
      <c r="B2139" s="342">
        <v>0.314</v>
      </c>
      <c r="C2139" s="342">
        <v>0.42599999999999999</v>
      </c>
      <c r="D2139" s="342">
        <v>0.379</v>
      </c>
      <c r="E2139" s="342">
        <v>0.34200000000000003</v>
      </c>
      <c r="F2139" s="342">
        <v>0.36899999999999999</v>
      </c>
      <c r="G2139" s="342">
        <v>0.36699999999999999</v>
      </c>
      <c r="H2139" s="342">
        <v>0.27300000000000002</v>
      </c>
      <c r="I2139" s="342">
        <v>0.46300000000000002</v>
      </c>
      <c r="J2139" s="342">
        <v>0.372</v>
      </c>
      <c r="K2139" s="342">
        <v>0.34399999999999997</v>
      </c>
      <c r="L2139" s="342">
        <v>0.42799999999999999</v>
      </c>
      <c r="M2139" s="342">
        <v>0.39800000000000002</v>
      </c>
    </row>
    <row r="2140" spans="1:13">
      <c r="A2140" t="s">
        <v>9</v>
      </c>
      <c r="B2140">
        <v>9.4499999999999993</v>
      </c>
      <c r="C2140">
        <v>6</v>
      </c>
      <c r="D2140">
        <v>7.19</v>
      </c>
      <c r="E2140">
        <v>9.1199999999999992</v>
      </c>
      <c r="F2140">
        <v>5.72</v>
      </c>
      <c r="G2140">
        <v>6.83</v>
      </c>
      <c r="H2140">
        <v>9.75</v>
      </c>
      <c r="I2140">
        <v>5.53</v>
      </c>
      <c r="J2140">
        <v>7.24</v>
      </c>
      <c r="K2140">
        <v>9.36</v>
      </c>
      <c r="L2140">
        <v>7.33</v>
      </c>
      <c r="M2140">
        <v>7.54</v>
      </c>
    </row>
    <row r="2141" spans="1:13">
      <c r="A2141" t="s">
        <v>8</v>
      </c>
      <c r="B2141">
        <v>10.65</v>
      </c>
      <c r="C2141">
        <v>8.5399999999999991</v>
      </c>
      <c r="D2141">
        <v>9.2100000000000009</v>
      </c>
      <c r="E2141">
        <v>11.39</v>
      </c>
      <c r="F2141">
        <v>7.88</v>
      </c>
      <c r="G2141">
        <v>9.4600000000000009</v>
      </c>
      <c r="H2141">
        <v>10.47</v>
      </c>
      <c r="I2141">
        <v>8.35</v>
      </c>
      <c r="J2141">
        <v>8.9600000000000009</v>
      </c>
      <c r="K2141">
        <v>10.24</v>
      </c>
      <c r="L2141">
        <v>9.7100000000000009</v>
      </c>
      <c r="M2141">
        <v>9.23</v>
      </c>
    </row>
    <row r="2142" spans="1:13">
      <c r="A2142" t="s">
        <v>10</v>
      </c>
      <c r="B2142">
        <v>13.8</v>
      </c>
      <c r="C2142">
        <v>10.92</v>
      </c>
      <c r="D2142">
        <v>12.3</v>
      </c>
      <c r="E2142">
        <v>13.09</v>
      </c>
      <c r="F2142">
        <v>10.75</v>
      </c>
      <c r="G2142">
        <v>11.43</v>
      </c>
      <c r="H2142">
        <v>14.07</v>
      </c>
      <c r="I2142">
        <v>10.38</v>
      </c>
      <c r="J2142">
        <v>12.3</v>
      </c>
      <c r="K2142">
        <v>14.17</v>
      </c>
      <c r="L2142">
        <v>12.05</v>
      </c>
      <c r="M2142">
        <v>13.3</v>
      </c>
    </row>
    <row r="2143" spans="1:13">
      <c r="A2143" t="s">
        <v>1621</v>
      </c>
      <c r="B2143" s="342">
        <v>0.127</v>
      </c>
      <c r="C2143" s="342">
        <v>0.192</v>
      </c>
      <c r="D2143" s="342">
        <v>0.16600000000000001</v>
      </c>
      <c r="E2143" s="342">
        <v>0.121</v>
      </c>
      <c r="F2143" s="342">
        <v>0.20899999999999999</v>
      </c>
      <c r="G2143" s="342">
        <v>0.16500000000000001</v>
      </c>
      <c r="H2143" s="342">
        <v>0.127</v>
      </c>
      <c r="I2143" s="342">
        <v>0.20399999999999999</v>
      </c>
      <c r="J2143" s="342">
        <v>0.16900000000000001</v>
      </c>
      <c r="K2143" s="342">
        <v>0.13400000000000001</v>
      </c>
      <c r="L2143" s="342">
        <v>0.157</v>
      </c>
      <c r="M2143" s="342">
        <v>0.16600000000000001</v>
      </c>
    </row>
    <row r="2145" spans="1:13">
      <c r="A2145" t="s">
        <v>2944</v>
      </c>
    </row>
    <row r="2147" spans="1:13">
      <c r="A2147" t="s">
        <v>158</v>
      </c>
      <c r="B2147" t="s">
        <v>2806</v>
      </c>
      <c r="E2147">
        <v>2017</v>
      </c>
      <c r="H2147">
        <v>2018</v>
      </c>
      <c r="K2147">
        <v>2019</v>
      </c>
    </row>
    <row r="2148" spans="1:13">
      <c r="B2148" t="s">
        <v>1623</v>
      </c>
      <c r="C2148" t="s">
        <v>1624</v>
      </c>
      <c r="D2148" t="s">
        <v>1622</v>
      </c>
      <c r="E2148" t="s">
        <v>1623</v>
      </c>
      <c r="F2148" t="s">
        <v>1624</v>
      </c>
      <c r="G2148" t="s">
        <v>1622</v>
      </c>
      <c r="H2148" t="s">
        <v>1623</v>
      </c>
      <c r="I2148" t="s">
        <v>1624</v>
      </c>
      <c r="J2148" t="s">
        <v>1622</v>
      </c>
      <c r="K2148" t="s">
        <v>1623</v>
      </c>
      <c r="L2148" t="s">
        <v>1624</v>
      </c>
      <c r="M2148" t="s">
        <v>1622</v>
      </c>
    </row>
    <row r="2149" spans="1:13">
      <c r="A2149" t="s">
        <v>2807</v>
      </c>
      <c r="B2149" s="342">
        <v>0.745</v>
      </c>
      <c r="C2149" s="342">
        <v>0.88100000000000001</v>
      </c>
      <c r="D2149" s="342">
        <v>0.83099999999999996</v>
      </c>
      <c r="E2149" s="342">
        <v>0.76500000000000001</v>
      </c>
      <c r="F2149" s="342">
        <v>0.876</v>
      </c>
      <c r="G2149" s="342">
        <v>0.82599999999999996</v>
      </c>
      <c r="H2149" s="342">
        <v>0.72199999999999998</v>
      </c>
      <c r="I2149" s="342">
        <v>0.88600000000000001</v>
      </c>
      <c r="J2149" s="342">
        <v>0.83499999999999996</v>
      </c>
      <c r="K2149" s="342">
        <v>0.73599999999999999</v>
      </c>
      <c r="L2149" s="342">
        <v>0.878</v>
      </c>
      <c r="M2149" s="342">
        <v>0.83099999999999996</v>
      </c>
    </row>
    <row r="2150" spans="1:13">
      <c r="A2150" t="s">
        <v>1618</v>
      </c>
      <c r="B2150" s="342">
        <v>0.11</v>
      </c>
      <c r="C2150" s="342">
        <v>9.9000000000000005E-2</v>
      </c>
      <c r="D2150" s="342">
        <v>0.10199999999999999</v>
      </c>
      <c r="E2150" s="342">
        <v>9.7000000000000003E-2</v>
      </c>
      <c r="F2150" s="342">
        <v>0.104</v>
      </c>
      <c r="G2150" s="342">
        <v>0.10199999999999999</v>
      </c>
      <c r="H2150" s="342">
        <v>0.121</v>
      </c>
      <c r="I2150" s="342">
        <v>9.4E-2</v>
      </c>
      <c r="J2150" s="342">
        <v>0.10100000000000001</v>
      </c>
      <c r="K2150" s="342">
        <v>0.12</v>
      </c>
      <c r="L2150" s="342">
        <v>0.1</v>
      </c>
      <c r="M2150" s="342">
        <v>0.104</v>
      </c>
    </row>
    <row r="2151" spans="1:13">
      <c r="A2151" t="s">
        <v>1619</v>
      </c>
      <c r="B2151" s="342">
        <v>0.01</v>
      </c>
      <c r="C2151" s="342">
        <v>1.2E-2</v>
      </c>
      <c r="D2151" s="342">
        <v>1.0999999999999999E-2</v>
      </c>
      <c r="E2151" s="342">
        <v>4.0000000000000001E-3</v>
      </c>
      <c r="F2151" s="342">
        <v>4.0000000000000001E-3</v>
      </c>
      <c r="G2151" s="342">
        <v>4.0000000000000001E-3</v>
      </c>
      <c r="H2151" s="342">
        <v>1.4999999999999999E-2</v>
      </c>
      <c r="I2151" s="342">
        <v>1.4999999999999999E-2</v>
      </c>
      <c r="J2151" s="342">
        <v>1.4E-2</v>
      </c>
      <c r="K2151" s="342">
        <v>1.6E-2</v>
      </c>
      <c r="L2151" s="342">
        <v>1.6E-2</v>
      </c>
      <c r="M2151" s="342">
        <v>1.4E-2</v>
      </c>
    </row>
    <row r="2152" spans="1:13">
      <c r="A2152" t="s">
        <v>1620</v>
      </c>
      <c r="B2152" s="342">
        <v>0.73799999999999999</v>
      </c>
      <c r="C2152" s="342">
        <v>1.113</v>
      </c>
      <c r="D2152" s="342">
        <v>0.90500000000000003</v>
      </c>
      <c r="E2152" s="342">
        <v>0.69299999999999995</v>
      </c>
      <c r="F2152" s="342">
        <v>1.127</v>
      </c>
      <c r="G2152" s="342">
        <v>0.91100000000000003</v>
      </c>
      <c r="H2152" s="342">
        <v>0.81100000000000005</v>
      </c>
      <c r="I2152" s="342">
        <v>1.1399999999999999</v>
      </c>
      <c r="J2152" s="342">
        <v>0.92400000000000004</v>
      </c>
      <c r="K2152" s="342">
        <v>0.754</v>
      </c>
      <c r="L2152" s="342">
        <v>1.073</v>
      </c>
      <c r="M2152" s="342">
        <v>0.88300000000000001</v>
      </c>
    </row>
    <row r="2153" spans="1:13">
      <c r="A2153" t="s">
        <v>2808</v>
      </c>
      <c r="B2153" s="342">
        <v>0.45400000000000001</v>
      </c>
      <c r="C2153" s="342">
        <v>0.42699999999999999</v>
      </c>
      <c r="D2153" s="342">
        <v>0.443</v>
      </c>
      <c r="E2153" s="342">
        <v>0.42799999999999999</v>
      </c>
      <c r="F2153" s="342">
        <v>0.435</v>
      </c>
      <c r="G2153" s="342">
        <v>0.44500000000000001</v>
      </c>
      <c r="H2153" s="342">
        <v>0.47599999999999998</v>
      </c>
      <c r="I2153" s="342">
        <v>0.432</v>
      </c>
      <c r="J2153" s="342">
        <v>0.437</v>
      </c>
      <c r="K2153" s="342">
        <v>0.48</v>
      </c>
      <c r="L2153" s="342">
        <v>0.41699999999999998</v>
      </c>
      <c r="M2153" s="342">
        <v>0.44700000000000001</v>
      </c>
    </row>
    <row r="2154" spans="1:13">
      <c r="A2154" t="s">
        <v>2809</v>
      </c>
      <c r="B2154" s="342">
        <v>3.9E-2</v>
      </c>
      <c r="C2154" s="342">
        <v>8.0000000000000002E-3</v>
      </c>
      <c r="D2154" s="342">
        <v>2.5000000000000001E-2</v>
      </c>
      <c r="E2154" s="342">
        <v>4.7E-2</v>
      </c>
      <c r="F2154" s="342">
        <v>8.0000000000000002E-3</v>
      </c>
      <c r="G2154" s="342">
        <v>2.3E-2</v>
      </c>
      <c r="H2154" s="342">
        <v>1.2E-2</v>
      </c>
      <c r="I2154" s="342">
        <v>8.0000000000000002E-3</v>
      </c>
      <c r="J2154" s="342">
        <v>2.1999999999999999E-2</v>
      </c>
      <c r="K2154" s="342">
        <v>4.9000000000000002E-2</v>
      </c>
      <c r="L2154" s="342">
        <v>7.0000000000000001E-3</v>
      </c>
      <c r="M2154" s="342">
        <v>2.9000000000000001E-2</v>
      </c>
    </row>
    <row r="2155" spans="1:13">
      <c r="A2155" t="s">
        <v>2810</v>
      </c>
      <c r="B2155" s="342">
        <v>0.66900000000000004</v>
      </c>
      <c r="C2155" s="342">
        <v>0.39100000000000001</v>
      </c>
      <c r="D2155" s="342">
        <v>0.51700000000000002</v>
      </c>
      <c r="E2155" s="342">
        <v>0.68500000000000005</v>
      </c>
      <c r="F2155" s="342">
        <v>0.39300000000000002</v>
      </c>
      <c r="G2155" s="342">
        <v>0.51400000000000001</v>
      </c>
      <c r="H2155" s="342">
        <v>0.60199999999999998</v>
      </c>
      <c r="I2155" s="342">
        <v>0.38600000000000001</v>
      </c>
      <c r="J2155" s="342">
        <v>0.497</v>
      </c>
      <c r="K2155" s="342">
        <v>0.70199999999999996</v>
      </c>
      <c r="L2155" s="342">
        <v>0.39500000000000002</v>
      </c>
      <c r="M2155" s="342">
        <v>0.53900000000000003</v>
      </c>
    </row>
    <row r="2156" spans="1:13">
      <c r="A2156" t="s">
        <v>9</v>
      </c>
      <c r="B2156">
        <v>5.53</v>
      </c>
      <c r="C2156">
        <v>6.28</v>
      </c>
      <c r="D2156">
        <v>5.58</v>
      </c>
      <c r="E2156">
        <v>5.07</v>
      </c>
      <c r="F2156">
        <v>6.11</v>
      </c>
      <c r="G2156">
        <v>5.47</v>
      </c>
      <c r="H2156">
        <v>5.89</v>
      </c>
      <c r="I2156">
        <v>6.33</v>
      </c>
      <c r="J2156">
        <v>5.67</v>
      </c>
      <c r="K2156">
        <v>6.04</v>
      </c>
      <c r="L2156">
        <v>6.37</v>
      </c>
      <c r="M2156">
        <v>5.59</v>
      </c>
    </row>
    <row r="2157" spans="1:13">
      <c r="A2157" t="s">
        <v>8</v>
      </c>
      <c r="B2157">
        <v>10.3</v>
      </c>
      <c r="C2157">
        <v>10.51</v>
      </c>
      <c r="D2157">
        <v>9.5</v>
      </c>
      <c r="E2157">
        <v>9.4</v>
      </c>
      <c r="F2157">
        <v>10.02</v>
      </c>
      <c r="G2157">
        <v>10.01</v>
      </c>
      <c r="H2157">
        <v>10.65</v>
      </c>
      <c r="I2157">
        <v>10.72</v>
      </c>
      <c r="J2157">
        <v>9.6999999999999993</v>
      </c>
      <c r="K2157">
        <v>11.65</v>
      </c>
      <c r="L2157">
        <v>10.69</v>
      </c>
      <c r="M2157">
        <v>8.9</v>
      </c>
    </row>
    <row r="2158" spans="1:13">
      <c r="A2158" t="s">
        <v>10</v>
      </c>
      <c r="B2158">
        <v>13.25</v>
      </c>
      <c r="C2158">
        <v>10.35</v>
      </c>
      <c r="D2158">
        <v>11.01</v>
      </c>
      <c r="E2158">
        <v>10.96</v>
      </c>
      <c r="F2158">
        <v>9.66</v>
      </c>
      <c r="G2158">
        <v>10.63</v>
      </c>
      <c r="H2158">
        <v>14.31</v>
      </c>
      <c r="I2158">
        <v>10.9</v>
      </c>
      <c r="J2158">
        <v>11.36</v>
      </c>
      <c r="K2158">
        <v>17.760000000000002</v>
      </c>
      <c r="L2158">
        <v>10.36</v>
      </c>
      <c r="M2158">
        <v>11.05</v>
      </c>
    </row>
    <row r="2159" spans="1:13">
      <c r="A2159" t="s">
        <v>1621</v>
      </c>
      <c r="B2159" s="342">
        <v>0.20300000000000001</v>
      </c>
      <c r="C2159" s="342">
        <v>0.158</v>
      </c>
      <c r="D2159" s="342">
        <v>0.19400000000000001</v>
      </c>
      <c r="E2159" s="342">
        <v>0.21199999999999999</v>
      </c>
      <c r="F2159" s="342">
        <v>0.16</v>
      </c>
      <c r="G2159" s="342">
        <v>0.189</v>
      </c>
      <c r="H2159" s="342">
        <v>0.19400000000000001</v>
      </c>
      <c r="I2159" s="342">
        <v>0.159</v>
      </c>
      <c r="J2159" s="342">
        <v>0.191</v>
      </c>
      <c r="K2159" s="342">
        <v>0.19500000000000001</v>
      </c>
      <c r="L2159" s="342">
        <v>0.154</v>
      </c>
      <c r="M2159" s="342">
        <v>0.20100000000000001</v>
      </c>
    </row>
    <row r="2161" spans="1:13">
      <c r="A2161" t="s">
        <v>2945</v>
      </c>
    </row>
    <row r="2163" spans="1:13">
      <c r="A2163" t="s">
        <v>158</v>
      </c>
      <c r="B2163" t="s">
        <v>2806</v>
      </c>
      <c r="E2163">
        <v>2017</v>
      </c>
      <c r="H2163">
        <v>2018</v>
      </c>
      <c r="K2163">
        <v>2019</v>
      </c>
    </row>
    <row r="2164" spans="1:13">
      <c r="B2164" t="s">
        <v>1623</v>
      </c>
      <c r="C2164" t="s">
        <v>1624</v>
      </c>
      <c r="D2164" t="s">
        <v>1622</v>
      </c>
      <c r="E2164" t="s">
        <v>1623</v>
      </c>
      <c r="F2164" t="s">
        <v>1624</v>
      </c>
      <c r="G2164" t="s">
        <v>1622</v>
      </c>
      <c r="H2164" t="s">
        <v>1623</v>
      </c>
      <c r="I2164" t="s">
        <v>1624</v>
      </c>
      <c r="J2164" t="s">
        <v>1622</v>
      </c>
      <c r="K2164" t="s">
        <v>1623</v>
      </c>
      <c r="L2164" t="s">
        <v>1624</v>
      </c>
      <c r="M2164" t="s">
        <v>1622</v>
      </c>
    </row>
    <row r="2165" spans="1:13">
      <c r="A2165" t="s">
        <v>2807</v>
      </c>
      <c r="B2165" s="342">
        <v>0.61299999999999999</v>
      </c>
      <c r="C2165" s="342">
        <v>0.872</v>
      </c>
      <c r="D2165" s="342">
        <v>0.78100000000000003</v>
      </c>
      <c r="E2165" s="342">
        <v>0.61</v>
      </c>
      <c r="F2165" s="342">
        <v>0.86799999999999999</v>
      </c>
      <c r="G2165" s="342">
        <v>0.78300000000000003</v>
      </c>
      <c r="H2165" s="342">
        <v>0.56299999999999994</v>
      </c>
      <c r="I2165" s="342">
        <v>0.872</v>
      </c>
      <c r="J2165" s="342">
        <v>0.78200000000000003</v>
      </c>
      <c r="K2165" s="342">
        <v>0.65400000000000003</v>
      </c>
      <c r="L2165" s="342">
        <v>0.876</v>
      </c>
      <c r="M2165" s="342">
        <v>0.77900000000000003</v>
      </c>
    </row>
    <row r="2166" spans="1:13">
      <c r="A2166" t="s">
        <v>1618</v>
      </c>
      <c r="B2166" s="342">
        <v>0.191</v>
      </c>
      <c r="C2166" s="342">
        <v>0.108</v>
      </c>
      <c r="D2166" s="342">
        <v>0.13800000000000001</v>
      </c>
      <c r="E2166" s="342">
        <v>0.16700000000000001</v>
      </c>
      <c r="F2166" s="342">
        <v>0.112</v>
      </c>
      <c r="G2166" s="342">
        <v>0.127</v>
      </c>
      <c r="H2166" s="342">
        <v>0.22800000000000001</v>
      </c>
      <c r="I2166" s="342">
        <v>0.108</v>
      </c>
      <c r="J2166" s="342">
        <v>0.14000000000000001</v>
      </c>
      <c r="K2166" s="342">
        <v>0.187</v>
      </c>
      <c r="L2166" s="342">
        <v>0.106</v>
      </c>
      <c r="M2166" s="342">
        <v>0.14799999999999999</v>
      </c>
    </row>
    <row r="2167" spans="1:13">
      <c r="A2167" t="s">
        <v>1619</v>
      </c>
      <c r="B2167" s="342">
        <v>1.4999999999999999E-2</v>
      </c>
      <c r="C2167" s="342">
        <v>0.01</v>
      </c>
      <c r="D2167" s="342">
        <v>1.2999999999999999E-2</v>
      </c>
      <c r="E2167" s="342">
        <v>1.0999999999999999E-2</v>
      </c>
      <c r="F2167" s="342">
        <v>4.0000000000000001E-3</v>
      </c>
      <c r="G2167" s="342">
        <v>6.0000000000000001E-3</v>
      </c>
      <c r="H2167" s="342">
        <v>1.9E-2</v>
      </c>
      <c r="I2167" s="342">
        <v>1.6E-2</v>
      </c>
      <c r="J2167" s="342">
        <v>1.7999999999999999E-2</v>
      </c>
      <c r="K2167" s="342">
        <v>1.7000000000000001E-2</v>
      </c>
      <c r="L2167" s="342">
        <v>1.0999999999999999E-2</v>
      </c>
      <c r="M2167" s="342">
        <v>1.4999999999999999E-2</v>
      </c>
    </row>
    <row r="2168" spans="1:13">
      <c r="A2168" t="s">
        <v>1620</v>
      </c>
      <c r="B2168" s="342">
        <v>0.23599999999999999</v>
      </c>
      <c r="C2168" s="342">
        <v>1.3089999999999999</v>
      </c>
      <c r="D2168" s="342">
        <v>0.51600000000000001</v>
      </c>
      <c r="E2168" s="342">
        <v>0.17899999999999999</v>
      </c>
      <c r="F2168" s="342">
        <v>1.3240000000000001</v>
      </c>
      <c r="G2168" s="342">
        <v>0.49099999999999999</v>
      </c>
      <c r="H2168" s="342">
        <v>0.48799999999999999</v>
      </c>
      <c r="I2168" s="342">
        <v>1.323</v>
      </c>
      <c r="J2168" s="342">
        <v>0.52500000000000002</v>
      </c>
      <c r="K2168" s="342">
        <v>0.217</v>
      </c>
      <c r="L2168" s="342">
        <v>1.2809999999999999</v>
      </c>
      <c r="M2168" s="342">
        <v>0.53400000000000003</v>
      </c>
    </row>
    <row r="2169" spans="1:13">
      <c r="A2169" t="s">
        <v>2808</v>
      </c>
      <c r="B2169" s="342">
        <v>0.27400000000000002</v>
      </c>
      <c r="C2169" s="342">
        <v>0.379</v>
      </c>
      <c r="D2169" s="342">
        <v>0.32</v>
      </c>
      <c r="E2169" s="342">
        <v>0.246</v>
      </c>
      <c r="F2169" s="342">
        <v>0.40300000000000002</v>
      </c>
      <c r="G2169" s="342">
        <v>0.29399999999999998</v>
      </c>
      <c r="H2169" s="342">
        <v>0.311</v>
      </c>
      <c r="I2169" s="342">
        <v>0.37</v>
      </c>
      <c r="J2169" s="342">
        <v>0.33200000000000002</v>
      </c>
      <c r="K2169" s="342">
        <v>0.29499999999999998</v>
      </c>
      <c r="L2169" s="342">
        <v>0.36699999999999999</v>
      </c>
      <c r="M2169" s="342">
        <v>0.33700000000000002</v>
      </c>
    </row>
    <row r="2170" spans="1:13">
      <c r="A2170" t="s">
        <v>2809</v>
      </c>
      <c r="B2170" s="342">
        <v>8.9999999999999993E-3</v>
      </c>
      <c r="C2170" s="342">
        <v>1.0999999999999999E-2</v>
      </c>
      <c r="D2170" s="342">
        <v>1.2999999999999999E-2</v>
      </c>
      <c r="E2170" s="342">
        <v>7.0000000000000001E-3</v>
      </c>
      <c r="F2170" s="342">
        <v>0.01</v>
      </c>
      <c r="G2170" s="342">
        <v>0.01</v>
      </c>
      <c r="H2170" s="342">
        <v>2.1999999999999999E-2</v>
      </c>
      <c r="I2170" s="342">
        <v>1.2999999999999999E-2</v>
      </c>
      <c r="J2170" s="342">
        <v>1.7000000000000001E-2</v>
      </c>
      <c r="K2170" s="342">
        <v>7.0000000000000001E-3</v>
      </c>
      <c r="L2170" s="342">
        <v>8.9999999999999993E-3</v>
      </c>
      <c r="M2170" s="342">
        <v>1.0999999999999999E-2</v>
      </c>
    </row>
    <row r="2171" spans="1:13">
      <c r="A2171" t="s">
        <v>2810</v>
      </c>
      <c r="B2171" s="342">
        <v>1.202</v>
      </c>
      <c r="C2171" s="342">
        <v>0.29799999999999999</v>
      </c>
      <c r="D2171" s="342">
        <v>0.64600000000000002</v>
      </c>
      <c r="E2171" s="342">
        <v>1.4159999999999999</v>
      </c>
      <c r="F2171" s="342">
        <v>0.313</v>
      </c>
      <c r="G2171" s="342">
        <v>0.62</v>
      </c>
      <c r="H2171" s="342">
        <v>0.68200000000000005</v>
      </c>
      <c r="I2171" s="342">
        <v>0.28899999999999998</v>
      </c>
      <c r="J2171" s="342">
        <v>0.66500000000000004</v>
      </c>
      <c r="K2171" s="342">
        <v>1.3939999999999999</v>
      </c>
      <c r="L2171" s="342">
        <v>0.29399999999999998</v>
      </c>
      <c r="M2171" s="342">
        <v>0.65100000000000002</v>
      </c>
    </row>
    <row r="2172" spans="1:13">
      <c r="A2172" t="s">
        <v>9</v>
      </c>
      <c r="B2172">
        <v>5.14</v>
      </c>
      <c r="C2172">
        <v>6.43</v>
      </c>
      <c r="D2172">
        <v>5.61</v>
      </c>
      <c r="E2172">
        <v>6.45</v>
      </c>
      <c r="F2172">
        <v>6.25</v>
      </c>
      <c r="G2172">
        <v>5.99</v>
      </c>
      <c r="H2172">
        <v>4.59</v>
      </c>
      <c r="I2172">
        <v>6.31</v>
      </c>
      <c r="J2172">
        <v>5.43</v>
      </c>
      <c r="K2172">
        <v>4.63</v>
      </c>
      <c r="L2172">
        <v>6.75</v>
      </c>
      <c r="M2172">
        <v>5.44</v>
      </c>
    </row>
    <row r="2173" spans="1:13">
      <c r="A2173" t="s">
        <v>8</v>
      </c>
      <c r="B2173">
        <v>4.79</v>
      </c>
      <c r="C2173">
        <v>10.79</v>
      </c>
      <c r="D2173">
        <v>6.99</v>
      </c>
      <c r="E2173">
        <v>5.55</v>
      </c>
      <c r="F2173">
        <v>9.92</v>
      </c>
      <c r="G2173">
        <v>8.11</v>
      </c>
      <c r="H2173">
        <v>9.58</v>
      </c>
      <c r="I2173">
        <v>11.12</v>
      </c>
      <c r="J2173">
        <v>7.05</v>
      </c>
      <c r="K2173">
        <v>3.14</v>
      </c>
      <c r="L2173">
        <v>11.38</v>
      </c>
      <c r="M2173">
        <v>6.11</v>
      </c>
    </row>
    <row r="2174" spans="1:13">
      <c r="A2174" t="s">
        <v>10</v>
      </c>
      <c r="B2174">
        <v>20.89</v>
      </c>
      <c r="C2174">
        <v>8.1999999999999993</v>
      </c>
      <c r="D2174">
        <v>11.25</v>
      </c>
      <c r="E2174">
        <v>18.96</v>
      </c>
      <c r="F2174">
        <v>7.81</v>
      </c>
      <c r="G2174">
        <v>10.63</v>
      </c>
      <c r="H2174">
        <v>18.62</v>
      </c>
      <c r="I2174">
        <v>8.58</v>
      </c>
      <c r="J2174">
        <v>11.5</v>
      </c>
      <c r="K2174">
        <v>25.97</v>
      </c>
      <c r="L2174">
        <v>8.1999999999999993</v>
      </c>
      <c r="M2174">
        <v>11.65</v>
      </c>
    </row>
    <row r="2175" spans="1:13">
      <c r="A2175" t="s">
        <v>1621</v>
      </c>
      <c r="B2175" s="342">
        <v>0.35499999999999998</v>
      </c>
      <c r="C2175" s="342">
        <v>0.126</v>
      </c>
      <c r="D2175" s="342">
        <v>0.23200000000000001</v>
      </c>
      <c r="E2175" s="342">
        <v>0.28199999999999997</v>
      </c>
      <c r="F2175" s="342">
        <v>0.13300000000000001</v>
      </c>
      <c r="G2175" s="342">
        <v>0.19600000000000001</v>
      </c>
      <c r="H2175" s="342">
        <v>0.26800000000000002</v>
      </c>
      <c r="I2175" s="342">
        <v>0.13200000000000001</v>
      </c>
      <c r="J2175" s="342">
        <v>0.23899999999999999</v>
      </c>
      <c r="K2175" s="342">
        <v>0.496</v>
      </c>
      <c r="L2175" s="342">
        <v>0.114</v>
      </c>
      <c r="M2175" s="342">
        <v>0.26200000000000001</v>
      </c>
    </row>
    <row r="2177" spans="1:13">
      <c r="A2177" t="s">
        <v>2946</v>
      </c>
    </row>
    <row r="2179" spans="1:13">
      <c r="A2179" t="s">
        <v>158</v>
      </c>
      <c r="B2179" t="s">
        <v>2806</v>
      </c>
      <c r="E2179">
        <v>2017</v>
      </c>
      <c r="H2179">
        <v>2018</v>
      </c>
      <c r="K2179">
        <v>2019</v>
      </c>
    </row>
    <row r="2180" spans="1:13">
      <c r="B2180" t="s">
        <v>1623</v>
      </c>
      <c r="C2180" t="s">
        <v>1624</v>
      </c>
      <c r="D2180" t="s">
        <v>1622</v>
      </c>
      <c r="E2180" t="s">
        <v>1623</v>
      </c>
      <c r="F2180" t="s">
        <v>1624</v>
      </c>
      <c r="G2180" t="s">
        <v>1622</v>
      </c>
      <c r="H2180" t="s">
        <v>1623</v>
      </c>
      <c r="I2180" t="s">
        <v>1624</v>
      </c>
      <c r="J2180" t="s">
        <v>1622</v>
      </c>
      <c r="K2180" t="s">
        <v>1623</v>
      </c>
      <c r="L2180" t="s">
        <v>1624</v>
      </c>
      <c r="M2180" t="s">
        <v>1622</v>
      </c>
    </row>
    <row r="2181" spans="1:13">
      <c r="A2181" t="s">
        <v>2807</v>
      </c>
      <c r="B2181" s="342">
        <v>0.36299999999999999</v>
      </c>
      <c r="C2181" s="342">
        <v>0.874</v>
      </c>
      <c r="D2181" s="342">
        <v>0.71099999999999997</v>
      </c>
      <c r="E2181" s="342">
        <v>0.34599999999999997</v>
      </c>
      <c r="F2181" s="342">
        <v>0.86099999999999999</v>
      </c>
      <c r="G2181" s="342">
        <v>0.77900000000000003</v>
      </c>
      <c r="H2181" s="342">
        <v>0.28599999999999998</v>
      </c>
      <c r="I2181" s="342">
        <v>0.89900000000000002</v>
      </c>
      <c r="J2181" s="342">
        <v>0.78500000000000003</v>
      </c>
      <c r="K2181" s="342">
        <v>0.38200000000000001</v>
      </c>
      <c r="L2181" s="342">
        <v>0.85599999999999998</v>
      </c>
      <c r="M2181" s="342">
        <v>0.58599999999999997</v>
      </c>
    </row>
    <row r="2182" spans="1:13">
      <c r="A2182" t="s">
        <v>1618</v>
      </c>
      <c r="B2182" s="342">
        <v>0.42699999999999999</v>
      </c>
      <c r="C2182" s="342">
        <v>0.115</v>
      </c>
      <c r="D2182" s="342">
        <v>0.22800000000000001</v>
      </c>
      <c r="E2182" s="342">
        <v>0.34399999999999997</v>
      </c>
      <c r="F2182" s="342">
        <v>0.126</v>
      </c>
      <c r="G2182" s="342">
        <v>0.16700000000000001</v>
      </c>
      <c r="H2182" s="342">
        <v>0.442</v>
      </c>
      <c r="I2182" s="342">
        <v>9.5000000000000001E-2</v>
      </c>
      <c r="J2182" s="342">
        <v>0.16800000000000001</v>
      </c>
      <c r="K2182" s="342">
        <v>0.441</v>
      </c>
      <c r="L2182" s="342">
        <v>0.13</v>
      </c>
      <c r="M2182" s="342">
        <v>0.33300000000000002</v>
      </c>
    </row>
    <row r="2183" spans="1:13">
      <c r="A2183" t="s">
        <v>1619</v>
      </c>
      <c r="B2183" s="342">
        <v>2.9000000000000001E-2</v>
      </c>
      <c r="C2183" s="342">
        <v>1.2E-2</v>
      </c>
      <c r="D2183" s="342">
        <v>2.1000000000000001E-2</v>
      </c>
      <c r="E2183" s="342">
        <v>2.5999999999999999E-2</v>
      </c>
      <c r="F2183" s="342">
        <v>1.2E-2</v>
      </c>
      <c r="G2183" s="342">
        <v>1.7999999999999999E-2</v>
      </c>
      <c r="H2183" s="342">
        <v>0.03</v>
      </c>
      <c r="I2183" s="342">
        <v>1.2E-2</v>
      </c>
      <c r="J2183" s="342">
        <v>0.02</v>
      </c>
      <c r="K2183" s="342">
        <v>2.9000000000000001E-2</v>
      </c>
      <c r="L2183" s="342">
        <v>8.9999999999999993E-3</v>
      </c>
      <c r="M2183" s="342">
        <v>2.5000000000000001E-2</v>
      </c>
    </row>
    <row r="2184" spans="1:13">
      <c r="A2184" t="s">
        <v>1620</v>
      </c>
      <c r="B2184" s="342">
        <v>0.375</v>
      </c>
      <c r="C2184" s="342">
        <v>1.216</v>
      </c>
      <c r="D2184" s="342">
        <v>0.85799999999999998</v>
      </c>
      <c r="E2184" s="342">
        <v>0.35599999999999998</v>
      </c>
      <c r="F2184" s="342">
        <v>0.99199999999999999</v>
      </c>
      <c r="G2184" s="342">
        <v>0.871</v>
      </c>
      <c r="H2184" s="342">
        <v>0.41499999999999998</v>
      </c>
      <c r="I2184" s="342">
        <v>1.333</v>
      </c>
      <c r="J2184" s="342">
        <v>0.98599999999999999</v>
      </c>
      <c r="K2184" s="342">
        <v>0.372</v>
      </c>
      <c r="L2184" s="342">
        <v>1.627</v>
      </c>
      <c r="M2184" s="342">
        <v>0.75700000000000001</v>
      </c>
    </row>
    <row r="2185" spans="1:13">
      <c r="A2185" t="s">
        <v>2808</v>
      </c>
      <c r="B2185" s="342">
        <v>0.189</v>
      </c>
      <c r="C2185" s="342">
        <v>0.441</v>
      </c>
      <c r="D2185" s="342">
        <v>0.29099999999999998</v>
      </c>
      <c r="E2185" s="342">
        <v>0.224</v>
      </c>
      <c r="F2185" s="342">
        <v>0.55600000000000005</v>
      </c>
      <c r="G2185" s="342">
        <v>0.41199999999999998</v>
      </c>
      <c r="H2185" s="342">
        <v>0.214</v>
      </c>
      <c r="I2185" s="342">
        <v>0.41199999999999998</v>
      </c>
      <c r="J2185" s="342">
        <v>0.28399999999999997</v>
      </c>
      <c r="K2185" s="342">
        <v>0.17699999999999999</v>
      </c>
      <c r="L2185" s="342">
        <v>0.16400000000000001</v>
      </c>
      <c r="M2185" s="342">
        <v>0.20899999999999999</v>
      </c>
    </row>
    <row r="2186" spans="1:13">
      <c r="A2186" t="s">
        <v>2809</v>
      </c>
      <c r="B2186" s="342">
        <v>7.4999999999999997E-2</v>
      </c>
      <c r="C2186" s="342">
        <v>5.5E-2</v>
      </c>
      <c r="D2186" s="342">
        <v>5.1999999999999998E-2</v>
      </c>
      <c r="E2186" s="342">
        <v>1.7999999999999999E-2</v>
      </c>
      <c r="F2186" s="342">
        <v>0.02</v>
      </c>
      <c r="G2186" s="342">
        <v>2.8000000000000001E-2</v>
      </c>
      <c r="H2186" s="342">
        <v>3.4000000000000002E-2</v>
      </c>
      <c r="I2186" s="342">
        <v>9.2999999999999999E-2</v>
      </c>
      <c r="J2186" s="342">
        <v>5.2999999999999999E-2</v>
      </c>
      <c r="K2186" s="342">
        <v>9.4E-2</v>
      </c>
      <c r="L2186" s="342">
        <v>7.6999999999999999E-2</v>
      </c>
      <c r="M2186" s="342">
        <v>6.9000000000000006E-2</v>
      </c>
    </row>
    <row r="2187" spans="1:13">
      <c r="A2187" t="s">
        <v>2810</v>
      </c>
      <c r="B2187" s="342">
        <v>0.70499999999999996</v>
      </c>
      <c r="C2187" s="342">
        <v>0.40899999999999997</v>
      </c>
      <c r="D2187" s="342">
        <v>0.4</v>
      </c>
      <c r="E2187" s="342">
        <v>0.68200000000000005</v>
      </c>
      <c r="F2187" s="342">
        <v>0.58099999999999996</v>
      </c>
      <c r="G2187" s="342">
        <v>0.505</v>
      </c>
      <c r="H2187" s="342">
        <v>0.59899999999999998</v>
      </c>
      <c r="I2187" s="342">
        <v>0.379</v>
      </c>
      <c r="J2187" s="342">
        <v>0.34200000000000003</v>
      </c>
      <c r="K2187" s="342">
        <v>0.73</v>
      </c>
      <c r="L2187" s="342">
        <v>0.14799999999999999</v>
      </c>
      <c r="M2187" s="342">
        <v>0.36599999999999999</v>
      </c>
    </row>
    <row r="2188" spans="1:13">
      <c r="A2188" t="s">
        <v>9</v>
      </c>
      <c r="B2188">
        <v>5.37</v>
      </c>
      <c r="C2188">
        <v>10.65</v>
      </c>
      <c r="D2188">
        <v>8.09</v>
      </c>
      <c r="E2188">
        <v>10.34</v>
      </c>
      <c r="F2188">
        <v>11.76</v>
      </c>
      <c r="G2188">
        <v>9.68</v>
      </c>
      <c r="H2188">
        <v>5.56</v>
      </c>
      <c r="I2188">
        <v>14.27</v>
      </c>
      <c r="J2188">
        <v>10.27</v>
      </c>
      <c r="K2188">
        <v>4.87</v>
      </c>
      <c r="L2188">
        <v>6.58</v>
      </c>
      <c r="M2188">
        <v>6.08</v>
      </c>
    </row>
    <row r="2189" spans="1:13">
      <c r="A2189" t="s">
        <v>8</v>
      </c>
      <c r="B2189">
        <v>1.46</v>
      </c>
      <c r="C2189">
        <v>68.650000000000006</v>
      </c>
      <c r="D2189">
        <v>9.68</v>
      </c>
      <c r="E2189">
        <v>20.38</v>
      </c>
      <c r="F2189">
        <v>119.47</v>
      </c>
      <c r="G2189">
        <v>59.24</v>
      </c>
      <c r="H2189">
        <v>32.94</v>
      </c>
      <c r="I2189">
        <v>85.6</v>
      </c>
      <c r="J2189">
        <v>57.24</v>
      </c>
      <c r="K2189">
        <v>1.06</v>
      </c>
      <c r="L2189">
        <v>32.46</v>
      </c>
      <c r="M2189">
        <v>3.94</v>
      </c>
    </row>
    <row r="2190" spans="1:13">
      <c r="A2190" t="s">
        <v>10</v>
      </c>
      <c r="B2190">
        <v>55.73</v>
      </c>
      <c r="C2190">
        <v>30.25</v>
      </c>
      <c r="D2190">
        <v>35.869999999999997</v>
      </c>
      <c r="E2190">
        <v>87.03</v>
      </c>
      <c r="F2190">
        <v>46.45</v>
      </c>
      <c r="G2190">
        <v>44.6</v>
      </c>
      <c r="H2190">
        <v>89.06</v>
      </c>
      <c r="I2190">
        <v>33.380000000000003</v>
      </c>
      <c r="J2190">
        <v>41.19</v>
      </c>
      <c r="K2190">
        <v>48.58</v>
      </c>
      <c r="L2190">
        <v>16.87</v>
      </c>
      <c r="M2190">
        <v>28</v>
      </c>
    </row>
    <row r="2191" spans="1:13">
      <c r="A2191" t="s">
        <v>1621</v>
      </c>
      <c r="B2191" s="342">
        <v>0.85199999999999998</v>
      </c>
      <c r="C2191" s="342">
        <v>7.4999999999999997E-2</v>
      </c>
      <c r="D2191" s="342">
        <v>0.19900000000000001</v>
      </c>
      <c r="E2191" s="342">
        <v>0.13400000000000001</v>
      </c>
      <c r="F2191" s="342">
        <v>7.1999999999999995E-2</v>
      </c>
      <c r="G2191" s="342">
        <v>9.8000000000000004E-2</v>
      </c>
      <c r="H2191" s="342">
        <v>0.19900000000000001</v>
      </c>
      <c r="I2191" s="342">
        <v>5.1999999999999998E-2</v>
      </c>
      <c r="J2191" s="342">
        <v>9.0999999999999998E-2</v>
      </c>
      <c r="K2191" s="342">
        <v>1.127</v>
      </c>
      <c r="L2191" s="342">
        <v>0.124</v>
      </c>
      <c r="M2191" s="342">
        <v>0.38300000000000001</v>
      </c>
    </row>
    <row r="2193" spans="1:13">
      <c r="A2193" t="s">
        <v>2947</v>
      </c>
    </row>
    <row r="2195" spans="1:13">
      <c r="A2195" t="s">
        <v>158</v>
      </c>
      <c r="B2195" t="s">
        <v>2806</v>
      </c>
      <c r="E2195">
        <v>2017</v>
      </c>
      <c r="H2195">
        <v>2018</v>
      </c>
      <c r="K2195">
        <v>2019</v>
      </c>
    </row>
    <row r="2196" spans="1:13">
      <c r="B2196" t="s">
        <v>1623</v>
      </c>
      <c r="C2196" t="s">
        <v>1624</v>
      </c>
      <c r="D2196" t="s">
        <v>1622</v>
      </c>
      <c r="E2196" t="s">
        <v>1623</v>
      </c>
      <c r="F2196" t="s">
        <v>1624</v>
      </c>
      <c r="G2196" t="s">
        <v>1622</v>
      </c>
      <c r="H2196" t="s">
        <v>1623</v>
      </c>
      <c r="I2196" t="s">
        <v>1624</v>
      </c>
      <c r="J2196" t="s">
        <v>1622</v>
      </c>
      <c r="K2196" t="s">
        <v>1623</v>
      </c>
      <c r="L2196" t="s">
        <v>1624</v>
      </c>
      <c r="M2196" t="s">
        <v>1622</v>
      </c>
    </row>
    <row r="2197" spans="1:13">
      <c r="A2197" t="s">
        <v>2807</v>
      </c>
      <c r="B2197" s="342">
        <v>0.307</v>
      </c>
      <c r="C2197" s="342">
        <v>0.66400000000000003</v>
      </c>
      <c r="D2197" s="342">
        <v>0.54700000000000004</v>
      </c>
      <c r="E2197" s="342">
        <v>0.20799999999999999</v>
      </c>
      <c r="F2197" s="342">
        <v>0.64200000000000002</v>
      </c>
      <c r="G2197" s="342">
        <v>0.55500000000000005</v>
      </c>
      <c r="H2197" s="342">
        <v>0.35299999999999998</v>
      </c>
      <c r="I2197" s="342">
        <v>0.66100000000000003</v>
      </c>
      <c r="J2197" s="342">
        <v>0.54</v>
      </c>
      <c r="K2197" s="342">
        <v>0.32500000000000001</v>
      </c>
      <c r="L2197" s="342">
        <v>0.68899999999999995</v>
      </c>
      <c r="M2197" s="342">
        <v>0.54700000000000004</v>
      </c>
    </row>
    <row r="2198" spans="1:13">
      <c r="A2198" t="s">
        <v>1618</v>
      </c>
      <c r="B2198" s="342">
        <v>0.45800000000000002</v>
      </c>
      <c r="C2198" s="342">
        <v>0.32</v>
      </c>
      <c r="D2198" s="342">
        <v>0.35399999999999998</v>
      </c>
      <c r="E2198" s="342">
        <v>0.53100000000000003</v>
      </c>
      <c r="F2198" s="342">
        <v>0.34300000000000003</v>
      </c>
      <c r="G2198" s="342">
        <v>0.34899999999999998</v>
      </c>
      <c r="H2198" s="342">
        <v>0.41399999999999998</v>
      </c>
      <c r="I2198" s="342">
        <v>0.32400000000000001</v>
      </c>
      <c r="J2198" s="342">
        <v>0.35899999999999999</v>
      </c>
      <c r="K2198" s="342">
        <v>0.45200000000000001</v>
      </c>
      <c r="L2198" s="342">
        <v>0.29499999999999998</v>
      </c>
      <c r="M2198" s="342">
        <v>0.35299999999999998</v>
      </c>
    </row>
    <row r="2199" spans="1:13">
      <c r="A2199" t="s">
        <v>1619</v>
      </c>
      <c r="B2199" s="342">
        <v>3.1E-2</v>
      </c>
      <c r="C2199" s="342">
        <v>1.0999999999999999E-2</v>
      </c>
      <c r="D2199" s="342">
        <v>2.1999999999999999E-2</v>
      </c>
      <c r="E2199" s="342">
        <v>2.5999999999999999E-2</v>
      </c>
      <c r="F2199" s="342">
        <v>8.9999999999999993E-3</v>
      </c>
      <c r="G2199" s="342">
        <v>1.6E-2</v>
      </c>
      <c r="H2199" s="342">
        <v>2.8000000000000001E-2</v>
      </c>
      <c r="I2199" s="342">
        <v>1.0999999999999999E-2</v>
      </c>
      <c r="J2199" s="342">
        <v>2.1999999999999999E-2</v>
      </c>
      <c r="K2199" s="342">
        <v>3.5999999999999997E-2</v>
      </c>
      <c r="L2199" s="342">
        <v>1.2999999999999999E-2</v>
      </c>
      <c r="M2199" s="342">
        <v>2.7E-2</v>
      </c>
    </row>
    <row r="2200" spans="1:13">
      <c r="A2200" t="s">
        <v>1620</v>
      </c>
      <c r="B2200" s="342">
        <v>0.59799999999999998</v>
      </c>
      <c r="C2200" s="342">
        <v>1.64</v>
      </c>
      <c r="D2200" s="342">
        <v>0.91</v>
      </c>
      <c r="E2200" s="342">
        <v>0.61199999999999999</v>
      </c>
      <c r="F2200" s="342">
        <v>1.6339999999999999</v>
      </c>
      <c r="G2200" s="342">
        <v>0.92900000000000005</v>
      </c>
      <c r="H2200" s="342">
        <v>0.67800000000000005</v>
      </c>
      <c r="I2200" s="342">
        <v>1.615</v>
      </c>
      <c r="J2200" s="342">
        <v>0.92600000000000005</v>
      </c>
      <c r="K2200" s="342">
        <v>0.53300000000000003</v>
      </c>
      <c r="L2200" s="342">
        <v>1.6739999999999999</v>
      </c>
      <c r="M2200" s="342">
        <v>0.88100000000000001</v>
      </c>
    </row>
    <row r="2201" spans="1:13">
      <c r="A2201" t="s">
        <v>2808</v>
      </c>
      <c r="B2201" s="342">
        <v>0.14000000000000001</v>
      </c>
      <c r="C2201" s="342">
        <v>0.128</v>
      </c>
      <c r="D2201" s="342">
        <v>0.14699999999999999</v>
      </c>
      <c r="E2201" s="342">
        <v>0.14899999999999999</v>
      </c>
      <c r="F2201" s="342">
        <v>0.11</v>
      </c>
      <c r="G2201" s="342">
        <v>0.14099999999999999</v>
      </c>
      <c r="H2201" s="342">
        <v>0.13500000000000001</v>
      </c>
      <c r="I2201" s="342">
        <v>0.14499999999999999</v>
      </c>
      <c r="J2201" s="342">
        <v>0.14199999999999999</v>
      </c>
      <c r="K2201" s="342">
        <v>0.13900000000000001</v>
      </c>
      <c r="L2201" s="342">
        <v>0.124</v>
      </c>
      <c r="M2201" s="342">
        <v>0.158</v>
      </c>
    </row>
    <row r="2202" spans="1:13">
      <c r="A2202" t="s">
        <v>2809</v>
      </c>
      <c r="B2202" s="342">
        <v>7.6999999999999999E-2</v>
      </c>
      <c r="C2202" s="342">
        <v>6.4000000000000001E-2</v>
      </c>
      <c r="D2202" s="342">
        <v>9.1999999999999998E-2</v>
      </c>
      <c r="E2202" s="342">
        <v>4.2999999999999997E-2</v>
      </c>
      <c r="F2202" s="342">
        <v>7.2999999999999995E-2</v>
      </c>
      <c r="G2202" s="342">
        <v>0.09</v>
      </c>
      <c r="H2202" s="342">
        <v>5.8000000000000003E-2</v>
      </c>
      <c r="I2202" s="342">
        <v>5.8999999999999997E-2</v>
      </c>
      <c r="J2202" s="342">
        <v>0.104</v>
      </c>
      <c r="K2202" s="342">
        <v>0.109</v>
      </c>
      <c r="L2202" s="342">
        <v>6.2E-2</v>
      </c>
      <c r="M2202" s="342">
        <v>8.3000000000000004E-2</v>
      </c>
    </row>
    <row r="2203" spans="1:13">
      <c r="A2203" t="s">
        <v>2810</v>
      </c>
      <c r="B2203" s="342">
        <v>0.36299999999999999</v>
      </c>
      <c r="C2203" s="342">
        <v>0.11700000000000001</v>
      </c>
      <c r="D2203" s="342">
        <v>0.26300000000000001</v>
      </c>
      <c r="E2203" s="342">
        <v>0.315</v>
      </c>
      <c r="F2203" s="342">
        <v>0.112</v>
      </c>
      <c r="G2203" s="342">
        <v>0.249</v>
      </c>
      <c r="H2203" s="342">
        <v>0.28399999999999997</v>
      </c>
      <c r="I2203" s="342">
        <v>0.126</v>
      </c>
      <c r="J2203" s="342">
        <v>0.26600000000000001</v>
      </c>
      <c r="K2203" s="342">
        <v>0.46500000000000002</v>
      </c>
      <c r="L2203" s="342">
        <v>0.111</v>
      </c>
      <c r="M2203" s="342">
        <v>0.27400000000000002</v>
      </c>
    </row>
    <row r="2204" spans="1:13">
      <c r="A2204" t="s">
        <v>9</v>
      </c>
      <c r="B2204">
        <v>7.05</v>
      </c>
      <c r="C2204">
        <v>6.67</v>
      </c>
      <c r="D2204">
        <v>6.23</v>
      </c>
      <c r="E2204">
        <v>6.96</v>
      </c>
      <c r="F2204">
        <v>6.33</v>
      </c>
      <c r="G2204">
        <v>6</v>
      </c>
      <c r="H2204">
        <v>6.82</v>
      </c>
      <c r="I2204">
        <v>7.2</v>
      </c>
      <c r="J2204">
        <v>6.34</v>
      </c>
      <c r="K2204">
        <v>7.33</v>
      </c>
      <c r="L2204">
        <v>6.45</v>
      </c>
      <c r="M2204">
        <v>6.33</v>
      </c>
    </row>
    <row r="2205" spans="1:13">
      <c r="A2205" t="s">
        <v>8</v>
      </c>
      <c r="B2205">
        <v>96.63</v>
      </c>
      <c r="C2205">
        <v>28.97</v>
      </c>
      <c r="D2205">
        <v>43.06</v>
      </c>
      <c r="E2205">
        <v>86.55</v>
      </c>
      <c r="F2205">
        <v>27.1</v>
      </c>
      <c r="G2205">
        <v>42.75</v>
      </c>
      <c r="H2205">
        <v>116.97</v>
      </c>
      <c r="I2205">
        <v>32.25</v>
      </c>
      <c r="J2205">
        <v>42.82</v>
      </c>
      <c r="K2205">
        <v>88.77</v>
      </c>
      <c r="L2205">
        <v>27.58</v>
      </c>
      <c r="M2205">
        <v>43.55</v>
      </c>
    </row>
    <row r="2206" spans="1:13">
      <c r="A2206" t="s">
        <v>10</v>
      </c>
      <c r="B2206">
        <v>40.770000000000003</v>
      </c>
      <c r="C2206">
        <v>10.97</v>
      </c>
      <c r="D2206">
        <v>14.9</v>
      </c>
      <c r="E2206">
        <v>36.340000000000003</v>
      </c>
      <c r="F2206">
        <v>11.19</v>
      </c>
      <c r="G2206">
        <v>14.01</v>
      </c>
      <c r="H2206">
        <v>37.840000000000003</v>
      </c>
      <c r="I2206">
        <v>11.02</v>
      </c>
      <c r="J2206">
        <v>14.66</v>
      </c>
      <c r="K2206">
        <v>47.83</v>
      </c>
      <c r="L2206">
        <v>10.72</v>
      </c>
      <c r="M2206">
        <v>16.03</v>
      </c>
    </row>
    <row r="2207" spans="1:13">
      <c r="A2207" t="s">
        <v>1621</v>
      </c>
      <c r="B2207" s="342">
        <v>0.128</v>
      </c>
      <c r="C2207" s="342">
        <v>9.2999999999999999E-2</v>
      </c>
      <c r="D2207" s="342">
        <v>0.11700000000000001</v>
      </c>
      <c r="E2207" s="342">
        <v>0.128</v>
      </c>
      <c r="F2207" s="342">
        <v>0.105</v>
      </c>
      <c r="G2207" s="342">
        <v>0.11899999999999999</v>
      </c>
      <c r="H2207" s="342">
        <v>0.129</v>
      </c>
      <c r="I2207" s="342">
        <v>7.9000000000000001E-2</v>
      </c>
      <c r="J2207" s="342">
        <v>0.113</v>
      </c>
      <c r="K2207" s="342">
        <v>0.127</v>
      </c>
      <c r="L2207" s="342">
        <v>9.8000000000000004E-2</v>
      </c>
      <c r="M2207" s="342">
        <v>0.11799999999999999</v>
      </c>
    </row>
    <row r="2209" spans="1:13">
      <c r="A2209" t="s">
        <v>2948</v>
      </c>
    </row>
    <row r="2211" spans="1:13">
      <c r="A2211" t="s">
        <v>158</v>
      </c>
      <c r="B2211" t="s">
        <v>2806</v>
      </c>
      <c r="E2211">
        <v>2017</v>
      </c>
      <c r="H2211">
        <v>2018</v>
      </c>
      <c r="K2211">
        <v>2019</v>
      </c>
    </row>
    <row r="2212" spans="1:13">
      <c r="B2212" t="s">
        <v>1623</v>
      </c>
      <c r="C2212" t="s">
        <v>1624</v>
      </c>
      <c r="D2212" t="s">
        <v>1622</v>
      </c>
      <c r="E2212" t="s">
        <v>1623</v>
      </c>
      <c r="F2212" t="s">
        <v>1624</v>
      </c>
      <c r="G2212" t="s">
        <v>1622</v>
      </c>
      <c r="H2212" t="s">
        <v>1623</v>
      </c>
      <c r="I2212" t="s">
        <v>1624</v>
      </c>
      <c r="J2212" t="s">
        <v>1622</v>
      </c>
      <c r="K2212" t="s">
        <v>1623</v>
      </c>
      <c r="L2212" t="s">
        <v>1624</v>
      </c>
      <c r="M2212" t="s">
        <v>1622</v>
      </c>
    </row>
    <row r="2213" spans="1:13">
      <c r="A2213" t="s">
        <v>2807</v>
      </c>
      <c r="B2213" s="342">
        <v>0.32600000000000001</v>
      </c>
      <c r="C2213" s="342">
        <v>0.52700000000000002</v>
      </c>
      <c r="D2213" s="342">
        <v>0.38100000000000001</v>
      </c>
      <c r="E2213" s="342">
        <v>0.28499999999999998</v>
      </c>
      <c r="F2213" s="342">
        <v>0.54700000000000004</v>
      </c>
      <c r="G2213" s="342">
        <v>0.35599999999999998</v>
      </c>
      <c r="H2213" s="342">
        <v>0.36299999999999999</v>
      </c>
      <c r="I2213" s="342">
        <v>0.46400000000000002</v>
      </c>
      <c r="J2213" s="342">
        <v>0.371</v>
      </c>
      <c r="K2213" s="342">
        <v>0.32400000000000001</v>
      </c>
      <c r="L2213" s="342">
        <v>0.56599999999999995</v>
      </c>
      <c r="M2213" s="342">
        <v>0.40699999999999997</v>
      </c>
    </row>
    <row r="2214" spans="1:13">
      <c r="A2214" t="s">
        <v>1618</v>
      </c>
      <c r="B2214" s="342">
        <v>0.441</v>
      </c>
      <c r="C2214" s="342">
        <v>0.45400000000000001</v>
      </c>
      <c r="D2214" s="342">
        <v>0.51600000000000001</v>
      </c>
      <c r="E2214" s="342">
        <v>0.501</v>
      </c>
      <c r="F2214" s="342">
        <v>0.436</v>
      </c>
      <c r="G2214" s="342">
        <v>0.55000000000000004</v>
      </c>
      <c r="H2214" s="342">
        <v>0.41</v>
      </c>
      <c r="I2214" s="342">
        <v>0.51600000000000001</v>
      </c>
      <c r="J2214" s="342">
        <v>0.53100000000000003</v>
      </c>
      <c r="K2214" s="342">
        <v>0.42699999999999999</v>
      </c>
      <c r="L2214" s="342">
        <v>0.41299999999999998</v>
      </c>
      <c r="M2214" s="342">
        <v>0.47799999999999998</v>
      </c>
    </row>
    <row r="2215" spans="1:13">
      <c r="A2215" t="s">
        <v>1619</v>
      </c>
      <c r="B2215" s="342">
        <v>3.7999999999999999E-2</v>
      </c>
      <c r="C2215" s="342">
        <v>2.3E-2</v>
      </c>
      <c r="D2215" s="342">
        <v>3.6999999999999998E-2</v>
      </c>
      <c r="E2215" s="342">
        <v>4.2999999999999997E-2</v>
      </c>
      <c r="F2215" s="342">
        <v>1.2999999999999999E-2</v>
      </c>
      <c r="G2215" s="342">
        <v>3.4000000000000002E-2</v>
      </c>
      <c r="H2215" s="342">
        <v>4.5999999999999999E-2</v>
      </c>
      <c r="I2215" s="342">
        <v>2.8000000000000001E-2</v>
      </c>
      <c r="J2215" s="342">
        <v>4.2999999999999997E-2</v>
      </c>
      <c r="K2215" s="342">
        <v>2.9000000000000001E-2</v>
      </c>
      <c r="L2215" s="342">
        <v>2.9000000000000001E-2</v>
      </c>
      <c r="M2215" s="342">
        <v>3.4000000000000002E-2</v>
      </c>
    </row>
    <row r="2216" spans="1:13">
      <c r="A2216" t="s">
        <v>1620</v>
      </c>
      <c r="B2216" s="342">
        <v>0.65600000000000003</v>
      </c>
      <c r="C2216" s="342">
        <v>1.0669999999999999</v>
      </c>
      <c r="D2216" s="342">
        <v>0.88</v>
      </c>
      <c r="E2216" s="342">
        <v>0.76700000000000002</v>
      </c>
      <c r="F2216" s="342">
        <v>1.2250000000000001</v>
      </c>
      <c r="G2216" s="342">
        <v>0.89800000000000002</v>
      </c>
      <c r="H2216" s="342">
        <v>0.65600000000000003</v>
      </c>
      <c r="I2216" s="342">
        <v>1.046</v>
      </c>
      <c r="J2216" s="342">
        <v>0.85899999999999999</v>
      </c>
      <c r="K2216" s="342">
        <v>0.6</v>
      </c>
      <c r="L2216" s="342">
        <v>0.95099999999999996</v>
      </c>
      <c r="M2216" s="342">
        <v>0.88300000000000001</v>
      </c>
    </row>
    <row r="2217" spans="1:13">
      <c r="A2217" t="s">
        <v>2808</v>
      </c>
      <c r="B2217" s="342">
        <v>0.47</v>
      </c>
      <c r="C2217" s="342">
        <v>0.39600000000000002</v>
      </c>
      <c r="D2217" s="342">
        <v>0.44900000000000001</v>
      </c>
      <c r="E2217" s="342">
        <v>0.48599999999999999</v>
      </c>
      <c r="F2217" s="342">
        <v>0.35499999999999998</v>
      </c>
      <c r="G2217" s="342">
        <v>0.437</v>
      </c>
      <c r="H2217" s="342">
        <v>0.45900000000000002</v>
      </c>
      <c r="I2217" s="342">
        <v>0.499</v>
      </c>
      <c r="J2217" s="342">
        <v>0.46800000000000003</v>
      </c>
      <c r="K2217" s="342">
        <v>0.46899999999999997</v>
      </c>
      <c r="L2217" s="342">
        <v>0.33900000000000002</v>
      </c>
      <c r="M2217" s="342">
        <v>0.442</v>
      </c>
    </row>
    <row r="2218" spans="1:13">
      <c r="A2218" t="s">
        <v>2809</v>
      </c>
      <c r="B2218" s="342">
        <v>7.0000000000000001E-3</v>
      </c>
      <c r="C2218" s="342">
        <v>2.3E-2</v>
      </c>
      <c r="D2218" s="342">
        <v>1.4999999999999999E-2</v>
      </c>
      <c r="E2218" s="342">
        <v>5.0000000000000001E-3</v>
      </c>
      <c r="F2218" s="342">
        <v>1.9E-2</v>
      </c>
      <c r="G2218" s="342">
        <v>1.6E-2</v>
      </c>
      <c r="H2218" s="342">
        <v>6.0000000000000001E-3</v>
      </c>
      <c r="I2218" s="342">
        <v>1.2999999999999999E-2</v>
      </c>
      <c r="J2218" s="342">
        <v>1.4E-2</v>
      </c>
      <c r="K2218" s="342">
        <v>8.0000000000000002E-3</v>
      </c>
      <c r="L2218" s="342">
        <v>3.5000000000000003E-2</v>
      </c>
      <c r="M2218" s="342">
        <v>1.6E-2</v>
      </c>
    </row>
    <row r="2219" spans="1:13">
      <c r="A2219" t="s">
        <v>2810</v>
      </c>
      <c r="B2219" s="342">
        <v>0.72599999999999998</v>
      </c>
      <c r="C2219" s="342">
        <v>0.39200000000000002</v>
      </c>
      <c r="D2219" s="342">
        <v>0.52700000000000002</v>
      </c>
      <c r="E2219" s="342">
        <v>0.64</v>
      </c>
      <c r="F2219" s="342">
        <v>0.30499999999999999</v>
      </c>
      <c r="G2219" s="342">
        <v>0.504</v>
      </c>
      <c r="H2219" s="342">
        <v>0.70899999999999996</v>
      </c>
      <c r="I2219" s="342">
        <v>0.48899999999999999</v>
      </c>
      <c r="J2219" s="342">
        <v>0.56000000000000005</v>
      </c>
      <c r="K2219" s="342">
        <v>0.79400000000000004</v>
      </c>
      <c r="L2219" s="342">
        <v>0.39300000000000002</v>
      </c>
      <c r="M2219" s="342">
        <v>0.51800000000000002</v>
      </c>
    </row>
    <row r="2220" spans="1:13">
      <c r="A2220" t="s">
        <v>9</v>
      </c>
      <c r="B2220">
        <v>7.27</v>
      </c>
      <c r="C2220">
        <v>8.48</v>
      </c>
      <c r="D2220">
        <v>7.51</v>
      </c>
      <c r="E2220">
        <v>9.7200000000000006</v>
      </c>
      <c r="F2220">
        <v>8.2100000000000009</v>
      </c>
      <c r="G2220">
        <v>6.66</v>
      </c>
      <c r="H2220">
        <v>6.75</v>
      </c>
      <c r="I2220">
        <v>10.9</v>
      </c>
      <c r="J2220">
        <v>7.48</v>
      </c>
      <c r="K2220">
        <v>6.58</v>
      </c>
      <c r="L2220">
        <v>7.19</v>
      </c>
      <c r="M2220">
        <v>8.35</v>
      </c>
    </row>
    <row r="2221" spans="1:13">
      <c r="A2221" t="s">
        <v>8</v>
      </c>
      <c r="B2221">
        <v>198.95</v>
      </c>
      <c r="C2221">
        <v>76.83</v>
      </c>
      <c r="D2221">
        <v>68.89</v>
      </c>
      <c r="E2221">
        <v>559.38</v>
      </c>
      <c r="F2221">
        <v>68.3</v>
      </c>
      <c r="G2221">
        <v>81.58</v>
      </c>
      <c r="H2221">
        <v>149.30000000000001</v>
      </c>
      <c r="I2221">
        <v>83.56</v>
      </c>
      <c r="J2221">
        <v>54.98</v>
      </c>
      <c r="K2221">
        <v>170.63</v>
      </c>
      <c r="L2221">
        <v>81.55</v>
      </c>
      <c r="M2221">
        <v>74.88</v>
      </c>
    </row>
    <row r="2222" spans="1:13">
      <c r="A2222" t="s">
        <v>10</v>
      </c>
      <c r="B2222">
        <v>82.23</v>
      </c>
      <c r="C2222">
        <v>51.35</v>
      </c>
      <c r="D2222">
        <v>62.69</v>
      </c>
      <c r="E2222">
        <v>90.31</v>
      </c>
      <c r="F2222">
        <v>60.42</v>
      </c>
      <c r="G2222">
        <v>68.569999999999993</v>
      </c>
      <c r="H2222">
        <v>88.71</v>
      </c>
      <c r="I2222">
        <v>56.64</v>
      </c>
      <c r="J2222">
        <v>57.65</v>
      </c>
      <c r="K2222">
        <v>74.03</v>
      </c>
      <c r="L2222">
        <v>40.92</v>
      </c>
      <c r="M2222">
        <v>62.93</v>
      </c>
    </row>
    <row r="2223" spans="1:13">
      <c r="A2223" t="s">
        <v>1621</v>
      </c>
      <c r="B2223" s="342">
        <v>0.13</v>
      </c>
      <c r="C2223" s="342">
        <v>0.111</v>
      </c>
      <c r="D2223" s="342">
        <v>0.13200000000000001</v>
      </c>
      <c r="E2223" s="342">
        <v>9.4E-2</v>
      </c>
      <c r="F2223" s="342">
        <v>0.12</v>
      </c>
      <c r="G2223" s="342">
        <v>0.14799999999999999</v>
      </c>
      <c r="H2223" s="342">
        <v>0.14399999999999999</v>
      </c>
      <c r="I2223" s="342">
        <v>8.5999999999999993E-2</v>
      </c>
      <c r="J2223" s="342">
        <v>0.13500000000000001</v>
      </c>
      <c r="K2223" s="342">
        <v>0.14399999999999999</v>
      </c>
      <c r="L2223" s="342">
        <v>0.127</v>
      </c>
      <c r="M2223" s="342">
        <v>0.11700000000000001</v>
      </c>
    </row>
    <row r="2225" spans="1:13">
      <c r="A2225" t="s">
        <v>2949</v>
      </c>
    </row>
    <row r="2227" spans="1:13">
      <c r="A2227" t="s">
        <v>158</v>
      </c>
      <c r="B2227" t="s">
        <v>2806</v>
      </c>
      <c r="E2227">
        <v>2017</v>
      </c>
      <c r="H2227">
        <v>2018</v>
      </c>
      <c r="K2227">
        <v>2019</v>
      </c>
    </row>
    <row r="2228" spans="1:13">
      <c r="B2228" t="s">
        <v>1623</v>
      </c>
      <c r="C2228" t="s">
        <v>1624</v>
      </c>
      <c r="D2228" t="s">
        <v>1622</v>
      </c>
      <c r="E2228" t="s">
        <v>1623</v>
      </c>
      <c r="F2228" t="s">
        <v>1624</v>
      </c>
      <c r="G2228" t="s">
        <v>1622</v>
      </c>
      <c r="H2228" t="s">
        <v>1623</v>
      </c>
      <c r="I2228" t="s">
        <v>1624</v>
      </c>
      <c r="J2228" t="s">
        <v>1622</v>
      </c>
      <c r="K2228" t="s">
        <v>1623</v>
      </c>
      <c r="L2228" t="s">
        <v>1624</v>
      </c>
      <c r="M2228" t="s">
        <v>1622</v>
      </c>
    </row>
    <row r="2229" spans="1:13">
      <c r="A2229" t="s">
        <v>2807</v>
      </c>
      <c r="B2229" s="342">
        <v>0.52100000000000002</v>
      </c>
      <c r="C2229" s="342">
        <v>0.83</v>
      </c>
      <c r="D2229" s="342">
        <v>0.68</v>
      </c>
      <c r="E2229" s="342">
        <v>0.52900000000000003</v>
      </c>
      <c r="F2229" s="342">
        <v>0.84199999999999997</v>
      </c>
      <c r="G2229" s="342">
        <v>0.69799999999999995</v>
      </c>
      <c r="H2229" s="342">
        <v>0.52900000000000003</v>
      </c>
      <c r="I2229" s="342">
        <v>0.83499999999999996</v>
      </c>
      <c r="J2229" s="342">
        <v>0.68300000000000005</v>
      </c>
      <c r="K2229" s="342">
        <v>0.504</v>
      </c>
      <c r="L2229" s="342">
        <v>0.80800000000000005</v>
      </c>
      <c r="M2229" s="342">
        <v>0.65800000000000003</v>
      </c>
    </row>
    <row r="2230" spans="1:13">
      <c r="A2230" t="s">
        <v>1618</v>
      </c>
      <c r="B2230" s="342">
        <v>0.192</v>
      </c>
      <c r="C2230" s="342">
        <v>0.152</v>
      </c>
      <c r="D2230" s="342">
        <v>0.20899999999999999</v>
      </c>
      <c r="E2230" s="342">
        <v>0.20599999999999999</v>
      </c>
      <c r="F2230" s="342">
        <v>0.13900000000000001</v>
      </c>
      <c r="G2230" s="342">
        <v>0.20399999999999999</v>
      </c>
      <c r="H2230" s="342">
        <v>0.187</v>
      </c>
      <c r="I2230" s="342">
        <v>0.14699999999999999</v>
      </c>
      <c r="J2230" s="342">
        <v>0.20599999999999999</v>
      </c>
      <c r="K2230" s="342">
        <v>0.185</v>
      </c>
      <c r="L2230" s="342">
        <v>0.17299999999999999</v>
      </c>
      <c r="M2230" s="342">
        <v>0.217</v>
      </c>
    </row>
    <row r="2231" spans="1:13">
      <c r="A2231" t="s">
        <v>1619</v>
      </c>
      <c r="B2231" s="342">
        <v>2.4E-2</v>
      </c>
      <c r="C2231" s="342">
        <v>1.0999999999999999E-2</v>
      </c>
      <c r="D2231" s="342">
        <v>2.1000000000000001E-2</v>
      </c>
      <c r="E2231" s="342">
        <v>1.2E-2</v>
      </c>
      <c r="F2231" s="342">
        <v>6.0000000000000001E-3</v>
      </c>
      <c r="G2231" s="342">
        <v>1.0999999999999999E-2</v>
      </c>
      <c r="H2231" s="342">
        <v>2.5999999999999999E-2</v>
      </c>
      <c r="I2231" s="342">
        <v>1.2999999999999999E-2</v>
      </c>
      <c r="J2231" s="342">
        <v>2.4E-2</v>
      </c>
      <c r="K2231" s="342">
        <v>3.2000000000000001E-2</v>
      </c>
      <c r="L2231" s="342">
        <v>1.4999999999999999E-2</v>
      </c>
      <c r="M2231" s="342">
        <v>2.8000000000000001E-2</v>
      </c>
    </row>
    <row r="2232" spans="1:13">
      <c r="A2232" t="s">
        <v>1620</v>
      </c>
      <c r="B2232" s="342">
        <v>0.41799999999999998</v>
      </c>
      <c r="C2232" s="342">
        <v>1.464</v>
      </c>
      <c r="D2232" s="342">
        <v>0.79</v>
      </c>
      <c r="E2232" s="342">
        <v>0.39100000000000001</v>
      </c>
      <c r="F2232" s="342">
        <v>1.6890000000000001</v>
      </c>
      <c r="G2232" s="342">
        <v>0.83299999999999996</v>
      </c>
      <c r="H2232" s="342">
        <v>0.42899999999999999</v>
      </c>
      <c r="I2232" s="342">
        <v>1.9079999999999999</v>
      </c>
      <c r="J2232" s="342">
        <v>0.85499999999999998</v>
      </c>
      <c r="K2232" s="342">
        <v>0.432</v>
      </c>
      <c r="L2232" s="342">
        <v>1.006</v>
      </c>
      <c r="M2232" s="342">
        <v>0.68799999999999994</v>
      </c>
    </row>
    <row r="2233" spans="1:13">
      <c r="A2233" t="s">
        <v>2808</v>
      </c>
      <c r="B2233" s="342">
        <v>0.38100000000000001</v>
      </c>
      <c r="C2233" s="342">
        <v>0.46100000000000002</v>
      </c>
      <c r="D2233" s="342">
        <v>0.42699999999999999</v>
      </c>
      <c r="E2233" s="342">
        <v>0.378</v>
      </c>
      <c r="F2233" s="342">
        <v>0.38100000000000001</v>
      </c>
      <c r="G2233" s="342">
        <v>0.41199999999999998</v>
      </c>
      <c r="H2233" s="342">
        <v>0.39400000000000002</v>
      </c>
      <c r="I2233" s="342">
        <v>0.44400000000000001</v>
      </c>
      <c r="J2233" s="342">
        <v>0.42399999999999999</v>
      </c>
      <c r="K2233" s="342">
        <v>0.37</v>
      </c>
      <c r="L2233" s="342">
        <v>0.53100000000000003</v>
      </c>
      <c r="M2233" s="342">
        <v>0.443</v>
      </c>
    </row>
    <row r="2234" spans="1:13">
      <c r="A2234" t="s">
        <v>2809</v>
      </c>
      <c r="B2234" s="342">
        <v>6.5000000000000002E-2</v>
      </c>
      <c r="C2234" s="342">
        <v>5.6000000000000001E-2</v>
      </c>
      <c r="D2234" s="342">
        <v>5.2999999999999999E-2</v>
      </c>
      <c r="E2234" s="342">
        <v>8.1000000000000003E-2</v>
      </c>
      <c r="F2234" s="342">
        <v>3.6999999999999998E-2</v>
      </c>
      <c r="G2234" s="342">
        <v>5.8000000000000003E-2</v>
      </c>
      <c r="H2234" s="342">
        <v>6.2E-2</v>
      </c>
      <c r="I2234" s="342">
        <v>4.0000000000000001E-3</v>
      </c>
      <c r="J2234" s="342">
        <v>4.2999999999999997E-2</v>
      </c>
      <c r="K2234" s="342">
        <v>5.1999999999999998E-2</v>
      </c>
      <c r="L2234" s="342">
        <v>0.105</v>
      </c>
      <c r="M2234" s="342">
        <v>5.8000000000000003E-2</v>
      </c>
    </row>
    <row r="2235" spans="1:13">
      <c r="A2235" t="s">
        <v>2810</v>
      </c>
      <c r="B2235" s="342">
        <v>1.0660000000000001</v>
      </c>
      <c r="C2235" s="342">
        <v>0.35299999999999998</v>
      </c>
      <c r="D2235" s="342">
        <v>0.60699999999999998</v>
      </c>
      <c r="E2235" s="342">
        <v>1.175</v>
      </c>
      <c r="F2235" s="342">
        <v>0.248</v>
      </c>
      <c r="G2235" s="342">
        <v>0.56399999999999995</v>
      </c>
      <c r="H2235" s="342">
        <v>1.0609999999999999</v>
      </c>
      <c r="I2235" s="342">
        <v>0.23499999999999999</v>
      </c>
      <c r="J2235" s="342">
        <v>0.54600000000000004</v>
      </c>
      <c r="K2235" s="342">
        <v>0.97599999999999998</v>
      </c>
      <c r="L2235" s="342">
        <v>0.63200000000000001</v>
      </c>
      <c r="M2235" s="342">
        <v>0.72799999999999998</v>
      </c>
    </row>
    <row r="2236" spans="1:13">
      <c r="A2236" t="s">
        <v>9</v>
      </c>
      <c r="B2236">
        <v>8.25</v>
      </c>
      <c r="C2236">
        <v>16.95</v>
      </c>
      <c r="D2236">
        <v>10.64</v>
      </c>
      <c r="E2236">
        <v>7.44</v>
      </c>
      <c r="F2236">
        <v>15.83</v>
      </c>
      <c r="G2236">
        <v>10.17</v>
      </c>
      <c r="H2236">
        <v>8.35</v>
      </c>
      <c r="I2236">
        <v>18.690000000000001</v>
      </c>
      <c r="J2236">
        <v>11.2</v>
      </c>
      <c r="K2236">
        <v>9</v>
      </c>
      <c r="L2236">
        <v>16.48</v>
      </c>
      <c r="M2236">
        <v>10.53</v>
      </c>
    </row>
    <row r="2237" spans="1:13">
      <c r="A2237" t="s">
        <v>8</v>
      </c>
      <c r="B2237">
        <v>84.54</v>
      </c>
      <c r="C2237">
        <v>23.27</v>
      </c>
      <c r="D2237">
        <v>29.12</v>
      </c>
      <c r="E2237">
        <v>92.92</v>
      </c>
      <c r="F2237">
        <v>22.18</v>
      </c>
      <c r="G2237">
        <v>28.03</v>
      </c>
      <c r="H2237">
        <v>61.99</v>
      </c>
      <c r="I2237">
        <v>25.14</v>
      </c>
      <c r="J2237">
        <v>31.9</v>
      </c>
      <c r="K2237">
        <v>127.83</v>
      </c>
      <c r="L2237">
        <v>22.54</v>
      </c>
      <c r="M2237">
        <v>27.4</v>
      </c>
    </row>
    <row r="2238" spans="1:13">
      <c r="A2238" t="s">
        <v>10</v>
      </c>
      <c r="B2238">
        <v>43.05</v>
      </c>
      <c r="C2238">
        <v>33.840000000000003</v>
      </c>
      <c r="D2238">
        <v>35.81</v>
      </c>
      <c r="E2238">
        <v>43.59</v>
      </c>
      <c r="F2238">
        <v>28.25</v>
      </c>
      <c r="G2238">
        <v>32.18</v>
      </c>
      <c r="H2238">
        <v>41.07</v>
      </c>
      <c r="I2238">
        <v>40.42</v>
      </c>
      <c r="J2238">
        <v>39.090000000000003</v>
      </c>
      <c r="K2238">
        <v>45.06</v>
      </c>
      <c r="L2238">
        <v>35.369999999999997</v>
      </c>
      <c r="M2238">
        <v>36.64</v>
      </c>
    </row>
    <row r="2239" spans="1:13">
      <c r="A2239" t="s">
        <v>1621</v>
      </c>
      <c r="B2239" s="342">
        <v>0.11</v>
      </c>
      <c r="C2239" s="342">
        <v>7.1999999999999995E-2</v>
      </c>
      <c r="D2239" s="342">
        <v>0.1</v>
      </c>
      <c r="E2239" s="342">
        <v>0.122</v>
      </c>
      <c r="F2239" s="342">
        <v>7.2999999999999995E-2</v>
      </c>
      <c r="G2239" s="342">
        <v>0.10299999999999999</v>
      </c>
      <c r="H2239" s="342">
        <v>0.111</v>
      </c>
      <c r="I2239" s="342">
        <v>6.9000000000000006E-2</v>
      </c>
      <c r="J2239" s="342">
        <v>9.5000000000000001E-2</v>
      </c>
      <c r="K2239" s="342">
        <v>9.7000000000000003E-2</v>
      </c>
      <c r="L2239" s="342">
        <v>7.6999999999999999E-2</v>
      </c>
      <c r="M2239" s="342">
        <v>0.104</v>
      </c>
    </row>
    <row r="2241" spans="1:13">
      <c r="A2241" t="s">
        <v>2950</v>
      </c>
    </row>
    <row r="2243" spans="1:13">
      <c r="A2243" t="s">
        <v>158</v>
      </c>
      <c r="B2243" t="s">
        <v>2806</v>
      </c>
      <c r="E2243">
        <v>2017</v>
      </c>
      <c r="H2243">
        <v>2018</v>
      </c>
      <c r="K2243">
        <v>2019</v>
      </c>
    </row>
    <row r="2244" spans="1:13">
      <c r="B2244" t="s">
        <v>1623</v>
      </c>
      <c r="C2244" t="s">
        <v>1624</v>
      </c>
      <c r="D2244" t="s">
        <v>1622</v>
      </c>
      <c r="E2244" t="s">
        <v>1623</v>
      </c>
      <c r="F2244" t="s">
        <v>1624</v>
      </c>
      <c r="G2244" t="s">
        <v>1622</v>
      </c>
      <c r="H2244" t="s">
        <v>1623</v>
      </c>
      <c r="I2244" t="s">
        <v>1624</v>
      </c>
      <c r="J2244" t="s">
        <v>1622</v>
      </c>
      <c r="K2244" t="s">
        <v>1623</v>
      </c>
      <c r="L2244" t="s">
        <v>1624</v>
      </c>
      <c r="M2244" t="s">
        <v>1622</v>
      </c>
    </row>
    <row r="2245" spans="1:13">
      <c r="A2245" t="s">
        <v>2807</v>
      </c>
      <c r="B2245" s="342">
        <v>0.215</v>
      </c>
      <c r="C2245" s="342">
        <v>0.59899999999999998</v>
      </c>
      <c r="D2245" s="342">
        <v>0.48899999999999999</v>
      </c>
      <c r="E2245" s="342">
        <v>0.442</v>
      </c>
      <c r="F2245" s="342">
        <v>0.53300000000000003</v>
      </c>
      <c r="G2245" s="342">
        <v>0.48499999999999999</v>
      </c>
      <c r="H2245" s="342">
        <v>9.4E-2</v>
      </c>
      <c r="I2245" s="342">
        <v>0.61</v>
      </c>
      <c r="J2245" s="342">
        <v>0.52300000000000002</v>
      </c>
      <c r="K2245" s="342">
        <v>0.14399999999999999</v>
      </c>
      <c r="L2245" s="342">
        <v>0.625</v>
      </c>
      <c r="M2245" s="342">
        <v>0.46400000000000002</v>
      </c>
    </row>
    <row r="2246" spans="1:13">
      <c r="A2246" t="s">
        <v>1618</v>
      </c>
      <c r="B2246" s="342">
        <v>0.379</v>
      </c>
      <c r="C2246" s="342">
        <v>0.38900000000000001</v>
      </c>
      <c r="D2246" s="342">
        <v>0.40100000000000002</v>
      </c>
      <c r="E2246" s="342">
        <v>0.311</v>
      </c>
      <c r="F2246" s="342">
        <v>0.44900000000000001</v>
      </c>
      <c r="G2246" s="342">
        <v>0.433</v>
      </c>
      <c r="H2246" s="342">
        <v>0.55600000000000005</v>
      </c>
      <c r="I2246" s="342">
        <v>0.377</v>
      </c>
      <c r="J2246" s="342">
        <v>0.39400000000000002</v>
      </c>
      <c r="K2246" s="342">
        <v>0.33600000000000002</v>
      </c>
      <c r="L2246" s="342">
        <v>0.36599999999999999</v>
      </c>
      <c r="M2246" s="342">
        <v>0.38400000000000001</v>
      </c>
    </row>
    <row r="2247" spans="1:13">
      <c r="A2247" t="s">
        <v>1619</v>
      </c>
      <c r="B2247" s="342">
        <v>1.7000000000000001E-2</v>
      </c>
      <c r="C2247" s="342">
        <v>0.01</v>
      </c>
      <c r="D2247" s="342">
        <v>1.7000000000000001E-2</v>
      </c>
      <c r="E2247" s="342">
        <v>7.0000000000000001E-3</v>
      </c>
      <c r="F2247" s="342">
        <v>8.0000000000000002E-3</v>
      </c>
      <c r="G2247" s="342">
        <v>1.4E-2</v>
      </c>
      <c r="H2247" s="342">
        <v>1.4999999999999999E-2</v>
      </c>
      <c r="I2247" s="342">
        <v>8.9999999999999993E-3</v>
      </c>
      <c r="J2247" s="342">
        <v>1.0999999999999999E-2</v>
      </c>
      <c r="K2247" s="342">
        <v>2.3E-2</v>
      </c>
      <c r="L2247" s="342">
        <v>1.0999999999999999E-2</v>
      </c>
      <c r="M2247" s="342">
        <v>2.3E-2</v>
      </c>
    </row>
    <row r="2248" spans="1:13">
      <c r="A2248" t="s">
        <v>1620</v>
      </c>
      <c r="B2248" s="342">
        <v>0.40699999999999997</v>
      </c>
      <c r="C2248" s="342">
        <v>2.2930000000000001</v>
      </c>
      <c r="D2248" s="342">
        <v>0.88800000000000001</v>
      </c>
      <c r="E2248" s="342">
        <v>0.8</v>
      </c>
      <c r="F2248" s="342">
        <v>2.3519999999999999</v>
      </c>
      <c r="G2248" s="342">
        <v>0.97</v>
      </c>
      <c r="H2248" s="342">
        <v>0.46200000000000002</v>
      </c>
      <c r="I2248" s="342">
        <v>1.89</v>
      </c>
      <c r="J2248" s="342">
        <v>1.0069999999999999</v>
      </c>
      <c r="K2248" s="342">
        <v>0.307</v>
      </c>
      <c r="L2248" s="342">
        <v>2.7970000000000002</v>
      </c>
      <c r="M2248" s="342">
        <v>0.76500000000000001</v>
      </c>
    </row>
    <row r="2249" spans="1:13">
      <c r="A2249" t="s">
        <v>2808</v>
      </c>
      <c r="B2249" s="342">
        <v>4.2000000000000003E-2</v>
      </c>
      <c r="C2249" s="342">
        <v>0.189</v>
      </c>
      <c r="D2249" s="342">
        <v>0.123</v>
      </c>
      <c r="E2249" s="342">
        <v>6.6000000000000003E-2</v>
      </c>
      <c r="F2249" s="342">
        <v>0.23400000000000001</v>
      </c>
      <c r="G2249" s="342">
        <v>0.161</v>
      </c>
      <c r="H2249" s="342">
        <v>9.8000000000000004E-2</v>
      </c>
      <c r="I2249" s="342">
        <v>0.18099999999999999</v>
      </c>
      <c r="J2249" s="342">
        <v>0.15</v>
      </c>
      <c r="K2249" s="342">
        <v>0.02</v>
      </c>
      <c r="L2249" s="342">
        <v>0.16900000000000001</v>
      </c>
      <c r="M2249" s="342">
        <v>8.3000000000000004E-2</v>
      </c>
    </row>
    <row r="2250" spans="1:13">
      <c r="A2250" t="s">
        <v>2809</v>
      </c>
      <c r="B2250" s="342">
        <v>2.7E-2</v>
      </c>
      <c r="C2250" s="342">
        <v>0.02</v>
      </c>
      <c r="D2250" s="342">
        <v>2.3E-2</v>
      </c>
      <c r="E2250" s="342">
        <v>7.0000000000000001E-3</v>
      </c>
      <c r="F2250" s="342">
        <v>1.6E-2</v>
      </c>
      <c r="G2250" s="342">
        <v>2.7E-2</v>
      </c>
      <c r="H2250" s="342">
        <v>7.4999999999999997E-2</v>
      </c>
      <c r="I2250" s="342">
        <v>0.03</v>
      </c>
      <c r="J2250" s="342">
        <v>3.3000000000000002E-2</v>
      </c>
      <c r="K2250" s="342">
        <v>1.6E-2</v>
      </c>
      <c r="L2250" s="342">
        <v>8.0000000000000002E-3</v>
      </c>
      <c r="M2250" s="342">
        <v>1.4E-2</v>
      </c>
    </row>
    <row r="2251" spans="1:13">
      <c r="A2251" t="s">
        <v>2810</v>
      </c>
      <c r="B2251" s="342">
        <v>0.16800000000000001</v>
      </c>
      <c r="C2251" s="342">
        <v>9.0999999999999998E-2</v>
      </c>
      <c r="D2251" s="342">
        <v>0.16400000000000001</v>
      </c>
      <c r="E2251" s="342">
        <v>9.0999999999999998E-2</v>
      </c>
      <c r="F2251" s="342">
        <v>0.106</v>
      </c>
      <c r="G2251" s="342">
        <v>0.19400000000000001</v>
      </c>
      <c r="H2251" s="342">
        <v>0.374</v>
      </c>
      <c r="I2251" s="342">
        <v>0.112</v>
      </c>
      <c r="J2251" s="342">
        <v>0.18099999999999999</v>
      </c>
      <c r="K2251" s="342">
        <v>0.11600000000000001</v>
      </c>
      <c r="L2251" s="342">
        <v>6.3E-2</v>
      </c>
      <c r="M2251" s="342">
        <v>0.127</v>
      </c>
    </row>
    <row r="2252" spans="1:13">
      <c r="A2252" t="s">
        <v>9</v>
      </c>
      <c r="B2252">
        <v>12.04</v>
      </c>
      <c r="C2252">
        <v>11.42</v>
      </c>
      <c r="D2252">
        <v>8.73</v>
      </c>
      <c r="E2252">
        <v>6.36</v>
      </c>
      <c r="F2252">
        <v>9.43</v>
      </c>
      <c r="G2252">
        <v>7.67</v>
      </c>
      <c r="H2252">
        <v>14.17</v>
      </c>
      <c r="I2252">
        <v>11.58</v>
      </c>
      <c r="J2252">
        <v>8.42</v>
      </c>
      <c r="K2252">
        <v>21.01</v>
      </c>
      <c r="L2252">
        <v>12.77</v>
      </c>
      <c r="M2252">
        <v>10.07</v>
      </c>
    </row>
    <row r="2253" spans="1:13">
      <c r="A2253" t="s">
        <v>8</v>
      </c>
      <c r="B2253">
        <v>39.729999999999997</v>
      </c>
      <c r="C2253">
        <v>54.82</v>
      </c>
      <c r="D2253">
        <v>30.87</v>
      </c>
      <c r="E2253">
        <v>43.58</v>
      </c>
      <c r="F2253">
        <v>85.6</v>
      </c>
      <c r="G2253">
        <v>32.58</v>
      </c>
      <c r="H2253">
        <v>13.82</v>
      </c>
      <c r="I2253">
        <v>45.23</v>
      </c>
      <c r="J2253">
        <v>21.04</v>
      </c>
      <c r="K2253">
        <v>200.21</v>
      </c>
      <c r="L2253">
        <v>54.3</v>
      </c>
      <c r="M2253">
        <v>47.18</v>
      </c>
    </row>
    <row r="2254" spans="1:13">
      <c r="A2254" t="s">
        <v>10</v>
      </c>
      <c r="B2254">
        <v>36.25</v>
      </c>
      <c r="C2254">
        <v>56.67</v>
      </c>
      <c r="D2254">
        <v>28.39</v>
      </c>
      <c r="E2254">
        <v>11.57</v>
      </c>
      <c r="F2254">
        <v>70.78</v>
      </c>
      <c r="G2254">
        <v>27.26</v>
      </c>
      <c r="H2254">
        <v>93.29</v>
      </c>
      <c r="I2254">
        <v>136.46</v>
      </c>
      <c r="J2254">
        <v>27.08</v>
      </c>
      <c r="K2254">
        <v>380.86</v>
      </c>
      <c r="L2254">
        <v>34.42</v>
      </c>
      <c r="M2254">
        <v>30.56</v>
      </c>
    </row>
    <row r="2255" spans="1:13">
      <c r="A2255" t="s">
        <v>1621</v>
      </c>
      <c r="B2255" s="342">
        <v>8.1000000000000003E-2</v>
      </c>
      <c r="C2255" s="342">
        <v>8.7999999999999995E-2</v>
      </c>
      <c r="D2255" s="342">
        <v>0.112</v>
      </c>
      <c r="E2255" s="342">
        <v>9.4E-2</v>
      </c>
      <c r="F2255" s="342">
        <v>0.104</v>
      </c>
      <c r="G2255" s="342">
        <v>0.124</v>
      </c>
      <c r="H2255" s="342">
        <v>0.13200000000000001</v>
      </c>
      <c r="I2255" s="342">
        <v>0.10100000000000001</v>
      </c>
      <c r="J2255" s="342">
        <v>0.129</v>
      </c>
      <c r="K2255" s="342">
        <v>0.05</v>
      </c>
      <c r="L2255" s="342">
        <v>6.8000000000000005E-2</v>
      </c>
      <c r="M2255" s="342">
        <v>8.7999999999999995E-2</v>
      </c>
    </row>
  </sheetData>
  <phoneticPr fontId="1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B2:U115"/>
  <sheetViews>
    <sheetView topLeftCell="B1" workbookViewId="0">
      <selection activeCell="M14" sqref="M14"/>
    </sheetView>
  </sheetViews>
  <sheetFormatPr defaultRowHeight="16.5"/>
  <cols>
    <col min="4" max="4" width="10.77734375" customWidth="1"/>
    <col min="6" max="6" width="10.88671875" customWidth="1"/>
    <col min="7" max="7" width="10.5546875" customWidth="1"/>
    <col min="8" max="8" width="9.88671875" customWidth="1"/>
    <col min="12" max="12" width="23" customWidth="1"/>
    <col min="13" max="13" width="15.77734375" customWidth="1"/>
    <col min="18" max="20" width="7.6640625" style="16"/>
    <col min="21" max="21" width="33.33203125" style="16" bestFit="1" customWidth="1"/>
  </cols>
  <sheetData>
    <row r="2" spans="2:21">
      <c r="B2" s="202" t="s">
        <v>1454</v>
      </c>
      <c r="C2" s="203" t="s">
        <v>2512</v>
      </c>
      <c r="D2" s="202" t="s">
        <v>2513</v>
      </c>
      <c r="E2" s="202" t="s">
        <v>2514</v>
      </c>
      <c r="F2" s="204" t="s">
        <v>2515</v>
      </c>
      <c r="G2" s="204" t="s">
        <v>2516</v>
      </c>
      <c r="H2" s="204" t="s">
        <v>2517</v>
      </c>
      <c r="I2" s="204" t="s">
        <v>2518</v>
      </c>
      <c r="J2" s="211"/>
      <c r="K2" s="211"/>
      <c r="L2" s="16"/>
      <c r="M2" s="16"/>
      <c r="N2" s="205" t="s">
        <v>2519</v>
      </c>
      <c r="P2" s="216" t="s">
        <v>2690</v>
      </c>
      <c r="U2" s="213" t="s">
        <v>2679</v>
      </c>
    </row>
    <row r="3" spans="2:21">
      <c r="B3" s="1398" t="s">
        <v>2520</v>
      </c>
      <c r="C3" s="206" t="s">
        <v>2521</v>
      </c>
      <c r="D3" s="207" t="s">
        <v>2522</v>
      </c>
      <c r="E3" s="207">
        <v>0.82369999999999999</v>
      </c>
      <c r="F3" s="208">
        <f>(1.806+E3*4.756)/100</f>
        <v>5.7235172000000001E-2</v>
      </c>
      <c r="G3" s="209">
        <v>4.07E-2</v>
      </c>
      <c r="H3" s="207">
        <v>0.58550000000000002</v>
      </c>
      <c r="I3" s="208">
        <f>F3*H3+(1-0.22)*G3*(1-H3)</f>
        <v>4.6669910206000004E-2</v>
      </c>
      <c r="J3" s="208"/>
      <c r="K3" s="9">
        <v>111</v>
      </c>
      <c r="L3" s="9" t="s">
        <v>1195</v>
      </c>
      <c r="M3" s="9"/>
      <c r="N3" s="209">
        <f>(F3*H3)+((G3*(1-H3))*(1-0.22))</f>
        <v>4.6669910206000004E-2</v>
      </c>
      <c r="O3" s="342"/>
      <c r="P3" s="217" t="str">
        <f>IF(AND(업종분류!B9='업종분류 검수용'!K3,업종분류!K9='업종분류 검수용'!L3),"","x")</f>
        <v/>
      </c>
      <c r="Q3" s="217"/>
      <c r="U3" s="213" t="s">
        <v>2680</v>
      </c>
    </row>
    <row r="4" spans="2:21">
      <c r="B4" s="1397"/>
      <c r="C4" s="206" t="s">
        <v>2521</v>
      </c>
      <c r="D4" s="207" t="s">
        <v>2523</v>
      </c>
      <c r="E4" s="207">
        <v>0.82369999999999999</v>
      </c>
      <c r="F4" s="208">
        <f t="shared" ref="F4:F67" si="0">(1.806+E4*4.756)/100</f>
        <v>5.7235172000000001E-2</v>
      </c>
      <c r="G4" s="209">
        <v>4.07E-2</v>
      </c>
      <c r="H4" s="207">
        <v>0.58550000000000002</v>
      </c>
      <c r="I4" s="208">
        <f t="shared" ref="I4:I67" si="1">F4*H4+(1-0.22)*G4*(1-H4)</f>
        <v>4.6669910206000004E-2</v>
      </c>
      <c r="J4" s="208"/>
      <c r="K4" s="9">
        <v>112</v>
      </c>
      <c r="L4" s="9" t="s">
        <v>1196</v>
      </c>
      <c r="M4" s="9"/>
      <c r="N4" s="209">
        <f t="shared" ref="N4:N67" si="2">(F4*H4)+((G4*(1-H4))*(1-0.22))</f>
        <v>4.6669910206000004E-2</v>
      </c>
      <c r="O4" s="342"/>
      <c r="P4" s="217" t="str">
        <f>IF(AND(업종분류!B10='업종분류 검수용'!K4,업종분류!K10='업종분류 검수용'!L4),"","x")</f>
        <v/>
      </c>
      <c r="U4" s="213" t="s">
        <v>2681</v>
      </c>
    </row>
    <row r="5" spans="2:21">
      <c r="B5" s="1397"/>
      <c r="C5" s="206" t="s">
        <v>2521</v>
      </c>
      <c r="D5" s="207" t="s">
        <v>2524</v>
      </c>
      <c r="E5" s="207">
        <v>0.82369999999999999</v>
      </c>
      <c r="F5" s="208">
        <f t="shared" si="0"/>
        <v>5.7235172000000001E-2</v>
      </c>
      <c r="G5" s="209">
        <v>4.07E-2</v>
      </c>
      <c r="H5" s="207">
        <v>0.58550000000000002</v>
      </c>
      <c r="I5" s="208">
        <f t="shared" si="1"/>
        <v>4.6669910206000004E-2</v>
      </c>
      <c r="J5" s="208"/>
      <c r="K5" s="9">
        <v>113</v>
      </c>
      <c r="L5" s="9" t="s">
        <v>1197</v>
      </c>
      <c r="M5" s="9"/>
      <c r="N5" s="209">
        <f t="shared" si="2"/>
        <v>4.6669910206000004E-2</v>
      </c>
      <c r="O5" s="342"/>
      <c r="P5" s="217" t="str">
        <f>IF(AND(업종분류!B11='업종분류 검수용'!K5,업종분류!K11='업종분류 검수용'!L5),"","x")</f>
        <v/>
      </c>
      <c r="U5" s="214" t="s">
        <v>2682</v>
      </c>
    </row>
    <row r="6" spans="2:21">
      <c r="B6" s="1397"/>
      <c r="C6" s="206" t="s">
        <v>2521</v>
      </c>
      <c r="D6" s="207" t="s">
        <v>2525</v>
      </c>
      <c r="E6" s="207">
        <v>0.82369999999999999</v>
      </c>
      <c r="F6" s="208">
        <f t="shared" si="0"/>
        <v>5.7235172000000001E-2</v>
      </c>
      <c r="G6" s="209">
        <v>4.07E-2</v>
      </c>
      <c r="H6" s="207">
        <v>0.58550000000000002</v>
      </c>
      <c r="I6" s="208">
        <f t="shared" si="1"/>
        <v>4.6669910206000004E-2</v>
      </c>
      <c r="J6" s="208"/>
      <c r="K6" s="9">
        <v>114</v>
      </c>
      <c r="L6" s="9" t="s">
        <v>1198</v>
      </c>
      <c r="M6" s="9"/>
      <c r="N6" s="209">
        <f t="shared" si="2"/>
        <v>4.6669910206000004E-2</v>
      </c>
      <c r="O6" s="342"/>
      <c r="P6" s="217" t="str">
        <f>IF(AND(업종분류!B12='업종분류 검수용'!K6,업종분류!K12='업종분류 검수용'!L6),"","x")</f>
        <v/>
      </c>
    </row>
    <row r="7" spans="2:21">
      <c r="B7" s="1397"/>
      <c r="C7" s="206" t="s">
        <v>2521</v>
      </c>
      <c r="D7" s="207" t="s">
        <v>2526</v>
      </c>
      <c r="E7" s="207">
        <v>0.82369999999999999</v>
      </c>
      <c r="F7" s="208">
        <f t="shared" si="0"/>
        <v>5.7235172000000001E-2</v>
      </c>
      <c r="G7" s="209">
        <v>4.07E-2</v>
      </c>
      <c r="H7" s="207">
        <v>0.58550000000000002</v>
      </c>
      <c r="I7" s="208">
        <f t="shared" si="1"/>
        <v>4.6669910206000004E-2</v>
      </c>
      <c r="J7" s="208"/>
      <c r="K7" s="9">
        <v>115</v>
      </c>
      <c r="L7" s="9" t="s">
        <v>1199</v>
      </c>
      <c r="M7" s="9"/>
      <c r="N7" s="209">
        <f t="shared" si="2"/>
        <v>4.6669910206000004E-2</v>
      </c>
      <c r="O7" s="342"/>
      <c r="P7" s="217" t="str">
        <f>IF(AND(업종분류!B13='업종분류 검수용'!K7,업종분류!K13='업종분류 검수용'!L7),"","x")</f>
        <v/>
      </c>
      <c r="R7" s="215" t="s">
        <v>2683</v>
      </c>
      <c r="S7" s="215" t="s">
        <v>2684</v>
      </c>
      <c r="U7" s="209">
        <f>AVERAGE(E2:E114)</f>
        <v>0.89882272727272705</v>
      </c>
    </row>
    <row r="8" spans="2:21">
      <c r="B8" s="1397"/>
      <c r="C8" s="206" t="s">
        <v>2521</v>
      </c>
      <c r="D8" s="207" t="s">
        <v>2527</v>
      </c>
      <c r="E8" s="207">
        <v>0.82369999999999999</v>
      </c>
      <c r="F8" s="208">
        <f t="shared" si="0"/>
        <v>5.7235172000000001E-2</v>
      </c>
      <c r="G8" s="209">
        <v>4.07E-2</v>
      </c>
      <c r="H8" s="207">
        <v>0.58550000000000002</v>
      </c>
      <c r="I8" s="208">
        <f t="shared" si="1"/>
        <v>4.6669910206000004E-2</v>
      </c>
      <c r="J8" s="208"/>
      <c r="K8" s="9">
        <v>119</v>
      </c>
      <c r="L8" s="9" t="s">
        <v>1200</v>
      </c>
      <c r="M8" s="9"/>
      <c r="N8" s="209">
        <f t="shared" si="2"/>
        <v>4.6669910206000004E-2</v>
      </c>
      <c r="O8" s="342"/>
      <c r="P8" s="217" t="str">
        <f>IF(AND(업종분류!B14='업종분류 검수용'!K8,업종분류!K14='업종분류 검수용'!L8),"","x")</f>
        <v/>
      </c>
      <c r="S8" s="215" t="s">
        <v>2685</v>
      </c>
      <c r="U8" s="208">
        <f>MODE(E2:E114)</f>
        <v>0.82369999999999999</v>
      </c>
    </row>
    <row r="9" spans="2:21">
      <c r="B9" s="1397" t="s">
        <v>2528</v>
      </c>
      <c r="C9" s="206" t="s">
        <v>2521</v>
      </c>
      <c r="D9" s="207" t="s">
        <v>2529</v>
      </c>
      <c r="E9" s="207">
        <v>0.82369999999999999</v>
      </c>
      <c r="F9" s="208">
        <f t="shared" si="0"/>
        <v>5.7235172000000001E-2</v>
      </c>
      <c r="G9" s="209">
        <v>4.07E-2</v>
      </c>
      <c r="H9" s="207">
        <v>0.58550000000000002</v>
      </c>
      <c r="I9" s="208">
        <f t="shared" si="1"/>
        <v>4.6669910206000004E-2</v>
      </c>
      <c r="J9" s="208"/>
      <c r="K9" s="9">
        <v>121</v>
      </c>
      <c r="L9" s="9" t="s">
        <v>1201</v>
      </c>
      <c r="M9" s="9"/>
      <c r="N9" s="209">
        <f t="shared" si="2"/>
        <v>4.6669910206000004E-2</v>
      </c>
      <c r="O9" s="342"/>
      <c r="P9" s="217" t="str">
        <f>IF(AND(업종분류!B15='업종분류 검수용'!K9,업종분류!K15='업종분류 검수용'!L9),"","x")</f>
        <v/>
      </c>
      <c r="S9" s="215" t="s">
        <v>2686</v>
      </c>
      <c r="U9" s="209">
        <f>MEDIAN(E2:E114)</f>
        <v>0.91405000000000003</v>
      </c>
    </row>
    <row r="10" spans="2:21">
      <c r="B10" s="1397"/>
      <c r="C10" s="206" t="s">
        <v>2521</v>
      </c>
      <c r="D10" s="207" t="s">
        <v>2530</v>
      </c>
      <c r="E10" s="207">
        <v>0.82369999999999999</v>
      </c>
      <c r="F10" s="208">
        <f t="shared" si="0"/>
        <v>5.7235172000000001E-2</v>
      </c>
      <c r="G10" s="209">
        <v>4.07E-2</v>
      </c>
      <c r="H10" s="207">
        <v>0.58550000000000002</v>
      </c>
      <c r="I10" s="208">
        <f t="shared" si="1"/>
        <v>4.6669910206000004E-2</v>
      </c>
      <c r="J10" s="208"/>
      <c r="K10" s="9">
        <v>122</v>
      </c>
      <c r="L10" s="9" t="s">
        <v>3</v>
      </c>
      <c r="M10" s="9"/>
      <c r="N10" s="209">
        <f t="shared" si="2"/>
        <v>4.6669910206000004E-2</v>
      </c>
      <c r="O10" s="342"/>
      <c r="P10" s="217" t="str">
        <f>IF(AND(업종분류!B16='업종분류 검수용'!K10,업종분류!K16='업종분류 검수용'!L10),"","x")</f>
        <v/>
      </c>
      <c r="S10" s="215" t="s">
        <v>2687</v>
      </c>
      <c r="U10" s="209">
        <f>MIN(E2:E114)</f>
        <v>0.40279999999999999</v>
      </c>
    </row>
    <row r="11" spans="2:21">
      <c r="B11" s="1397"/>
      <c r="C11" s="206" t="s">
        <v>2521</v>
      </c>
      <c r="D11" s="207" t="s">
        <v>2531</v>
      </c>
      <c r="E11" s="207">
        <v>0.82369999999999999</v>
      </c>
      <c r="F11" s="208">
        <f t="shared" si="0"/>
        <v>5.7235172000000001E-2</v>
      </c>
      <c r="G11" s="209">
        <v>4.07E-2</v>
      </c>
      <c r="H11" s="207">
        <v>0.58550000000000002</v>
      </c>
      <c r="I11" s="208">
        <f t="shared" si="1"/>
        <v>4.6669910206000004E-2</v>
      </c>
      <c r="J11" s="208"/>
      <c r="K11" s="9">
        <v>123</v>
      </c>
      <c r="L11" s="9" t="s">
        <v>1202</v>
      </c>
      <c r="M11" s="9"/>
      <c r="N11" s="209">
        <f t="shared" si="2"/>
        <v>4.6669910206000004E-2</v>
      </c>
      <c r="O11" s="342"/>
      <c r="P11" s="217" t="str">
        <f>IF(AND(업종분류!B17='업종분류 검수용'!K11,업종분류!K17='업종분류 검수용'!L11),"","x")</f>
        <v/>
      </c>
      <c r="S11" s="215" t="s">
        <v>2688</v>
      </c>
      <c r="U11" s="209">
        <f>MAX(E2:E114)</f>
        <v>1.4012</v>
      </c>
    </row>
    <row r="12" spans="2:21">
      <c r="B12" s="1397"/>
      <c r="C12" s="206" t="s">
        <v>2521</v>
      </c>
      <c r="D12" s="207" t="s">
        <v>2532</v>
      </c>
      <c r="E12" s="207">
        <v>0.82369999999999999</v>
      </c>
      <c r="F12" s="208">
        <f t="shared" si="0"/>
        <v>5.7235172000000001E-2</v>
      </c>
      <c r="G12" s="209">
        <v>4.07E-2</v>
      </c>
      <c r="H12" s="207">
        <v>0.58550000000000002</v>
      </c>
      <c r="I12" s="208">
        <f t="shared" si="1"/>
        <v>4.6669910206000004E-2</v>
      </c>
      <c r="J12" s="208"/>
      <c r="K12" s="9">
        <v>124</v>
      </c>
      <c r="L12" s="9" t="s">
        <v>1203</v>
      </c>
      <c r="M12" s="9"/>
      <c r="N12" s="209">
        <f t="shared" si="2"/>
        <v>4.6669910206000004E-2</v>
      </c>
      <c r="O12" s="342"/>
      <c r="P12" s="217" t="str">
        <f>IF(AND(업종분류!B18='업종분류 검수용'!K12,업종분류!K18='업종분류 검수용'!L12),"","x")</f>
        <v/>
      </c>
      <c r="R12" s="215" t="s">
        <v>2689</v>
      </c>
      <c r="S12" s="215" t="s">
        <v>2684</v>
      </c>
      <c r="U12" s="209">
        <f>AVERAGE(H2:H114)</f>
        <v>0.57645636363636366</v>
      </c>
    </row>
    <row r="13" spans="2:21">
      <c r="B13" s="1397"/>
      <c r="C13" s="206" t="s">
        <v>2521</v>
      </c>
      <c r="D13" s="207" t="s">
        <v>2533</v>
      </c>
      <c r="E13" s="207">
        <v>0.82369999999999999</v>
      </c>
      <c r="F13" s="208">
        <f t="shared" si="0"/>
        <v>5.7235172000000001E-2</v>
      </c>
      <c r="G13" s="209">
        <v>4.07E-2</v>
      </c>
      <c r="H13" s="207">
        <v>0.58550000000000002</v>
      </c>
      <c r="I13" s="208">
        <f t="shared" si="1"/>
        <v>4.6669910206000004E-2</v>
      </c>
      <c r="J13" s="208"/>
      <c r="K13" s="9">
        <v>129</v>
      </c>
      <c r="L13" s="9" t="s">
        <v>1204</v>
      </c>
      <c r="M13" s="9"/>
      <c r="N13" s="209">
        <f t="shared" si="2"/>
        <v>4.6669910206000004E-2</v>
      </c>
      <c r="O13" s="342"/>
      <c r="P13" s="217" t="str">
        <f>IF(AND(업종분류!B19='업종분류 검수용'!K13,업종분류!K19='업종분류 검수용'!L13),"","x")</f>
        <v/>
      </c>
      <c r="S13" s="215" t="s">
        <v>2685</v>
      </c>
      <c r="U13" s="208">
        <f>MODE(H2:H114)</f>
        <v>0.58550000000000002</v>
      </c>
    </row>
    <row r="14" spans="2:21">
      <c r="B14" s="1397" t="s">
        <v>2534</v>
      </c>
      <c r="C14" s="206">
        <v>6</v>
      </c>
      <c r="D14" s="207" t="s">
        <v>2535</v>
      </c>
      <c r="E14" s="207">
        <v>0.49469999999999997</v>
      </c>
      <c r="F14" s="208">
        <f t="shared" si="0"/>
        <v>4.1587932000000001E-2</v>
      </c>
      <c r="G14" s="209">
        <v>4.99E-2</v>
      </c>
      <c r="H14" s="207">
        <v>0.629</v>
      </c>
      <c r="I14" s="208">
        <f t="shared" si="1"/>
        <v>4.0598871228000002E-2</v>
      </c>
      <c r="J14" s="208"/>
      <c r="K14" s="9">
        <v>211</v>
      </c>
      <c r="L14" s="9" t="s">
        <v>1205</v>
      </c>
      <c r="M14" s="9"/>
      <c r="N14" s="209">
        <f t="shared" si="2"/>
        <v>4.0598871228000002E-2</v>
      </c>
      <c r="O14" s="342"/>
      <c r="P14" s="217" t="str">
        <f>IF(AND(업종분류!B20='업종분류 검수용'!K14,업종분류!K20='업종분류 검수용'!L14),"","x")</f>
        <v/>
      </c>
      <c r="S14" s="215" t="s">
        <v>2686</v>
      </c>
      <c r="U14" s="209">
        <f>MEDIAN(H2:H114)</f>
        <v>0.58550000000000002</v>
      </c>
    </row>
    <row r="15" spans="2:21">
      <c r="B15" s="1397"/>
      <c r="C15" s="206">
        <v>1</v>
      </c>
      <c r="D15" s="207" t="s">
        <v>2536</v>
      </c>
      <c r="E15" s="207">
        <v>0.40279999999999999</v>
      </c>
      <c r="F15" s="208">
        <f t="shared" si="0"/>
        <v>3.7217168000000002E-2</v>
      </c>
      <c r="G15" s="209">
        <v>0.4037</v>
      </c>
      <c r="H15" s="207">
        <v>0.81789999999999996</v>
      </c>
      <c r="I15" s="208">
        <f t="shared" si="1"/>
        <v>8.7780662307200011E-2</v>
      </c>
      <c r="J15" s="208"/>
      <c r="K15" s="9">
        <v>212</v>
      </c>
      <c r="L15" s="9" t="s">
        <v>1206</v>
      </c>
      <c r="M15" s="9"/>
      <c r="N15" s="209">
        <f t="shared" si="2"/>
        <v>8.7780662307200025E-2</v>
      </c>
      <c r="O15" s="342"/>
      <c r="P15" s="217" t="str">
        <f>IF(AND(업종분류!B21='업종분류 검수용'!K15,업종분류!K21='업종분류 검수용'!L15),"","x")</f>
        <v/>
      </c>
      <c r="S15" s="215" t="s">
        <v>2687</v>
      </c>
      <c r="U15" s="209">
        <f>MIN(H2:H114)</f>
        <v>0.34460000000000002</v>
      </c>
    </row>
    <row r="16" spans="2:21">
      <c r="B16" s="1397"/>
      <c r="C16" s="207">
        <v>3</v>
      </c>
      <c r="D16" s="207" t="s">
        <v>2537</v>
      </c>
      <c r="E16" s="207">
        <v>0.83560000000000001</v>
      </c>
      <c r="F16" s="208">
        <f t="shared" si="0"/>
        <v>5.7801136000000003E-2</v>
      </c>
      <c r="G16" s="209">
        <v>4.4699999999999997E-2</v>
      </c>
      <c r="H16" s="207">
        <v>0.74739999999999995</v>
      </c>
      <c r="I16" s="208">
        <f t="shared" si="1"/>
        <v>5.2007720646399996E-2</v>
      </c>
      <c r="J16" s="208"/>
      <c r="K16" s="9">
        <v>213</v>
      </c>
      <c r="L16" s="9" t="s">
        <v>1207</v>
      </c>
      <c r="M16" s="9"/>
      <c r="N16" s="209">
        <f t="shared" si="2"/>
        <v>5.2007720646399996E-2</v>
      </c>
      <c r="O16" s="342"/>
      <c r="P16" s="217" t="str">
        <f>IF(AND(업종분류!B22='업종분류 검수용'!K16,업종분류!K22='업종분류 검수용'!L16),"","x")</f>
        <v/>
      </c>
      <c r="S16" s="215" t="s">
        <v>2688</v>
      </c>
      <c r="U16" s="209">
        <f>MAX(H2:H114)</f>
        <v>0.84589999999999999</v>
      </c>
    </row>
    <row r="17" spans="2:16">
      <c r="B17" s="1397"/>
      <c r="C17" s="207">
        <v>163</v>
      </c>
      <c r="D17" s="207" t="s">
        <v>2538</v>
      </c>
      <c r="E17" s="207">
        <v>1.1949000000000001</v>
      </c>
      <c r="F17" s="208">
        <f t="shared" si="0"/>
        <v>7.4889443999999999E-2</v>
      </c>
      <c r="G17" s="209">
        <v>0.13200000000000001</v>
      </c>
      <c r="H17" s="207">
        <v>0.64890000000000003</v>
      </c>
      <c r="I17" s="208">
        <f t="shared" si="1"/>
        <v>8.4745016211599994E-2</v>
      </c>
      <c r="J17" s="208"/>
      <c r="K17" s="9">
        <v>214</v>
      </c>
      <c r="L17" s="9" t="s">
        <v>1208</v>
      </c>
      <c r="M17" s="9"/>
      <c r="N17" s="209">
        <f t="shared" si="2"/>
        <v>8.4745016211599994E-2</v>
      </c>
      <c r="O17" s="342"/>
      <c r="P17" s="217" t="str">
        <f>IF(AND(업종분류!B23='업종분류 검수용'!K17,업종분류!K23='업종분류 검수용'!L17),"","x")</f>
        <v/>
      </c>
    </row>
    <row r="18" spans="2:16">
      <c r="B18" s="1397"/>
      <c r="C18" s="207">
        <v>51</v>
      </c>
      <c r="D18" s="207" t="s">
        <v>2539</v>
      </c>
      <c r="E18" s="207">
        <v>1.2544999999999999</v>
      </c>
      <c r="F18" s="208">
        <f t="shared" si="0"/>
        <v>7.7724020000000005E-2</v>
      </c>
      <c r="G18" s="209">
        <v>5.5599999999999997E-2</v>
      </c>
      <c r="H18" s="207">
        <v>0.58899999999999997</v>
      </c>
      <c r="I18" s="208">
        <f t="shared" si="1"/>
        <v>6.3603695779999997E-2</v>
      </c>
      <c r="J18" s="208"/>
      <c r="K18" s="9">
        <v>215</v>
      </c>
      <c r="L18" s="9" t="s">
        <v>1209</v>
      </c>
      <c r="M18" s="9"/>
      <c r="N18" s="209">
        <f t="shared" si="2"/>
        <v>6.3603695779999997E-2</v>
      </c>
      <c r="O18" s="342"/>
      <c r="P18" s="217" t="str">
        <f>IF(AND(업종분류!B24='업종분류 검수용'!K18,업종분류!K24='업종분류 검수용'!L18),"","x")</f>
        <v/>
      </c>
    </row>
    <row r="19" spans="2:16">
      <c r="B19" s="1397"/>
      <c r="C19" s="207">
        <v>31</v>
      </c>
      <c r="D19" s="207" t="s">
        <v>2540</v>
      </c>
      <c r="E19" s="207">
        <v>1.2052</v>
      </c>
      <c r="F19" s="208">
        <f t="shared" si="0"/>
        <v>7.5379312000000004E-2</v>
      </c>
      <c r="G19" s="209">
        <v>6.8400000000000002E-2</v>
      </c>
      <c r="H19" s="207">
        <v>0.60909999999999997</v>
      </c>
      <c r="I19" s="208">
        <f t="shared" si="1"/>
        <v>6.6768835739200005E-2</v>
      </c>
      <c r="J19" s="208"/>
      <c r="K19" s="9">
        <v>219</v>
      </c>
      <c r="L19" s="9" t="s">
        <v>1210</v>
      </c>
      <c r="M19" s="9"/>
      <c r="N19" s="209">
        <f t="shared" si="2"/>
        <v>6.6768835739200005E-2</v>
      </c>
      <c r="O19" s="342"/>
      <c r="P19" s="217" t="str">
        <f>IF(AND(업종분류!B25='업종분류 검수용'!K19,업종분류!K25='업종분류 검수용'!L19),"","x")</f>
        <v/>
      </c>
    </row>
    <row r="20" spans="2:16">
      <c r="B20" s="1397" t="s">
        <v>2541</v>
      </c>
      <c r="C20" s="207">
        <v>24</v>
      </c>
      <c r="D20" s="207" t="s">
        <v>2542</v>
      </c>
      <c r="E20" s="207">
        <v>0.90910000000000002</v>
      </c>
      <c r="F20" s="208">
        <f t="shared" si="0"/>
        <v>6.1296796000000001E-2</v>
      </c>
      <c r="G20" s="209">
        <v>9.8199999999999996E-2</v>
      </c>
      <c r="H20" s="207">
        <v>0.629</v>
      </c>
      <c r="I20" s="208">
        <f t="shared" si="1"/>
        <v>6.6972800683999995E-2</v>
      </c>
      <c r="J20" s="208"/>
      <c r="K20" s="9">
        <v>221</v>
      </c>
      <c r="L20" s="9" t="s">
        <v>1211</v>
      </c>
      <c r="M20" s="9"/>
      <c r="N20" s="209">
        <f t="shared" si="2"/>
        <v>6.6972800683999995E-2</v>
      </c>
      <c r="O20" s="342"/>
      <c r="P20" s="217" t="str">
        <f>IF(AND(업종분류!B26='업종분류 검수용'!K20,업종분류!K26='업종분류 검수용'!L20),"","x")</f>
        <v/>
      </c>
    </row>
    <row r="21" spans="2:16">
      <c r="B21" s="1397"/>
      <c r="C21" s="206" t="s">
        <v>2543</v>
      </c>
      <c r="D21" s="207" t="s">
        <v>2544</v>
      </c>
      <c r="E21" s="207">
        <v>0.91900000000000004</v>
      </c>
      <c r="F21" s="208">
        <f t="shared" si="0"/>
        <v>6.1767640000000006E-2</v>
      </c>
      <c r="G21" s="209">
        <v>4.58E-2</v>
      </c>
      <c r="H21" s="207">
        <v>0.63870000000000005</v>
      </c>
      <c r="I21" s="208">
        <f t="shared" si="1"/>
        <v>5.2358072868000004E-2</v>
      </c>
      <c r="J21" s="208"/>
      <c r="K21" s="9">
        <v>222</v>
      </c>
      <c r="L21" s="9" t="s">
        <v>1212</v>
      </c>
      <c r="M21" s="9"/>
      <c r="N21" s="209">
        <f t="shared" si="2"/>
        <v>5.2358072868000011E-2</v>
      </c>
      <c r="O21" s="342"/>
      <c r="P21" s="217" t="str">
        <f>IF(AND(업종분류!B27='업종분류 검수용'!K21,업종분류!K27='업종분류 검수용'!L21),"","x")</f>
        <v/>
      </c>
    </row>
    <row r="22" spans="2:16">
      <c r="B22" s="1397"/>
      <c r="C22" s="207">
        <v>42</v>
      </c>
      <c r="D22" s="207" t="s">
        <v>2545</v>
      </c>
      <c r="E22" s="207">
        <v>0.8397</v>
      </c>
      <c r="F22" s="208">
        <f t="shared" si="0"/>
        <v>5.7996132000000006E-2</v>
      </c>
      <c r="G22" s="209">
        <v>4.07E-2</v>
      </c>
      <c r="H22" s="207">
        <v>0.62639999999999996</v>
      </c>
      <c r="I22" s="208">
        <f t="shared" si="1"/>
        <v>4.8189082684800003E-2</v>
      </c>
      <c r="J22" s="208"/>
      <c r="K22" s="9">
        <v>223</v>
      </c>
      <c r="L22" s="9" t="s">
        <v>1213</v>
      </c>
      <c r="M22" s="9"/>
      <c r="N22" s="209">
        <f t="shared" si="2"/>
        <v>4.8189082684800003E-2</v>
      </c>
      <c r="O22" s="342"/>
      <c r="P22" s="217" t="str">
        <f>IF(AND(업종분류!B28='업종분류 검수용'!K22,업종분류!K28='업종분류 검수용'!L22),"","x")</f>
        <v/>
      </c>
    </row>
    <row r="23" spans="2:16">
      <c r="B23" s="1397"/>
      <c r="C23" s="207">
        <v>49</v>
      </c>
      <c r="D23" s="207" t="s">
        <v>2546</v>
      </c>
      <c r="E23" s="207">
        <v>0.81430000000000002</v>
      </c>
      <c r="F23" s="208">
        <f t="shared" si="0"/>
        <v>5.6788108000000011E-2</v>
      </c>
      <c r="G23" s="209">
        <v>6.6600000000000006E-2</v>
      </c>
      <c r="H23" s="207">
        <v>0.5806</v>
      </c>
      <c r="I23" s="208">
        <f t="shared" si="1"/>
        <v>5.4758166704800007E-2</v>
      </c>
      <c r="J23" s="208"/>
      <c r="K23" s="9">
        <v>224</v>
      </c>
      <c r="L23" s="9" t="s">
        <v>1214</v>
      </c>
      <c r="M23" s="9"/>
      <c r="N23" s="209">
        <f t="shared" si="2"/>
        <v>5.4758166704800007E-2</v>
      </c>
      <c r="O23" s="342"/>
      <c r="P23" s="217" t="str">
        <f>IF(AND(업종분류!B29='업종분류 검수용'!K23,업종분류!K29='업종분류 검수용'!L23),"","x")</f>
        <v/>
      </c>
    </row>
    <row r="24" spans="2:16">
      <c r="B24" s="1397"/>
      <c r="C24" s="207">
        <v>2</v>
      </c>
      <c r="D24" s="207" t="s">
        <v>2547</v>
      </c>
      <c r="E24" s="207">
        <v>1.0347999999999999</v>
      </c>
      <c r="F24" s="208">
        <f t="shared" si="0"/>
        <v>6.7275087999999997E-2</v>
      </c>
      <c r="G24" s="209">
        <v>3.44E-2</v>
      </c>
      <c r="H24" s="207">
        <v>0.35139999999999999</v>
      </c>
      <c r="I24" s="208">
        <f t="shared" si="1"/>
        <v>4.1043701123200001E-2</v>
      </c>
      <c r="J24" s="208"/>
      <c r="K24" s="9">
        <v>225</v>
      </c>
      <c r="L24" s="9" t="s">
        <v>1215</v>
      </c>
      <c r="M24" s="9"/>
      <c r="N24" s="209">
        <f t="shared" si="2"/>
        <v>4.1043701123200001E-2</v>
      </c>
      <c r="O24" s="342"/>
      <c r="P24" s="217" t="str">
        <f>IF(AND(업종분류!B30='업종분류 검수용'!K24,업종분류!K30='업종분류 검수용'!L24),"","x")</f>
        <v/>
      </c>
    </row>
    <row r="25" spans="2:16">
      <c r="B25" s="1397"/>
      <c r="C25" s="207">
        <v>25</v>
      </c>
      <c r="D25" s="207" t="s">
        <v>2548</v>
      </c>
      <c r="E25" s="207">
        <v>0.85040000000000004</v>
      </c>
      <c r="F25" s="208">
        <f t="shared" si="0"/>
        <v>5.850502400000001E-2</v>
      </c>
      <c r="G25" s="209">
        <v>0.13469999999999999</v>
      </c>
      <c r="H25" s="207">
        <v>0.62960000000000005</v>
      </c>
      <c r="I25" s="208">
        <f t="shared" si="1"/>
        <v>7.57512095104E-2</v>
      </c>
      <c r="J25" s="208"/>
      <c r="K25" s="9">
        <v>226</v>
      </c>
      <c r="L25" s="9" t="s">
        <v>1216</v>
      </c>
      <c r="M25" s="9"/>
      <c r="N25" s="209">
        <f t="shared" si="2"/>
        <v>7.57512095104E-2</v>
      </c>
      <c r="O25" s="342"/>
      <c r="P25" s="217" t="str">
        <f>IF(AND(업종분류!B31='업종분류 검수용'!K25,업종분류!K31='업종분류 검수용'!L25),"","x")</f>
        <v/>
      </c>
    </row>
    <row r="26" spans="2:16">
      <c r="B26" s="1397"/>
      <c r="C26" s="207">
        <v>163</v>
      </c>
      <c r="D26" s="207" t="s">
        <v>2549</v>
      </c>
      <c r="E26" s="207">
        <v>1.1949000000000001</v>
      </c>
      <c r="F26" s="208">
        <f t="shared" si="0"/>
        <v>7.4889443999999999E-2</v>
      </c>
      <c r="G26" s="209">
        <v>0.13200000000000001</v>
      </c>
      <c r="H26" s="207">
        <v>0.64890000000000003</v>
      </c>
      <c r="I26" s="208">
        <f t="shared" si="1"/>
        <v>8.4745016211599994E-2</v>
      </c>
      <c r="J26" s="208"/>
      <c r="K26" s="9">
        <v>227</v>
      </c>
      <c r="L26" s="9" t="s">
        <v>1217</v>
      </c>
      <c r="M26" s="9"/>
      <c r="N26" s="209">
        <f t="shared" si="2"/>
        <v>8.4745016211599994E-2</v>
      </c>
      <c r="O26" s="342"/>
      <c r="P26" s="217" t="str">
        <f>IF(AND(업종분류!B32='업종분류 검수용'!K26,업종분류!K32='업종분류 검수용'!L26),"","x")</f>
        <v/>
      </c>
    </row>
    <row r="27" spans="2:16">
      <c r="B27" s="1397"/>
      <c r="C27" s="206" t="s">
        <v>2521</v>
      </c>
      <c r="D27" s="207" t="s">
        <v>2550</v>
      </c>
      <c r="E27" s="206" t="s">
        <v>2551</v>
      </c>
      <c r="F27" s="208">
        <f t="shared" si="0"/>
        <v>5.5304236000000007E-2</v>
      </c>
      <c r="G27" s="209">
        <v>7.5899999999999995E-2</v>
      </c>
      <c r="H27" s="207" t="s">
        <v>2552</v>
      </c>
      <c r="I27" s="208">
        <f t="shared" si="1"/>
        <v>5.7570006213199992E-2</v>
      </c>
      <c r="J27" s="208"/>
      <c r="K27" s="9">
        <v>229</v>
      </c>
      <c r="L27" s="9" t="s">
        <v>1218</v>
      </c>
      <c r="M27" s="9"/>
      <c r="N27" s="209">
        <f t="shared" si="2"/>
        <v>5.7570006213200006E-2</v>
      </c>
      <c r="O27" s="342"/>
      <c r="P27" s="217" t="str">
        <f>IF(AND(업종분류!B33='업종분류 검수용'!K27,업종분류!K33='업종분류 검수용'!L27),"","x")</f>
        <v/>
      </c>
    </row>
    <row r="28" spans="2:16">
      <c r="B28" s="1397" t="s">
        <v>2553</v>
      </c>
      <c r="C28" s="206" t="s">
        <v>2554</v>
      </c>
      <c r="D28" s="207" t="s">
        <v>2555</v>
      </c>
      <c r="E28" s="207">
        <v>0.96779999999999999</v>
      </c>
      <c r="F28" s="208">
        <f t="shared" si="0"/>
        <v>6.4088568000000012E-2</v>
      </c>
      <c r="G28" s="209">
        <v>0.2074</v>
      </c>
      <c r="H28" s="207">
        <v>0.58560000000000001</v>
      </c>
      <c r="I28" s="208">
        <f t="shared" si="1"/>
        <v>0.10456858222080001</v>
      </c>
      <c r="J28" s="208"/>
      <c r="K28" s="9">
        <v>231</v>
      </c>
      <c r="L28" s="9" t="s">
        <v>1219</v>
      </c>
      <c r="M28" s="9"/>
      <c r="N28" s="209">
        <f t="shared" si="2"/>
        <v>0.10456858222080001</v>
      </c>
      <c r="O28" s="342"/>
      <c r="P28" s="217" t="str">
        <f>IF(AND(업종분류!B34='업종분류 검수용'!K28,업종분류!K34='업종분류 검수용'!L28),"","x")</f>
        <v/>
      </c>
    </row>
    <row r="29" spans="2:16">
      <c r="B29" s="1397"/>
      <c r="C29" s="206" t="s">
        <v>2554</v>
      </c>
      <c r="D29" s="207" t="s">
        <v>2556</v>
      </c>
      <c r="E29" s="207">
        <v>0.96779999999999999</v>
      </c>
      <c r="F29" s="208">
        <f t="shared" si="0"/>
        <v>6.4088568000000012E-2</v>
      </c>
      <c r="G29" s="209">
        <v>0.2074</v>
      </c>
      <c r="H29" s="207">
        <v>0.58560000000000001</v>
      </c>
      <c r="I29" s="208">
        <f t="shared" si="1"/>
        <v>0.10456858222080001</v>
      </c>
      <c r="J29" s="208"/>
      <c r="K29" s="9">
        <v>232</v>
      </c>
      <c r="L29" s="9" t="s">
        <v>70</v>
      </c>
      <c r="M29" s="9"/>
      <c r="N29" s="209">
        <f t="shared" si="2"/>
        <v>0.10456858222080001</v>
      </c>
      <c r="O29" s="342"/>
      <c r="P29" s="217" t="str">
        <f>IF(AND(업종분류!B35='업종분류 검수용'!K29,업종분류!K35='업종분류 검수용'!L29),"","x")</f>
        <v/>
      </c>
    </row>
    <row r="30" spans="2:16">
      <c r="B30" s="1397"/>
      <c r="C30" s="206" t="s">
        <v>2554</v>
      </c>
      <c r="D30" s="207" t="s">
        <v>2557</v>
      </c>
      <c r="E30" s="207">
        <v>0.96779999999999999</v>
      </c>
      <c r="F30" s="208">
        <f t="shared" si="0"/>
        <v>6.4088568000000012E-2</v>
      </c>
      <c r="G30" s="209">
        <v>0.2074</v>
      </c>
      <c r="H30" s="207">
        <v>0.58560000000000001</v>
      </c>
      <c r="I30" s="208">
        <f t="shared" si="1"/>
        <v>0.10456858222080001</v>
      </c>
      <c r="J30" s="208"/>
      <c r="K30" s="9">
        <v>233</v>
      </c>
      <c r="L30" s="9" t="s">
        <v>1220</v>
      </c>
      <c r="M30" s="9"/>
      <c r="N30" s="209">
        <f t="shared" si="2"/>
        <v>0.10456858222080001</v>
      </c>
      <c r="O30" s="342"/>
      <c r="P30" s="217" t="str">
        <f>IF(AND(업종분류!B36='업종분류 검수용'!K30,업종분류!K36='업종분류 검수용'!L30),"","x")</f>
        <v/>
      </c>
    </row>
    <row r="31" spans="2:16">
      <c r="B31" s="1397"/>
      <c r="C31" s="207">
        <v>187</v>
      </c>
      <c r="D31" s="207" t="s">
        <v>2558</v>
      </c>
      <c r="E31" s="207">
        <v>0.97019999999999995</v>
      </c>
      <c r="F31" s="208">
        <f t="shared" si="0"/>
        <v>6.4202711999999995E-2</v>
      </c>
      <c r="G31" s="209">
        <v>0.19170000000000001</v>
      </c>
      <c r="H31" s="207">
        <v>0.58530000000000004</v>
      </c>
      <c r="I31" s="208">
        <f t="shared" si="1"/>
        <v>9.9586279533599997E-2</v>
      </c>
      <c r="J31" s="208"/>
      <c r="K31" s="9">
        <v>234</v>
      </c>
      <c r="L31" s="9" t="s">
        <v>1221</v>
      </c>
      <c r="M31" s="9"/>
      <c r="N31" s="209">
        <f t="shared" si="2"/>
        <v>9.9586279533599997E-2</v>
      </c>
      <c r="O31" s="342"/>
      <c r="P31" s="217" t="str">
        <f>IF(AND(업종분류!B37='업종분류 검수용'!K31,업종분류!K37='업종분류 검수용'!L31),"","x")</f>
        <v/>
      </c>
    </row>
    <row r="32" spans="2:16">
      <c r="B32" s="1397"/>
      <c r="C32" s="207">
        <v>7</v>
      </c>
      <c r="D32" s="207" t="s">
        <v>2559</v>
      </c>
      <c r="E32" s="207">
        <v>0.78069999999999995</v>
      </c>
      <c r="F32" s="208">
        <f t="shared" si="0"/>
        <v>5.5190092000000003E-2</v>
      </c>
      <c r="G32" s="209">
        <v>4.3999999999999997E-2</v>
      </c>
      <c r="H32" s="207">
        <v>0.64239999999999997</v>
      </c>
      <c r="I32" s="208">
        <f t="shared" si="1"/>
        <v>4.7726947100799999E-2</v>
      </c>
      <c r="J32" s="208"/>
      <c r="K32" s="9">
        <v>235</v>
      </c>
      <c r="L32" s="9" t="s">
        <v>1222</v>
      </c>
      <c r="M32" s="9"/>
      <c r="N32" s="209">
        <f t="shared" si="2"/>
        <v>4.7726947100799999E-2</v>
      </c>
      <c r="O32" s="342"/>
      <c r="P32" s="217" t="str">
        <f>IF(AND(업종분류!B38='업종분류 검수용'!K32,업종분류!K38='업종분류 검수용'!L32),"","x")</f>
        <v/>
      </c>
    </row>
    <row r="33" spans="2:16">
      <c r="B33" s="1397"/>
      <c r="C33" s="207">
        <v>8</v>
      </c>
      <c r="D33" s="207" t="s">
        <v>2560</v>
      </c>
      <c r="E33" s="207">
        <v>1.0702</v>
      </c>
      <c r="F33" s="208">
        <f t="shared" si="0"/>
        <v>6.8958712000000005E-2</v>
      </c>
      <c r="G33" s="209">
        <v>6.4100000000000004E-2</v>
      </c>
      <c r="H33" s="207">
        <v>0.54249999999999998</v>
      </c>
      <c r="I33" s="208">
        <f t="shared" si="1"/>
        <v>6.0284186260000011E-2</v>
      </c>
      <c r="J33" s="208"/>
      <c r="K33" s="9">
        <v>236</v>
      </c>
      <c r="L33" s="9" t="s">
        <v>1223</v>
      </c>
      <c r="M33" s="9"/>
      <c r="N33" s="209">
        <f t="shared" si="2"/>
        <v>6.0284186260000011E-2</v>
      </c>
      <c r="O33" s="342"/>
      <c r="P33" s="217" t="str">
        <f>IF(AND(업종분류!B39='업종분류 검수용'!K33,업종분류!K39='업종분류 검수용'!L33),"","x")</f>
        <v/>
      </c>
    </row>
    <row r="34" spans="2:16">
      <c r="B34" s="1397"/>
      <c r="C34" s="207">
        <v>11</v>
      </c>
      <c r="D34" s="207" t="s">
        <v>2561</v>
      </c>
      <c r="E34" s="207">
        <v>1.0488999999999999</v>
      </c>
      <c r="F34" s="208">
        <f t="shared" si="0"/>
        <v>6.7945684000000006E-2</v>
      </c>
      <c r="G34" s="209">
        <v>0.68559999999999999</v>
      </c>
      <c r="H34" s="207">
        <v>0.50870000000000004</v>
      </c>
      <c r="I34" s="208">
        <f t="shared" si="1"/>
        <v>0.29729548785079996</v>
      </c>
      <c r="J34" s="208"/>
      <c r="K34" s="9">
        <v>237</v>
      </c>
      <c r="L34" s="9" t="s">
        <v>1224</v>
      </c>
      <c r="M34" s="9"/>
      <c r="N34" s="209">
        <f t="shared" si="2"/>
        <v>0.29729548785079996</v>
      </c>
      <c r="O34" s="342"/>
      <c r="P34" s="217" t="str">
        <f>IF(AND(업종분류!B40='업종분류 검수용'!K34,업종분류!K40='업종분류 검수용'!L34),"","x")</f>
        <v/>
      </c>
    </row>
    <row r="35" spans="2:16">
      <c r="B35" s="1397"/>
      <c r="C35" s="207">
        <v>7</v>
      </c>
      <c r="D35" s="207" t="s">
        <v>2562</v>
      </c>
      <c r="E35" s="207">
        <v>0.79500000000000004</v>
      </c>
      <c r="F35" s="208">
        <f t="shared" si="0"/>
        <v>5.5870200000000009E-2</v>
      </c>
      <c r="G35" s="209">
        <v>4.7800000000000002E-2</v>
      </c>
      <c r="H35" s="207">
        <v>0.75880000000000003</v>
      </c>
      <c r="I35" s="208">
        <f t="shared" si="1"/>
        <v>5.1387208560000008E-2</v>
      </c>
      <c r="J35" s="208"/>
      <c r="K35" s="9">
        <v>239</v>
      </c>
      <c r="L35" s="9" t="s">
        <v>1225</v>
      </c>
      <c r="M35" s="9"/>
      <c r="N35" s="209">
        <f t="shared" si="2"/>
        <v>5.1387208560000008E-2</v>
      </c>
      <c r="O35" s="342"/>
      <c r="P35" s="217" t="str">
        <f>IF(AND(업종분류!B41='업종분류 검수용'!K35,업종분류!K41='업종분류 검수용'!L35),"","x")</f>
        <v/>
      </c>
    </row>
    <row r="36" spans="2:16">
      <c r="B36" s="1397" t="s">
        <v>2563</v>
      </c>
      <c r="C36" s="206" t="s">
        <v>2564</v>
      </c>
      <c r="D36" s="207" t="s">
        <v>2565</v>
      </c>
      <c r="E36" s="207">
        <v>0.99480000000000002</v>
      </c>
      <c r="F36" s="208">
        <f t="shared" si="0"/>
        <v>6.5372688000000012E-2</v>
      </c>
      <c r="G36" s="209">
        <v>0.14799999999999999</v>
      </c>
      <c r="H36" s="207">
        <v>0.5776</v>
      </c>
      <c r="I36" s="208">
        <f t="shared" si="1"/>
        <v>8.6521120588800016E-2</v>
      </c>
      <c r="J36" s="208"/>
      <c r="K36" s="9">
        <v>311</v>
      </c>
      <c r="L36" s="9" t="s">
        <v>4</v>
      </c>
      <c r="M36" s="9"/>
      <c r="N36" s="209">
        <f t="shared" si="2"/>
        <v>8.6521120588800016E-2</v>
      </c>
      <c r="O36" s="342"/>
      <c r="P36" s="217" t="str">
        <f>IF(AND(업종분류!B42='업종분류 검수용'!K36,업종분류!K42='업종분류 검수용'!L36),"","x")</f>
        <v/>
      </c>
    </row>
    <row r="37" spans="2:16">
      <c r="B37" s="1397"/>
      <c r="C37" s="206" t="s">
        <v>2564</v>
      </c>
      <c r="D37" s="207" t="s">
        <v>2566</v>
      </c>
      <c r="E37" s="207">
        <v>0.99480000000000002</v>
      </c>
      <c r="F37" s="208">
        <f t="shared" si="0"/>
        <v>6.5372688000000012E-2</v>
      </c>
      <c r="G37" s="209">
        <v>0.14799999999999999</v>
      </c>
      <c r="H37" s="207">
        <v>0.5776</v>
      </c>
      <c r="I37" s="208">
        <f t="shared" si="1"/>
        <v>8.6521120588800016E-2</v>
      </c>
      <c r="J37" s="208"/>
      <c r="K37" s="9">
        <v>312</v>
      </c>
      <c r="L37" s="9" t="s">
        <v>77</v>
      </c>
      <c r="M37" s="9"/>
      <c r="N37" s="209">
        <f t="shared" si="2"/>
        <v>8.6521120588800016E-2</v>
      </c>
      <c r="O37" s="342"/>
      <c r="P37" s="217" t="str">
        <f>IF(AND(업종분류!B43='업종분류 검수용'!K37,업종분류!K43='업종분류 검수용'!L37),"","x")</f>
        <v/>
      </c>
    </row>
    <row r="38" spans="2:16">
      <c r="B38" s="207" t="s">
        <v>2567</v>
      </c>
      <c r="C38" s="206" t="s">
        <v>2564</v>
      </c>
      <c r="D38" s="207" t="s">
        <v>2568</v>
      </c>
      <c r="E38" s="207">
        <v>0.99480000000000002</v>
      </c>
      <c r="F38" s="208">
        <f t="shared" si="0"/>
        <v>6.5372688000000012E-2</v>
      </c>
      <c r="G38" s="209">
        <v>0.14799999999999999</v>
      </c>
      <c r="H38" s="207">
        <v>0.5776</v>
      </c>
      <c r="I38" s="208">
        <f t="shared" si="1"/>
        <v>8.6521120588800016E-2</v>
      </c>
      <c r="J38" s="208"/>
      <c r="K38" s="9">
        <v>390</v>
      </c>
      <c r="L38" s="9" t="s">
        <v>1226</v>
      </c>
      <c r="M38" s="9"/>
      <c r="N38" s="209">
        <f t="shared" si="2"/>
        <v>8.6521120588800016E-2</v>
      </c>
      <c r="O38" s="342"/>
      <c r="P38" s="217" t="str">
        <f>IF(AND(업종분류!B44='업종분류 검수용'!K38,업종분류!K44='업종분류 검수용'!L38),"","x")</f>
        <v/>
      </c>
    </row>
    <row r="39" spans="2:16">
      <c r="B39" s="1397" t="s">
        <v>2569</v>
      </c>
      <c r="C39" s="207">
        <v>1</v>
      </c>
      <c r="D39" s="207" t="s">
        <v>2570</v>
      </c>
      <c r="E39" s="207">
        <v>0.49640000000000001</v>
      </c>
      <c r="F39" s="208">
        <f t="shared" si="0"/>
        <v>4.1668784E-2</v>
      </c>
      <c r="G39" s="209">
        <v>2.9600000000000001E-2</v>
      </c>
      <c r="H39" s="207">
        <v>0.84589999999999999</v>
      </c>
      <c r="I39" s="208">
        <f t="shared" si="1"/>
        <v>3.8805485185600001E-2</v>
      </c>
      <c r="J39" s="208"/>
      <c r="K39" s="9">
        <v>411</v>
      </c>
      <c r="L39" s="9" t="s">
        <v>1227</v>
      </c>
      <c r="M39" s="9"/>
      <c r="N39" s="209">
        <f t="shared" si="2"/>
        <v>3.8805485185600001E-2</v>
      </c>
      <c r="O39" s="342"/>
      <c r="P39" s="217" t="str">
        <f>IF(AND(업종분류!B45='업종분류 검수용'!K39,업종분류!K45='업종분류 검수용'!L39),"","x")</f>
        <v/>
      </c>
    </row>
    <row r="40" spans="2:16">
      <c r="B40" s="1397"/>
      <c r="C40" s="207">
        <v>4</v>
      </c>
      <c r="D40" s="207" t="s">
        <v>2571</v>
      </c>
      <c r="E40" s="207">
        <v>1.0047999999999999</v>
      </c>
      <c r="F40" s="208">
        <f t="shared" si="0"/>
        <v>6.5848287999999991E-2</v>
      </c>
      <c r="G40" s="209">
        <v>3.2199999999999999E-2</v>
      </c>
      <c r="H40" s="207">
        <v>0.4889</v>
      </c>
      <c r="I40" s="208">
        <f t="shared" si="1"/>
        <v>4.5030015603199997E-2</v>
      </c>
      <c r="J40" s="208"/>
      <c r="K40" s="9">
        <v>412</v>
      </c>
      <c r="L40" s="9" t="s">
        <v>1228</v>
      </c>
      <c r="M40" s="9"/>
      <c r="N40" s="209">
        <f t="shared" si="2"/>
        <v>4.5030015603199997E-2</v>
      </c>
      <c r="O40" s="342"/>
      <c r="P40" s="217" t="str">
        <f>IF(AND(업종분류!B46='업종분류 검수용'!K40,업종분류!K46='업종분류 검수용'!L40),"","x")</f>
        <v/>
      </c>
    </row>
    <row r="41" spans="2:16">
      <c r="B41" s="1397"/>
      <c r="C41" s="206" t="s">
        <v>2572</v>
      </c>
      <c r="D41" s="207" t="s">
        <v>2573</v>
      </c>
      <c r="E41" s="207">
        <v>1.0629</v>
      </c>
      <c r="F41" s="208">
        <f t="shared" si="0"/>
        <v>6.8611523999999993E-2</v>
      </c>
      <c r="G41" s="209">
        <v>0.29470000000000002</v>
      </c>
      <c r="H41" s="207">
        <v>0.48799999999999999</v>
      </c>
      <c r="I41" s="208">
        <f t="shared" si="1"/>
        <v>0.151173815712</v>
      </c>
      <c r="J41" s="208"/>
      <c r="K41" s="9">
        <v>413</v>
      </c>
      <c r="L41" s="9" t="s">
        <v>1229</v>
      </c>
      <c r="M41" s="9"/>
      <c r="N41" s="209">
        <f t="shared" si="2"/>
        <v>0.151173815712</v>
      </c>
      <c r="O41" s="342"/>
      <c r="P41" s="217" t="str">
        <f>IF(AND(업종분류!B47='업종분류 검수용'!K41,업종분류!K47='업종분류 검수용'!L41),"","x")</f>
        <v/>
      </c>
    </row>
    <row r="42" spans="2:16">
      <c r="B42" s="1397"/>
      <c r="C42" s="206" t="s">
        <v>2572</v>
      </c>
      <c r="D42" s="207" t="s">
        <v>2574</v>
      </c>
      <c r="E42" s="207">
        <v>1.0629</v>
      </c>
      <c r="F42" s="208">
        <f t="shared" si="0"/>
        <v>6.8611523999999993E-2</v>
      </c>
      <c r="G42" s="209">
        <v>0.29470000000000002</v>
      </c>
      <c r="H42" s="207">
        <v>0.48799999999999999</v>
      </c>
      <c r="I42" s="208">
        <f t="shared" si="1"/>
        <v>0.151173815712</v>
      </c>
      <c r="J42" s="208"/>
      <c r="K42" s="9">
        <v>414</v>
      </c>
      <c r="L42" s="9" t="s">
        <v>1230</v>
      </c>
      <c r="M42" s="9"/>
      <c r="N42" s="209">
        <f t="shared" si="2"/>
        <v>0.151173815712</v>
      </c>
      <c r="O42" s="342"/>
      <c r="P42" s="217" t="str">
        <f>IF(AND(업종분류!B48='업종분류 검수용'!K42,업종분류!K48='업종분류 검수용'!L42),"","x")</f>
        <v/>
      </c>
    </row>
    <row r="43" spans="2:16">
      <c r="B43" s="1397"/>
      <c r="C43" s="206" t="s">
        <v>2572</v>
      </c>
      <c r="D43" s="207" t="s">
        <v>2575</v>
      </c>
      <c r="E43" s="207">
        <v>1.0629</v>
      </c>
      <c r="F43" s="208">
        <f t="shared" si="0"/>
        <v>6.8611523999999993E-2</v>
      </c>
      <c r="G43" s="209">
        <v>0.29470000000000002</v>
      </c>
      <c r="H43" s="207">
        <v>0.48799999999999999</v>
      </c>
      <c r="I43" s="208">
        <f t="shared" si="1"/>
        <v>0.151173815712</v>
      </c>
      <c r="J43" s="208"/>
      <c r="K43" s="9">
        <v>415</v>
      </c>
      <c r="L43" s="9" t="s">
        <v>1231</v>
      </c>
      <c r="M43" s="9"/>
      <c r="N43" s="209">
        <f t="shared" si="2"/>
        <v>0.151173815712</v>
      </c>
      <c r="O43" s="342"/>
      <c r="P43" s="217" t="str">
        <f>IF(AND(업종분류!B49='업종분류 검수용'!K43,업종분류!K49='업종분류 검수용'!L43),"","x")</f>
        <v/>
      </c>
    </row>
    <row r="44" spans="2:16">
      <c r="B44" s="1397"/>
      <c r="C44" s="207">
        <v>4</v>
      </c>
      <c r="D44" s="207" t="s">
        <v>2576</v>
      </c>
      <c r="E44" s="207">
        <v>1.1863999999999999</v>
      </c>
      <c r="F44" s="208">
        <f t="shared" si="0"/>
        <v>7.4485183999999996E-2</v>
      </c>
      <c r="G44" s="209">
        <v>0.68869999999999998</v>
      </c>
      <c r="H44" s="207">
        <v>0.4612</v>
      </c>
      <c r="I44" s="208">
        <f t="shared" si="1"/>
        <v>0.32378838366080004</v>
      </c>
      <c r="J44" s="208"/>
      <c r="K44" s="9">
        <v>416</v>
      </c>
      <c r="L44" s="9" t="s">
        <v>1232</v>
      </c>
      <c r="M44" s="9"/>
      <c r="N44" s="209">
        <f t="shared" si="2"/>
        <v>0.32378838366079998</v>
      </c>
      <c r="O44" s="342"/>
      <c r="P44" s="217" t="str">
        <f>IF(AND(업종분류!B50='업종분류 검수용'!K44,업종분류!K50='업종분류 검수용'!L44),"","x")</f>
        <v/>
      </c>
    </row>
    <row r="45" spans="2:16">
      <c r="B45" s="1397"/>
      <c r="C45" s="206" t="s">
        <v>2572</v>
      </c>
      <c r="D45" s="207" t="s">
        <v>2577</v>
      </c>
      <c r="E45" s="207">
        <v>1.0629</v>
      </c>
      <c r="F45" s="208">
        <f t="shared" si="0"/>
        <v>6.8611523999999993E-2</v>
      </c>
      <c r="G45" s="209">
        <v>0.29470000000000002</v>
      </c>
      <c r="H45" s="207">
        <v>0.48799999999999999</v>
      </c>
      <c r="I45" s="208">
        <f t="shared" si="1"/>
        <v>0.151173815712</v>
      </c>
      <c r="J45" s="208"/>
      <c r="K45" s="9">
        <v>419</v>
      </c>
      <c r="L45" s="9" t="s">
        <v>1233</v>
      </c>
      <c r="M45" s="9"/>
      <c r="N45" s="209">
        <f t="shared" si="2"/>
        <v>0.151173815712</v>
      </c>
      <c r="O45" s="342"/>
      <c r="P45" s="217" t="str">
        <f>IF(AND(업종분류!B51='업종분류 검수용'!K45,업종분류!K51='업종분류 검수용'!L45),"","x")</f>
        <v/>
      </c>
    </row>
    <row r="46" spans="2:16">
      <c r="B46" s="1397" t="s">
        <v>2578</v>
      </c>
      <c r="C46" s="207">
        <v>1</v>
      </c>
      <c r="D46" s="207" t="s">
        <v>2579</v>
      </c>
      <c r="E46" s="207">
        <v>0.84850000000000003</v>
      </c>
      <c r="F46" s="208">
        <f t="shared" si="0"/>
        <v>5.8414660000000007E-2</v>
      </c>
      <c r="G46" s="209">
        <v>0.03</v>
      </c>
      <c r="H46" s="207">
        <v>0.50649999999999995</v>
      </c>
      <c r="I46" s="208">
        <f t="shared" si="1"/>
        <v>4.1134925289999999E-2</v>
      </c>
      <c r="J46" s="208"/>
      <c r="K46" s="9">
        <v>421</v>
      </c>
      <c r="L46" s="9" t="s">
        <v>1234</v>
      </c>
      <c r="M46" s="9"/>
      <c r="N46" s="209">
        <f t="shared" si="2"/>
        <v>4.1134925289999999E-2</v>
      </c>
      <c r="O46" s="342"/>
      <c r="P46" s="217" t="str">
        <f>IF(AND(업종분류!B52='업종분류 검수용'!K46,업종분류!K52='업종분류 검수용'!L46),"","x")</f>
        <v/>
      </c>
    </row>
    <row r="47" spans="2:16">
      <c r="B47" s="1397"/>
      <c r="C47" s="206" t="s">
        <v>2580</v>
      </c>
      <c r="D47" s="207" t="s">
        <v>2581</v>
      </c>
      <c r="E47" s="207">
        <v>1.0397000000000001</v>
      </c>
      <c r="F47" s="208">
        <f t="shared" si="0"/>
        <v>6.7508131999999998E-2</v>
      </c>
      <c r="G47" s="209">
        <v>5.3600000000000002E-2</v>
      </c>
      <c r="H47" s="207">
        <v>0.51139999999999997</v>
      </c>
      <c r="I47" s="208">
        <f t="shared" si="1"/>
        <v>5.4951047504799996E-2</v>
      </c>
      <c r="J47" s="208"/>
      <c r="K47" s="9">
        <v>422</v>
      </c>
      <c r="L47" s="9" t="s">
        <v>1235</v>
      </c>
      <c r="M47" s="9"/>
      <c r="N47" s="209">
        <f t="shared" si="2"/>
        <v>5.4951047504799996E-2</v>
      </c>
      <c r="O47" s="342"/>
      <c r="P47" s="217" t="str">
        <f>IF(AND(업종분류!B53='업종분류 검수용'!K47,업종분류!K53='업종분류 검수용'!L47),"","x")</f>
        <v/>
      </c>
    </row>
    <row r="48" spans="2:16">
      <c r="B48" s="1397"/>
      <c r="C48" s="207">
        <v>13</v>
      </c>
      <c r="D48" s="207" t="s">
        <v>2582</v>
      </c>
      <c r="E48" s="207">
        <v>0.68789999999999996</v>
      </c>
      <c r="F48" s="208">
        <f t="shared" si="0"/>
        <v>5.0776523999999996E-2</v>
      </c>
      <c r="G48" s="209">
        <v>4.3400000000000001E-2</v>
      </c>
      <c r="H48" s="207">
        <v>0.42849999999999999</v>
      </c>
      <c r="I48" s="208">
        <f t="shared" si="1"/>
        <v>4.1104158533999999E-2</v>
      </c>
      <c r="J48" s="208"/>
      <c r="K48" s="9">
        <v>423</v>
      </c>
      <c r="L48" s="9" t="s">
        <v>1236</v>
      </c>
      <c r="M48" s="9"/>
      <c r="N48" s="209">
        <f t="shared" si="2"/>
        <v>4.1104158533999999E-2</v>
      </c>
      <c r="O48" s="342"/>
      <c r="P48" s="217" t="str">
        <f>IF(AND(업종분류!B54='업종분류 검수용'!K48,업종분류!K54='업종분류 검수용'!L48),"","x")</f>
        <v/>
      </c>
    </row>
    <row r="49" spans="2:16">
      <c r="B49" s="1397"/>
      <c r="C49" s="207">
        <v>35</v>
      </c>
      <c r="D49" s="207" t="s">
        <v>2583</v>
      </c>
      <c r="E49" s="207">
        <v>1.4012</v>
      </c>
      <c r="F49" s="208">
        <f t="shared" si="0"/>
        <v>8.4701072000000016E-2</v>
      </c>
      <c r="G49" s="209">
        <v>6.5100000000000005E-2</v>
      </c>
      <c r="H49" s="207">
        <v>0.5907</v>
      </c>
      <c r="I49" s="208">
        <f t="shared" si="1"/>
        <v>7.0816358630400006E-2</v>
      </c>
      <c r="J49" s="208"/>
      <c r="K49" s="9">
        <v>429</v>
      </c>
      <c r="L49" s="9" t="s">
        <v>1237</v>
      </c>
      <c r="M49" s="9"/>
      <c r="N49" s="209">
        <f t="shared" si="2"/>
        <v>7.0816358630400006E-2</v>
      </c>
      <c r="O49" s="342"/>
      <c r="P49" s="217" t="str">
        <f>IF(AND(업종분류!B55='업종분류 검수용'!K49,업종분류!K55='업종분류 검수용'!L49),"","x")</f>
        <v/>
      </c>
    </row>
    <row r="50" spans="2:16">
      <c r="B50" s="1397" t="s">
        <v>2584</v>
      </c>
      <c r="C50" s="207">
        <v>2</v>
      </c>
      <c r="D50" s="207" t="s">
        <v>2585</v>
      </c>
      <c r="E50" s="207">
        <v>1.1342000000000001</v>
      </c>
      <c r="F50" s="208">
        <f t="shared" si="0"/>
        <v>7.2002552000000011E-2</v>
      </c>
      <c r="G50" s="209">
        <v>4.53E-2</v>
      </c>
      <c r="H50" s="207">
        <v>0.34460000000000002</v>
      </c>
      <c r="I50" s="208">
        <f t="shared" si="1"/>
        <v>4.796998301920001E-2</v>
      </c>
      <c r="J50" s="208"/>
      <c r="K50" s="9">
        <v>431</v>
      </c>
      <c r="L50" s="9" t="s">
        <v>1238</v>
      </c>
      <c r="M50" s="9"/>
      <c r="N50" s="209">
        <f t="shared" si="2"/>
        <v>4.796998301920001E-2</v>
      </c>
      <c r="O50" s="342"/>
      <c r="P50" s="217" t="str">
        <f>IF(AND(업종분류!B56='업종분류 검수용'!K50,업종분류!K56='업종분류 검수용'!L50),"","x")</f>
        <v/>
      </c>
    </row>
    <row r="51" spans="2:16">
      <c r="B51" s="1397"/>
      <c r="C51" s="207">
        <v>14</v>
      </c>
      <c r="D51" s="207" t="s">
        <v>2586</v>
      </c>
      <c r="E51" s="207">
        <v>0.85140000000000005</v>
      </c>
      <c r="F51" s="208">
        <f t="shared" si="0"/>
        <v>5.8552584000000005E-2</v>
      </c>
      <c r="G51" s="209">
        <v>0.13930000000000001</v>
      </c>
      <c r="H51" s="207">
        <v>0.61970000000000003</v>
      </c>
      <c r="I51" s="208">
        <f t="shared" si="1"/>
        <v>7.7606152504800005E-2</v>
      </c>
      <c r="J51" s="208"/>
      <c r="K51" s="9">
        <v>432</v>
      </c>
      <c r="L51" s="9" t="s">
        <v>1239</v>
      </c>
      <c r="M51" s="9"/>
      <c r="N51" s="209">
        <f t="shared" si="2"/>
        <v>7.7606152504800005E-2</v>
      </c>
      <c r="O51" s="342"/>
      <c r="P51" s="217" t="str">
        <f>IF(AND(업종분류!B57='업종분류 검수용'!K51,업종분류!K57='업종분류 검수용'!L51),"","x")</f>
        <v/>
      </c>
    </row>
    <row r="52" spans="2:16">
      <c r="B52" s="1397"/>
      <c r="C52" s="206" t="s">
        <v>2587</v>
      </c>
      <c r="D52" s="207" t="s">
        <v>2588</v>
      </c>
      <c r="E52" s="207">
        <v>0.89019999999999999</v>
      </c>
      <c r="F52" s="208">
        <f t="shared" si="0"/>
        <v>6.0397911999999998E-2</v>
      </c>
      <c r="G52" s="209">
        <v>3.2399999999999998E-2</v>
      </c>
      <c r="H52" s="207">
        <v>0.47189999999999999</v>
      </c>
      <c r="I52" s="208">
        <f t="shared" si="1"/>
        <v>4.1847917872799997E-2</v>
      </c>
      <c r="J52" s="208"/>
      <c r="K52" s="9">
        <v>433</v>
      </c>
      <c r="L52" s="9" t="s">
        <v>1240</v>
      </c>
      <c r="M52" s="9"/>
      <c r="N52" s="209">
        <f t="shared" si="2"/>
        <v>4.1847917872799997E-2</v>
      </c>
      <c r="O52" s="342"/>
      <c r="P52" s="217" t="str">
        <f>IF(AND(업종분류!B58='업종분류 검수용'!K52,업종분류!K58='업종분류 검수용'!L52),"","x")</f>
        <v/>
      </c>
    </row>
    <row r="53" spans="2:16">
      <c r="B53" s="1397"/>
      <c r="C53" s="207">
        <v>56</v>
      </c>
      <c r="D53" s="207" t="s">
        <v>2589</v>
      </c>
      <c r="E53" s="207">
        <v>0.96740000000000004</v>
      </c>
      <c r="F53" s="208">
        <f t="shared" si="0"/>
        <v>6.4069544000000006E-2</v>
      </c>
      <c r="G53" s="209">
        <v>4.9299999999999997E-2</v>
      </c>
      <c r="H53" s="207">
        <v>0.57869999999999999</v>
      </c>
      <c r="I53" s="208">
        <f t="shared" si="1"/>
        <v>5.3277715312799998E-2</v>
      </c>
      <c r="J53" s="208"/>
      <c r="K53" s="9">
        <v>439</v>
      </c>
      <c r="L53" s="9" t="s">
        <v>1241</v>
      </c>
      <c r="M53" s="9"/>
      <c r="N53" s="209">
        <f t="shared" si="2"/>
        <v>5.3277715312799998E-2</v>
      </c>
      <c r="O53" s="342"/>
      <c r="P53" s="217" t="str">
        <f>IF(AND(업종분류!B59='업종분류 검수용'!K53,업종분류!K59='업종분류 검수용'!L53),"","x")</f>
        <v/>
      </c>
    </row>
    <row r="54" spans="2:16">
      <c r="B54" s="1397" t="s">
        <v>2590</v>
      </c>
      <c r="C54" s="206" t="s">
        <v>2591</v>
      </c>
      <c r="D54" s="207" t="s">
        <v>2592</v>
      </c>
      <c r="E54" s="207">
        <v>1.0045999999999999</v>
      </c>
      <c r="F54" s="208">
        <f t="shared" si="0"/>
        <v>6.5838776000000002E-2</v>
      </c>
      <c r="G54" s="209">
        <v>0.1903</v>
      </c>
      <c r="H54" s="207">
        <v>0.59340000000000004</v>
      </c>
      <c r="I54" s="208">
        <f t="shared" si="1"/>
        <v>9.9421994078399994E-2</v>
      </c>
      <c r="J54" s="208"/>
      <c r="K54" s="9">
        <v>441</v>
      </c>
      <c r="L54" s="9" t="s">
        <v>5</v>
      </c>
      <c r="M54" s="9"/>
      <c r="N54" s="209">
        <f t="shared" si="2"/>
        <v>9.9421994078400008E-2</v>
      </c>
      <c r="O54" s="342"/>
      <c r="P54" s="217" t="str">
        <f>IF(AND(업종분류!B60='업종분류 검수용'!K54,업종분류!K60='업종분류 검수용'!L54),"","x")</f>
        <v/>
      </c>
    </row>
    <row r="55" spans="2:16">
      <c r="B55" s="1397"/>
      <c r="C55" s="207">
        <v>187</v>
      </c>
      <c r="D55" s="207" t="s">
        <v>2593</v>
      </c>
      <c r="E55" s="207">
        <v>0.97019999999999995</v>
      </c>
      <c r="F55" s="208">
        <f t="shared" si="0"/>
        <v>6.4202711999999995E-2</v>
      </c>
      <c r="G55" s="209">
        <v>0.19170000000000001</v>
      </c>
      <c r="H55" s="207">
        <v>0.58530000000000004</v>
      </c>
      <c r="I55" s="208">
        <f t="shared" si="1"/>
        <v>9.9586279533599997E-2</v>
      </c>
      <c r="J55" s="208"/>
      <c r="K55" s="212">
        <v>442</v>
      </c>
      <c r="L55" s="212" t="s">
        <v>2801</v>
      </c>
      <c r="M55" s="212"/>
      <c r="N55" s="209">
        <f t="shared" si="2"/>
        <v>9.9586279533599997E-2</v>
      </c>
      <c r="O55" s="342"/>
      <c r="P55" s="218" t="str">
        <f>IF(AND(업종분류!B61='업종분류 검수용'!K55,업종분류!K61='업종분류 검수용'!L55),"","x")</f>
        <v/>
      </c>
    </row>
    <row r="56" spans="2:16">
      <c r="B56" s="1397"/>
      <c r="C56" s="206" t="s">
        <v>2591</v>
      </c>
      <c r="D56" s="207" t="s">
        <v>2594</v>
      </c>
      <c r="E56" s="207">
        <v>1.0045999999999999</v>
      </c>
      <c r="F56" s="208">
        <f t="shared" si="0"/>
        <v>6.5838776000000002E-2</v>
      </c>
      <c r="G56" s="209">
        <v>0.1903</v>
      </c>
      <c r="H56" s="207">
        <v>0.59340000000000004</v>
      </c>
      <c r="I56" s="208">
        <f t="shared" si="1"/>
        <v>9.9421994078399994E-2</v>
      </c>
      <c r="J56" s="208"/>
      <c r="K56" s="9">
        <v>443</v>
      </c>
      <c r="L56" s="9" t="s">
        <v>1243</v>
      </c>
      <c r="M56" s="9"/>
      <c r="N56" s="209">
        <f t="shared" si="2"/>
        <v>9.9421994078400008E-2</v>
      </c>
      <c r="O56" s="342"/>
      <c r="P56" s="217" t="str">
        <f>IF(AND(업종분류!B62='업종분류 검수용'!K56,업종분류!K62='업종분류 검수용'!L56),"","x")</f>
        <v/>
      </c>
    </row>
    <row r="57" spans="2:16">
      <c r="B57" s="1397"/>
      <c r="C57" s="206" t="s">
        <v>2591</v>
      </c>
      <c r="D57" s="207" t="s">
        <v>2595</v>
      </c>
      <c r="E57" s="207">
        <v>1.0045999999999999</v>
      </c>
      <c r="F57" s="208">
        <f t="shared" si="0"/>
        <v>6.5838776000000002E-2</v>
      </c>
      <c r="G57" s="209">
        <v>0.1903</v>
      </c>
      <c r="H57" s="207">
        <v>0.59340000000000004</v>
      </c>
      <c r="I57" s="208">
        <f t="shared" si="1"/>
        <v>9.9421994078399994E-2</v>
      </c>
      <c r="J57" s="208"/>
      <c r="K57" s="9">
        <v>444</v>
      </c>
      <c r="L57" s="9" t="s">
        <v>1244</v>
      </c>
      <c r="M57" s="9"/>
      <c r="N57" s="209">
        <f t="shared" si="2"/>
        <v>9.9421994078400008E-2</v>
      </c>
      <c r="O57" s="342"/>
      <c r="P57" s="217" t="str">
        <f>IF(AND(업종분류!B63='업종분류 검수용'!K57,업종분류!K63='업종분류 검수용'!L57),"","x")</f>
        <v/>
      </c>
    </row>
    <row r="58" spans="2:16">
      <c r="B58" s="1397"/>
      <c r="C58" s="206" t="s">
        <v>2591</v>
      </c>
      <c r="D58" s="207" t="s">
        <v>2596</v>
      </c>
      <c r="E58" s="207">
        <v>1.0045999999999999</v>
      </c>
      <c r="F58" s="208">
        <f t="shared" si="0"/>
        <v>6.5838776000000002E-2</v>
      </c>
      <c r="G58" s="209">
        <v>0.1903</v>
      </c>
      <c r="H58" s="207">
        <v>0.59340000000000004</v>
      </c>
      <c r="I58" s="208">
        <f t="shared" si="1"/>
        <v>9.9421994078399994E-2</v>
      </c>
      <c r="J58" s="208"/>
      <c r="K58" s="9">
        <v>445</v>
      </c>
      <c r="L58" s="9" t="s">
        <v>1245</v>
      </c>
      <c r="M58" s="9"/>
      <c r="N58" s="209">
        <f t="shared" si="2"/>
        <v>9.9421994078400008E-2</v>
      </c>
      <c r="O58" s="342"/>
      <c r="P58" s="217" t="str">
        <f>IF(AND(업종분류!B64='업종분류 검수용'!K58,업종분류!K64='업종분류 검수용'!L58),"","x")</f>
        <v/>
      </c>
    </row>
    <row r="59" spans="2:16">
      <c r="B59" s="1397"/>
      <c r="C59" s="207">
        <v>7</v>
      </c>
      <c r="D59" s="207" t="s">
        <v>2597</v>
      </c>
      <c r="E59" s="207">
        <v>0.78069999999999995</v>
      </c>
      <c r="F59" s="208">
        <f t="shared" si="0"/>
        <v>5.5190092000000003E-2</v>
      </c>
      <c r="G59" s="209">
        <v>4.3999999999999997E-2</v>
      </c>
      <c r="H59" s="207">
        <v>0.64239999999999997</v>
      </c>
      <c r="I59" s="208">
        <f t="shared" si="1"/>
        <v>4.7726947100799999E-2</v>
      </c>
      <c r="J59" s="208"/>
      <c r="K59" s="9">
        <v>446</v>
      </c>
      <c r="L59" s="9" t="s">
        <v>1246</v>
      </c>
      <c r="M59" s="9"/>
      <c r="N59" s="209">
        <f t="shared" si="2"/>
        <v>4.7726947100799999E-2</v>
      </c>
      <c r="O59" s="342"/>
      <c r="P59" s="217" t="str">
        <f>IF(AND(업종분류!B65='업종분류 검수용'!K59,업종분류!K65='업종분류 검수용'!L59),"","x")</f>
        <v/>
      </c>
    </row>
    <row r="60" spans="2:16">
      <c r="B60" s="1397"/>
      <c r="C60" s="207">
        <v>56</v>
      </c>
      <c r="D60" s="207" t="s">
        <v>2598</v>
      </c>
      <c r="E60" s="207">
        <v>1.1856</v>
      </c>
      <c r="F60" s="208">
        <f t="shared" si="0"/>
        <v>7.4447135999999997E-2</v>
      </c>
      <c r="G60" s="209">
        <v>0.21379999999999999</v>
      </c>
      <c r="H60" s="207">
        <v>0.61529999999999996</v>
      </c>
      <c r="I60" s="208">
        <f t="shared" si="1"/>
        <v>0.1099614335808</v>
      </c>
      <c r="J60" s="208"/>
      <c r="K60" s="212">
        <v>447</v>
      </c>
      <c r="L60" s="212" t="s">
        <v>2803</v>
      </c>
      <c r="M60" s="9"/>
      <c r="N60" s="209">
        <f t="shared" si="2"/>
        <v>0.1099614335808</v>
      </c>
      <c r="O60" s="342"/>
      <c r="P60" s="218" t="str">
        <f>IF(AND(업종분류!B66='업종분류 검수용'!K60,업종분류!K66='업종분류 검수용'!L60),"","x")</f>
        <v/>
      </c>
    </row>
    <row r="61" spans="2:16">
      <c r="B61" s="1397"/>
      <c r="C61" s="206" t="s">
        <v>2591</v>
      </c>
      <c r="D61" s="207" t="s">
        <v>2599</v>
      </c>
      <c r="E61" s="207">
        <v>1.0045999999999999</v>
      </c>
      <c r="F61" s="208">
        <f t="shared" si="0"/>
        <v>6.5838776000000002E-2</v>
      </c>
      <c r="G61" s="209">
        <v>0.1903</v>
      </c>
      <c r="H61" s="207">
        <v>0.59340000000000004</v>
      </c>
      <c r="I61" s="208">
        <f t="shared" si="1"/>
        <v>9.9421994078399994E-2</v>
      </c>
      <c r="J61" s="208"/>
      <c r="K61" s="9">
        <v>449</v>
      </c>
      <c r="L61" s="9" t="s">
        <v>1248</v>
      </c>
      <c r="M61" s="9"/>
      <c r="N61" s="209">
        <f t="shared" si="2"/>
        <v>9.9421994078400008E-2</v>
      </c>
      <c r="O61" s="342"/>
      <c r="P61" s="217" t="str">
        <f>IF(AND(업종분류!B67='업종분류 검수용'!K61,업종분류!K67='업종분류 검수용'!L61),"","x")</f>
        <v/>
      </c>
    </row>
    <row r="62" spans="2:16">
      <c r="B62" s="1397" t="s">
        <v>2600</v>
      </c>
      <c r="C62" s="207">
        <v>4</v>
      </c>
      <c r="D62" s="207" t="s">
        <v>2601</v>
      </c>
      <c r="E62" s="207">
        <v>0.57889999999999997</v>
      </c>
      <c r="F62" s="208">
        <f t="shared" si="0"/>
        <v>4.5592483999999996E-2</v>
      </c>
      <c r="G62" s="209">
        <v>3.2599999999999997E-2</v>
      </c>
      <c r="H62" s="207">
        <v>0.56920000000000004</v>
      </c>
      <c r="I62" s="208">
        <f t="shared" si="1"/>
        <v>3.6905624292799998E-2</v>
      </c>
      <c r="J62" s="208"/>
      <c r="K62" s="9">
        <v>511</v>
      </c>
      <c r="L62" s="9" t="s">
        <v>1249</v>
      </c>
      <c r="M62" s="9"/>
      <c r="N62" s="209">
        <f t="shared" si="2"/>
        <v>3.6905624292799998E-2</v>
      </c>
      <c r="O62" s="342"/>
      <c r="P62" s="217" t="str">
        <f>IF(AND(업종분류!B68='업종분류 검수용'!K62,업종분류!K68='업종분류 검수용'!L62),"","x")</f>
        <v/>
      </c>
    </row>
    <row r="63" spans="2:16">
      <c r="B63" s="1397"/>
      <c r="C63" s="207">
        <v>4</v>
      </c>
      <c r="D63" s="207" t="s">
        <v>2602</v>
      </c>
      <c r="E63" s="207">
        <v>0.57889999999999997</v>
      </c>
      <c r="F63" s="208">
        <f t="shared" si="0"/>
        <v>4.5592483999999996E-2</v>
      </c>
      <c r="G63" s="209">
        <v>3.2599999999999997E-2</v>
      </c>
      <c r="H63" s="207">
        <v>0.56920000000000004</v>
      </c>
      <c r="I63" s="208">
        <f t="shared" si="1"/>
        <v>3.6905624292799998E-2</v>
      </c>
      <c r="J63" s="208"/>
      <c r="K63" s="9">
        <v>512</v>
      </c>
      <c r="L63" s="9" t="s">
        <v>1250</v>
      </c>
      <c r="M63" s="9"/>
      <c r="N63" s="209">
        <f t="shared" si="2"/>
        <v>3.6905624292799998E-2</v>
      </c>
      <c r="O63" s="342"/>
      <c r="P63" s="217" t="str">
        <f>IF(AND(업종분류!B69='업종분류 검수용'!K63,업종분류!K69='업종분류 검수용'!L63),"","x")</f>
        <v/>
      </c>
    </row>
    <row r="64" spans="2:16">
      <c r="B64" s="207" t="s">
        <v>2603</v>
      </c>
      <c r="C64" s="207">
        <v>4</v>
      </c>
      <c r="D64" s="207" t="s">
        <v>2604</v>
      </c>
      <c r="E64" s="207">
        <v>0.57889999999999997</v>
      </c>
      <c r="F64" s="208">
        <f t="shared" si="0"/>
        <v>4.5592483999999996E-2</v>
      </c>
      <c r="G64" s="209">
        <v>3.2599999999999997E-2</v>
      </c>
      <c r="H64" s="207">
        <v>0.56920000000000004</v>
      </c>
      <c r="I64" s="208">
        <f t="shared" si="1"/>
        <v>3.6905624292799998E-2</v>
      </c>
      <c r="J64" s="208"/>
      <c r="K64" s="9">
        <v>520</v>
      </c>
      <c r="L64" s="9" t="s">
        <v>1251</v>
      </c>
      <c r="M64" s="9"/>
      <c r="N64" s="209">
        <f t="shared" si="2"/>
        <v>3.6905624292799998E-2</v>
      </c>
      <c r="O64" s="342"/>
      <c r="P64" s="217" t="str">
        <f>IF(AND(업종분류!B70='업종분류 검수용'!K64,업종분류!K70='업종분류 검수용'!L64),"","x")</f>
        <v/>
      </c>
    </row>
    <row r="65" spans="2:16">
      <c r="B65" s="1397" t="s">
        <v>2605</v>
      </c>
      <c r="C65" s="206" t="s">
        <v>2606</v>
      </c>
      <c r="D65" s="207" t="s">
        <v>2607</v>
      </c>
      <c r="E65" s="207">
        <v>1.0748</v>
      </c>
      <c r="F65" s="208">
        <f t="shared" si="0"/>
        <v>6.9177487999999995E-2</v>
      </c>
      <c r="G65" s="209">
        <v>2.3900000000000001E-2</v>
      </c>
      <c r="H65" s="207">
        <v>0.62549999999999994</v>
      </c>
      <c r="I65" s="208">
        <f t="shared" si="1"/>
        <v>5.0251947743999999E-2</v>
      </c>
      <c r="J65" s="208"/>
      <c r="K65" s="9">
        <v>611</v>
      </c>
      <c r="L65" s="9" t="s">
        <v>1252</v>
      </c>
      <c r="M65" s="9"/>
      <c r="N65" s="209">
        <f t="shared" si="2"/>
        <v>5.0251947743999999E-2</v>
      </c>
      <c r="O65" s="342"/>
      <c r="P65" s="217" t="str">
        <f>IF(AND(업종분류!B71='업종분류 검수용'!K65,업종분류!K71='업종분류 검수용'!L65),"","x")</f>
        <v/>
      </c>
    </row>
    <row r="66" spans="2:16">
      <c r="B66" s="1397"/>
      <c r="C66" s="206" t="s">
        <v>2608</v>
      </c>
      <c r="D66" s="207" t="s">
        <v>2609</v>
      </c>
      <c r="E66" s="207" t="s">
        <v>1883</v>
      </c>
      <c r="F66" s="208">
        <f t="shared" si="0"/>
        <v>7.0433071999999999E-2</v>
      </c>
      <c r="G66" s="209">
        <v>5.5199999999999999E-2</v>
      </c>
      <c r="H66" s="207" t="s">
        <v>1884</v>
      </c>
      <c r="I66" s="208">
        <f t="shared" si="1"/>
        <v>5.5285338062400005E-2</v>
      </c>
      <c r="J66" s="208"/>
      <c r="K66" s="9">
        <v>612</v>
      </c>
      <c r="L66" s="9" t="s">
        <v>1253</v>
      </c>
      <c r="M66" s="9"/>
      <c r="N66" s="209">
        <f t="shared" si="2"/>
        <v>5.5285338062399998E-2</v>
      </c>
      <c r="O66" s="342"/>
      <c r="P66" s="217" t="str">
        <f>IF(AND(업종분류!B72='업종분류 검수용'!K66,업종분류!K72='업종분류 검수용'!L66),"","x")</f>
        <v/>
      </c>
    </row>
    <row r="67" spans="2:16">
      <c r="B67" s="1397"/>
      <c r="C67" s="207">
        <v>51</v>
      </c>
      <c r="D67" s="207" t="s">
        <v>2610</v>
      </c>
      <c r="E67" s="207">
        <v>1.2146999999999999</v>
      </c>
      <c r="F67" s="208">
        <f t="shared" si="0"/>
        <v>7.5831131999999996E-2</v>
      </c>
      <c r="G67" s="209">
        <v>5.0500000000000003E-2</v>
      </c>
      <c r="H67" s="207">
        <v>0.61160000000000003</v>
      </c>
      <c r="I67" s="208">
        <f t="shared" si="1"/>
        <v>6.16773963312E-2</v>
      </c>
      <c r="J67" s="208"/>
      <c r="K67" s="9">
        <v>619</v>
      </c>
      <c r="L67" s="9" t="s">
        <v>1254</v>
      </c>
      <c r="M67" s="9"/>
      <c r="N67" s="209">
        <f t="shared" si="2"/>
        <v>6.16773963312E-2</v>
      </c>
      <c r="O67" s="342"/>
      <c r="P67" s="217" t="str">
        <f>IF(AND(업종분류!B73='업종분류 검수용'!K67,업종분류!K73='업종분류 검수용'!L67),"","x")</f>
        <v/>
      </c>
    </row>
    <row r="68" spans="2:16">
      <c r="B68" s="1397" t="s">
        <v>2611</v>
      </c>
      <c r="C68" s="207">
        <v>13</v>
      </c>
      <c r="D68" s="207" t="s">
        <v>2612</v>
      </c>
      <c r="E68" s="207">
        <v>1.0471999999999999</v>
      </c>
      <c r="F68" s="208">
        <f t="shared" ref="F68:F115" si="3">(1.806+E68*4.756)/100</f>
        <v>6.7864832E-2</v>
      </c>
      <c r="G68" s="209">
        <v>8.6499999999999994E-2</v>
      </c>
      <c r="H68" s="207">
        <v>0.52839999999999998</v>
      </c>
      <c r="I68" s="208">
        <f t="shared" ref="I68:I115" si="4">F68*H68+(1-0.22)*G68*(1-H68)</f>
        <v>6.7678629228799997E-2</v>
      </c>
      <c r="J68" s="208"/>
      <c r="K68" s="9">
        <v>621</v>
      </c>
      <c r="L68" s="9" t="s">
        <v>1255</v>
      </c>
      <c r="M68" s="9"/>
      <c r="N68" s="209">
        <f t="shared" ref="N68:N115" si="5">(F68*H68)+((G68*(1-H68))*(1-0.22))</f>
        <v>6.7678629228799997E-2</v>
      </c>
      <c r="O68" s="342"/>
      <c r="P68" s="217" t="str">
        <f>IF(AND(업종분류!B74='업종분류 검수용'!K68,업종분류!K74='업종분류 검수용'!L68),"","x")</f>
        <v/>
      </c>
    </row>
    <row r="69" spans="2:16">
      <c r="B69" s="1397"/>
      <c r="C69" s="206" t="s">
        <v>2613</v>
      </c>
      <c r="D69" s="207" t="s">
        <v>2614</v>
      </c>
      <c r="E69" s="207">
        <v>0.95089999999999997</v>
      </c>
      <c r="F69" s="208">
        <f t="shared" si="3"/>
        <v>6.3284804E-2</v>
      </c>
      <c r="G69" s="209">
        <v>0.17879999999999999</v>
      </c>
      <c r="H69" s="207">
        <v>0.56940000000000002</v>
      </c>
      <c r="I69" s="208">
        <f t="shared" si="4"/>
        <v>9.60875657976E-2</v>
      </c>
      <c r="J69" s="208"/>
      <c r="K69" s="9">
        <v>622</v>
      </c>
      <c r="L69" s="9" t="s">
        <v>1256</v>
      </c>
      <c r="M69" s="9"/>
      <c r="N69" s="209">
        <f t="shared" si="5"/>
        <v>9.60875657976E-2</v>
      </c>
      <c r="O69" s="342"/>
      <c r="P69" s="217" t="str">
        <f>IF(AND(업종분류!B75='업종분류 검수용'!K69,업종분류!K75='업종분류 검수용'!L69),"","x")</f>
        <v/>
      </c>
    </row>
    <row r="70" spans="2:16">
      <c r="B70" s="1397"/>
      <c r="C70" s="207">
        <v>8</v>
      </c>
      <c r="D70" s="207" t="s">
        <v>2615</v>
      </c>
      <c r="E70" s="207">
        <v>0.69</v>
      </c>
      <c r="F70" s="208">
        <f t="shared" si="3"/>
        <v>5.0876400000000002E-2</v>
      </c>
      <c r="G70" s="209">
        <v>4.0800000000000003E-2</v>
      </c>
      <c r="H70" s="207">
        <v>0.55659999999999998</v>
      </c>
      <c r="I70" s="208">
        <f t="shared" si="4"/>
        <v>4.2428565840000002E-2</v>
      </c>
      <c r="J70" s="208"/>
      <c r="K70" s="9">
        <v>623</v>
      </c>
      <c r="L70" s="9" t="s">
        <v>1257</v>
      </c>
      <c r="M70" s="9"/>
      <c r="N70" s="209">
        <f t="shared" si="5"/>
        <v>4.2428565840000002E-2</v>
      </c>
      <c r="O70" s="342"/>
      <c r="P70" s="217" t="str">
        <f>IF(AND(업종분류!B76='업종분류 검수용'!K70,업종분류!K76='업종분류 검수용'!L70),"","x")</f>
        <v/>
      </c>
    </row>
    <row r="71" spans="2:16">
      <c r="B71" s="1397"/>
      <c r="C71" s="207">
        <v>25</v>
      </c>
      <c r="D71" s="207" t="s">
        <v>2616</v>
      </c>
      <c r="E71" s="207">
        <v>0.85040000000000004</v>
      </c>
      <c r="F71" s="208">
        <f t="shared" si="3"/>
        <v>5.850502400000001E-2</v>
      </c>
      <c r="G71" s="209">
        <v>0.13469999999999999</v>
      </c>
      <c r="H71" s="207">
        <v>0.62960000000000005</v>
      </c>
      <c r="I71" s="208">
        <f t="shared" si="4"/>
        <v>7.57512095104E-2</v>
      </c>
      <c r="J71" s="208"/>
      <c r="K71" s="9">
        <v>624</v>
      </c>
      <c r="L71" s="9" t="s">
        <v>1258</v>
      </c>
      <c r="M71" s="9"/>
      <c r="N71" s="209">
        <f t="shared" si="5"/>
        <v>7.57512095104E-2</v>
      </c>
      <c r="O71" s="342"/>
      <c r="P71" s="217" t="str">
        <f>IF(AND(업종분류!B77='업종분류 검수용'!K71,업종분류!K77='업종분류 검수용'!L71),"","x")</f>
        <v/>
      </c>
    </row>
    <row r="72" spans="2:16">
      <c r="B72" s="1397"/>
      <c r="C72" s="206" t="s">
        <v>2613</v>
      </c>
      <c r="D72" s="207" t="s">
        <v>2617</v>
      </c>
      <c r="E72" s="207">
        <v>0.95089999999999997</v>
      </c>
      <c r="F72" s="208">
        <f t="shared" si="3"/>
        <v>6.3284804E-2</v>
      </c>
      <c r="G72" s="209">
        <v>0.17879999999999999</v>
      </c>
      <c r="H72" s="207">
        <v>0.56940000000000002</v>
      </c>
      <c r="I72" s="208">
        <f t="shared" si="4"/>
        <v>9.60875657976E-2</v>
      </c>
      <c r="J72" s="208"/>
      <c r="K72" s="9">
        <v>625</v>
      </c>
      <c r="L72" s="9" t="s">
        <v>1259</v>
      </c>
      <c r="M72" s="9"/>
      <c r="N72" s="209">
        <f t="shared" si="5"/>
        <v>9.60875657976E-2</v>
      </c>
      <c r="O72" s="342"/>
      <c r="P72" s="217" t="str">
        <f>IF(AND(업종분류!B78='업종분류 검수용'!K72,업종분류!K78='업종분류 검수용'!L72),"","x")</f>
        <v/>
      </c>
    </row>
    <row r="73" spans="2:16">
      <c r="B73" s="1397"/>
      <c r="C73" s="207">
        <v>14</v>
      </c>
      <c r="D73" s="207" t="s">
        <v>2618</v>
      </c>
      <c r="E73" s="207">
        <v>0.85140000000000005</v>
      </c>
      <c r="F73" s="208">
        <f t="shared" si="3"/>
        <v>5.8552584000000005E-2</v>
      </c>
      <c r="G73" s="209">
        <v>0.13930000000000001</v>
      </c>
      <c r="H73" s="207">
        <v>0.61970000000000003</v>
      </c>
      <c r="I73" s="208">
        <f t="shared" si="4"/>
        <v>7.7606152504800005E-2</v>
      </c>
      <c r="J73" s="208"/>
      <c r="K73" s="9">
        <v>626</v>
      </c>
      <c r="L73" s="9" t="s">
        <v>1260</v>
      </c>
      <c r="M73" s="9"/>
      <c r="N73" s="209">
        <f t="shared" si="5"/>
        <v>7.7606152504800005E-2</v>
      </c>
      <c r="O73" s="342"/>
      <c r="P73" s="217" t="str">
        <f>IF(AND(업종분류!B79='업종분류 검수용'!K73,업종분류!K79='업종분류 검수용'!L73),"","x")</f>
        <v/>
      </c>
    </row>
    <row r="74" spans="2:16">
      <c r="B74" s="1397"/>
      <c r="C74" s="206" t="s">
        <v>2613</v>
      </c>
      <c r="D74" s="207" t="s">
        <v>2619</v>
      </c>
      <c r="E74" s="207">
        <v>0.95089999999999997</v>
      </c>
      <c r="F74" s="208">
        <f t="shared" si="3"/>
        <v>6.3284804E-2</v>
      </c>
      <c r="G74" s="209">
        <v>0.17879999999999999</v>
      </c>
      <c r="H74" s="207">
        <v>0.56940000000000002</v>
      </c>
      <c r="I74" s="208">
        <f t="shared" si="4"/>
        <v>9.60875657976E-2</v>
      </c>
      <c r="J74" s="208"/>
      <c r="K74" s="9">
        <v>627</v>
      </c>
      <c r="L74" s="9" t="s">
        <v>1261</v>
      </c>
      <c r="M74" s="9"/>
      <c r="N74" s="209">
        <f t="shared" si="5"/>
        <v>9.60875657976E-2</v>
      </c>
      <c r="O74" s="342"/>
      <c r="P74" s="217" t="str">
        <f>IF(AND(업종분류!B80='업종분류 검수용'!K74,업종분류!K80='업종분류 검수용'!L74),"","x")</f>
        <v/>
      </c>
    </row>
    <row r="75" spans="2:16">
      <c r="B75" s="1397"/>
      <c r="C75" s="207">
        <v>14</v>
      </c>
      <c r="D75" s="207" t="s">
        <v>2620</v>
      </c>
      <c r="E75" s="207">
        <v>0.98650000000000004</v>
      </c>
      <c r="F75" s="208">
        <f t="shared" si="3"/>
        <v>6.4977940000000012E-2</v>
      </c>
      <c r="G75" s="209">
        <v>5.1499999999999997E-2</v>
      </c>
      <c r="H75" s="207">
        <v>0.58879999999999999</v>
      </c>
      <c r="I75" s="208">
        <f t="shared" si="4"/>
        <v>5.4776915072000006E-2</v>
      </c>
      <c r="J75" s="208"/>
      <c r="K75" s="9">
        <v>628</v>
      </c>
      <c r="L75" s="9" t="s">
        <v>1262</v>
      </c>
      <c r="M75" s="9"/>
      <c r="N75" s="209">
        <f t="shared" si="5"/>
        <v>5.4776915072000006E-2</v>
      </c>
      <c r="O75" s="342"/>
      <c r="P75" s="217" t="str">
        <f>IF(AND(업종분류!B81='업종분류 검수용'!K75,업종분류!K81='업종분류 검수용'!L75),"","x")</f>
        <v/>
      </c>
    </row>
    <row r="76" spans="2:16">
      <c r="B76" s="1397"/>
      <c r="C76" s="210">
        <v>359</v>
      </c>
      <c r="D76" s="207" t="s">
        <v>2621</v>
      </c>
      <c r="E76" s="207">
        <v>0.9627</v>
      </c>
      <c r="F76" s="208">
        <f t="shared" si="3"/>
        <v>6.3846012000000008E-2</v>
      </c>
      <c r="G76" s="209">
        <v>0.19470000000000001</v>
      </c>
      <c r="H76" s="207">
        <v>0.56479999999999997</v>
      </c>
      <c r="I76" s="208">
        <f t="shared" si="4"/>
        <v>0.10215231077760001</v>
      </c>
      <c r="J76" s="208"/>
      <c r="K76" s="9">
        <v>629</v>
      </c>
      <c r="L76" s="9" t="s">
        <v>1263</v>
      </c>
      <c r="M76" s="9"/>
      <c r="N76" s="209">
        <f t="shared" si="5"/>
        <v>0.10215231077760001</v>
      </c>
      <c r="O76" s="342"/>
      <c r="P76" s="217" t="str">
        <f>IF(AND(업종분류!B82='업종분류 검수용'!K76,업종분류!K82='업종분류 검수용'!L76),"","x")</f>
        <v/>
      </c>
    </row>
    <row r="77" spans="2:16">
      <c r="B77" s="1397" t="s">
        <v>2622</v>
      </c>
      <c r="C77" s="206" t="s">
        <v>2623</v>
      </c>
      <c r="D77" s="207" t="s">
        <v>2624</v>
      </c>
      <c r="E77" s="207">
        <v>1.0042</v>
      </c>
      <c r="F77" s="208">
        <f t="shared" si="3"/>
        <v>6.5819752000000009E-2</v>
      </c>
      <c r="G77" s="209">
        <v>0.2079</v>
      </c>
      <c r="H77" s="207">
        <v>0.58930000000000005</v>
      </c>
      <c r="I77" s="208">
        <f t="shared" si="4"/>
        <v>0.10538751325359999</v>
      </c>
      <c r="J77" s="208"/>
      <c r="K77" s="9">
        <v>631</v>
      </c>
      <c r="L77" s="9" t="s">
        <v>1264</v>
      </c>
      <c r="M77" s="9"/>
      <c r="N77" s="209">
        <f t="shared" si="5"/>
        <v>0.10538751325359999</v>
      </c>
      <c r="O77" s="342"/>
      <c r="P77" s="217" t="str">
        <f>IF(AND(업종분류!B83='업종분류 검수용'!K77,업종분류!K83='업종분류 검수용'!L77),"","x")</f>
        <v/>
      </c>
    </row>
    <row r="78" spans="2:16">
      <c r="B78" s="1397"/>
      <c r="C78" s="207">
        <v>187</v>
      </c>
      <c r="D78" s="207" t="s">
        <v>2625</v>
      </c>
      <c r="E78" s="207">
        <v>0.97019999999999995</v>
      </c>
      <c r="F78" s="208">
        <f t="shared" si="3"/>
        <v>6.4202711999999995E-2</v>
      </c>
      <c r="G78" s="209">
        <v>0.19170000000000001</v>
      </c>
      <c r="H78" s="207">
        <v>0.58530000000000004</v>
      </c>
      <c r="I78" s="208">
        <f t="shared" si="4"/>
        <v>9.9586279533599997E-2</v>
      </c>
      <c r="J78" s="208"/>
      <c r="K78" s="9">
        <v>632</v>
      </c>
      <c r="L78" s="9" t="s">
        <v>1265</v>
      </c>
      <c r="M78" s="9"/>
      <c r="N78" s="209">
        <f t="shared" si="5"/>
        <v>9.9586279533599997E-2</v>
      </c>
      <c r="O78" s="342"/>
      <c r="P78" s="217" t="str">
        <f>IF(AND(업종분류!B84='업종분류 검수용'!K78,업종분류!K84='업종분류 검수용'!L78),"","x")</f>
        <v/>
      </c>
    </row>
    <row r="79" spans="2:16">
      <c r="B79" s="1397"/>
      <c r="C79" s="207">
        <v>57</v>
      </c>
      <c r="D79" s="207" t="s">
        <v>2626</v>
      </c>
      <c r="E79" s="207">
        <v>1.1856</v>
      </c>
      <c r="F79" s="208">
        <f t="shared" si="3"/>
        <v>7.4447135999999997E-2</v>
      </c>
      <c r="G79" s="209">
        <v>0.21310000000000001</v>
      </c>
      <c r="H79" s="207">
        <v>0.61699999999999999</v>
      </c>
      <c r="I79" s="208">
        <f t="shared" si="4"/>
        <v>0.109595376912</v>
      </c>
      <c r="J79" s="208"/>
      <c r="K79" s="9">
        <v>633</v>
      </c>
      <c r="L79" s="9" t="s">
        <v>1266</v>
      </c>
      <c r="M79" s="9"/>
      <c r="N79" s="209">
        <f t="shared" si="5"/>
        <v>0.109595376912</v>
      </c>
      <c r="O79" s="342"/>
      <c r="P79" s="217" t="str">
        <f>IF(AND(업종분류!B85='업종분류 검수용'!K79,업종분류!K85='업종분류 검수용'!L79),"","x")</f>
        <v/>
      </c>
    </row>
    <row r="80" spans="2:16">
      <c r="B80" s="1397"/>
      <c r="C80" s="207">
        <v>8</v>
      </c>
      <c r="D80" s="207" t="s">
        <v>2627</v>
      </c>
      <c r="E80" s="207">
        <v>1.0702</v>
      </c>
      <c r="F80" s="208">
        <f t="shared" si="3"/>
        <v>6.8958712000000005E-2</v>
      </c>
      <c r="G80" s="209">
        <v>6.4100000000000004E-2</v>
      </c>
      <c r="H80" s="207">
        <v>0.54249999999999998</v>
      </c>
      <c r="I80" s="208">
        <f t="shared" si="4"/>
        <v>6.0284186260000011E-2</v>
      </c>
      <c r="J80" s="208"/>
      <c r="K80" s="9">
        <v>634</v>
      </c>
      <c r="L80" s="9" t="s">
        <v>1267</v>
      </c>
      <c r="M80" s="9"/>
      <c r="N80" s="209">
        <f t="shared" si="5"/>
        <v>6.0284186260000011E-2</v>
      </c>
      <c r="O80" s="342"/>
      <c r="P80" s="217" t="str">
        <f>IF(AND(업종분류!B86='업종분류 검수용'!K80,업종분류!K86='업종분류 검수용'!L80),"","x")</f>
        <v/>
      </c>
    </row>
    <row r="81" spans="2:16">
      <c r="B81" s="1397"/>
      <c r="C81" s="207">
        <v>11</v>
      </c>
      <c r="D81" s="207" t="s">
        <v>2628</v>
      </c>
      <c r="E81" s="207">
        <v>1.0488999999999999</v>
      </c>
      <c r="F81" s="208">
        <f t="shared" si="3"/>
        <v>6.7945684000000006E-2</v>
      </c>
      <c r="G81" s="209">
        <v>0.68559999999999999</v>
      </c>
      <c r="H81" s="207">
        <v>0.50870000000000004</v>
      </c>
      <c r="I81" s="208">
        <f t="shared" si="4"/>
        <v>0.29729548785079996</v>
      </c>
      <c r="J81" s="208"/>
      <c r="K81" s="9">
        <v>635</v>
      </c>
      <c r="L81" s="9" t="s">
        <v>1268</v>
      </c>
      <c r="M81" s="9"/>
      <c r="N81" s="209">
        <f t="shared" si="5"/>
        <v>0.29729548785079996</v>
      </c>
      <c r="O81" s="342"/>
      <c r="P81" s="217" t="str">
        <f>IF(AND(업종분류!B87='업종분류 검수용'!K81,업종분류!K87='업종분류 검수용'!L81),"","x")</f>
        <v/>
      </c>
    </row>
    <row r="82" spans="2:16">
      <c r="B82" s="1397"/>
      <c r="C82" s="206" t="s">
        <v>2623</v>
      </c>
      <c r="D82" s="207" t="s">
        <v>2629</v>
      </c>
      <c r="E82" s="207">
        <v>1.0042</v>
      </c>
      <c r="F82" s="208">
        <f t="shared" si="3"/>
        <v>6.5819752000000009E-2</v>
      </c>
      <c r="G82" s="209">
        <v>0.2079</v>
      </c>
      <c r="H82" s="207">
        <v>0.58930000000000005</v>
      </c>
      <c r="I82" s="208">
        <f t="shared" si="4"/>
        <v>0.10538751325359999</v>
      </c>
      <c r="J82" s="208"/>
      <c r="K82" s="9">
        <v>636</v>
      </c>
      <c r="L82" s="9" t="s">
        <v>1269</v>
      </c>
      <c r="M82" s="9"/>
      <c r="N82" s="209">
        <f t="shared" si="5"/>
        <v>0.10538751325359999</v>
      </c>
      <c r="O82" s="342"/>
      <c r="P82" s="217" t="str">
        <f>IF(AND(업종분류!B88='업종분류 검수용'!K82,업종분류!K88='업종분류 검수용'!L82),"","x")</f>
        <v/>
      </c>
    </row>
    <row r="83" spans="2:16">
      <c r="B83" s="1397"/>
      <c r="C83" s="207">
        <v>7</v>
      </c>
      <c r="D83" s="207" t="s">
        <v>2630</v>
      </c>
      <c r="E83" s="207">
        <v>0.78069999999999995</v>
      </c>
      <c r="F83" s="208">
        <f t="shared" si="3"/>
        <v>5.5190092000000003E-2</v>
      </c>
      <c r="G83" s="209">
        <v>4.3999999999999997E-2</v>
      </c>
      <c r="H83" s="207">
        <v>0.64239999999999997</v>
      </c>
      <c r="I83" s="208">
        <f t="shared" si="4"/>
        <v>4.7726947100799999E-2</v>
      </c>
      <c r="J83" s="208"/>
      <c r="K83" s="9">
        <v>637</v>
      </c>
      <c r="L83" s="9" t="s">
        <v>1270</v>
      </c>
      <c r="M83" s="9"/>
      <c r="N83" s="209">
        <f t="shared" si="5"/>
        <v>4.7726947100799999E-2</v>
      </c>
      <c r="O83" s="342"/>
      <c r="P83" s="217" t="str">
        <f>IF(AND(업종분류!B89='업종분류 검수용'!K83,업종분류!K89='업종분류 검수용'!L83),"","x")</f>
        <v/>
      </c>
    </row>
    <row r="84" spans="2:16">
      <c r="B84" s="1397"/>
      <c r="C84" s="207">
        <v>9</v>
      </c>
      <c r="D84" s="207" t="s">
        <v>2631</v>
      </c>
      <c r="E84" s="207">
        <v>0.80059999999999998</v>
      </c>
      <c r="F84" s="208">
        <f t="shared" si="3"/>
        <v>5.6136536000000001E-2</v>
      </c>
      <c r="G84" s="209">
        <v>6.13E-2</v>
      </c>
      <c r="H84" s="207">
        <v>0.66900000000000004</v>
      </c>
      <c r="I84" s="208">
        <f t="shared" si="4"/>
        <v>5.3381776584E-2</v>
      </c>
      <c r="J84" s="208"/>
      <c r="K84" s="9">
        <v>639</v>
      </c>
      <c r="L84" s="9" t="s">
        <v>1271</v>
      </c>
      <c r="M84" s="9"/>
      <c r="N84" s="209">
        <f t="shared" si="5"/>
        <v>5.3381776583999993E-2</v>
      </c>
      <c r="O84" s="342"/>
      <c r="P84" s="217" t="str">
        <f>IF(AND(업종분류!B90='업종분류 검수용'!K84,업종분류!K90='업종분류 검수용'!L84),"","x")</f>
        <v/>
      </c>
    </row>
    <row r="85" spans="2:16">
      <c r="B85" s="1397" t="s">
        <v>2632</v>
      </c>
      <c r="C85" s="207">
        <v>3</v>
      </c>
      <c r="D85" s="207" t="s">
        <v>2633</v>
      </c>
      <c r="E85" s="207">
        <v>0.68289999999999995</v>
      </c>
      <c r="F85" s="208">
        <f t="shared" si="3"/>
        <v>5.0538723999999993E-2</v>
      </c>
      <c r="G85" s="209">
        <v>2.9899999999999999E-2</v>
      </c>
      <c r="H85" s="207">
        <v>0.64590000000000003</v>
      </c>
      <c r="I85" s="208">
        <f t="shared" si="4"/>
        <v>4.0901282031599998E-2</v>
      </c>
      <c r="J85" s="208"/>
      <c r="K85" s="9">
        <v>711</v>
      </c>
      <c r="L85" s="9" t="s">
        <v>6</v>
      </c>
      <c r="M85" s="9"/>
      <c r="N85" s="209">
        <f t="shared" si="5"/>
        <v>4.0901282031599998E-2</v>
      </c>
      <c r="O85" s="342"/>
      <c r="P85" s="217" t="str">
        <f>IF(AND(업종분류!B91='업종분류 검수용'!K85,업종분류!K91='업종분류 검수용'!L85),"","x")</f>
        <v/>
      </c>
    </row>
    <row r="86" spans="2:16">
      <c r="B86" s="1397"/>
      <c r="C86" s="207">
        <v>4</v>
      </c>
      <c r="D86" s="207" t="s">
        <v>2634</v>
      </c>
      <c r="E86" s="207">
        <v>0.83320000000000005</v>
      </c>
      <c r="F86" s="208">
        <f t="shared" si="3"/>
        <v>5.7686992000000006E-2</v>
      </c>
      <c r="G86" s="209">
        <v>4.7199999999999999E-2</v>
      </c>
      <c r="H86" s="207">
        <v>0.46339999999999998</v>
      </c>
      <c r="I86" s="208">
        <f t="shared" si="4"/>
        <v>4.6487617692800007E-2</v>
      </c>
      <c r="J86" s="208"/>
      <c r="K86" s="9">
        <v>712</v>
      </c>
      <c r="L86" s="9" t="s">
        <v>1272</v>
      </c>
      <c r="M86" s="9"/>
      <c r="N86" s="209">
        <f t="shared" si="5"/>
        <v>4.6487617692800007E-2</v>
      </c>
      <c r="O86" s="342"/>
      <c r="P86" s="217" t="str">
        <f>IF(AND(업종분류!B92='업종분류 검수용'!K86,업종분류!K92='업종분류 검수용'!L86),"","x")</f>
        <v/>
      </c>
    </row>
    <row r="87" spans="2:16">
      <c r="B87" s="1397" t="s">
        <v>2635</v>
      </c>
      <c r="C87" s="207">
        <v>6</v>
      </c>
      <c r="D87" s="207" t="s">
        <v>2636</v>
      </c>
      <c r="E87" s="207">
        <v>0.79690000000000005</v>
      </c>
      <c r="F87" s="208">
        <f t="shared" si="3"/>
        <v>5.5960564000000004E-2</v>
      </c>
      <c r="G87" s="209">
        <v>3.6799999999999999E-2</v>
      </c>
      <c r="H87" s="207">
        <v>0.4834</v>
      </c>
      <c r="I87" s="208">
        <f t="shared" si="4"/>
        <v>4.1879823037600003E-2</v>
      </c>
      <c r="J87" s="208"/>
      <c r="K87" s="212">
        <v>721</v>
      </c>
      <c r="L87" s="212" t="s">
        <v>1273</v>
      </c>
      <c r="M87" s="212"/>
      <c r="N87" s="209">
        <f t="shared" si="5"/>
        <v>4.1879823037600003E-2</v>
      </c>
      <c r="O87" s="342"/>
      <c r="P87" s="218" t="str">
        <f>IF(AND(업종분류!B93='업종분류 검수용'!K87,업종분류!K93='업종분류 검수용'!L87),"","x")</f>
        <v/>
      </c>
    </row>
    <row r="88" spans="2:16">
      <c r="B88" s="1397"/>
      <c r="C88" s="206" t="s">
        <v>2637</v>
      </c>
      <c r="D88" s="207" t="s">
        <v>2638</v>
      </c>
      <c r="E88" s="207">
        <v>0.79690000000000005</v>
      </c>
      <c r="F88" s="208">
        <f t="shared" si="3"/>
        <v>5.5960564000000004E-2</v>
      </c>
      <c r="G88" s="209">
        <v>3.6799999999999999E-2</v>
      </c>
      <c r="H88" s="207">
        <v>0.4834</v>
      </c>
      <c r="I88" s="208">
        <f t="shared" si="4"/>
        <v>4.1879823037600003E-2</v>
      </c>
      <c r="J88" s="208"/>
      <c r="K88" s="212">
        <v>722</v>
      </c>
      <c r="L88" s="212" t="s">
        <v>1274</v>
      </c>
      <c r="M88" s="212"/>
      <c r="N88" s="209">
        <f t="shared" si="5"/>
        <v>4.1879823037600003E-2</v>
      </c>
      <c r="O88" s="342"/>
      <c r="P88" s="218" t="str">
        <f>IF(AND(업종분류!B94='업종분류 검수용'!K88,업종분류!K94='업종분류 검수용'!L88),"","x")</f>
        <v/>
      </c>
    </row>
    <row r="89" spans="2:16">
      <c r="B89" s="207" t="s">
        <v>2639</v>
      </c>
      <c r="C89" s="207">
        <v>2</v>
      </c>
      <c r="D89" s="207" t="s">
        <v>2640</v>
      </c>
      <c r="E89" s="207">
        <v>0.86199999999999999</v>
      </c>
      <c r="F89" s="208">
        <f t="shared" si="3"/>
        <v>5.905672E-2</v>
      </c>
      <c r="G89" s="209">
        <v>2.93E-2</v>
      </c>
      <c r="H89" s="207">
        <v>0.4501</v>
      </c>
      <c r="I89" s="208">
        <f t="shared" si="4"/>
        <v>3.9148844272000001E-2</v>
      </c>
      <c r="J89" s="208"/>
      <c r="K89" s="9">
        <v>730</v>
      </c>
      <c r="L89" s="9" t="s">
        <v>1275</v>
      </c>
      <c r="M89" s="9"/>
      <c r="N89" s="209">
        <f t="shared" si="5"/>
        <v>3.9148844272000001E-2</v>
      </c>
      <c r="O89" s="342"/>
      <c r="P89" s="217" t="str">
        <f>IF(AND(업종분류!B95='업종분류 검수용'!K89,업종분류!K95='업종분류 검수용'!L89),"","x")</f>
        <v/>
      </c>
    </row>
    <row r="90" spans="2:16">
      <c r="B90" s="207" t="s">
        <v>2641</v>
      </c>
      <c r="C90" s="207">
        <v>1</v>
      </c>
      <c r="D90" s="207" t="s">
        <v>2642</v>
      </c>
      <c r="E90" s="207">
        <v>1.0144</v>
      </c>
      <c r="F90" s="208">
        <f t="shared" si="3"/>
        <v>6.6304864000000005E-2</v>
      </c>
      <c r="G90" s="209">
        <v>3.1099999999999999E-2</v>
      </c>
      <c r="H90" s="207">
        <v>0.37659999999999999</v>
      </c>
      <c r="I90" s="208">
        <f t="shared" si="4"/>
        <v>4.0092848982400002E-2</v>
      </c>
      <c r="J90" s="208"/>
      <c r="K90" s="9">
        <v>740</v>
      </c>
      <c r="L90" s="9" t="s">
        <v>1276</v>
      </c>
      <c r="M90" s="9"/>
      <c r="N90" s="209">
        <f t="shared" si="5"/>
        <v>4.0092848982399995E-2</v>
      </c>
      <c r="O90" s="342"/>
      <c r="P90" s="217" t="str">
        <f>IF(AND(업종분류!B96='업종분류 검수용'!K90,업종분류!K96='업종분류 검수용'!L90),"","x")</f>
        <v/>
      </c>
    </row>
    <row r="91" spans="2:16">
      <c r="B91" s="207" t="s">
        <v>2643</v>
      </c>
      <c r="C91" s="207">
        <v>5</v>
      </c>
      <c r="D91" s="207" t="s">
        <v>2644</v>
      </c>
      <c r="E91" s="207">
        <v>0.49270000000000003</v>
      </c>
      <c r="F91" s="208">
        <f t="shared" si="3"/>
        <v>4.1492812000000011E-2</v>
      </c>
      <c r="G91" s="209">
        <v>0.89100000000000001</v>
      </c>
      <c r="H91" s="207">
        <v>0.67620000000000002</v>
      </c>
      <c r="I91" s="208">
        <f t="shared" si="4"/>
        <v>0.25309196347439999</v>
      </c>
      <c r="J91" s="208"/>
      <c r="K91" s="9">
        <v>750</v>
      </c>
      <c r="L91" s="9" t="s">
        <v>1277</v>
      </c>
      <c r="M91" s="9"/>
      <c r="N91" s="209">
        <f t="shared" si="5"/>
        <v>0.25309196347439999</v>
      </c>
      <c r="O91" s="342"/>
      <c r="P91" s="217" t="str">
        <f>IF(AND(업종분류!B97='업종분류 검수용'!K91,업종분류!K97='업종분류 검수용'!L91),"","x")</f>
        <v/>
      </c>
    </row>
    <row r="92" spans="2:16">
      <c r="B92" s="1397" t="s">
        <v>2645</v>
      </c>
      <c r="C92" s="207">
        <v>3</v>
      </c>
      <c r="D92" s="207" t="s">
        <v>2646</v>
      </c>
      <c r="E92" s="207">
        <v>0.71509999999999996</v>
      </c>
      <c r="F92" s="208">
        <f t="shared" si="3"/>
        <v>5.2070155999999999E-2</v>
      </c>
      <c r="G92" s="209">
        <v>3.0499999999999999E-2</v>
      </c>
      <c r="H92" s="207">
        <v>0.52249999999999996</v>
      </c>
      <c r="I92" s="208">
        <f t="shared" si="4"/>
        <v>3.8566381509999997E-2</v>
      </c>
      <c r="J92" s="208"/>
      <c r="K92" s="9">
        <v>761</v>
      </c>
      <c r="L92" s="9" t="s">
        <v>1278</v>
      </c>
      <c r="M92" s="9"/>
      <c r="N92" s="209">
        <f t="shared" si="5"/>
        <v>3.8566381509999997E-2</v>
      </c>
      <c r="O92" s="342"/>
      <c r="P92" s="217" t="str">
        <f>IF(AND(업종분류!B98='업종분류 검수용'!K92,업종분류!K98='업종분류 검수용'!L92),"","x")</f>
        <v/>
      </c>
    </row>
    <row r="93" spans="2:16">
      <c r="B93" s="1397"/>
      <c r="C93" s="207">
        <v>2</v>
      </c>
      <c r="D93" s="207" t="s">
        <v>2647</v>
      </c>
      <c r="E93" s="207">
        <v>0.95050000000000001</v>
      </c>
      <c r="F93" s="208">
        <f t="shared" si="3"/>
        <v>6.3265780000000008E-2</v>
      </c>
      <c r="G93" s="209">
        <v>2.6499999999999999E-2</v>
      </c>
      <c r="H93" s="207">
        <v>0.47260000000000002</v>
      </c>
      <c r="I93" s="208">
        <f t="shared" si="4"/>
        <v>4.0800765628000002E-2</v>
      </c>
      <c r="J93" s="208"/>
      <c r="K93" s="9">
        <v>762</v>
      </c>
      <c r="L93" s="9" t="s">
        <v>1279</v>
      </c>
      <c r="M93" s="9"/>
      <c r="N93" s="209">
        <f t="shared" si="5"/>
        <v>4.0800765628000002E-2</v>
      </c>
      <c r="O93" s="342"/>
      <c r="P93" s="217" t="str">
        <f>IF(AND(업종분류!B99='업종분류 검수용'!K93,업종분류!K99='업종분류 검수용'!L93),"","x")</f>
        <v/>
      </c>
    </row>
    <row r="94" spans="2:16">
      <c r="B94" s="207" t="s">
        <v>2648</v>
      </c>
      <c r="C94" s="207">
        <v>12</v>
      </c>
      <c r="D94" s="207" t="s">
        <v>2649</v>
      </c>
      <c r="E94" s="207">
        <v>0.83779999999999999</v>
      </c>
      <c r="F94" s="208">
        <f t="shared" si="3"/>
        <v>5.7905768000000003E-2</v>
      </c>
      <c r="G94" s="209">
        <v>3.5200000000000002E-2</v>
      </c>
      <c r="H94" s="207">
        <v>0.5454</v>
      </c>
      <c r="I94" s="208">
        <f t="shared" si="4"/>
        <v>4.4063303467200006E-2</v>
      </c>
      <c r="J94" s="208"/>
      <c r="K94" s="9">
        <v>770</v>
      </c>
      <c r="L94" s="9" t="s">
        <v>1280</v>
      </c>
      <c r="M94" s="9"/>
      <c r="N94" s="209">
        <f t="shared" si="5"/>
        <v>4.4063303467200006E-2</v>
      </c>
      <c r="O94" s="342"/>
      <c r="P94" s="217" t="str">
        <f>IF(AND(업종분류!B100='업종분류 검수용'!K94,업종분류!K100='업종분류 검수용'!L94),"","x")</f>
        <v/>
      </c>
    </row>
    <row r="95" spans="2:16">
      <c r="B95" s="1397" t="s">
        <v>2650</v>
      </c>
      <c r="C95" s="206" t="s">
        <v>2637</v>
      </c>
      <c r="D95" s="207" t="s">
        <v>2651</v>
      </c>
      <c r="E95" s="207">
        <v>0.76190000000000002</v>
      </c>
      <c r="F95" s="208">
        <f t="shared" si="3"/>
        <v>5.4295964000000002E-2</v>
      </c>
      <c r="G95" s="209">
        <v>2.81E-2</v>
      </c>
      <c r="H95" s="207">
        <v>0.43030000000000002</v>
      </c>
      <c r="I95" s="208">
        <f t="shared" si="4"/>
        <v>3.58502379092E-2</v>
      </c>
      <c r="J95" s="208"/>
      <c r="K95" s="9">
        <v>791</v>
      </c>
      <c r="L95" s="9" t="s">
        <v>1281</v>
      </c>
      <c r="M95" s="9"/>
      <c r="N95" s="209">
        <f t="shared" si="5"/>
        <v>3.58502379092E-2</v>
      </c>
      <c r="O95" s="342"/>
      <c r="P95" s="217" t="str">
        <f>IF(AND(업종분류!B101='업종분류 검수용'!K95,업종분류!K101='업종분류 검수용'!L95),"","x")</f>
        <v/>
      </c>
    </row>
    <row r="96" spans="2:16">
      <c r="B96" s="1397"/>
      <c r="C96" s="207">
        <v>3</v>
      </c>
      <c r="D96" s="207" t="s">
        <v>2652</v>
      </c>
      <c r="E96" s="207">
        <v>0.54590000000000005</v>
      </c>
      <c r="F96" s="208">
        <f t="shared" si="3"/>
        <v>4.4023004000000004E-2</v>
      </c>
      <c r="G96" s="209">
        <v>2.6800000000000001E-2</v>
      </c>
      <c r="H96" s="207">
        <v>0.5141</v>
      </c>
      <c r="I96" s="208">
        <f t="shared" si="4"/>
        <v>3.2789479956400004E-2</v>
      </c>
      <c r="J96" s="208"/>
      <c r="K96" s="9">
        <v>792</v>
      </c>
      <c r="L96" s="9" t="s">
        <v>1282</v>
      </c>
      <c r="M96" s="9"/>
      <c r="N96" s="209">
        <f t="shared" si="5"/>
        <v>3.2789479956400004E-2</v>
      </c>
      <c r="O96" s="342"/>
      <c r="P96" s="217" t="str">
        <f>IF(AND(업종분류!B102='업종분류 검수용'!K96,업종분류!K102='업종분류 검수용'!L96),"","x")</f>
        <v/>
      </c>
    </row>
    <row r="97" spans="2:16">
      <c r="B97" s="1397"/>
      <c r="C97" s="207">
        <v>3</v>
      </c>
      <c r="D97" s="207" t="s">
        <v>2653</v>
      </c>
      <c r="E97" s="207">
        <v>0.63070000000000004</v>
      </c>
      <c r="F97" s="208">
        <f t="shared" si="3"/>
        <v>4.8056092000000009E-2</v>
      </c>
      <c r="G97" s="209">
        <v>3.5499999999999997E-2</v>
      </c>
      <c r="H97" s="207">
        <v>0.66390000000000005</v>
      </c>
      <c r="I97" s="208">
        <f t="shared" si="4"/>
        <v>4.1211048478800007E-2</v>
      </c>
      <c r="J97" s="208"/>
      <c r="K97" s="9">
        <v>793</v>
      </c>
      <c r="L97" s="9" t="s">
        <v>2325</v>
      </c>
      <c r="M97" s="9"/>
      <c r="N97" s="209">
        <f t="shared" si="5"/>
        <v>4.1211048478800007E-2</v>
      </c>
      <c r="O97" s="342"/>
      <c r="P97" s="217" t="str">
        <f>IF(AND(업종분류!B103='업종분류 검수용'!K97,업종분류!K103='업종분류 검수용'!L97),"","x")</f>
        <v/>
      </c>
    </row>
    <row r="98" spans="2:16">
      <c r="B98" s="1397"/>
      <c r="C98" s="207">
        <v>7</v>
      </c>
      <c r="D98" s="207" t="s">
        <v>2654</v>
      </c>
      <c r="E98" s="207">
        <v>0.77080000000000004</v>
      </c>
      <c r="F98" s="208">
        <f t="shared" si="3"/>
        <v>5.4719247999999998E-2</v>
      </c>
      <c r="G98" s="209">
        <v>2.75E-2</v>
      </c>
      <c r="H98" s="207">
        <v>0.63390000000000002</v>
      </c>
      <c r="I98" s="208">
        <f t="shared" si="4"/>
        <v>4.2539376307199998E-2</v>
      </c>
      <c r="J98" s="208"/>
      <c r="K98" s="9">
        <v>794</v>
      </c>
      <c r="L98" s="9" t="s">
        <v>1283</v>
      </c>
      <c r="M98" s="9"/>
      <c r="N98" s="209">
        <f t="shared" si="5"/>
        <v>4.2539376307200005E-2</v>
      </c>
      <c r="O98" s="342"/>
      <c r="P98" s="217" t="str">
        <f>IF(AND(업종분류!B104='업종분류 검수용'!K98,업종분류!K104='업종분류 검수용'!L98),"","x")</f>
        <v/>
      </c>
    </row>
    <row r="99" spans="2:16">
      <c r="B99" s="1397"/>
      <c r="C99" s="207">
        <v>17</v>
      </c>
      <c r="D99" s="207" t="s">
        <v>2655</v>
      </c>
      <c r="E99" s="207">
        <v>0.93049999999999999</v>
      </c>
      <c r="F99" s="208">
        <f t="shared" si="3"/>
        <v>6.2314580000000001E-2</v>
      </c>
      <c r="G99" s="209">
        <v>0.30570000000000003</v>
      </c>
      <c r="H99" s="207">
        <v>0.53580000000000005</v>
      </c>
      <c r="I99" s="208">
        <f t="shared" si="4"/>
        <v>0.14407478516399999</v>
      </c>
      <c r="J99" s="208"/>
      <c r="K99" s="9">
        <v>795</v>
      </c>
      <c r="L99" s="9" t="s">
        <v>1284</v>
      </c>
      <c r="M99" s="9"/>
      <c r="N99" s="209">
        <f t="shared" si="5"/>
        <v>0.14407478516400002</v>
      </c>
      <c r="O99" s="342"/>
      <c r="P99" s="217" t="str">
        <f>IF(AND(업종분류!B105='업종분류 검수용'!K99,업종분류!K105='업종분류 검수용'!L99),"","x")</f>
        <v/>
      </c>
    </row>
    <row r="100" spans="2:16">
      <c r="B100" s="1397"/>
      <c r="C100" s="207">
        <v>17</v>
      </c>
      <c r="D100" s="207" t="s">
        <v>2656</v>
      </c>
      <c r="E100" s="207">
        <v>0.93049999999999999</v>
      </c>
      <c r="F100" s="208">
        <f t="shared" si="3"/>
        <v>6.2314580000000001E-2</v>
      </c>
      <c r="G100" s="209">
        <v>0.30570000000000003</v>
      </c>
      <c r="H100" s="207">
        <v>0.53580000000000005</v>
      </c>
      <c r="I100" s="208">
        <f t="shared" si="4"/>
        <v>0.14407478516399999</v>
      </c>
      <c r="J100" s="208"/>
      <c r="K100" s="9">
        <v>799</v>
      </c>
      <c r="L100" s="9" t="s">
        <v>1285</v>
      </c>
      <c r="M100" s="9"/>
      <c r="N100" s="209">
        <f t="shared" si="5"/>
        <v>0.14407478516400002</v>
      </c>
      <c r="O100" s="342"/>
      <c r="P100" s="217" t="str">
        <f>IF(AND(업종분류!B106='업종분류 검수용'!K100,업종분류!K106='업종분류 검수용'!L100),"","x")</f>
        <v/>
      </c>
    </row>
    <row r="101" spans="2:16">
      <c r="B101" s="1397" t="s">
        <v>2657</v>
      </c>
      <c r="C101" s="207">
        <v>1</v>
      </c>
      <c r="D101" s="207" t="s">
        <v>2658</v>
      </c>
      <c r="E101" s="207">
        <v>0.51449999999999996</v>
      </c>
      <c r="F101" s="208">
        <f t="shared" si="3"/>
        <v>4.2529620000000004E-2</v>
      </c>
      <c r="G101" s="209">
        <v>3.3000000000000002E-2</v>
      </c>
      <c r="H101" s="207">
        <v>0.56089999999999995</v>
      </c>
      <c r="I101" s="208">
        <f t="shared" si="4"/>
        <v>3.5157297858000001E-2</v>
      </c>
      <c r="J101" s="208"/>
      <c r="K101" s="9">
        <v>811</v>
      </c>
      <c r="L101" s="9" t="s">
        <v>1286</v>
      </c>
      <c r="M101" s="9"/>
      <c r="N101" s="209">
        <f t="shared" si="5"/>
        <v>3.5157297858000001E-2</v>
      </c>
      <c r="O101" s="342"/>
      <c r="P101" s="217" t="str">
        <f>IF(AND(업종분류!B107='업종분류 검수용'!K101,업종분류!K107='업종분류 검수용'!L101),"","x")</f>
        <v/>
      </c>
    </row>
    <row r="102" spans="2:16">
      <c r="B102" s="1397"/>
      <c r="C102" s="206" t="s">
        <v>2659</v>
      </c>
      <c r="D102" s="207" t="s">
        <v>2660</v>
      </c>
      <c r="E102" s="207">
        <v>0.55810000000000004</v>
      </c>
      <c r="F102" s="208">
        <f t="shared" si="3"/>
        <v>4.4603236000000004E-2</v>
      </c>
      <c r="G102" s="209">
        <v>4.1099999999999998E-2</v>
      </c>
      <c r="H102" s="207">
        <v>0.64490000000000003</v>
      </c>
      <c r="I102" s="208">
        <f t="shared" si="4"/>
        <v>4.0148422696400003E-2</v>
      </c>
      <c r="J102" s="208"/>
      <c r="K102" s="9">
        <v>812</v>
      </c>
      <c r="L102" s="9" t="s">
        <v>1287</v>
      </c>
      <c r="M102" s="9"/>
      <c r="N102" s="209">
        <f t="shared" si="5"/>
        <v>4.0148422696400003E-2</v>
      </c>
      <c r="O102" s="342"/>
      <c r="P102" s="217" t="str">
        <f>IF(AND(업종분류!B108='업종분류 검수용'!K102,업종분류!K108='업종분류 검수용'!L102),"","x")</f>
        <v/>
      </c>
    </row>
    <row r="103" spans="2:16">
      <c r="B103" s="1397" t="s">
        <v>2661</v>
      </c>
      <c r="C103" s="207">
        <v>4</v>
      </c>
      <c r="D103" s="207" t="s">
        <v>2662</v>
      </c>
      <c r="E103" s="207">
        <v>0.73939999999999995</v>
      </c>
      <c r="F103" s="208">
        <f t="shared" si="3"/>
        <v>5.3225864000000005E-2</v>
      </c>
      <c r="G103" s="209">
        <v>3.4700000000000002E-2</v>
      </c>
      <c r="H103" s="207">
        <v>0.59919999999999995</v>
      </c>
      <c r="I103" s="208">
        <f t="shared" si="4"/>
        <v>4.2740990508800002E-2</v>
      </c>
      <c r="J103" s="208"/>
      <c r="K103" s="9">
        <v>821</v>
      </c>
      <c r="L103" s="9" t="s">
        <v>1288</v>
      </c>
      <c r="M103" s="9"/>
      <c r="N103" s="209">
        <f t="shared" si="5"/>
        <v>4.2740990508800002E-2</v>
      </c>
      <c r="O103" s="342"/>
      <c r="P103" s="217" t="str">
        <f>IF(AND(업종분류!B109='업종분류 검수용'!K103,업종분류!K109='업종분류 검수용'!L103),"","x")</f>
        <v/>
      </c>
    </row>
    <row r="104" spans="2:16">
      <c r="B104" s="1397"/>
      <c r="C104" s="206" t="s">
        <v>2663</v>
      </c>
      <c r="D104" s="207" t="s">
        <v>2664</v>
      </c>
      <c r="E104" s="207">
        <v>0.73939999999999995</v>
      </c>
      <c r="F104" s="208">
        <f t="shared" si="3"/>
        <v>5.3225864000000005E-2</v>
      </c>
      <c r="G104" s="209">
        <v>3.4700000000000002E-2</v>
      </c>
      <c r="H104" s="207">
        <v>0.59919999999999995</v>
      </c>
      <c r="I104" s="208">
        <f t="shared" si="4"/>
        <v>4.2740990508800002E-2</v>
      </c>
      <c r="J104" s="208"/>
      <c r="K104" s="9">
        <v>822</v>
      </c>
      <c r="L104" s="9" t="s">
        <v>1289</v>
      </c>
      <c r="M104" s="9"/>
      <c r="N104" s="209">
        <f t="shared" si="5"/>
        <v>4.2740990508800002E-2</v>
      </c>
      <c r="O104" s="342"/>
      <c r="P104" s="217" t="str">
        <f>IF(AND(업종분류!B110='업종분류 검수용'!K104,업종분류!K110='업종분류 검수용'!L104),"","x")</f>
        <v/>
      </c>
    </row>
    <row r="105" spans="2:16">
      <c r="B105" s="1397" t="s">
        <v>2665</v>
      </c>
      <c r="C105" s="206" t="s">
        <v>2521</v>
      </c>
      <c r="D105" s="207" t="s">
        <v>2666</v>
      </c>
      <c r="E105" s="207">
        <v>0.74550000000000005</v>
      </c>
      <c r="F105" s="208">
        <f t="shared" si="3"/>
        <v>5.3515980000000012E-2</v>
      </c>
      <c r="G105" s="209">
        <v>4.2799999999999998E-2</v>
      </c>
      <c r="H105" s="207">
        <v>0.64400000000000002</v>
      </c>
      <c r="I105" s="208">
        <f t="shared" si="4"/>
        <v>4.6348995120000007E-2</v>
      </c>
      <c r="J105" s="208"/>
      <c r="K105" s="9">
        <v>911</v>
      </c>
      <c r="L105" s="9" t="s">
        <v>1290</v>
      </c>
      <c r="M105" s="9"/>
      <c r="N105" s="209">
        <f t="shared" si="5"/>
        <v>4.6348995120000014E-2</v>
      </c>
      <c r="O105" s="342"/>
      <c r="P105" s="217" t="str">
        <f>IF(AND(업종분류!B111='업종분류 검수용'!K105,업종분류!K111='업종분류 검수용'!L105),"","x")</f>
        <v/>
      </c>
    </row>
    <row r="106" spans="2:16">
      <c r="B106" s="1397"/>
      <c r="C106" s="207">
        <v>3</v>
      </c>
      <c r="D106" s="207" t="s">
        <v>2667</v>
      </c>
      <c r="E106" s="207">
        <v>0.7792</v>
      </c>
      <c r="F106" s="208">
        <f t="shared" si="3"/>
        <v>5.5118752000000007E-2</v>
      </c>
      <c r="G106" s="209">
        <v>7.8899999999999998E-2</v>
      </c>
      <c r="H106" s="207">
        <v>0.49220000000000003</v>
      </c>
      <c r="I106" s="208">
        <f t="shared" si="4"/>
        <v>5.8380477334400008E-2</v>
      </c>
      <c r="J106" s="208"/>
      <c r="K106" s="212">
        <v>912</v>
      </c>
      <c r="L106" s="212" t="s">
        <v>2804</v>
      </c>
      <c r="M106" s="212"/>
      <c r="N106" s="209">
        <f t="shared" si="5"/>
        <v>5.8380477334400008E-2</v>
      </c>
      <c r="O106" s="342"/>
      <c r="P106" s="218" t="str">
        <f>IF(AND(업종분류!B112='업종분류 검수용'!K106,업종분류!K112='업종분류 검수용'!L106),"","x")</f>
        <v/>
      </c>
    </row>
    <row r="107" spans="2:16">
      <c r="B107" s="1397"/>
      <c r="C107" s="207">
        <v>49</v>
      </c>
      <c r="D107" s="207" t="s">
        <v>2668</v>
      </c>
      <c r="E107" s="207">
        <v>0.81430000000000002</v>
      </c>
      <c r="F107" s="208">
        <f t="shared" si="3"/>
        <v>5.6788108000000011E-2</v>
      </c>
      <c r="G107" s="209">
        <v>6.6600000000000006E-2</v>
      </c>
      <c r="H107" s="207">
        <v>0.5806</v>
      </c>
      <c r="I107" s="208">
        <f t="shared" si="4"/>
        <v>5.4758166704800007E-2</v>
      </c>
      <c r="J107" s="208"/>
      <c r="K107" s="9">
        <v>913</v>
      </c>
      <c r="L107" s="9" t="s">
        <v>1292</v>
      </c>
      <c r="M107" s="9"/>
      <c r="N107" s="209">
        <f t="shared" si="5"/>
        <v>5.4758166704800007E-2</v>
      </c>
      <c r="O107" s="342"/>
      <c r="P107" s="217" t="str">
        <f>IF(AND(업종분류!B113='업종분류 검수용'!K107,업종분류!K113='업종분류 검수용'!L107),"","x")</f>
        <v/>
      </c>
    </row>
    <row r="108" spans="2:16">
      <c r="B108" s="1397"/>
      <c r="C108" s="207">
        <v>11</v>
      </c>
      <c r="D108" s="207" t="s">
        <v>2669</v>
      </c>
      <c r="E108" s="207">
        <v>0.92420000000000002</v>
      </c>
      <c r="F108" s="208">
        <f t="shared" si="3"/>
        <v>6.2014951999999998E-2</v>
      </c>
      <c r="G108" s="209">
        <v>3.4500000000000003E-2</v>
      </c>
      <c r="H108" s="207">
        <v>0.58830000000000005</v>
      </c>
      <c r="I108" s="208">
        <f t="shared" si="4"/>
        <v>4.7562243261599996E-2</v>
      </c>
      <c r="J108" s="208"/>
      <c r="K108" s="9">
        <v>914</v>
      </c>
      <c r="L108" s="9" t="s">
        <v>1293</v>
      </c>
      <c r="M108" s="9"/>
      <c r="N108" s="209">
        <f t="shared" si="5"/>
        <v>4.7562243261600003E-2</v>
      </c>
      <c r="O108" s="342"/>
      <c r="P108" s="217" t="str">
        <f>IF(AND(업종분류!B114='업종분류 검수용'!K108,업종분류!K114='업종분류 검수용'!L108),"","x")</f>
        <v/>
      </c>
    </row>
    <row r="109" spans="2:16">
      <c r="B109" s="1397"/>
      <c r="C109" s="206" t="s">
        <v>2670</v>
      </c>
      <c r="D109" s="207" t="s">
        <v>2671</v>
      </c>
      <c r="E109" s="207">
        <v>0.72560000000000002</v>
      </c>
      <c r="F109" s="208">
        <f t="shared" si="3"/>
        <v>5.2569536E-2</v>
      </c>
      <c r="G109" s="209">
        <v>4.3099999999999999E-2</v>
      </c>
      <c r="H109" s="207">
        <v>0.62990000000000002</v>
      </c>
      <c r="I109" s="208">
        <f t="shared" si="4"/>
        <v>4.5555572526400002E-2</v>
      </c>
      <c r="J109" s="208"/>
      <c r="K109" s="9">
        <v>915</v>
      </c>
      <c r="L109" s="9" t="s">
        <v>1294</v>
      </c>
      <c r="M109" s="9"/>
      <c r="N109" s="209">
        <f t="shared" si="5"/>
        <v>4.5555572526400002E-2</v>
      </c>
      <c r="O109" s="342"/>
      <c r="P109" s="217" t="str">
        <f>IF(AND(업종분류!B115='업종분류 검수용'!K109,업종분류!K115='업종분류 검수용'!L109),"","x")</f>
        <v/>
      </c>
    </row>
    <row r="110" spans="2:16">
      <c r="B110" s="1397"/>
      <c r="C110" s="207">
        <v>33</v>
      </c>
      <c r="D110" s="207" t="s">
        <v>2672</v>
      </c>
      <c r="E110" s="207">
        <v>1.3566</v>
      </c>
      <c r="F110" s="208">
        <f t="shared" si="3"/>
        <v>8.2579896E-2</v>
      </c>
      <c r="G110" s="209">
        <v>0.54139999999999999</v>
      </c>
      <c r="H110" s="207">
        <v>0.64249999999999996</v>
      </c>
      <c r="I110" s="208">
        <f t="shared" si="4"/>
        <v>0.20402697318000002</v>
      </c>
      <c r="J110" s="208"/>
      <c r="K110" s="9">
        <v>919</v>
      </c>
      <c r="L110" s="9" t="s">
        <v>1295</v>
      </c>
      <c r="M110" s="9"/>
      <c r="N110" s="209">
        <f t="shared" si="5"/>
        <v>0.20402697318000002</v>
      </c>
      <c r="O110" s="342"/>
      <c r="P110" s="217" t="str">
        <f>IF(AND(업종분류!B116='업종분류 검수용'!K110,업종분류!K116='업종분류 검수용'!L110),"","x")</f>
        <v/>
      </c>
    </row>
    <row r="111" spans="2:16">
      <c r="B111" s="1397" t="s">
        <v>2673</v>
      </c>
      <c r="C111" s="207">
        <v>57</v>
      </c>
      <c r="D111" s="207" t="s">
        <v>2674</v>
      </c>
      <c r="E111" s="207">
        <v>1.1856</v>
      </c>
      <c r="F111" s="208">
        <f t="shared" si="3"/>
        <v>7.4447135999999997E-2</v>
      </c>
      <c r="G111" s="209">
        <v>0.21310000000000001</v>
      </c>
      <c r="H111" s="207">
        <v>0.61699999999999999</v>
      </c>
      <c r="I111" s="208">
        <f t="shared" si="4"/>
        <v>0.109595376912</v>
      </c>
      <c r="J111" s="208"/>
      <c r="K111" s="9">
        <v>921</v>
      </c>
      <c r="L111" s="9" t="s">
        <v>1296</v>
      </c>
      <c r="M111" s="9"/>
      <c r="N111" s="209">
        <f t="shared" si="5"/>
        <v>0.109595376912</v>
      </c>
      <c r="O111" s="342"/>
      <c r="P111" s="217" t="str">
        <f>IF(AND(업종분류!B117='업종분류 검수용'!K111,업종분류!K117='업종분류 검수용'!L111),"","x")</f>
        <v/>
      </c>
    </row>
    <row r="112" spans="2:16">
      <c r="B112" s="1397"/>
      <c r="C112" s="207">
        <v>187</v>
      </c>
      <c r="D112" s="207" t="s">
        <v>2675</v>
      </c>
      <c r="E112" s="207">
        <v>0.97019999999999995</v>
      </c>
      <c r="F112" s="208">
        <f t="shared" si="3"/>
        <v>6.4202711999999995E-2</v>
      </c>
      <c r="G112" s="209">
        <v>0.19170000000000001</v>
      </c>
      <c r="H112" s="207">
        <v>0.58530000000000004</v>
      </c>
      <c r="I112" s="208">
        <f t="shared" si="4"/>
        <v>9.9586279533599997E-2</v>
      </c>
      <c r="J112" s="208"/>
      <c r="K112" s="9">
        <v>922</v>
      </c>
      <c r="L112" s="9" t="s">
        <v>1297</v>
      </c>
      <c r="M112" s="9"/>
      <c r="N112" s="209">
        <f t="shared" si="5"/>
        <v>9.9586279533599997E-2</v>
      </c>
      <c r="O112" s="342"/>
      <c r="P112" s="217" t="str">
        <f>IF(AND(업종분류!B118='업종분류 검수용'!K112,업종분류!K118='업종분류 검수용'!L112),"","x")</f>
        <v/>
      </c>
    </row>
    <row r="113" spans="2:16">
      <c r="B113" s="1397"/>
      <c r="C113" s="207">
        <v>8</v>
      </c>
      <c r="D113" s="207" t="s">
        <v>2676</v>
      </c>
      <c r="E113" s="207">
        <v>1.0702</v>
      </c>
      <c r="F113" s="208">
        <f t="shared" si="3"/>
        <v>6.8958712000000005E-2</v>
      </c>
      <c r="G113" s="209">
        <v>6.4100000000000004E-2</v>
      </c>
      <c r="H113" s="207">
        <v>0.54249999999999998</v>
      </c>
      <c r="I113" s="208">
        <f t="shared" si="4"/>
        <v>6.0284186260000011E-2</v>
      </c>
      <c r="J113" s="208"/>
      <c r="K113" s="9">
        <v>923</v>
      </c>
      <c r="L113" s="9" t="s">
        <v>1298</v>
      </c>
      <c r="M113" s="9"/>
      <c r="N113" s="209">
        <f t="shared" si="5"/>
        <v>6.0284186260000011E-2</v>
      </c>
      <c r="O113" s="342"/>
      <c r="P113" s="217" t="str">
        <f>IF(AND(업종분류!B119='업종분류 검수용'!K113,업종분류!K119='업종분류 검수용'!L113),"","x")</f>
        <v/>
      </c>
    </row>
    <row r="114" spans="2:16">
      <c r="B114" s="1397"/>
      <c r="C114" s="207">
        <v>7</v>
      </c>
      <c r="D114" s="207" t="s">
        <v>2677</v>
      </c>
      <c r="E114" s="207">
        <v>0.78069999999999995</v>
      </c>
      <c r="F114" s="208">
        <f t="shared" si="3"/>
        <v>5.5190092000000003E-2</v>
      </c>
      <c r="G114" s="209">
        <v>4.3999999999999997E-2</v>
      </c>
      <c r="H114" s="207">
        <v>0.64239999999999997</v>
      </c>
      <c r="I114" s="208">
        <f t="shared" si="4"/>
        <v>4.7726947100799999E-2</v>
      </c>
      <c r="J114" s="208"/>
      <c r="K114" s="9">
        <v>924</v>
      </c>
      <c r="L114" s="9" t="s">
        <v>1299</v>
      </c>
      <c r="M114" s="9"/>
      <c r="N114" s="209">
        <f t="shared" si="5"/>
        <v>4.7726947100799999E-2</v>
      </c>
      <c r="O114" s="342"/>
      <c r="P114" s="217" t="str">
        <f>IF(AND(업종분류!B120='업종분류 검수용'!K114,업종분류!K120='업종분류 검수용'!L114),"","x")</f>
        <v/>
      </c>
    </row>
    <row r="115" spans="2:16">
      <c r="B115" s="1397"/>
      <c r="C115" s="207">
        <v>6</v>
      </c>
      <c r="D115" s="207" t="s">
        <v>2678</v>
      </c>
      <c r="E115" s="207">
        <v>0.78349999999999997</v>
      </c>
      <c r="F115" s="208">
        <f t="shared" si="3"/>
        <v>5.5323260000000006E-2</v>
      </c>
      <c r="G115" s="209">
        <v>4.6600000000000003E-2</v>
      </c>
      <c r="H115" s="207">
        <v>0.79669999999999996</v>
      </c>
      <c r="I115" s="208">
        <f t="shared" si="4"/>
        <v>5.1465589642000001E-2</v>
      </c>
      <c r="J115" s="208"/>
      <c r="K115" s="9">
        <v>929</v>
      </c>
      <c r="L115" s="9" t="s">
        <v>1300</v>
      </c>
      <c r="M115" s="9"/>
      <c r="N115" s="209">
        <f t="shared" si="5"/>
        <v>5.1465589642000001E-2</v>
      </c>
      <c r="O115" s="342"/>
      <c r="P115" s="217" t="str">
        <f>IF(AND(업종분류!B121='업종분류 검수용'!K115,업종분류!K121='업종분류 검수용'!L115),"","x")</f>
        <v/>
      </c>
    </row>
  </sheetData>
  <mergeCells count="22">
    <mergeCell ref="B101:B102"/>
    <mergeCell ref="B103:B104"/>
    <mergeCell ref="B105:B110"/>
    <mergeCell ref="B111:B115"/>
    <mergeCell ref="B68:B76"/>
    <mergeCell ref="B77:B84"/>
    <mergeCell ref="B85:B86"/>
    <mergeCell ref="B87:B88"/>
    <mergeCell ref="B92:B93"/>
    <mergeCell ref="B95:B100"/>
    <mergeCell ref="B65:B67"/>
    <mergeCell ref="B3:B8"/>
    <mergeCell ref="B9:B13"/>
    <mergeCell ref="B14:B19"/>
    <mergeCell ref="B20:B27"/>
    <mergeCell ref="B28:B35"/>
    <mergeCell ref="B36:B37"/>
    <mergeCell ref="B39:B45"/>
    <mergeCell ref="B46:B49"/>
    <mergeCell ref="B50:B53"/>
    <mergeCell ref="B54:B61"/>
    <mergeCell ref="B62:B63"/>
  </mergeCells>
  <phoneticPr fontId="1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1"/>
  </sheetPr>
  <dimension ref="B1:G182"/>
  <sheetViews>
    <sheetView workbookViewId="0">
      <pane xSplit="2" ySplit="2" topLeftCell="C167" activePane="bottomRight" state="frozen"/>
      <selection activeCell="C26" sqref="C26"/>
      <selection pane="topRight" activeCell="C26" sqref="C26"/>
      <selection pane="bottomLeft" activeCell="C26" sqref="C26"/>
      <selection pane="bottomRight" activeCell="C172" sqref="C172"/>
    </sheetView>
  </sheetViews>
  <sheetFormatPr defaultRowHeight="13.5"/>
  <cols>
    <col min="1" max="1" width="2.88671875" customWidth="1"/>
    <col min="2" max="2" width="8.6640625" customWidth="1"/>
    <col min="3" max="3" width="65.21875" customWidth="1"/>
    <col min="4" max="4" width="16.33203125" hidden="1" customWidth="1"/>
    <col min="5" max="7" width="0" hidden="1" customWidth="1"/>
  </cols>
  <sheetData>
    <row r="1" spans="2:7" ht="33" customHeight="1" thickBot="1"/>
    <row r="2" spans="2:7" ht="26.25" customHeight="1">
      <c r="B2" s="790" t="s">
        <v>1808</v>
      </c>
      <c r="C2" s="791" t="s">
        <v>1809</v>
      </c>
      <c r="D2" s="792" t="s">
        <v>2510</v>
      </c>
      <c r="E2" s="222"/>
      <c r="F2" s="222"/>
      <c r="G2" s="222"/>
    </row>
    <row r="3" spans="2:7" ht="16.5">
      <c r="B3" s="793">
        <v>1110</v>
      </c>
      <c r="C3" s="794" t="s">
        <v>45</v>
      </c>
      <c r="D3" s="222"/>
      <c r="E3" s="222"/>
      <c r="F3" s="222"/>
      <c r="G3" s="222"/>
    </row>
    <row r="4" spans="2:7" ht="16.5">
      <c r="B4" s="793">
        <v>1121</v>
      </c>
      <c r="C4" s="794" t="s">
        <v>2737</v>
      </c>
      <c r="D4" s="222"/>
      <c r="E4" s="222"/>
      <c r="F4" s="222"/>
      <c r="G4" s="222"/>
    </row>
    <row r="5" spans="2:7" ht="16.5">
      <c r="B5" s="793">
        <v>1122</v>
      </c>
      <c r="C5" s="794" t="s">
        <v>1811</v>
      </c>
      <c r="D5" s="222"/>
      <c r="E5" s="222"/>
      <c r="F5" s="222"/>
      <c r="G5" s="222"/>
    </row>
    <row r="6" spans="2:7" ht="16.5">
      <c r="B6" s="795">
        <v>113</v>
      </c>
      <c r="C6" s="794" t="s">
        <v>47</v>
      </c>
      <c r="D6" s="222"/>
      <c r="E6" s="222"/>
      <c r="F6" s="222"/>
      <c r="G6" s="222"/>
    </row>
    <row r="7" spans="2:7" ht="16.5">
      <c r="B7" s="793">
        <v>1123</v>
      </c>
      <c r="C7" s="794" t="s">
        <v>1812</v>
      </c>
      <c r="D7" s="222"/>
      <c r="E7" s="222"/>
      <c r="F7" s="222"/>
      <c r="G7" s="222"/>
    </row>
    <row r="8" spans="2:7" ht="16.5">
      <c r="B8" s="795">
        <v>115</v>
      </c>
      <c r="C8" s="794" t="s">
        <v>49</v>
      </c>
      <c r="D8" s="222"/>
      <c r="E8" s="222"/>
      <c r="F8" s="222"/>
      <c r="G8" s="222"/>
    </row>
    <row r="9" spans="2:7" ht="16.5">
      <c r="B9" s="795">
        <v>114</v>
      </c>
      <c r="C9" s="794" t="s">
        <v>50</v>
      </c>
      <c r="D9" s="222"/>
      <c r="E9" s="222"/>
      <c r="F9" s="222"/>
      <c r="G9" s="222"/>
    </row>
    <row r="10" spans="2:7" ht="16.5">
      <c r="B10" s="795">
        <v>121</v>
      </c>
      <c r="C10" s="794" t="s">
        <v>51</v>
      </c>
      <c r="D10" s="222"/>
      <c r="E10" s="222"/>
      <c r="F10" s="222"/>
      <c r="G10" s="222"/>
    </row>
    <row r="11" spans="2:7" ht="16.5">
      <c r="B11" s="795">
        <v>122</v>
      </c>
      <c r="C11" s="794" t="s">
        <v>3</v>
      </c>
      <c r="D11" s="222"/>
      <c r="E11" s="222"/>
      <c r="F11" s="222"/>
      <c r="G11" s="222"/>
    </row>
    <row r="12" spans="2:7" ht="16.5">
      <c r="B12" s="795">
        <v>123</v>
      </c>
      <c r="C12" s="794" t="s">
        <v>52</v>
      </c>
      <c r="D12" s="222"/>
      <c r="E12" s="222"/>
      <c r="F12" s="222"/>
      <c r="G12" s="222"/>
    </row>
    <row r="13" spans="2:7" ht="16.5">
      <c r="B13" s="793">
        <v>1299</v>
      </c>
      <c r="C13" s="794" t="s">
        <v>2710</v>
      </c>
      <c r="D13" s="222"/>
      <c r="E13" s="222"/>
      <c r="F13" s="222"/>
      <c r="G13" s="222"/>
    </row>
    <row r="14" spans="2:7" ht="16.5">
      <c r="B14" s="795">
        <v>129</v>
      </c>
      <c r="C14" s="794" t="s">
        <v>54</v>
      </c>
      <c r="D14" s="222"/>
      <c r="E14" s="222"/>
      <c r="F14" s="222"/>
      <c r="G14" s="222"/>
    </row>
    <row r="15" spans="2:7" ht="16.5">
      <c r="B15" s="796">
        <v>1310</v>
      </c>
      <c r="C15" s="794" t="s">
        <v>1814</v>
      </c>
      <c r="D15" s="222"/>
      <c r="E15" s="222"/>
      <c r="F15" s="222"/>
      <c r="G15" s="222"/>
    </row>
    <row r="16" spans="2:7" ht="16.5">
      <c r="B16" s="797">
        <v>1200</v>
      </c>
      <c r="C16" s="794" t="s">
        <v>56</v>
      </c>
      <c r="D16" s="222"/>
      <c r="E16" s="222"/>
      <c r="F16" s="222"/>
      <c r="G16" s="222"/>
    </row>
    <row r="17" spans="2:7" ht="16.5">
      <c r="B17" s="797">
        <v>1420</v>
      </c>
      <c r="C17" s="794" t="s">
        <v>57</v>
      </c>
      <c r="D17" s="222"/>
      <c r="E17" s="222"/>
      <c r="F17" s="222"/>
      <c r="G17" s="222"/>
    </row>
    <row r="18" spans="2:7" ht="16.5">
      <c r="B18" s="797">
        <v>1511</v>
      </c>
      <c r="C18" s="794" t="s">
        <v>1815</v>
      </c>
      <c r="D18" s="222"/>
      <c r="E18" s="222"/>
      <c r="F18" s="222"/>
      <c r="G18" s="222"/>
    </row>
    <row r="19" spans="2:7" ht="16.5">
      <c r="B19" s="797">
        <v>21</v>
      </c>
      <c r="C19" s="794" t="s">
        <v>1816</v>
      </c>
      <c r="D19" s="222"/>
      <c r="E19" s="222"/>
      <c r="F19" s="222"/>
      <c r="G19" s="222"/>
    </row>
    <row r="20" spans="2:7" ht="16.5">
      <c r="B20" s="798">
        <v>2042</v>
      </c>
      <c r="C20" s="799" t="s">
        <v>1817</v>
      </c>
      <c r="D20" s="222"/>
      <c r="E20" s="222"/>
      <c r="F20" s="222"/>
      <c r="G20" s="222"/>
    </row>
    <row r="21" spans="2:7" ht="16.5">
      <c r="B21" s="798">
        <v>20499</v>
      </c>
      <c r="C21" s="799" t="s">
        <v>2726</v>
      </c>
      <c r="D21" s="222"/>
      <c r="E21" s="222"/>
      <c r="F21" s="222"/>
      <c r="G21" s="222"/>
    </row>
    <row r="22" spans="2:7" ht="16.5">
      <c r="B22" s="798">
        <v>20493</v>
      </c>
      <c r="C22" s="799" t="s">
        <v>2725</v>
      </c>
      <c r="D22" s="222"/>
      <c r="E22" s="222"/>
      <c r="F22" s="222"/>
      <c r="G22" s="222"/>
    </row>
    <row r="23" spans="2:7" ht="16.5">
      <c r="B23" s="800">
        <v>2020</v>
      </c>
      <c r="C23" s="794" t="s">
        <v>61</v>
      </c>
      <c r="D23" s="222"/>
      <c r="E23" s="222"/>
      <c r="F23" s="222"/>
      <c r="G23" s="222"/>
    </row>
    <row r="24" spans="2:7" ht="16.5">
      <c r="B24" s="800">
        <v>20412</v>
      </c>
      <c r="C24" s="794" t="s">
        <v>62</v>
      </c>
      <c r="D24" s="222"/>
      <c r="E24" s="222"/>
      <c r="F24" s="222"/>
      <c r="G24" s="222"/>
    </row>
    <row r="25" spans="2:7" ht="16.5">
      <c r="B25" s="800">
        <v>222</v>
      </c>
      <c r="C25" s="794" t="s">
        <v>1820</v>
      </c>
      <c r="D25" s="222"/>
      <c r="E25" s="222"/>
      <c r="F25" s="222"/>
      <c r="G25" s="222"/>
    </row>
    <row r="26" spans="2:7" ht="16.5">
      <c r="B26" s="800">
        <v>25</v>
      </c>
      <c r="C26" s="794" t="s">
        <v>1821</v>
      </c>
      <c r="D26" s="222"/>
      <c r="E26" s="222"/>
      <c r="F26" s="222"/>
      <c r="G26" s="222"/>
    </row>
    <row r="27" spans="2:7" ht="16.5">
      <c r="B27" s="800">
        <v>2921</v>
      </c>
      <c r="C27" s="794" t="s">
        <v>1822</v>
      </c>
      <c r="D27" s="222"/>
      <c r="E27" s="222"/>
      <c r="F27" s="222"/>
      <c r="G27" s="222"/>
    </row>
    <row r="28" spans="2:7" ht="16.5">
      <c r="B28" s="800">
        <v>2721</v>
      </c>
      <c r="C28" s="794" t="s">
        <v>1823</v>
      </c>
      <c r="D28" s="222"/>
      <c r="E28" s="222"/>
      <c r="F28" s="222"/>
      <c r="G28" s="222"/>
    </row>
    <row r="29" spans="2:7" ht="16.5">
      <c r="B29" s="800">
        <v>21</v>
      </c>
      <c r="C29" s="794" t="s">
        <v>1816</v>
      </c>
      <c r="D29" s="222"/>
      <c r="E29" s="222"/>
      <c r="F29" s="222"/>
      <c r="G29" s="222"/>
    </row>
    <row r="30" spans="2:7" ht="16.5">
      <c r="B30" s="797">
        <v>13225</v>
      </c>
      <c r="C30" s="794" t="s">
        <v>2724</v>
      </c>
      <c r="D30" s="222"/>
      <c r="E30" s="801" t="s">
        <v>2711</v>
      </c>
      <c r="F30" s="222"/>
      <c r="G30" s="222"/>
    </row>
    <row r="31" spans="2:7" ht="16.5">
      <c r="B31" s="797">
        <v>29171</v>
      </c>
      <c r="C31" s="794" t="s">
        <v>2711</v>
      </c>
      <c r="D31" s="222"/>
      <c r="E31" s="222"/>
      <c r="F31" s="801" t="s">
        <v>1825</v>
      </c>
      <c r="G31" s="222"/>
    </row>
    <row r="32" spans="2:7" ht="16.5">
      <c r="B32" s="795">
        <v>141</v>
      </c>
      <c r="C32" s="794" t="s">
        <v>69</v>
      </c>
      <c r="D32" s="222"/>
      <c r="E32" s="222"/>
      <c r="F32" s="222"/>
      <c r="G32" s="222"/>
    </row>
    <row r="33" spans="2:7" ht="16.5">
      <c r="B33" s="800">
        <v>7310</v>
      </c>
      <c r="C33" s="794" t="s">
        <v>70</v>
      </c>
      <c r="D33" s="222"/>
      <c r="E33" s="222"/>
      <c r="F33" s="222"/>
      <c r="G33" s="222"/>
    </row>
    <row r="34" spans="2:7" ht="16.5">
      <c r="B34" s="800">
        <v>70112</v>
      </c>
      <c r="C34" s="794" t="s">
        <v>2758</v>
      </c>
      <c r="D34" s="222"/>
      <c r="E34" s="222"/>
      <c r="F34" s="222"/>
      <c r="G34" s="222"/>
    </row>
    <row r="35" spans="2:7" ht="16.5">
      <c r="B35" s="798">
        <v>62</v>
      </c>
      <c r="C35" s="799" t="s">
        <v>2739</v>
      </c>
      <c r="D35" s="222"/>
      <c r="E35" s="222"/>
      <c r="F35" s="222"/>
      <c r="G35" s="222"/>
    </row>
    <row r="36" spans="2:7" ht="16.5">
      <c r="B36" s="798">
        <v>63</v>
      </c>
      <c r="C36" s="799" t="s">
        <v>2741</v>
      </c>
      <c r="D36" s="222"/>
      <c r="E36" s="222"/>
      <c r="F36" s="222"/>
      <c r="G36" s="222"/>
    </row>
    <row r="37" spans="2:7" ht="16.5">
      <c r="B37" s="798">
        <v>5822</v>
      </c>
      <c r="C37" s="799" t="s">
        <v>2723</v>
      </c>
      <c r="D37" s="222"/>
      <c r="E37" s="222"/>
      <c r="F37" s="222"/>
      <c r="G37" s="222"/>
    </row>
    <row r="38" spans="2:7" ht="16.5">
      <c r="B38" s="798">
        <v>37</v>
      </c>
      <c r="C38" s="799" t="s">
        <v>2728</v>
      </c>
      <c r="D38" s="222"/>
      <c r="E38" s="222"/>
      <c r="F38" s="222"/>
      <c r="G38" s="222"/>
    </row>
    <row r="39" spans="2:7" ht="16.5">
      <c r="B39" s="798">
        <v>38</v>
      </c>
      <c r="C39" s="799" t="s">
        <v>2730</v>
      </c>
      <c r="D39" s="222"/>
      <c r="E39" s="222"/>
      <c r="F39" s="222"/>
      <c r="G39" s="222"/>
    </row>
    <row r="40" spans="2:7" ht="16.5">
      <c r="B40" s="798">
        <v>39</v>
      </c>
      <c r="C40" s="799" t="s">
        <v>2732</v>
      </c>
      <c r="D40" s="222"/>
      <c r="E40" s="222"/>
      <c r="F40" s="222"/>
      <c r="G40" s="222"/>
    </row>
    <row r="41" spans="2:7" ht="16.5">
      <c r="B41" s="800">
        <v>7291</v>
      </c>
      <c r="C41" s="794" t="s">
        <v>1831</v>
      </c>
      <c r="D41" s="222"/>
      <c r="E41" s="222"/>
      <c r="F41" s="222"/>
      <c r="G41" s="222"/>
    </row>
    <row r="42" spans="2:7" ht="16.5">
      <c r="B42" s="800">
        <v>7212</v>
      </c>
      <c r="C42" s="794" t="s">
        <v>1832</v>
      </c>
      <c r="D42" s="222"/>
      <c r="E42" s="222"/>
      <c r="F42" s="222"/>
      <c r="G42" s="222"/>
    </row>
    <row r="43" spans="2:7" ht="16.5">
      <c r="B43" s="800">
        <v>73909</v>
      </c>
      <c r="C43" s="794" t="s">
        <v>1833</v>
      </c>
      <c r="D43" s="222"/>
      <c r="E43" s="222"/>
      <c r="F43" s="222"/>
      <c r="G43" s="222"/>
    </row>
    <row r="44" spans="2:7" ht="16.5">
      <c r="B44" s="802">
        <v>9121</v>
      </c>
      <c r="C44" s="803" t="s">
        <v>1835</v>
      </c>
      <c r="D44" s="222"/>
      <c r="E44" s="801"/>
      <c r="F44" s="222"/>
      <c r="G44" s="222"/>
    </row>
    <row r="45" spans="2:7" ht="16.5">
      <c r="B45" s="802">
        <v>7422</v>
      </c>
      <c r="C45" s="803" t="s">
        <v>1834</v>
      </c>
      <c r="D45" s="222"/>
      <c r="E45" s="801"/>
      <c r="F45" s="222"/>
      <c r="G45" s="222"/>
    </row>
    <row r="46" spans="2:7" ht="16.5">
      <c r="B46" s="795">
        <v>201</v>
      </c>
      <c r="C46" s="794" t="s">
        <v>4</v>
      </c>
      <c r="D46" s="222"/>
      <c r="E46" s="222"/>
      <c r="F46" s="222"/>
      <c r="G46" s="222"/>
    </row>
    <row r="47" spans="2:7" ht="16.5">
      <c r="B47" s="804">
        <v>202</v>
      </c>
      <c r="C47" s="799" t="s">
        <v>77</v>
      </c>
      <c r="D47" s="222"/>
      <c r="E47" s="222"/>
      <c r="F47" s="222"/>
      <c r="G47" s="222"/>
    </row>
    <row r="48" spans="2:7" ht="16.5">
      <c r="B48" s="805">
        <v>2030</v>
      </c>
      <c r="C48" s="794" t="s">
        <v>1836</v>
      </c>
      <c r="D48" s="222"/>
      <c r="E48" s="222"/>
      <c r="F48" s="222"/>
      <c r="G48" s="222"/>
    </row>
    <row r="49" spans="2:7" ht="16.5">
      <c r="B49" s="800">
        <v>1610</v>
      </c>
      <c r="C49" s="794" t="s">
        <v>78</v>
      </c>
      <c r="D49" s="222"/>
      <c r="E49" s="222"/>
      <c r="F49" s="222"/>
      <c r="G49" s="222"/>
    </row>
    <row r="50" spans="2:7" ht="16.5">
      <c r="B50" s="800">
        <v>1621</v>
      </c>
      <c r="C50" s="794" t="s">
        <v>79</v>
      </c>
      <c r="D50" s="222"/>
      <c r="E50" s="222"/>
      <c r="F50" s="222"/>
      <c r="G50" s="222"/>
    </row>
    <row r="51" spans="2:7" ht="16.5">
      <c r="B51" s="800">
        <v>1622</v>
      </c>
      <c r="C51" s="794" t="s">
        <v>80</v>
      </c>
      <c r="D51" s="222"/>
      <c r="E51" s="222"/>
      <c r="F51" s="222"/>
      <c r="G51" s="222"/>
    </row>
    <row r="52" spans="2:7" ht="16.5">
      <c r="B52" s="800">
        <v>1623</v>
      </c>
      <c r="C52" s="794" t="s">
        <v>81</v>
      </c>
      <c r="D52" s="222"/>
      <c r="E52" s="222"/>
      <c r="F52" s="222"/>
      <c r="G52" s="222"/>
    </row>
    <row r="53" spans="2:7" ht="16.5">
      <c r="B53" s="797">
        <v>1630</v>
      </c>
      <c r="C53" s="794" t="s">
        <v>82</v>
      </c>
      <c r="D53" s="222"/>
      <c r="E53" s="222"/>
      <c r="F53" s="222"/>
      <c r="G53" s="222"/>
    </row>
    <row r="54" spans="2:7" ht="16.5">
      <c r="B54" s="797">
        <v>3202</v>
      </c>
      <c r="C54" s="794" t="s">
        <v>83</v>
      </c>
      <c r="D54" s="222"/>
      <c r="E54" s="222"/>
      <c r="F54" s="222"/>
      <c r="G54" s="222"/>
    </row>
    <row r="55" spans="2:7" ht="16.5">
      <c r="B55" s="806">
        <v>16292</v>
      </c>
      <c r="C55" s="799" t="s">
        <v>1837</v>
      </c>
      <c r="D55" s="222"/>
      <c r="E55" s="222"/>
      <c r="F55" s="222"/>
      <c r="G55" s="222"/>
    </row>
    <row r="56" spans="2:7" ht="16.5">
      <c r="B56" s="798">
        <v>16299</v>
      </c>
      <c r="C56" s="799" t="s">
        <v>1838</v>
      </c>
      <c r="D56" s="222"/>
      <c r="E56" s="222"/>
      <c r="F56" s="222"/>
      <c r="G56" s="222"/>
    </row>
    <row r="57" spans="2:7" ht="16.5">
      <c r="B57" s="798">
        <v>16291</v>
      </c>
      <c r="C57" s="799" t="s">
        <v>2791</v>
      </c>
      <c r="D57" s="222"/>
      <c r="E57" s="222" t="s">
        <v>1839</v>
      </c>
      <c r="F57" s="222"/>
      <c r="G57" s="222"/>
    </row>
    <row r="58" spans="2:7" ht="16.5">
      <c r="B58" s="797">
        <v>1711</v>
      </c>
      <c r="C58" s="794" t="s">
        <v>85</v>
      </c>
      <c r="D58" s="222"/>
      <c r="E58" s="222" t="s">
        <v>1838</v>
      </c>
      <c r="F58" s="222"/>
      <c r="G58" s="222"/>
    </row>
    <row r="59" spans="2:7" ht="16.5">
      <c r="B59" s="797">
        <v>20112</v>
      </c>
      <c r="C59" s="794" t="s">
        <v>86</v>
      </c>
      <c r="D59" s="222"/>
      <c r="E59" s="222"/>
      <c r="F59" s="222"/>
      <c r="G59" s="222"/>
    </row>
    <row r="60" spans="2:7" ht="16.5">
      <c r="B60" s="797">
        <v>1712</v>
      </c>
      <c r="C60" s="794" t="s">
        <v>87</v>
      </c>
      <c r="D60" s="222"/>
      <c r="E60" s="222"/>
      <c r="F60" s="222"/>
      <c r="G60" s="222"/>
    </row>
    <row r="61" spans="2:7" ht="16.5">
      <c r="B61" s="802">
        <v>20423</v>
      </c>
      <c r="C61" s="799" t="s">
        <v>1840</v>
      </c>
      <c r="D61" s="222"/>
      <c r="E61" s="222"/>
      <c r="F61" s="222"/>
      <c r="G61" s="222"/>
    </row>
    <row r="62" spans="2:7" ht="16.5">
      <c r="B62" s="797">
        <v>2593</v>
      </c>
      <c r="C62" s="794" t="s">
        <v>1841</v>
      </c>
      <c r="D62" s="222"/>
      <c r="E62" s="222"/>
      <c r="F62" s="222"/>
      <c r="G62" s="222"/>
    </row>
    <row r="63" spans="2:7" ht="16.5">
      <c r="B63" s="797">
        <v>2511</v>
      </c>
      <c r="C63" s="794" t="s">
        <v>1842</v>
      </c>
      <c r="D63" s="222"/>
      <c r="E63" s="222"/>
      <c r="F63" s="222"/>
      <c r="G63" s="222"/>
    </row>
    <row r="64" spans="2:7" ht="16.5">
      <c r="B64" s="806">
        <v>29194</v>
      </c>
      <c r="C64" s="799" t="s">
        <v>2712</v>
      </c>
      <c r="D64" s="222"/>
      <c r="E64" s="222"/>
      <c r="F64" s="222"/>
      <c r="G64" s="222"/>
    </row>
    <row r="65" spans="2:7" ht="16.5">
      <c r="B65" s="806">
        <v>2921</v>
      </c>
      <c r="C65" s="799" t="s">
        <v>1822</v>
      </c>
      <c r="D65" s="222"/>
      <c r="E65" s="222"/>
      <c r="F65" s="222"/>
      <c r="G65" s="222"/>
    </row>
    <row r="66" spans="2:7" ht="16.5">
      <c r="B66" s="806">
        <v>26429</v>
      </c>
      <c r="C66" s="799" t="s">
        <v>1844</v>
      </c>
      <c r="D66" s="222"/>
      <c r="E66" s="222"/>
      <c r="F66" s="222"/>
      <c r="G66" s="222"/>
    </row>
    <row r="67" spans="2:7" ht="16.5">
      <c r="B67" s="807">
        <v>20129</v>
      </c>
      <c r="C67" s="799" t="s">
        <v>1845</v>
      </c>
      <c r="D67" s="222"/>
      <c r="E67" s="222"/>
      <c r="F67" s="222"/>
      <c r="G67" s="222"/>
    </row>
    <row r="68" spans="2:7" ht="16.5">
      <c r="B68" s="807">
        <v>20493</v>
      </c>
      <c r="C68" s="808" t="s">
        <v>1818</v>
      </c>
      <c r="D68" s="222"/>
      <c r="E68" s="222"/>
      <c r="F68" s="222"/>
      <c r="G68" s="222"/>
    </row>
    <row r="69" spans="2:7" ht="16.5">
      <c r="B69" s="795">
        <v>204</v>
      </c>
      <c r="C69" s="794" t="s">
        <v>27</v>
      </c>
      <c r="D69" s="222"/>
      <c r="E69" s="222"/>
      <c r="F69" s="222"/>
      <c r="G69" s="222"/>
    </row>
    <row r="70" spans="2:7" ht="16.5">
      <c r="B70" s="798">
        <v>62</v>
      </c>
      <c r="C70" s="799" t="s">
        <v>1827</v>
      </c>
      <c r="D70" s="222"/>
      <c r="E70" s="222"/>
      <c r="F70" s="222"/>
      <c r="G70" s="222"/>
    </row>
    <row r="71" spans="2:7" ht="16.5">
      <c r="B71" s="798">
        <v>63</v>
      </c>
      <c r="C71" s="799" t="s">
        <v>1349</v>
      </c>
      <c r="D71" s="222"/>
      <c r="E71" s="222"/>
      <c r="F71" s="222"/>
      <c r="G71" s="222"/>
    </row>
    <row r="72" spans="2:7" ht="16.5">
      <c r="B72" s="798">
        <v>5822</v>
      </c>
      <c r="C72" s="799" t="s">
        <v>1826</v>
      </c>
      <c r="D72" s="222"/>
      <c r="E72" s="222"/>
      <c r="F72" s="222"/>
      <c r="G72" s="222"/>
    </row>
    <row r="73" spans="2:7" ht="16.5">
      <c r="B73" s="800">
        <v>41226</v>
      </c>
      <c r="C73" s="794" t="s">
        <v>94</v>
      </c>
      <c r="D73" s="222"/>
      <c r="E73" s="222"/>
      <c r="F73" s="222"/>
      <c r="G73" s="222"/>
    </row>
    <row r="74" spans="2:7" ht="16.5">
      <c r="B74" s="800">
        <v>7430</v>
      </c>
      <c r="C74" s="794" t="s">
        <v>1846</v>
      </c>
      <c r="D74" s="222"/>
      <c r="E74" s="222"/>
      <c r="F74" s="222"/>
      <c r="G74" s="222"/>
    </row>
    <row r="75" spans="2:7" ht="16.5">
      <c r="B75" s="800">
        <v>72112</v>
      </c>
      <c r="C75" s="794" t="s">
        <v>1847</v>
      </c>
      <c r="D75" s="222"/>
      <c r="E75" s="222"/>
      <c r="F75" s="222"/>
      <c r="G75" s="222"/>
    </row>
    <row r="76" spans="2:7" ht="16.5">
      <c r="B76" s="807">
        <v>37</v>
      </c>
      <c r="C76" s="808" t="s">
        <v>2727</v>
      </c>
      <c r="D76" s="222"/>
      <c r="E76" s="222"/>
      <c r="F76" s="222"/>
      <c r="G76" s="222"/>
    </row>
    <row r="77" spans="2:7" ht="16.5">
      <c r="B77" s="807">
        <v>38</v>
      </c>
      <c r="C77" s="808" t="s">
        <v>2729</v>
      </c>
      <c r="D77" s="222"/>
      <c r="E77" s="222"/>
      <c r="F77" s="222"/>
      <c r="G77" s="222"/>
    </row>
    <row r="78" spans="2:7" ht="16.5">
      <c r="B78" s="807">
        <v>39</v>
      </c>
      <c r="C78" s="808" t="s">
        <v>2731</v>
      </c>
      <c r="D78" s="222"/>
      <c r="E78" s="222"/>
      <c r="F78" s="222"/>
      <c r="G78" s="222"/>
    </row>
    <row r="79" spans="2:7" ht="16.5">
      <c r="B79" s="800">
        <v>7011</v>
      </c>
      <c r="C79" s="794" t="s">
        <v>1848</v>
      </c>
      <c r="D79" s="222"/>
      <c r="E79" s="222"/>
      <c r="F79" s="222"/>
      <c r="G79" s="222"/>
    </row>
    <row r="80" spans="2:7" ht="16.5">
      <c r="B80" s="795">
        <v>204</v>
      </c>
      <c r="C80" s="794" t="s">
        <v>27</v>
      </c>
      <c r="D80" s="222"/>
      <c r="E80" s="222"/>
      <c r="F80" s="222"/>
      <c r="G80" s="222"/>
    </row>
    <row r="81" spans="2:7" ht="16.5">
      <c r="B81" s="795">
        <v>311</v>
      </c>
      <c r="C81" s="794" t="s">
        <v>100</v>
      </c>
      <c r="D81" s="222"/>
      <c r="E81" s="222"/>
      <c r="F81" s="222"/>
      <c r="G81" s="222"/>
    </row>
    <row r="82" spans="2:7" ht="16.5">
      <c r="B82" s="795">
        <v>312</v>
      </c>
      <c r="C82" s="794" t="s">
        <v>101</v>
      </c>
      <c r="D82" s="222"/>
      <c r="E82" s="222"/>
      <c r="F82" s="222"/>
      <c r="G82" s="222"/>
    </row>
    <row r="83" spans="2:7" ht="16.5">
      <c r="B83" s="795">
        <v>321</v>
      </c>
      <c r="C83" s="794" t="s">
        <v>29</v>
      </c>
      <c r="D83" s="222"/>
      <c r="E83" s="222"/>
      <c r="F83" s="222"/>
      <c r="G83" s="222"/>
    </row>
    <row r="84" spans="2:7" ht="16.5">
      <c r="B84" s="800">
        <v>3311</v>
      </c>
      <c r="C84" s="794" t="s">
        <v>1849</v>
      </c>
      <c r="D84" s="222"/>
      <c r="E84" s="222"/>
      <c r="F84" s="222"/>
      <c r="G84" s="222"/>
    </row>
    <row r="85" spans="2:7" ht="16.5">
      <c r="B85" s="806">
        <v>32029</v>
      </c>
      <c r="C85" s="794" t="s">
        <v>1850</v>
      </c>
      <c r="D85" s="222"/>
      <c r="E85" s="222"/>
      <c r="F85" s="222"/>
      <c r="G85" s="222"/>
    </row>
    <row r="86" spans="2:7" ht="16.5">
      <c r="B86" s="806">
        <v>16293</v>
      </c>
      <c r="C86" s="794" t="s">
        <v>1837</v>
      </c>
      <c r="D86" s="222"/>
      <c r="E86" s="222"/>
      <c r="F86" s="222"/>
      <c r="G86" s="222"/>
    </row>
    <row r="87" spans="2:7" ht="16.5">
      <c r="B87" s="807">
        <v>2011</v>
      </c>
      <c r="C87" s="808" t="s">
        <v>1851</v>
      </c>
      <c r="D87" s="222"/>
      <c r="E87" s="222"/>
      <c r="F87" s="222"/>
      <c r="G87" s="222"/>
    </row>
    <row r="88" spans="2:7" ht="16.5">
      <c r="B88" s="807">
        <v>20423</v>
      </c>
      <c r="C88" s="808" t="s">
        <v>1840</v>
      </c>
      <c r="D88" s="222"/>
      <c r="E88" s="222"/>
      <c r="F88" s="222"/>
      <c r="G88" s="222"/>
    </row>
    <row r="89" spans="2:7" ht="16.5">
      <c r="B89" s="800">
        <v>3111</v>
      </c>
      <c r="C89" s="794" t="s">
        <v>2759</v>
      </c>
      <c r="D89" s="222"/>
      <c r="E89" s="222"/>
      <c r="F89" s="222"/>
      <c r="G89" s="222"/>
    </row>
    <row r="90" spans="2:7" ht="16.5">
      <c r="B90" s="800">
        <v>3112</v>
      </c>
      <c r="C90" s="794" t="s">
        <v>106</v>
      </c>
      <c r="D90" s="222"/>
      <c r="E90" s="222"/>
      <c r="F90" s="222"/>
      <c r="G90" s="222"/>
    </row>
    <row r="91" spans="2:7" ht="16.5">
      <c r="B91" s="800">
        <v>31114</v>
      </c>
      <c r="C91" s="794" t="s">
        <v>1852</v>
      </c>
      <c r="D91" s="222"/>
      <c r="E91" s="222"/>
      <c r="F91" s="222"/>
      <c r="G91" s="222"/>
    </row>
    <row r="92" spans="2:7" ht="16.5">
      <c r="B92" s="800">
        <v>2721</v>
      </c>
      <c r="C92" s="794" t="s">
        <v>1823</v>
      </c>
      <c r="D92" s="222"/>
      <c r="E92" s="222"/>
      <c r="F92" s="222"/>
      <c r="G92" s="222"/>
    </row>
    <row r="93" spans="2:7" ht="16.5">
      <c r="B93" s="800">
        <v>13922</v>
      </c>
      <c r="C93" s="794" t="s">
        <v>1853</v>
      </c>
      <c r="D93" s="222"/>
      <c r="E93" s="222"/>
      <c r="F93" s="222"/>
      <c r="G93" s="222"/>
    </row>
    <row r="94" spans="2:7" ht="16.5">
      <c r="B94" s="797">
        <v>2511</v>
      </c>
      <c r="C94" s="794" t="s">
        <v>1842</v>
      </c>
      <c r="D94" s="222"/>
      <c r="E94" s="222"/>
      <c r="F94" s="222"/>
      <c r="G94" s="222"/>
    </row>
    <row r="95" spans="2:7" ht="16.5">
      <c r="B95" s="807">
        <v>23111</v>
      </c>
      <c r="C95" s="808" t="s">
        <v>2761</v>
      </c>
      <c r="D95" s="222"/>
      <c r="E95" s="222"/>
      <c r="F95" s="222"/>
      <c r="G95" s="222"/>
    </row>
    <row r="96" spans="2:7" ht="16.5">
      <c r="B96" s="800">
        <v>2323</v>
      </c>
      <c r="C96" s="794" t="s">
        <v>2763</v>
      </c>
      <c r="D96" s="222"/>
      <c r="E96" s="222"/>
      <c r="F96" s="222"/>
      <c r="G96" s="222"/>
    </row>
    <row r="97" spans="2:7" ht="16.5">
      <c r="B97" s="800">
        <v>2332</v>
      </c>
      <c r="C97" s="794" t="s">
        <v>1854</v>
      </c>
      <c r="D97" s="222"/>
      <c r="E97" s="222"/>
      <c r="F97" s="222"/>
      <c r="G97" s="222"/>
    </row>
    <row r="98" spans="2:7" ht="16.5">
      <c r="B98" s="807">
        <v>25944</v>
      </c>
      <c r="C98" s="808" t="s">
        <v>1855</v>
      </c>
      <c r="D98" s="222"/>
      <c r="E98" s="801"/>
      <c r="F98" s="222"/>
      <c r="G98" s="222"/>
    </row>
    <row r="99" spans="2:7" ht="16.5">
      <c r="B99" s="806">
        <v>29</v>
      </c>
      <c r="C99" s="808" t="s">
        <v>1856</v>
      </c>
      <c r="D99" s="222"/>
      <c r="E99" s="222"/>
      <c r="F99" s="222"/>
      <c r="G99" s="222"/>
    </row>
    <row r="100" spans="2:7" ht="16.5">
      <c r="B100" s="806">
        <v>28</v>
      </c>
      <c r="C100" s="808" t="s">
        <v>1857</v>
      </c>
      <c r="D100" s="222"/>
      <c r="E100" s="222"/>
      <c r="F100" s="222"/>
      <c r="G100" s="222"/>
    </row>
    <row r="101" spans="2:7" ht="16.5">
      <c r="B101" s="800">
        <v>222</v>
      </c>
      <c r="C101" s="794" t="s">
        <v>2785</v>
      </c>
      <c r="D101" s="222"/>
      <c r="E101" s="222"/>
      <c r="F101" s="222"/>
      <c r="G101" s="222"/>
    </row>
    <row r="102" spans="2:7" ht="16.5">
      <c r="B102" s="807">
        <v>20492</v>
      </c>
      <c r="C102" s="809" t="s">
        <v>1858</v>
      </c>
      <c r="D102" s="222"/>
      <c r="E102" s="801" t="s">
        <v>1858</v>
      </c>
      <c r="F102" s="810"/>
      <c r="G102" s="810">
        <v>20492</v>
      </c>
    </row>
    <row r="103" spans="2:7" ht="16.5">
      <c r="B103" s="811">
        <v>7220</v>
      </c>
      <c r="C103" s="808" t="s">
        <v>2766</v>
      </c>
      <c r="D103" s="222"/>
      <c r="E103" s="222" t="s">
        <v>2742</v>
      </c>
      <c r="F103" s="222"/>
      <c r="G103" s="222">
        <v>7220</v>
      </c>
    </row>
    <row r="104" spans="2:7" ht="16.5">
      <c r="B104" s="807">
        <v>20499</v>
      </c>
      <c r="C104" s="808" t="s">
        <v>2743</v>
      </c>
      <c r="D104" s="222"/>
      <c r="E104" s="222">
        <v>20499</v>
      </c>
      <c r="F104" s="222" t="s">
        <v>2743</v>
      </c>
      <c r="G104" s="222"/>
    </row>
    <row r="105" spans="2:7" ht="16.5">
      <c r="B105" s="807">
        <v>33303</v>
      </c>
      <c r="C105" s="808" t="s">
        <v>2744</v>
      </c>
      <c r="D105" s="222"/>
      <c r="E105" s="222">
        <v>33303</v>
      </c>
      <c r="F105" s="222" t="s">
        <v>2745</v>
      </c>
      <c r="G105" s="222"/>
    </row>
    <row r="106" spans="2:7" ht="16.5">
      <c r="B106" s="807">
        <v>33999</v>
      </c>
      <c r="C106" s="794" t="s">
        <v>2746</v>
      </c>
      <c r="D106" s="222"/>
      <c r="E106" s="812">
        <v>33999</v>
      </c>
      <c r="F106" s="222" t="s">
        <v>2747</v>
      </c>
      <c r="G106" s="222"/>
    </row>
    <row r="107" spans="2:7" ht="16.5">
      <c r="B107" s="806">
        <v>22193</v>
      </c>
      <c r="C107" s="808" t="s">
        <v>2768</v>
      </c>
      <c r="D107" s="222"/>
      <c r="E107" s="222"/>
      <c r="F107" s="222"/>
      <c r="G107" s="222"/>
    </row>
    <row r="108" spans="2:7" ht="16.5">
      <c r="B108" s="806">
        <v>25931</v>
      </c>
      <c r="C108" s="808" t="s">
        <v>1860</v>
      </c>
      <c r="D108" s="222"/>
      <c r="E108" s="222"/>
      <c r="F108" s="222"/>
      <c r="G108" s="222"/>
    </row>
    <row r="109" spans="2:7" ht="16.5">
      <c r="B109" s="797">
        <v>13219</v>
      </c>
      <c r="C109" s="794" t="s">
        <v>1861</v>
      </c>
      <c r="D109" s="222"/>
      <c r="E109" s="222"/>
      <c r="F109" s="222"/>
      <c r="G109" s="222"/>
    </row>
    <row r="110" spans="2:7" ht="16.5">
      <c r="B110" s="797">
        <v>42136</v>
      </c>
      <c r="C110" s="794" t="s">
        <v>114</v>
      </c>
      <c r="D110" s="222"/>
      <c r="E110" s="222"/>
      <c r="F110" s="222"/>
      <c r="G110" s="222"/>
    </row>
    <row r="111" spans="2:7" ht="16.5">
      <c r="B111" s="802">
        <v>62</v>
      </c>
      <c r="C111" s="799" t="s">
        <v>2319</v>
      </c>
      <c r="D111" s="222"/>
      <c r="E111" s="222"/>
      <c r="F111" s="222"/>
      <c r="G111" s="222"/>
    </row>
    <row r="112" spans="2:7" ht="16.5">
      <c r="B112" s="802">
        <v>63</v>
      </c>
      <c r="C112" s="799" t="s">
        <v>2720</v>
      </c>
      <c r="D112" s="222"/>
      <c r="E112" s="222"/>
      <c r="F112" s="222"/>
      <c r="G112" s="222"/>
    </row>
    <row r="113" spans="2:7" ht="16.5">
      <c r="B113" s="802">
        <v>5822</v>
      </c>
      <c r="C113" s="799" t="s">
        <v>2722</v>
      </c>
      <c r="D113" s="222"/>
      <c r="E113" s="222"/>
      <c r="F113" s="222"/>
      <c r="G113" s="222"/>
    </row>
    <row r="114" spans="2:7" ht="16.5">
      <c r="B114" s="797">
        <v>701</v>
      </c>
      <c r="C114" s="794" t="s">
        <v>1862</v>
      </c>
      <c r="D114" s="222"/>
      <c r="E114" s="222"/>
      <c r="F114" s="222"/>
      <c r="G114" s="222"/>
    </row>
    <row r="115" spans="2:7" ht="16.5">
      <c r="B115" s="797">
        <v>7291</v>
      </c>
      <c r="C115" s="794" t="s">
        <v>1831</v>
      </c>
      <c r="D115" s="222"/>
      <c r="E115" s="222"/>
      <c r="F115" s="222"/>
      <c r="G115" s="222"/>
    </row>
    <row r="116" spans="2:7" ht="16.5">
      <c r="B116" s="797">
        <v>7212</v>
      </c>
      <c r="C116" s="794" t="s">
        <v>1832</v>
      </c>
      <c r="D116" s="222"/>
      <c r="E116" s="222"/>
      <c r="F116" s="222"/>
      <c r="G116" s="222"/>
    </row>
    <row r="117" spans="2:7" ht="16.5">
      <c r="B117" s="797">
        <v>7310</v>
      </c>
      <c r="C117" s="794" t="s">
        <v>70</v>
      </c>
      <c r="D117" s="222"/>
      <c r="E117" s="222"/>
      <c r="F117" s="222"/>
      <c r="G117" s="222"/>
    </row>
    <row r="118" spans="2:7" ht="16.5">
      <c r="B118" s="802">
        <v>37</v>
      </c>
      <c r="C118" s="799" t="s">
        <v>2727</v>
      </c>
      <c r="D118" s="222"/>
      <c r="E118" s="222"/>
      <c r="F118" s="222"/>
      <c r="G118" s="222"/>
    </row>
    <row r="119" spans="2:7" ht="16.5">
      <c r="B119" s="802">
        <v>38</v>
      </c>
      <c r="C119" s="799" t="s">
        <v>2729</v>
      </c>
      <c r="D119" s="222"/>
      <c r="E119" s="222"/>
      <c r="F119" s="222"/>
      <c r="G119" s="222"/>
    </row>
    <row r="120" spans="2:7" ht="16.5">
      <c r="B120" s="802">
        <v>39</v>
      </c>
      <c r="C120" s="799" t="s">
        <v>2731</v>
      </c>
      <c r="D120" s="222"/>
      <c r="E120" s="222"/>
      <c r="F120" s="222"/>
      <c r="G120" s="222"/>
    </row>
    <row r="121" spans="2:7" ht="16.5">
      <c r="B121" s="806">
        <v>91239</v>
      </c>
      <c r="C121" s="794" t="s">
        <v>1863</v>
      </c>
      <c r="D121" s="222"/>
      <c r="E121" s="222"/>
      <c r="F121" s="222"/>
      <c r="G121" s="222"/>
    </row>
    <row r="122" spans="2:7" ht="16.5">
      <c r="B122" s="806">
        <v>72923</v>
      </c>
      <c r="C122" s="794" t="s">
        <v>1864</v>
      </c>
      <c r="D122" s="222"/>
      <c r="E122" s="222"/>
      <c r="F122" s="222"/>
      <c r="G122" s="222"/>
    </row>
    <row r="123" spans="2:7" ht="16.5">
      <c r="B123" s="797">
        <v>41224</v>
      </c>
      <c r="C123" s="794" t="s">
        <v>1865</v>
      </c>
      <c r="D123" s="222"/>
      <c r="E123" s="222"/>
      <c r="F123" s="222"/>
      <c r="G123" s="222"/>
    </row>
    <row r="124" spans="2:7" ht="16.5">
      <c r="B124" s="806">
        <v>42412</v>
      </c>
      <c r="C124" s="794" t="s">
        <v>1866</v>
      </c>
      <c r="D124" s="222"/>
      <c r="E124" s="222"/>
      <c r="F124" s="222"/>
      <c r="G124" s="222"/>
    </row>
    <row r="125" spans="2:7" ht="16.5">
      <c r="B125" s="806">
        <v>73909</v>
      </c>
      <c r="C125" s="794" t="s">
        <v>2748</v>
      </c>
      <c r="D125" s="222"/>
      <c r="E125" s="222"/>
      <c r="F125" s="222"/>
      <c r="G125" s="222"/>
    </row>
    <row r="126" spans="2:7" ht="16.5">
      <c r="B126" s="806">
        <v>91231</v>
      </c>
      <c r="C126" s="794" t="s">
        <v>1867</v>
      </c>
      <c r="D126" s="222"/>
      <c r="E126" s="801"/>
      <c r="F126" s="222"/>
      <c r="G126" s="222"/>
    </row>
    <row r="127" spans="2:7" ht="16.5">
      <c r="B127" s="806">
        <v>42322</v>
      </c>
      <c r="C127" s="794" t="s">
        <v>1868</v>
      </c>
      <c r="D127" s="222"/>
      <c r="E127" s="801"/>
      <c r="F127" s="222"/>
      <c r="G127" s="222"/>
    </row>
    <row r="128" spans="2:7" ht="16.5">
      <c r="B128" s="797">
        <v>1011</v>
      </c>
      <c r="C128" s="794" t="s">
        <v>6</v>
      </c>
      <c r="D128" s="222"/>
      <c r="E128" s="222"/>
      <c r="F128" s="222"/>
      <c r="G128" s="222"/>
    </row>
    <row r="129" spans="2:7" ht="16.5">
      <c r="B129" s="797">
        <v>1012</v>
      </c>
      <c r="C129" s="794" t="s">
        <v>122</v>
      </c>
      <c r="D129" s="222"/>
      <c r="E129" s="222"/>
      <c r="F129" s="222"/>
      <c r="G129" s="222"/>
    </row>
    <row r="130" spans="2:7" ht="16.5">
      <c r="B130" s="797">
        <v>1021</v>
      </c>
      <c r="C130" s="794" t="s">
        <v>123</v>
      </c>
      <c r="D130" s="222"/>
      <c r="E130" s="222"/>
      <c r="F130" s="222"/>
      <c r="G130" s="222"/>
    </row>
    <row r="131" spans="2:7" ht="16.5">
      <c r="B131" s="797">
        <v>1022</v>
      </c>
      <c r="C131" s="794" t="s">
        <v>124</v>
      </c>
      <c r="D131" s="222"/>
      <c r="E131" s="222"/>
      <c r="F131" s="222"/>
      <c r="G131" s="222"/>
    </row>
    <row r="132" spans="2:7" ht="16.5">
      <c r="B132" s="797">
        <v>1030</v>
      </c>
      <c r="C132" s="794" t="s">
        <v>35</v>
      </c>
      <c r="D132" s="222"/>
      <c r="E132" s="222"/>
      <c r="F132" s="222"/>
      <c r="G132" s="222"/>
    </row>
    <row r="133" spans="2:7" ht="16.5">
      <c r="B133" s="797">
        <v>1040</v>
      </c>
      <c r="C133" s="794" t="s">
        <v>36</v>
      </c>
      <c r="D133" s="222"/>
      <c r="E133" s="222"/>
      <c r="F133" s="222"/>
      <c r="G133" s="222"/>
    </row>
    <row r="134" spans="2:7" ht="16.5">
      <c r="B134" s="797">
        <v>1050</v>
      </c>
      <c r="C134" s="794" t="s">
        <v>37</v>
      </c>
      <c r="D134" s="222"/>
      <c r="E134" s="222"/>
      <c r="F134" s="222"/>
      <c r="G134" s="222"/>
    </row>
    <row r="135" spans="2:7" ht="16.5">
      <c r="B135" s="797">
        <v>1061</v>
      </c>
      <c r="C135" s="794" t="s">
        <v>125</v>
      </c>
      <c r="D135" s="222"/>
      <c r="E135" s="222"/>
      <c r="F135" s="222"/>
      <c r="G135" s="222"/>
    </row>
    <row r="136" spans="2:7" ht="16.5">
      <c r="B136" s="797">
        <v>1062</v>
      </c>
      <c r="C136" s="794" t="s">
        <v>126</v>
      </c>
      <c r="D136" s="222"/>
      <c r="E136" s="222"/>
      <c r="F136" s="222"/>
      <c r="G136" s="222"/>
    </row>
    <row r="137" spans="2:7" ht="16.5">
      <c r="B137" s="797">
        <v>1080</v>
      </c>
      <c r="C137" s="794" t="s">
        <v>39</v>
      </c>
      <c r="D137" s="222"/>
      <c r="E137" s="222"/>
      <c r="F137" s="222"/>
      <c r="G137" s="222"/>
    </row>
    <row r="138" spans="2:7" ht="16.5">
      <c r="B138" s="797">
        <v>1071</v>
      </c>
      <c r="C138" s="794" t="s">
        <v>127</v>
      </c>
      <c r="D138" s="222"/>
      <c r="E138" s="222"/>
      <c r="F138" s="222"/>
      <c r="G138" s="222"/>
    </row>
    <row r="139" spans="2:7" ht="16.5">
      <c r="B139" s="797">
        <v>1072</v>
      </c>
      <c r="C139" s="794" t="s">
        <v>128</v>
      </c>
      <c r="D139" s="222"/>
      <c r="E139" s="222"/>
      <c r="F139" s="222"/>
      <c r="G139" s="222"/>
    </row>
    <row r="140" spans="2:7" ht="16.5">
      <c r="B140" s="797">
        <v>1073</v>
      </c>
      <c r="C140" s="794" t="s">
        <v>129</v>
      </c>
      <c r="D140" s="222"/>
      <c r="E140" s="222"/>
      <c r="F140" s="222"/>
      <c r="G140" s="222"/>
    </row>
    <row r="141" spans="2:7" ht="16.5">
      <c r="B141" s="797">
        <v>1074</v>
      </c>
      <c r="C141" s="794" t="s">
        <v>130</v>
      </c>
      <c r="D141" s="222"/>
      <c r="E141" s="222"/>
      <c r="F141" s="222"/>
      <c r="G141" s="222"/>
    </row>
    <row r="142" spans="2:7" ht="16.5">
      <c r="B142" s="797">
        <v>1079</v>
      </c>
      <c r="C142" s="794" t="s">
        <v>132</v>
      </c>
      <c r="D142" s="222"/>
      <c r="E142" s="222"/>
      <c r="F142" s="222"/>
      <c r="G142" s="222"/>
    </row>
    <row r="143" spans="2:7" ht="16.5">
      <c r="B143" s="797">
        <v>1079</v>
      </c>
      <c r="C143" s="794" t="s">
        <v>132</v>
      </c>
      <c r="D143" s="222"/>
      <c r="E143" s="222"/>
      <c r="F143" s="222"/>
      <c r="G143" s="222"/>
    </row>
    <row r="144" spans="2:7" ht="16.5">
      <c r="B144" s="797">
        <v>1111</v>
      </c>
      <c r="C144" s="794" t="s">
        <v>133</v>
      </c>
      <c r="D144" s="222"/>
      <c r="E144" s="222"/>
      <c r="F144" s="222"/>
      <c r="G144" s="222"/>
    </row>
    <row r="145" spans="2:7" ht="16.5">
      <c r="B145" s="797">
        <v>1112</v>
      </c>
      <c r="C145" s="794" t="s">
        <v>134</v>
      </c>
      <c r="D145" s="222"/>
      <c r="E145" s="222"/>
      <c r="F145" s="222"/>
      <c r="G145" s="222"/>
    </row>
    <row r="146" spans="2:7" ht="16.5">
      <c r="B146" s="797">
        <v>11202</v>
      </c>
      <c r="C146" s="794" t="s">
        <v>1869</v>
      </c>
      <c r="D146" s="222"/>
      <c r="E146" s="222"/>
      <c r="F146" s="222"/>
      <c r="G146" s="222"/>
    </row>
    <row r="147" spans="2:7" ht="16.5">
      <c r="B147" s="797">
        <v>11209</v>
      </c>
      <c r="C147" s="794" t="s">
        <v>1870</v>
      </c>
      <c r="D147" s="222"/>
      <c r="E147" s="222"/>
      <c r="F147" s="222"/>
      <c r="G147" s="222"/>
    </row>
    <row r="148" spans="2:7" ht="16.5">
      <c r="B148" s="797">
        <v>11201</v>
      </c>
      <c r="C148" s="794" t="s">
        <v>1871</v>
      </c>
      <c r="D148" s="222"/>
      <c r="E148" s="222"/>
      <c r="F148" s="222"/>
      <c r="G148" s="222"/>
    </row>
    <row r="149" spans="2:7" ht="16.5">
      <c r="B149" s="806">
        <v>2925</v>
      </c>
      <c r="C149" s="808" t="s">
        <v>2751</v>
      </c>
      <c r="D149" s="222"/>
      <c r="E149" s="812">
        <v>2925</v>
      </c>
      <c r="F149" s="222" t="s">
        <v>2751</v>
      </c>
      <c r="G149" s="222"/>
    </row>
    <row r="150" spans="2:7" ht="16.5">
      <c r="B150" s="806">
        <v>2852</v>
      </c>
      <c r="C150" s="808" t="s">
        <v>2749</v>
      </c>
      <c r="D150" s="222"/>
      <c r="E150" s="812">
        <v>2852</v>
      </c>
      <c r="F150" s="222" t="s">
        <v>2750</v>
      </c>
      <c r="G150" s="222"/>
    </row>
    <row r="151" spans="2:7" ht="16.5">
      <c r="B151" s="797">
        <v>28511</v>
      </c>
      <c r="C151" s="794" t="s">
        <v>136</v>
      </c>
      <c r="D151" s="222"/>
      <c r="E151" s="222"/>
      <c r="F151" s="222"/>
      <c r="G151" s="222"/>
    </row>
    <row r="152" spans="2:7" ht="16.5">
      <c r="B152" s="797">
        <v>25</v>
      </c>
      <c r="C152" s="794" t="s">
        <v>1821</v>
      </c>
      <c r="D152" s="222"/>
      <c r="E152" s="222"/>
      <c r="F152" s="222"/>
      <c r="G152" s="222"/>
    </row>
    <row r="153" spans="2:7" ht="16.5">
      <c r="B153" s="806">
        <v>22231</v>
      </c>
      <c r="C153" s="794" t="s">
        <v>2752</v>
      </c>
      <c r="D153" s="222"/>
      <c r="E153" s="222"/>
      <c r="F153" s="222"/>
      <c r="G153" s="222"/>
    </row>
    <row r="154" spans="2:7" ht="16.5">
      <c r="B154" s="802">
        <v>20422</v>
      </c>
      <c r="C154" s="799" t="s">
        <v>2735</v>
      </c>
      <c r="D154" s="222"/>
      <c r="E154" s="222"/>
      <c r="F154" s="222"/>
      <c r="G154" s="222"/>
    </row>
    <row r="155" spans="2:7" ht="16.5">
      <c r="B155" s="806">
        <v>25993</v>
      </c>
      <c r="C155" s="794" t="s">
        <v>1873</v>
      </c>
      <c r="D155" s="222"/>
      <c r="E155" s="222"/>
      <c r="F155" s="222"/>
      <c r="G155" s="222"/>
    </row>
    <row r="156" spans="2:7" ht="16.5">
      <c r="B156" s="806">
        <v>22193</v>
      </c>
      <c r="C156" s="808" t="s">
        <v>2769</v>
      </c>
      <c r="D156" s="222"/>
      <c r="E156" s="222"/>
      <c r="F156" s="222"/>
      <c r="G156" s="222"/>
    </row>
    <row r="157" spans="2:7" ht="16.5">
      <c r="B157" s="806">
        <v>17902</v>
      </c>
      <c r="C157" s="794" t="s">
        <v>2753</v>
      </c>
      <c r="D157" s="222"/>
      <c r="E157" s="222"/>
      <c r="F157" s="222"/>
      <c r="G157" s="222"/>
    </row>
    <row r="158" spans="2:7" ht="16.5">
      <c r="B158" s="802">
        <v>22231</v>
      </c>
      <c r="C158" s="799" t="s">
        <v>2754</v>
      </c>
      <c r="D158" s="222"/>
      <c r="E158" s="813"/>
      <c r="F158" s="222"/>
      <c r="G158" s="222"/>
    </row>
    <row r="159" spans="2:7" ht="16.5">
      <c r="B159" s="806">
        <v>22213</v>
      </c>
      <c r="C159" s="808" t="s">
        <v>1876</v>
      </c>
      <c r="D159" s="222">
        <v>22212</v>
      </c>
      <c r="E159" s="801" t="s">
        <v>2755</v>
      </c>
      <c r="F159" s="222"/>
      <c r="G159" s="222"/>
    </row>
    <row r="160" spans="2:7" ht="16.5">
      <c r="B160" s="806">
        <v>23192</v>
      </c>
      <c r="C160" s="808" t="s">
        <v>1877</v>
      </c>
      <c r="D160" s="222">
        <v>23192</v>
      </c>
      <c r="E160" s="801" t="s">
        <v>1877</v>
      </c>
      <c r="F160" s="222"/>
      <c r="G160" s="222"/>
    </row>
    <row r="161" spans="2:7" ht="16.5">
      <c r="B161" s="806">
        <v>23221</v>
      </c>
      <c r="C161" s="794" t="s">
        <v>2796</v>
      </c>
      <c r="D161" s="222"/>
      <c r="E161" s="222"/>
      <c r="F161" s="222"/>
      <c r="G161" s="222"/>
    </row>
    <row r="162" spans="2:7" ht="16.5">
      <c r="B162" s="806">
        <v>17223</v>
      </c>
      <c r="C162" s="794" t="s">
        <v>2757</v>
      </c>
      <c r="D162" s="222"/>
      <c r="E162" s="222"/>
      <c r="F162" s="222"/>
      <c r="G162" s="222"/>
    </row>
    <row r="163" spans="2:7" ht="16.5">
      <c r="B163" s="797">
        <v>17223</v>
      </c>
      <c r="C163" s="794" t="s">
        <v>1878</v>
      </c>
      <c r="D163" s="222"/>
      <c r="E163" s="222"/>
      <c r="F163" s="222"/>
      <c r="G163" s="222"/>
    </row>
    <row r="164" spans="2:7" ht="16.5">
      <c r="B164" s="806">
        <v>22232</v>
      </c>
      <c r="C164" s="794" t="s">
        <v>2713</v>
      </c>
      <c r="D164" s="222"/>
      <c r="E164" s="222"/>
      <c r="F164" s="222"/>
      <c r="G164" s="222"/>
    </row>
    <row r="165" spans="2:7" ht="16.5">
      <c r="B165" s="806">
        <v>22251</v>
      </c>
      <c r="C165" s="799" t="s">
        <v>2716</v>
      </c>
      <c r="D165" s="222"/>
      <c r="E165" s="222"/>
      <c r="F165" s="222"/>
      <c r="G165" s="222"/>
    </row>
    <row r="166" spans="2:7" ht="16.5">
      <c r="B166" s="802">
        <v>22212</v>
      </c>
      <c r="C166" s="799" t="s">
        <v>2733</v>
      </c>
      <c r="D166" s="222"/>
      <c r="E166" s="222"/>
      <c r="F166" s="222"/>
      <c r="G166" s="222"/>
    </row>
    <row r="167" spans="2:7" ht="16.5">
      <c r="B167" s="802">
        <v>22213</v>
      </c>
      <c r="C167" s="799" t="s">
        <v>2734</v>
      </c>
      <c r="D167" s="222"/>
      <c r="E167" s="222"/>
      <c r="F167" s="222"/>
      <c r="G167" s="222"/>
    </row>
    <row r="168" spans="2:7" ht="16.5">
      <c r="B168" s="797">
        <v>25991</v>
      </c>
      <c r="C168" s="794" t="s">
        <v>2715</v>
      </c>
      <c r="D168" s="222"/>
      <c r="E168" s="222"/>
      <c r="F168" s="222"/>
      <c r="G168" s="222"/>
    </row>
    <row r="169" spans="2:7" ht="16.5">
      <c r="B169" s="797">
        <v>29192</v>
      </c>
      <c r="C169" s="794" t="s">
        <v>1881</v>
      </c>
      <c r="D169" s="222"/>
      <c r="E169" s="222"/>
      <c r="F169" s="222"/>
      <c r="G169" s="222"/>
    </row>
    <row r="170" spans="2:7" ht="16.5">
      <c r="B170" s="797">
        <v>21102</v>
      </c>
      <c r="C170" s="814" t="s">
        <v>1882</v>
      </c>
      <c r="D170" s="222"/>
      <c r="E170" s="222"/>
      <c r="F170" s="222"/>
      <c r="G170" s="222"/>
    </row>
    <row r="171" spans="2:7" ht="16.5">
      <c r="B171" s="806">
        <v>23221</v>
      </c>
      <c r="C171" s="794" t="s">
        <v>2795</v>
      </c>
      <c r="D171" s="222"/>
      <c r="E171" s="222"/>
      <c r="F171" s="222"/>
      <c r="G171" s="222"/>
    </row>
    <row r="172" spans="2:7" ht="16.5">
      <c r="B172" s="797">
        <v>29171</v>
      </c>
      <c r="C172" s="794" t="s">
        <v>2794</v>
      </c>
      <c r="D172" s="222"/>
      <c r="E172" s="222" t="s">
        <v>2717</v>
      </c>
      <c r="F172" s="222"/>
      <c r="G172" s="222"/>
    </row>
    <row r="173" spans="2:7" ht="16.5">
      <c r="B173" s="797">
        <v>701</v>
      </c>
      <c r="C173" s="794" t="s">
        <v>2718</v>
      </c>
      <c r="D173" s="222"/>
      <c r="E173" s="222"/>
      <c r="F173" s="222"/>
      <c r="G173" s="222"/>
    </row>
    <row r="174" spans="2:7" ht="16.5">
      <c r="B174" s="797">
        <v>62</v>
      </c>
      <c r="C174" s="794" t="s">
        <v>2719</v>
      </c>
      <c r="D174" s="222"/>
      <c r="E174" s="222"/>
      <c r="F174" s="222"/>
      <c r="G174" s="222"/>
    </row>
    <row r="175" spans="2:7" ht="16.5">
      <c r="B175" s="797">
        <v>63</v>
      </c>
      <c r="C175" s="794" t="s">
        <v>2721</v>
      </c>
      <c r="D175" s="222"/>
      <c r="E175" s="222" t="s">
        <v>1826</v>
      </c>
      <c r="F175" s="222"/>
      <c r="G175" s="222"/>
    </row>
    <row r="176" spans="2:7" ht="16.5">
      <c r="B176" s="797">
        <v>5822</v>
      </c>
      <c r="C176" s="794" t="s">
        <v>2723</v>
      </c>
      <c r="D176" s="222"/>
      <c r="E176" s="222" t="s">
        <v>1827</v>
      </c>
      <c r="F176" s="222"/>
      <c r="G176" s="222"/>
    </row>
    <row r="177" spans="2:7" ht="16.5">
      <c r="B177" s="797">
        <v>7291</v>
      </c>
      <c r="C177" s="794" t="s">
        <v>1831</v>
      </c>
      <c r="D177" s="222"/>
      <c r="E177" s="222"/>
      <c r="F177" s="222"/>
      <c r="G177" s="222"/>
    </row>
    <row r="178" spans="2:7" ht="16.5">
      <c r="B178" s="806">
        <v>37</v>
      </c>
      <c r="C178" s="808" t="s">
        <v>2728</v>
      </c>
      <c r="D178" s="222"/>
      <c r="E178" s="222"/>
      <c r="F178" s="222"/>
      <c r="G178" s="222"/>
    </row>
    <row r="179" spans="2:7" ht="16.5">
      <c r="B179" s="797">
        <v>38</v>
      </c>
      <c r="C179" s="794" t="s">
        <v>1828</v>
      </c>
      <c r="D179" s="222"/>
      <c r="E179" s="222"/>
      <c r="F179" s="222"/>
      <c r="G179" s="222"/>
    </row>
    <row r="180" spans="2:7" ht="16.5">
      <c r="B180" s="797">
        <v>39</v>
      </c>
      <c r="C180" s="794" t="s">
        <v>2732</v>
      </c>
      <c r="D180" s="222"/>
      <c r="E180" s="222"/>
      <c r="F180" s="222"/>
      <c r="G180" s="222"/>
    </row>
    <row r="181" spans="2:7" ht="16.5">
      <c r="B181" s="797">
        <v>73909</v>
      </c>
      <c r="C181" s="794" t="s">
        <v>1833</v>
      </c>
      <c r="D181" s="222"/>
      <c r="E181" s="222"/>
      <c r="F181" s="222"/>
      <c r="G181" s="222"/>
    </row>
    <row r="182" spans="2:7" ht="16.5">
      <c r="B182" s="797">
        <v>73909</v>
      </c>
      <c r="C182" s="794" t="s">
        <v>1833</v>
      </c>
      <c r="D182" s="222"/>
      <c r="E182" s="222"/>
      <c r="F182" s="222"/>
      <c r="G182" s="222"/>
    </row>
  </sheetData>
  <phoneticPr fontId="11" type="noConversion"/>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sheetPr>
  <dimension ref="A1:T180"/>
  <sheetViews>
    <sheetView workbookViewId="0">
      <selection activeCell="B58" sqref="B58"/>
    </sheetView>
  </sheetViews>
  <sheetFormatPr defaultRowHeight="13.5"/>
  <cols>
    <col min="1" max="1" width="10.21875" style="156" customWidth="1"/>
    <col min="2" max="2" width="8.88671875" style="299"/>
    <col min="3" max="3" width="13.109375" style="144" customWidth="1"/>
    <col min="4" max="6" width="8.88671875" style="144"/>
    <col min="7" max="7" width="15.44140625" style="144" customWidth="1"/>
    <col min="8" max="8" width="8.88671875" hidden="1" customWidth="1"/>
    <col min="9" max="9" width="8.88671875" style="299" hidden="1" customWidth="1"/>
    <col min="10" max="10" width="8.88671875" style="144" hidden="1" customWidth="1"/>
    <col min="11" max="11" width="4.6640625" style="144" hidden="1" customWidth="1"/>
    <col min="12" max="12" width="8.88671875" style="144" hidden="1" customWidth="1"/>
    <col min="13" max="15" width="4.44140625" style="144" hidden="1" customWidth="1"/>
    <col min="16" max="16" width="8.88671875" style="299" hidden="1" customWidth="1"/>
    <col min="17" max="17" width="8.88671875" style="144" hidden="1" customWidth="1"/>
    <col min="18" max="18" width="22" style="157" hidden="1" customWidth="1"/>
    <col min="19" max="20" width="8.88671875" style="272" hidden="1" customWidth="1"/>
    <col min="21" max="23" width="8.88671875" style="144" customWidth="1"/>
    <col min="24" max="16384" width="8.88671875" style="144"/>
  </cols>
  <sheetData>
    <row r="1" spans="1:20">
      <c r="A1" s="155" t="s">
        <v>1770</v>
      </c>
      <c r="B1" s="294" t="s">
        <v>1765</v>
      </c>
      <c r="C1" s="143" t="s">
        <v>1768</v>
      </c>
      <c r="D1" s="143" t="s">
        <v>1769</v>
      </c>
      <c r="E1" s="143" t="s">
        <v>1766</v>
      </c>
      <c r="F1" s="143" t="s">
        <v>1767</v>
      </c>
      <c r="G1" s="144" t="s">
        <v>2700</v>
      </c>
      <c r="I1" s="294" t="s">
        <v>1765</v>
      </c>
      <c r="J1" s="143" t="s">
        <v>1766</v>
      </c>
      <c r="K1" s="143" t="s">
        <v>1767</v>
      </c>
      <c r="N1" s="1399" t="s">
        <v>2704</v>
      </c>
      <c r="O1" s="1399"/>
      <c r="P1" s="299" t="s">
        <v>2701</v>
      </c>
      <c r="Q1" s="144" t="s">
        <v>2702</v>
      </c>
      <c r="R1" s="157" t="s">
        <v>2703</v>
      </c>
      <c r="S1" s="272" t="s">
        <v>1662</v>
      </c>
      <c r="T1" s="272" t="s">
        <v>1141</v>
      </c>
    </row>
    <row r="2" spans="1:20">
      <c r="A2" s="155" t="str">
        <f t="shared" ref="A2:A33" si="0">B2&amp;"_"&amp;C2</f>
        <v>111_1110</v>
      </c>
      <c r="B2" s="295">
        <v>111</v>
      </c>
      <c r="C2" s="280">
        <v>1110</v>
      </c>
      <c r="D2" s="143">
        <v>1</v>
      </c>
      <c r="E2" s="146">
        <v>0.92200000000000004</v>
      </c>
      <c r="F2" s="146">
        <v>0.67830000000000001</v>
      </c>
      <c r="G2" s="271" t="str">
        <f t="shared" ref="G2:G33" si="1">IF(AND(B2=P2,C2=Q2,E2=S2,F2=T2),"","x")</f>
        <v/>
      </c>
      <c r="I2" s="295">
        <f t="shared" ref="I2:I33" si="2">B2</f>
        <v>111</v>
      </c>
      <c r="J2" s="146">
        <f>E2</f>
        <v>0.92200000000000004</v>
      </c>
      <c r="K2" s="146">
        <f>F2</f>
        <v>0.67830000000000001</v>
      </c>
      <c r="N2" s="1399"/>
      <c r="O2" s="1399"/>
      <c r="P2" s="299">
        <v>111</v>
      </c>
      <c r="Q2" s="290">
        <v>1110</v>
      </c>
      <c r="R2" s="157" t="s">
        <v>2736</v>
      </c>
      <c r="S2" s="272">
        <v>0.92200000000000004</v>
      </c>
      <c r="T2" s="272">
        <v>0.67830000000000001</v>
      </c>
    </row>
    <row r="3" spans="1:20">
      <c r="A3" s="155" t="str">
        <f t="shared" si="0"/>
        <v>112_1121</v>
      </c>
      <c r="B3" s="295">
        <v>112</v>
      </c>
      <c r="C3" s="280">
        <v>1121</v>
      </c>
      <c r="D3" s="143">
        <v>2</v>
      </c>
      <c r="E3" s="146">
        <v>0.92200000000000004</v>
      </c>
      <c r="F3" s="146">
        <v>0.67830000000000001</v>
      </c>
      <c r="G3" s="271" t="str">
        <f t="shared" si="1"/>
        <v/>
      </c>
      <c r="I3" s="295">
        <f t="shared" si="2"/>
        <v>112</v>
      </c>
      <c r="J3" s="146">
        <f t="shared" ref="J3:J67" si="3">E3</f>
        <v>0.92200000000000004</v>
      </c>
      <c r="K3" s="146">
        <f t="shared" ref="K3:K67" si="4">F3</f>
        <v>0.67830000000000001</v>
      </c>
      <c r="P3" s="299">
        <v>112</v>
      </c>
      <c r="Q3" s="290">
        <v>1121</v>
      </c>
      <c r="R3" s="157" t="s">
        <v>1810</v>
      </c>
      <c r="S3" s="272">
        <v>0.92200000000000004</v>
      </c>
      <c r="T3" s="272">
        <v>0.67830000000000001</v>
      </c>
    </row>
    <row r="4" spans="1:20">
      <c r="A4" s="155" t="str">
        <f t="shared" si="0"/>
        <v>112_1122</v>
      </c>
      <c r="B4" s="295">
        <v>112</v>
      </c>
      <c r="C4" s="280">
        <v>1122</v>
      </c>
      <c r="D4" s="143">
        <v>2</v>
      </c>
      <c r="E4" s="146">
        <v>0.92200000000000004</v>
      </c>
      <c r="F4" s="146">
        <v>0.67830000000000001</v>
      </c>
      <c r="G4" s="271" t="str">
        <f t="shared" si="1"/>
        <v/>
      </c>
      <c r="I4" s="295">
        <f t="shared" si="2"/>
        <v>112</v>
      </c>
      <c r="J4" s="146">
        <f t="shared" si="3"/>
        <v>0.92200000000000004</v>
      </c>
      <c r="K4" s="146">
        <f t="shared" si="4"/>
        <v>0.67830000000000001</v>
      </c>
      <c r="P4" s="299">
        <v>112</v>
      </c>
      <c r="Q4" s="290">
        <v>1122</v>
      </c>
      <c r="R4" s="157" t="s">
        <v>1811</v>
      </c>
      <c r="S4" s="272">
        <v>0.92200000000000004</v>
      </c>
      <c r="T4" s="272">
        <v>0.67830000000000001</v>
      </c>
    </row>
    <row r="5" spans="1:20">
      <c r="A5" s="155" t="str">
        <f t="shared" si="0"/>
        <v>113_113</v>
      </c>
      <c r="B5" s="295">
        <v>113</v>
      </c>
      <c r="C5" s="280">
        <v>113</v>
      </c>
      <c r="D5" s="143">
        <v>1</v>
      </c>
      <c r="E5" s="146">
        <v>0.92200000000000004</v>
      </c>
      <c r="F5" s="146">
        <v>0.67830000000000001</v>
      </c>
      <c r="G5" s="271" t="str">
        <f t="shared" si="1"/>
        <v/>
      </c>
      <c r="I5" s="295">
        <f t="shared" si="2"/>
        <v>113</v>
      </c>
      <c r="J5" s="146">
        <f t="shared" si="3"/>
        <v>0.92200000000000004</v>
      </c>
      <c r="K5" s="146">
        <f t="shared" si="4"/>
        <v>0.67830000000000001</v>
      </c>
      <c r="P5" s="299">
        <v>113</v>
      </c>
      <c r="Q5" s="281">
        <v>113</v>
      </c>
      <c r="R5" s="157" t="s">
        <v>47</v>
      </c>
      <c r="S5" s="272">
        <v>0.92200000000000004</v>
      </c>
      <c r="T5" s="272">
        <v>0.67830000000000001</v>
      </c>
    </row>
    <row r="6" spans="1:20">
      <c r="A6" s="155" t="str">
        <f t="shared" si="0"/>
        <v>114_1123</v>
      </c>
      <c r="B6" s="295">
        <v>114</v>
      </c>
      <c r="C6" s="291">
        <v>1123</v>
      </c>
      <c r="D6" s="143">
        <v>1</v>
      </c>
      <c r="E6" s="146">
        <v>0.92200000000000004</v>
      </c>
      <c r="F6" s="146">
        <v>0.67830000000000001</v>
      </c>
      <c r="G6" s="271" t="str">
        <f t="shared" si="1"/>
        <v/>
      </c>
      <c r="I6" s="295">
        <f t="shared" si="2"/>
        <v>114</v>
      </c>
      <c r="J6" s="146">
        <f t="shared" si="3"/>
        <v>0.92200000000000004</v>
      </c>
      <c r="K6" s="146">
        <f t="shared" si="4"/>
        <v>0.67830000000000001</v>
      </c>
      <c r="P6" s="299">
        <v>114</v>
      </c>
      <c r="Q6" s="290">
        <v>1123</v>
      </c>
      <c r="R6" s="157" t="s">
        <v>1812</v>
      </c>
      <c r="S6" s="272">
        <v>0.92200000000000004</v>
      </c>
      <c r="T6" s="272">
        <v>0.67830000000000001</v>
      </c>
    </row>
    <row r="7" spans="1:20">
      <c r="A7" s="155" t="str">
        <f t="shared" si="0"/>
        <v>115_115</v>
      </c>
      <c r="B7" s="295">
        <v>115</v>
      </c>
      <c r="C7" s="280">
        <v>115</v>
      </c>
      <c r="D7" s="143">
        <v>1</v>
      </c>
      <c r="E7" s="146">
        <v>0.92200000000000004</v>
      </c>
      <c r="F7" s="146">
        <v>0.67830000000000001</v>
      </c>
      <c r="G7" s="271" t="str">
        <f t="shared" si="1"/>
        <v/>
      </c>
      <c r="I7" s="295">
        <f t="shared" si="2"/>
        <v>115</v>
      </c>
      <c r="J7" s="146">
        <f t="shared" si="3"/>
        <v>0.92200000000000004</v>
      </c>
      <c r="K7" s="146">
        <f t="shared" si="4"/>
        <v>0.67830000000000001</v>
      </c>
      <c r="P7" s="299">
        <v>115</v>
      </c>
      <c r="Q7" s="281">
        <v>115</v>
      </c>
      <c r="R7" s="157" t="s">
        <v>49</v>
      </c>
      <c r="S7" s="272">
        <v>0.92200000000000004</v>
      </c>
      <c r="T7" s="272">
        <v>0.67830000000000001</v>
      </c>
    </row>
    <row r="8" spans="1:20">
      <c r="A8" s="155" t="str">
        <f t="shared" si="0"/>
        <v>119_114</v>
      </c>
      <c r="B8" s="295">
        <v>119</v>
      </c>
      <c r="C8" s="280">
        <v>114</v>
      </c>
      <c r="D8" s="143">
        <v>1</v>
      </c>
      <c r="E8" s="146">
        <v>0.92200000000000004</v>
      </c>
      <c r="F8" s="146">
        <v>0.67830000000000001</v>
      </c>
      <c r="G8" s="271" t="str">
        <f t="shared" si="1"/>
        <v/>
      </c>
      <c r="I8" s="295">
        <f t="shared" si="2"/>
        <v>119</v>
      </c>
      <c r="J8" s="146">
        <f t="shared" si="3"/>
        <v>0.92200000000000004</v>
      </c>
      <c r="K8" s="146">
        <f t="shared" si="4"/>
        <v>0.67830000000000001</v>
      </c>
      <c r="P8" s="299">
        <v>119</v>
      </c>
      <c r="Q8" s="281">
        <v>114</v>
      </c>
      <c r="R8" s="157" t="s">
        <v>50</v>
      </c>
      <c r="S8" s="272">
        <v>0.92200000000000004</v>
      </c>
      <c r="T8" s="272">
        <v>0.67830000000000001</v>
      </c>
    </row>
    <row r="9" spans="1:20">
      <c r="A9" s="155" t="str">
        <f t="shared" si="0"/>
        <v>121_121</v>
      </c>
      <c r="B9" s="295">
        <v>121</v>
      </c>
      <c r="C9" s="280">
        <v>121</v>
      </c>
      <c r="D9" s="143">
        <v>1</v>
      </c>
      <c r="E9" s="146">
        <v>0.26919999999999999</v>
      </c>
      <c r="F9" s="146">
        <v>5.91E-2</v>
      </c>
      <c r="G9" s="271" t="str">
        <f t="shared" si="1"/>
        <v/>
      </c>
      <c r="I9" s="295">
        <f t="shared" si="2"/>
        <v>121</v>
      </c>
      <c r="J9" s="146">
        <f t="shared" si="3"/>
        <v>0.26919999999999999</v>
      </c>
      <c r="K9" s="146">
        <f t="shared" si="4"/>
        <v>5.91E-2</v>
      </c>
      <c r="P9" s="299">
        <v>121</v>
      </c>
      <c r="Q9" s="281">
        <v>121</v>
      </c>
      <c r="R9" s="157" t="s">
        <v>51</v>
      </c>
      <c r="S9" s="272">
        <v>0.26919999999999999</v>
      </c>
      <c r="T9" s="272">
        <v>5.91E-2</v>
      </c>
    </row>
    <row r="10" spans="1:20">
      <c r="A10" s="155" t="str">
        <f t="shared" si="0"/>
        <v>122_122</v>
      </c>
      <c r="B10" s="295">
        <v>122</v>
      </c>
      <c r="C10" s="280">
        <v>122</v>
      </c>
      <c r="D10" s="143">
        <v>1</v>
      </c>
      <c r="E10" s="146">
        <v>0.26919999999999999</v>
      </c>
      <c r="F10" s="146">
        <v>5.91E-2</v>
      </c>
      <c r="G10" s="271" t="str">
        <f t="shared" si="1"/>
        <v/>
      </c>
      <c r="I10" s="295">
        <f t="shared" si="2"/>
        <v>122</v>
      </c>
      <c r="J10" s="146">
        <f t="shared" si="3"/>
        <v>0.26919999999999999</v>
      </c>
      <c r="K10" s="146">
        <f t="shared" si="4"/>
        <v>5.91E-2</v>
      </c>
      <c r="P10" s="299">
        <v>122</v>
      </c>
      <c r="Q10" s="281">
        <v>122</v>
      </c>
      <c r="R10" s="157" t="s">
        <v>3</v>
      </c>
      <c r="S10" s="272">
        <v>0.26919999999999999</v>
      </c>
      <c r="T10" s="272">
        <v>5.91E-2</v>
      </c>
    </row>
    <row r="11" spans="1:20">
      <c r="A11" s="155" t="str">
        <f t="shared" si="0"/>
        <v>123_123</v>
      </c>
      <c r="B11" s="295">
        <v>123</v>
      </c>
      <c r="C11" s="280">
        <v>123</v>
      </c>
      <c r="D11" s="143">
        <v>1</v>
      </c>
      <c r="E11" s="146">
        <v>0.26919999999999999</v>
      </c>
      <c r="F11" s="146">
        <v>5.91E-2</v>
      </c>
      <c r="G11" s="271" t="str">
        <f t="shared" si="1"/>
        <v/>
      </c>
      <c r="I11" s="295">
        <f t="shared" si="2"/>
        <v>123</v>
      </c>
      <c r="J11" s="146">
        <f t="shared" si="3"/>
        <v>0.26919999999999999</v>
      </c>
      <c r="K11" s="146">
        <f t="shared" si="4"/>
        <v>5.91E-2</v>
      </c>
      <c r="P11" s="299">
        <v>123</v>
      </c>
      <c r="Q11" s="281">
        <v>123</v>
      </c>
      <c r="R11" s="157" t="s">
        <v>52</v>
      </c>
      <c r="S11" s="272">
        <v>0.26919999999999999</v>
      </c>
      <c r="T11" s="272">
        <v>5.91E-2</v>
      </c>
    </row>
    <row r="12" spans="1:20">
      <c r="A12" s="155" t="str">
        <f t="shared" si="0"/>
        <v>124_1299</v>
      </c>
      <c r="B12" s="295">
        <v>124</v>
      </c>
      <c r="C12" s="291">
        <v>1299</v>
      </c>
      <c r="D12" s="143">
        <v>1</v>
      </c>
      <c r="E12" s="146">
        <v>0.26919999999999999</v>
      </c>
      <c r="F12" s="146">
        <v>5.91E-2</v>
      </c>
      <c r="G12" s="271" t="str">
        <f t="shared" si="1"/>
        <v/>
      </c>
      <c r="I12" s="295">
        <f t="shared" si="2"/>
        <v>124</v>
      </c>
      <c r="J12" s="146">
        <f t="shared" si="3"/>
        <v>0.26919999999999999</v>
      </c>
      <c r="K12" s="146">
        <f t="shared" si="4"/>
        <v>5.91E-2</v>
      </c>
      <c r="P12" s="299">
        <v>124</v>
      </c>
      <c r="Q12" s="290">
        <v>1299</v>
      </c>
      <c r="R12" s="157" t="s">
        <v>1813</v>
      </c>
      <c r="S12" s="272">
        <v>0.26919999999999999</v>
      </c>
      <c r="T12" s="272">
        <v>5.91E-2</v>
      </c>
    </row>
    <row r="13" spans="1:20">
      <c r="A13" s="155" t="str">
        <f t="shared" si="0"/>
        <v>129_129</v>
      </c>
      <c r="B13" s="295">
        <v>129</v>
      </c>
      <c r="C13" s="280">
        <v>129</v>
      </c>
      <c r="D13" s="143">
        <v>1</v>
      </c>
      <c r="E13" s="146">
        <v>0.26919999999999999</v>
      </c>
      <c r="F13" s="146">
        <v>5.91E-2</v>
      </c>
      <c r="G13" s="271" t="str">
        <f t="shared" si="1"/>
        <v/>
      </c>
      <c r="I13" s="295">
        <f t="shared" si="2"/>
        <v>129</v>
      </c>
      <c r="J13" s="146">
        <f t="shared" si="3"/>
        <v>0.26919999999999999</v>
      </c>
      <c r="K13" s="146">
        <f t="shared" si="4"/>
        <v>5.91E-2</v>
      </c>
      <c r="P13" s="299">
        <v>129</v>
      </c>
      <c r="Q13" s="280">
        <v>129</v>
      </c>
      <c r="R13" s="157" t="s">
        <v>54</v>
      </c>
      <c r="S13" s="272">
        <v>0.26919999999999999</v>
      </c>
      <c r="T13" s="272">
        <v>5.91E-2</v>
      </c>
    </row>
    <row r="14" spans="1:20">
      <c r="A14" s="155" t="str">
        <f t="shared" si="0"/>
        <v>211_1310</v>
      </c>
      <c r="B14" s="295">
        <v>211</v>
      </c>
      <c r="C14" s="145">
        <v>1310</v>
      </c>
      <c r="D14" s="143">
        <v>1</v>
      </c>
      <c r="E14" s="146">
        <v>0.92249999999999999</v>
      </c>
      <c r="F14" s="146">
        <v>0.67900000000000005</v>
      </c>
      <c r="G14" s="271" t="str">
        <f t="shared" si="1"/>
        <v/>
      </c>
      <c r="I14" s="295">
        <f t="shared" si="2"/>
        <v>211</v>
      </c>
      <c r="J14" s="146">
        <f t="shared" si="3"/>
        <v>0.92249999999999999</v>
      </c>
      <c r="K14" s="146">
        <f t="shared" si="4"/>
        <v>0.67900000000000005</v>
      </c>
      <c r="P14" s="299">
        <v>211</v>
      </c>
      <c r="Q14" s="144">
        <v>1310</v>
      </c>
      <c r="R14" s="157" t="s">
        <v>1814</v>
      </c>
      <c r="S14" s="272">
        <v>0.92249999999999999</v>
      </c>
      <c r="T14" s="272">
        <v>0.67900000000000005</v>
      </c>
    </row>
    <row r="15" spans="1:20">
      <c r="A15" s="155" t="str">
        <f t="shared" si="0"/>
        <v>212_1200</v>
      </c>
      <c r="B15" s="295">
        <v>212</v>
      </c>
      <c r="C15" s="145">
        <v>1200</v>
      </c>
      <c r="D15" s="143">
        <v>1</v>
      </c>
      <c r="E15" s="146">
        <v>0.92249999999999999</v>
      </c>
      <c r="F15" s="146">
        <v>0.67900000000000005</v>
      </c>
      <c r="G15" s="271" t="str">
        <f t="shared" si="1"/>
        <v/>
      </c>
      <c r="I15" s="295">
        <f t="shared" si="2"/>
        <v>212</v>
      </c>
      <c r="J15" s="146">
        <f t="shared" si="3"/>
        <v>0.92249999999999999</v>
      </c>
      <c r="K15" s="146">
        <f t="shared" si="4"/>
        <v>0.67900000000000005</v>
      </c>
      <c r="P15" s="299">
        <v>212</v>
      </c>
      <c r="Q15" s="144">
        <v>1200</v>
      </c>
      <c r="R15" s="157" t="s">
        <v>56</v>
      </c>
      <c r="S15" s="272">
        <v>0.92249999999999999</v>
      </c>
      <c r="T15" s="272">
        <v>0.67900000000000005</v>
      </c>
    </row>
    <row r="16" spans="1:20">
      <c r="A16" s="155" t="str">
        <f t="shared" si="0"/>
        <v>213_1420</v>
      </c>
      <c r="B16" s="295">
        <v>213</v>
      </c>
      <c r="C16" s="145">
        <v>1420</v>
      </c>
      <c r="D16" s="143">
        <v>2</v>
      </c>
      <c r="E16" s="146">
        <v>0.92249999999999999</v>
      </c>
      <c r="F16" s="146">
        <v>0.67900000000000005</v>
      </c>
      <c r="G16" s="271" t="str">
        <f t="shared" si="1"/>
        <v/>
      </c>
      <c r="I16" s="295">
        <f t="shared" si="2"/>
        <v>213</v>
      </c>
      <c r="J16" s="146">
        <f t="shared" si="3"/>
        <v>0.92249999999999999</v>
      </c>
      <c r="K16" s="146">
        <f t="shared" si="4"/>
        <v>0.67900000000000005</v>
      </c>
      <c r="P16" s="299">
        <v>213</v>
      </c>
      <c r="Q16" s="144">
        <v>1420</v>
      </c>
      <c r="R16" s="157" t="s">
        <v>57</v>
      </c>
      <c r="S16" s="272">
        <v>0.92249999999999999</v>
      </c>
      <c r="T16" s="272">
        <v>0.67900000000000005</v>
      </c>
    </row>
    <row r="17" spans="1:20">
      <c r="A17" s="155" t="str">
        <f t="shared" si="0"/>
        <v>213_1511</v>
      </c>
      <c r="B17" s="295">
        <v>213</v>
      </c>
      <c r="C17" s="145">
        <v>1511</v>
      </c>
      <c r="D17" s="143">
        <v>2</v>
      </c>
      <c r="E17" s="146">
        <v>0.92249999999999999</v>
      </c>
      <c r="F17" s="146">
        <v>0.67900000000000005</v>
      </c>
      <c r="G17" s="271" t="str">
        <f t="shared" si="1"/>
        <v/>
      </c>
      <c r="I17" s="295">
        <f t="shared" si="2"/>
        <v>213</v>
      </c>
      <c r="J17" s="146">
        <f t="shared" si="3"/>
        <v>0.92249999999999999</v>
      </c>
      <c r="K17" s="146">
        <f t="shared" si="4"/>
        <v>0.67900000000000005</v>
      </c>
      <c r="P17" s="299">
        <v>213</v>
      </c>
      <c r="Q17" s="144">
        <v>1511</v>
      </c>
      <c r="R17" s="157" t="s">
        <v>1815</v>
      </c>
      <c r="S17" s="272">
        <v>0.92249999999999999</v>
      </c>
      <c r="T17" s="272">
        <v>0.67900000000000005</v>
      </c>
    </row>
    <row r="18" spans="1:20">
      <c r="A18" s="155" t="str">
        <f t="shared" si="0"/>
        <v>214_21</v>
      </c>
      <c r="B18" s="295">
        <v>214</v>
      </c>
      <c r="C18" s="145">
        <v>21</v>
      </c>
      <c r="D18" s="143">
        <v>1</v>
      </c>
      <c r="E18" s="146">
        <v>0.92710000000000004</v>
      </c>
      <c r="F18" s="146">
        <v>0.70879999999999999</v>
      </c>
      <c r="G18" s="271" t="str">
        <f t="shared" si="1"/>
        <v/>
      </c>
      <c r="I18" s="295">
        <f t="shared" si="2"/>
        <v>214</v>
      </c>
      <c r="J18" s="146">
        <f t="shared" si="3"/>
        <v>0.92710000000000004</v>
      </c>
      <c r="K18" s="146">
        <f t="shared" si="4"/>
        <v>0.70879999999999999</v>
      </c>
      <c r="P18" s="299">
        <v>214</v>
      </c>
      <c r="Q18" s="144">
        <v>21</v>
      </c>
      <c r="R18" s="157" t="s">
        <v>1816</v>
      </c>
      <c r="S18" s="272">
        <v>0.92710000000000004</v>
      </c>
      <c r="T18" s="272">
        <v>0.70879999999999999</v>
      </c>
    </row>
    <row r="19" spans="1:20">
      <c r="A19" s="155" t="str">
        <f t="shared" si="0"/>
        <v>215_2042</v>
      </c>
      <c r="B19" s="295">
        <v>215</v>
      </c>
      <c r="C19" s="273">
        <v>2042</v>
      </c>
      <c r="D19" s="143">
        <v>1</v>
      </c>
      <c r="E19" s="146">
        <v>0.90539999999999998</v>
      </c>
      <c r="F19" s="146">
        <v>0.51859999999999995</v>
      </c>
      <c r="G19" s="271" t="str">
        <f t="shared" si="1"/>
        <v/>
      </c>
      <c r="I19" s="295">
        <f t="shared" si="2"/>
        <v>215</v>
      </c>
      <c r="J19" s="146">
        <f t="shared" si="3"/>
        <v>0.90539999999999998</v>
      </c>
      <c r="K19" s="146">
        <f t="shared" si="4"/>
        <v>0.51859999999999995</v>
      </c>
      <c r="P19" s="299">
        <v>215</v>
      </c>
      <c r="Q19" s="271">
        <v>2042</v>
      </c>
      <c r="R19" s="274" t="s">
        <v>1817</v>
      </c>
      <c r="S19" s="272">
        <v>0.90539999999999998</v>
      </c>
      <c r="T19" s="272">
        <v>0.51859999999999995</v>
      </c>
    </row>
    <row r="20" spans="1:20">
      <c r="A20" s="155" t="str">
        <f t="shared" si="0"/>
        <v>219_20499</v>
      </c>
      <c r="B20" s="295">
        <v>219</v>
      </c>
      <c r="C20" s="273">
        <v>20499</v>
      </c>
      <c r="D20" s="143">
        <v>2</v>
      </c>
      <c r="E20" s="146">
        <v>0.93799999999999994</v>
      </c>
      <c r="F20" s="146">
        <v>0.81610000000000005</v>
      </c>
      <c r="G20" s="271" t="str">
        <f t="shared" si="1"/>
        <v/>
      </c>
      <c r="I20" s="295">
        <f t="shared" si="2"/>
        <v>219</v>
      </c>
      <c r="J20" s="146">
        <f t="shared" si="3"/>
        <v>0.93799999999999994</v>
      </c>
      <c r="K20" s="146">
        <f t="shared" si="4"/>
        <v>0.81610000000000005</v>
      </c>
      <c r="P20" s="299">
        <v>219</v>
      </c>
      <c r="Q20" s="271">
        <v>20499</v>
      </c>
      <c r="R20" s="274" t="s">
        <v>1819</v>
      </c>
      <c r="S20" s="337">
        <v>0.93799999999999994</v>
      </c>
      <c r="T20" s="337">
        <v>0.81610000000000005</v>
      </c>
    </row>
    <row r="21" spans="1:20">
      <c r="A21" s="155" t="str">
        <f t="shared" si="0"/>
        <v>219_20493</v>
      </c>
      <c r="B21" s="295">
        <v>219</v>
      </c>
      <c r="C21" s="283">
        <v>20493</v>
      </c>
      <c r="D21" s="333">
        <v>2</v>
      </c>
      <c r="E21" s="149">
        <v>0.93799999999999994</v>
      </c>
      <c r="F21" s="149">
        <v>0.81610000000000005</v>
      </c>
      <c r="G21" s="271" t="str">
        <f t="shared" si="1"/>
        <v/>
      </c>
      <c r="I21" s="295">
        <f t="shared" si="2"/>
        <v>219</v>
      </c>
      <c r="J21" s="146">
        <f t="shared" si="3"/>
        <v>0.93799999999999994</v>
      </c>
      <c r="K21" s="146">
        <f t="shared" si="4"/>
        <v>0.81610000000000005</v>
      </c>
      <c r="P21" s="299">
        <v>219</v>
      </c>
      <c r="Q21" s="271">
        <v>20493</v>
      </c>
      <c r="R21" s="274" t="s">
        <v>1818</v>
      </c>
      <c r="S21" s="337">
        <v>0.93799999999999994</v>
      </c>
      <c r="T21" s="337">
        <v>0.81610000000000005</v>
      </c>
    </row>
    <row r="22" spans="1:20">
      <c r="A22" s="155" t="str">
        <f t="shared" si="0"/>
        <v>221_2020</v>
      </c>
      <c r="B22" s="295">
        <v>221</v>
      </c>
      <c r="C22" s="145">
        <v>2020</v>
      </c>
      <c r="D22" s="143">
        <v>1</v>
      </c>
      <c r="E22" s="146">
        <v>0.62160000000000004</v>
      </c>
      <c r="F22" s="146">
        <v>0.41870000000000002</v>
      </c>
      <c r="G22" s="271" t="str">
        <f t="shared" si="1"/>
        <v/>
      </c>
      <c r="I22" s="295">
        <f t="shared" si="2"/>
        <v>221</v>
      </c>
      <c r="J22" s="146">
        <f t="shared" si="3"/>
        <v>0.62160000000000004</v>
      </c>
      <c r="K22" s="146">
        <f t="shared" si="4"/>
        <v>0.41870000000000002</v>
      </c>
      <c r="P22" s="299">
        <v>221</v>
      </c>
      <c r="Q22" s="144">
        <v>2020</v>
      </c>
      <c r="R22" s="157" t="s">
        <v>61</v>
      </c>
      <c r="S22" s="272">
        <v>0.62160000000000004</v>
      </c>
      <c r="T22" s="272">
        <v>0.41870000000000002</v>
      </c>
    </row>
    <row r="23" spans="1:20">
      <c r="A23" s="155" t="str">
        <f t="shared" si="0"/>
        <v>222_20412</v>
      </c>
      <c r="B23" s="295">
        <v>222</v>
      </c>
      <c r="C23" s="273">
        <v>20412</v>
      </c>
      <c r="D23" s="143">
        <v>1</v>
      </c>
      <c r="E23" s="146">
        <v>0.4582</v>
      </c>
      <c r="F23" s="146">
        <v>0.31850000000000001</v>
      </c>
      <c r="G23" s="271" t="str">
        <f t="shared" si="1"/>
        <v/>
      </c>
      <c r="I23" s="295">
        <f t="shared" si="2"/>
        <v>222</v>
      </c>
      <c r="J23" s="146">
        <f t="shared" si="3"/>
        <v>0.4582</v>
      </c>
      <c r="K23" s="146">
        <f t="shared" si="4"/>
        <v>0.31850000000000001</v>
      </c>
      <c r="P23" s="299">
        <v>222</v>
      </c>
      <c r="Q23" s="144">
        <v>20412</v>
      </c>
      <c r="R23" s="274" t="s">
        <v>62</v>
      </c>
      <c r="S23" s="272">
        <v>0.4582</v>
      </c>
      <c r="T23" s="272">
        <v>0.31850000000000001</v>
      </c>
    </row>
    <row r="24" spans="1:20">
      <c r="A24" s="155" t="str">
        <f t="shared" si="0"/>
        <v>223_222</v>
      </c>
      <c r="B24" s="295">
        <v>223</v>
      </c>
      <c r="C24" s="145">
        <v>222</v>
      </c>
      <c r="D24" s="143">
        <v>1</v>
      </c>
      <c r="E24" s="146">
        <v>0.75609999999999999</v>
      </c>
      <c r="F24" s="146">
        <v>0.6401</v>
      </c>
      <c r="G24" s="271" t="str">
        <f t="shared" si="1"/>
        <v/>
      </c>
      <c r="I24" s="295">
        <f t="shared" si="2"/>
        <v>223</v>
      </c>
      <c r="J24" s="146">
        <f t="shared" si="3"/>
        <v>0.75609999999999999</v>
      </c>
      <c r="K24" s="146">
        <f t="shared" si="4"/>
        <v>0.6401</v>
      </c>
      <c r="P24" s="299">
        <v>223</v>
      </c>
      <c r="Q24" s="144">
        <v>222</v>
      </c>
      <c r="R24" s="157" t="s">
        <v>1820</v>
      </c>
      <c r="S24" s="272">
        <v>0.75609999999999999</v>
      </c>
      <c r="T24" s="272">
        <v>0.6401</v>
      </c>
    </row>
    <row r="25" spans="1:20">
      <c r="A25" s="155" t="str">
        <f t="shared" si="0"/>
        <v>224_25</v>
      </c>
      <c r="B25" s="295">
        <v>224</v>
      </c>
      <c r="C25" s="145">
        <v>25</v>
      </c>
      <c r="D25" s="143">
        <v>1</v>
      </c>
      <c r="E25" s="146">
        <v>0.64159999999999995</v>
      </c>
      <c r="F25" s="146">
        <v>0.4788</v>
      </c>
      <c r="G25" s="271" t="str">
        <f t="shared" si="1"/>
        <v/>
      </c>
      <c r="I25" s="295">
        <f t="shared" si="2"/>
        <v>224</v>
      </c>
      <c r="J25" s="146">
        <f t="shared" si="3"/>
        <v>0.64159999999999995</v>
      </c>
      <c r="K25" s="146">
        <f t="shared" si="4"/>
        <v>0.4788</v>
      </c>
      <c r="P25" s="299">
        <v>224</v>
      </c>
      <c r="Q25" s="144">
        <v>25</v>
      </c>
      <c r="R25" s="157" t="s">
        <v>1821</v>
      </c>
      <c r="S25" s="272">
        <v>0.64159999999999995</v>
      </c>
      <c r="T25" s="272">
        <v>0.4788</v>
      </c>
    </row>
    <row r="26" spans="1:20">
      <c r="A26" s="155" t="str">
        <f t="shared" si="0"/>
        <v>225_2921</v>
      </c>
      <c r="B26" s="295">
        <v>225</v>
      </c>
      <c r="C26" s="283">
        <v>2921</v>
      </c>
      <c r="D26" s="333">
        <v>1</v>
      </c>
      <c r="E26" s="149">
        <v>0.90790000000000004</v>
      </c>
      <c r="F26" s="146">
        <v>0.69610000000000005</v>
      </c>
      <c r="G26" s="271" t="str">
        <f t="shared" si="1"/>
        <v/>
      </c>
      <c r="I26" s="295">
        <f t="shared" si="2"/>
        <v>225</v>
      </c>
      <c r="J26" s="146">
        <f t="shared" si="3"/>
        <v>0.90790000000000004</v>
      </c>
      <c r="K26" s="146">
        <f t="shared" si="4"/>
        <v>0.69610000000000005</v>
      </c>
      <c r="P26" s="299">
        <v>225</v>
      </c>
      <c r="Q26" s="144">
        <v>2921</v>
      </c>
      <c r="R26" s="157" t="s">
        <v>1822</v>
      </c>
      <c r="S26" s="272">
        <v>0.90790000000000004</v>
      </c>
      <c r="T26" s="272">
        <v>0.69610000000000005</v>
      </c>
    </row>
    <row r="27" spans="1:20">
      <c r="A27" s="155" t="str">
        <f t="shared" si="0"/>
        <v>226_2721</v>
      </c>
      <c r="B27" s="295">
        <v>226</v>
      </c>
      <c r="C27" s="145">
        <v>2721</v>
      </c>
      <c r="D27" s="143">
        <v>1</v>
      </c>
      <c r="E27" s="146">
        <v>0.84609999999999996</v>
      </c>
      <c r="F27" s="146">
        <v>0.73470000000000002</v>
      </c>
      <c r="G27" s="271" t="str">
        <f t="shared" si="1"/>
        <v/>
      </c>
      <c r="I27" s="295">
        <f t="shared" si="2"/>
        <v>226</v>
      </c>
      <c r="J27" s="146">
        <f t="shared" si="3"/>
        <v>0.84609999999999996</v>
      </c>
      <c r="K27" s="146">
        <f t="shared" si="4"/>
        <v>0.73470000000000002</v>
      </c>
      <c r="P27" s="299">
        <v>226</v>
      </c>
      <c r="Q27" s="144">
        <v>2721</v>
      </c>
      <c r="R27" s="157" t="s">
        <v>1823</v>
      </c>
      <c r="S27" s="272">
        <v>0.84609999999999996</v>
      </c>
      <c r="T27" s="272">
        <v>0.73470000000000002</v>
      </c>
    </row>
    <row r="28" spans="1:20">
      <c r="A28" s="155" t="str">
        <f t="shared" si="0"/>
        <v>227_21</v>
      </c>
      <c r="B28" s="295">
        <v>227</v>
      </c>
      <c r="C28" s="145">
        <v>21</v>
      </c>
      <c r="D28" s="143">
        <v>1</v>
      </c>
      <c r="E28" s="146">
        <v>0.92710000000000004</v>
      </c>
      <c r="F28" s="146">
        <v>0.70879999999999999</v>
      </c>
      <c r="G28" s="271" t="str">
        <f t="shared" si="1"/>
        <v/>
      </c>
      <c r="I28" s="295">
        <f t="shared" si="2"/>
        <v>227</v>
      </c>
      <c r="J28" s="146">
        <f t="shared" si="3"/>
        <v>0.92710000000000004</v>
      </c>
      <c r="K28" s="146">
        <f t="shared" si="4"/>
        <v>0.70879999999999999</v>
      </c>
      <c r="P28" s="299">
        <v>227</v>
      </c>
      <c r="Q28" s="144">
        <v>21</v>
      </c>
      <c r="R28" s="157" t="s">
        <v>1816</v>
      </c>
      <c r="S28" s="272">
        <v>0.92710000000000004</v>
      </c>
      <c r="T28" s="272">
        <v>0.70879999999999999</v>
      </c>
    </row>
    <row r="29" spans="1:20">
      <c r="A29" s="155" t="str">
        <f t="shared" si="0"/>
        <v>229_29171</v>
      </c>
      <c r="B29" s="295">
        <v>229</v>
      </c>
      <c r="C29" s="283">
        <v>29171</v>
      </c>
      <c r="D29" s="143">
        <v>2</v>
      </c>
      <c r="E29" s="146">
        <v>0.90790000000000004</v>
      </c>
      <c r="F29" s="146">
        <v>0.69610000000000005</v>
      </c>
      <c r="G29" s="271" t="str">
        <f t="shared" si="1"/>
        <v/>
      </c>
      <c r="I29" s="295">
        <f t="shared" si="2"/>
        <v>229</v>
      </c>
      <c r="J29" s="146">
        <f t="shared" si="3"/>
        <v>0.90790000000000004</v>
      </c>
      <c r="K29" s="146">
        <f t="shared" si="4"/>
        <v>0.69610000000000005</v>
      </c>
      <c r="P29" s="299">
        <v>229</v>
      </c>
      <c r="Q29" s="144">
        <v>29171</v>
      </c>
      <c r="R29" s="157" t="s">
        <v>1824</v>
      </c>
      <c r="S29" s="272">
        <v>0.90790000000000004</v>
      </c>
      <c r="T29" s="272">
        <v>0.69610000000000005</v>
      </c>
    </row>
    <row r="30" spans="1:20">
      <c r="A30" s="155" t="str">
        <f t="shared" si="0"/>
        <v>229_13225</v>
      </c>
      <c r="B30" s="295">
        <v>229</v>
      </c>
      <c r="C30" s="283">
        <v>13225</v>
      </c>
      <c r="D30" s="143">
        <v>2</v>
      </c>
      <c r="E30" s="146">
        <v>0.90790000000000004</v>
      </c>
      <c r="F30" s="146">
        <v>0.69610000000000005</v>
      </c>
      <c r="G30" s="271" t="str">
        <f t="shared" si="1"/>
        <v/>
      </c>
      <c r="I30" s="295">
        <f t="shared" si="2"/>
        <v>229</v>
      </c>
      <c r="J30" s="146">
        <f t="shared" si="3"/>
        <v>0.90790000000000004</v>
      </c>
      <c r="K30" s="146">
        <f t="shared" si="4"/>
        <v>0.69610000000000005</v>
      </c>
      <c r="P30" s="299">
        <v>229</v>
      </c>
      <c r="Q30" s="282">
        <v>13225</v>
      </c>
      <c r="R30" s="285" t="s">
        <v>1825</v>
      </c>
      <c r="S30" s="272">
        <v>0.90790000000000004</v>
      </c>
      <c r="T30" s="272">
        <v>0.69610000000000005</v>
      </c>
    </row>
    <row r="31" spans="1:20">
      <c r="A31" s="155" t="str">
        <f t="shared" si="0"/>
        <v>231_141</v>
      </c>
      <c r="B31" s="295">
        <v>231</v>
      </c>
      <c r="C31" s="280">
        <v>141</v>
      </c>
      <c r="D31" s="143">
        <v>1</v>
      </c>
      <c r="E31" s="146">
        <v>0.89300000000000002</v>
      </c>
      <c r="F31" s="146">
        <v>0.67120000000000002</v>
      </c>
      <c r="G31" s="271" t="str">
        <f t="shared" si="1"/>
        <v/>
      </c>
      <c r="I31" s="295">
        <f t="shared" si="2"/>
        <v>231</v>
      </c>
      <c r="J31" s="146">
        <f t="shared" si="3"/>
        <v>0.89300000000000002</v>
      </c>
      <c r="K31" s="146">
        <f t="shared" si="4"/>
        <v>0.67120000000000002</v>
      </c>
      <c r="P31" s="299">
        <v>231</v>
      </c>
      <c r="Q31" s="280">
        <v>141</v>
      </c>
      <c r="R31" s="157" t="s">
        <v>69</v>
      </c>
      <c r="S31" s="272">
        <v>0.89300000000000002</v>
      </c>
      <c r="T31" s="272">
        <v>0.67120000000000002</v>
      </c>
    </row>
    <row r="32" spans="1:20">
      <c r="A32" s="155" t="str">
        <f t="shared" si="0"/>
        <v>232_7310</v>
      </c>
      <c r="B32" s="295">
        <v>232</v>
      </c>
      <c r="C32" s="145">
        <v>7310</v>
      </c>
      <c r="D32" s="143">
        <v>1</v>
      </c>
      <c r="E32" s="146">
        <v>0.89300000000000002</v>
      </c>
      <c r="F32" s="146">
        <v>0.67120000000000002</v>
      </c>
      <c r="G32" s="271" t="str">
        <f t="shared" si="1"/>
        <v/>
      </c>
      <c r="I32" s="295">
        <f t="shared" si="2"/>
        <v>232</v>
      </c>
      <c r="J32" s="146">
        <f t="shared" si="3"/>
        <v>0.89300000000000002</v>
      </c>
      <c r="K32" s="146">
        <f t="shared" si="4"/>
        <v>0.67120000000000002</v>
      </c>
      <c r="P32" s="299">
        <v>232</v>
      </c>
      <c r="Q32" s="144">
        <v>7310</v>
      </c>
      <c r="R32" s="157" t="s">
        <v>70</v>
      </c>
      <c r="S32" s="272">
        <v>0.89300000000000002</v>
      </c>
      <c r="T32" s="272">
        <v>0.67120000000000002</v>
      </c>
    </row>
    <row r="33" spans="1:20">
      <c r="A33" s="155" t="str">
        <f t="shared" si="0"/>
        <v>233_70112</v>
      </c>
      <c r="B33" s="295">
        <v>233</v>
      </c>
      <c r="C33" s="145">
        <v>70112</v>
      </c>
      <c r="D33" s="143">
        <v>1</v>
      </c>
      <c r="E33" s="146">
        <v>0.89300000000000002</v>
      </c>
      <c r="F33" s="146">
        <v>0.67120000000000002</v>
      </c>
      <c r="G33" s="271" t="str">
        <f t="shared" si="1"/>
        <v/>
      </c>
      <c r="I33" s="295">
        <f t="shared" si="2"/>
        <v>233</v>
      </c>
      <c r="J33" s="146">
        <f t="shared" si="3"/>
        <v>0.89300000000000002</v>
      </c>
      <c r="K33" s="146">
        <f t="shared" si="4"/>
        <v>0.67120000000000002</v>
      </c>
      <c r="P33" s="299">
        <v>233</v>
      </c>
      <c r="Q33" s="144">
        <v>70112</v>
      </c>
      <c r="R33" s="157" t="s">
        <v>2758</v>
      </c>
      <c r="S33" s="272">
        <v>0.89300000000000002</v>
      </c>
      <c r="T33" s="272">
        <v>0.67120000000000002</v>
      </c>
    </row>
    <row r="34" spans="1:20">
      <c r="A34" s="155" t="str">
        <f t="shared" ref="A34:A67" si="5">B34&amp;"_"&amp;C34</f>
        <v>234_62</v>
      </c>
      <c r="B34" s="295">
        <v>234</v>
      </c>
      <c r="C34" s="273">
        <v>62</v>
      </c>
      <c r="D34" s="143">
        <v>3</v>
      </c>
      <c r="E34" s="146">
        <v>0.8972</v>
      </c>
      <c r="F34" s="146">
        <v>0.67349999999999999</v>
      </c>
      <c r="G34" s="271" t="str">
        <f t="shared" ref="G34:G67" si="6">IF(AND(B34=P34,C34=Q34,E34=S34,F34=T34),"","x")</f>
        <v/>
      </c>
      <c r="I34" s="295">
        <f t="shared" ref="I34:I67" si="7">B34</f>
        <v>234</v>
      </c>
      <c r="J34" s="146">
        <f t="shared" si="3"/>
        <v>0.8972</v>
      </c>
      <c r="K34" s="146">
        <f t="shared" si="4"/>
        <v>0.67349999999999999</v>
      </c>
      <c r="P34" s="299">
        <v>234</v>
      </c>
      <c r="Q34" s="271">
        <v>62</v>
      </c>
      <c r="R34" s="274" t="s">
        <v>2738</v>
      </c>
      <c r="S34" s="272">
        <v>0.8972</v>
      </c>
      <c r="T34" s="272">
        <v>0.67349999999999999</v>
      </c>
    </row>
    <row r="35" spans="1:20">
      <c r="A35" s="155" t="str">
        <f t="shared" si="5"/>
        <v>234_63</v>
      </c>
      <c r="B35" s="295">
        <v>234</v>
      </c>
      <c r="C35" s="273">
        <v>63</v>
      </c>
      <c r="D35" s="143">
        <v>3</v>
      </c>
      <c r="E35" s="146">
        <v>0.8972</v>
      </c>
      <c r="F35" s="146">
        <v>0.67349999999999999</v>
      </c>
      <c r="G35" s="271" t="str">
        <f t="shared" si="6"/>
        <v/>
      </c>
      <c r="I35" s="295">
        <f t="shared" si="7"/>
        <v>234</v>
      </c>
      <c r="J35" s="146">
        <f t="shared" si="3"/>
        <v>0.8972</v>
      </c>
      <c r="K35" s="146">
        <f t="shared" si="4"/>
        <v>0.67349999999999999</v>
      </c>
      <c r="P35" s="299">
        <v>234</v>
      </c>
      <c r="Q35" s="271">
        <v>63</v>
      </c>
      <c r="R35" s="274" t="s">
        <v>2740</v>
      </c>
      <c r="S35" s="272">
        <v>0.8972</v>
      </c>
      <c r="T35" s="272">
        <v>0.67349999999999999</v>
      </c>
    </row>
    <row r="36" spans="1:20">
      <c r="A36" s="155" t="str">
        <f t="shared" si="5"/>
        <v>234_5822</v>
      </c>
      <c r="B36" s="295">
        <v>234</v>
      </c>
      <c r="C36" s="273">
        <v>5822</v>
      </c>
      <c r="D36" s="143">
        <v>3</v>
      </c>
      <c r="E36" s="146">
        <v>0.8972</v>
      </c>
      <c r="F36" s="146">
        <v>0.67349999999999999</v>
      </c>
      <c r="G36" s="271" t="str">
        <f t="shared" si="6"/>
        <v/>
      </c>
      <c r="I36" s="295">
        <f t="shared" si="7"/>
        <v>234</v>
      </c>
      <c r="J36" s="146">
        <f t="shared" si="3"/>
        <v>0.8972</v>
      </c>
      <c r="K36" s="146">
        <f t="shared" si="4"/>
        <v>0.67349999999999999</v>
      </c>
      <c r="P36" s="299">
        <v>234</v>
      </c>
      <c r="Q36" s="271">
        <v>5822</v>
      </c>
      <c r="R36" s="274" t="s">
        <v>2722</v>
      </c>
      <c r="S36" s="272">
        <v>0.8972</v>
      </c>
      <c r="T36" s="272">
        <v>0.67349999999999999</v>
      </c>
    </row>
    <row r="37" spans="1:20">
      <c r="A37" s="155" t="str">
        <f t="shared" si="5"/>
        <v>235_37</v>
      </c>
      <c r="B37" s="295">
        <v>235</v>
      </c>
      <c r="C37" s="273">
        <v>37</v>
      </c>
      <c r="D37" s="143">
        <v>3</v>
      </c>
      <c r="E37" s="146">
        <v>0.72040000000000004</v>
      </c>
      <c r="F37" s="146">
        <v>0.4541</v>
      </c>
      <c r="G37" s="271" t="str">
        <f t="shared" si="6"/>
        <v/>
      </c>
      <c r="I37" s="295">
        <f t="shared" si="7"/>
        <v>235</v>
      </c>
      <c r="J37" s="146">
        <f t="shared" si="3"/>
        <v>0.72040000000000004</v>
      </c>
      <c r="K37" s="146">
        <f t="shared" si="4"/>
        <v>0.4541</v>
      </c>
      <c r="P37" s="299">
        <v>235</v>
      </c>
      <c r="Q37" s="271">
        <v>37</v>
      </c>
      <c r="R37" s="274" t="s">
        <v>2727</v>
      </c>
      <c r="S37" s="272">
        <v>0.72040000000000004</v>
      </c>
      <c r="T37" s="272">
        <v>0.4541</v>
      </c>
    </row>
    <row r="38" spans="1:20">
      <c r="A38" s="155" t="str">
        <f t="shared" si="5"/>
        <v>235_38</v>
      </c>
      <c r="B38" s="295">
        <v>235</v>
      </c>
      <c r="C38" s="273">
        <v>38</v>
      </c>
      <c r="D38" s="143">
        <v>3</v>
      </c>
      <c r="E38" s="146">
        <v>0.72040000000000004</v>
      </c>
      <c r="F38" s="146">
        <v>0.4541</v>
      </c>
      <c r="G38" s="271" t="str">
        <f t="shared" si="6"/>
        <v/>
      </c>
      <c r="I38" s="295">
        <f t="shared" si="7"/>
        <v>235</v>
      </c>
      <c r="J38" s="146">
        <f t="shared" si="3"/>
        <v>0.72040000000000004</v>
      </c>
      <c r="K38" s="146">
        <f t="shared" si="4"/>
        <v>0.4541</v>
      </c>
      <c r="P38" s="299">
        <v>235</v>
      </c>
      <c r="Q38" s="271">
        <v>38</v>
      </c>
      <c r="R38" s="274" t="s">
        <v>2729</v>
      </c>
      <c r="S38" s="272">
        <v>0.72040000000000004</v>
      </c>
      <c r="T38" s="272">
        <v>0.4541</v>
      </c>
    </row>
    <row r="39" spans="1:20">
      <c r="A39" s="155" t="str">
        <f t="shared" si="5"/>
        <v>235_39</v>
      </c>
      <c r="B39" s="295">
        <v>235</v>
      </c>
      <c r="C39" s="273">
        <v>39</v>
      </c>
      <c r="D39" s="143">
        <v>3</v>
      </c>
      <c r="E39" s="146">
        <v>0.72040000000000004</v>
      </c>
      <c r="F39" s="146">
        <v>0.4541</v>
      </c>
      <c r="G39" s="271" t="str">
        <f t="shared" si="6"/>
        <v/>
      </c>
      <c r="I39" s="295">
        <f t="shared" si="7"/>
        <v>235</v>
      </c>
      <c r="J39" s="146">
        <f t="shared" si="3"/>
        <v>0.72040000000000004</v>
      </c>
      <c r="K39" s="146">
        <f t="shared" si="4"/>
        <v>0.4541</v>
      </c>
      <c r="P39" s="299">
        <v>235</v>
      </c>
      <c r="Q39" s="271">
        <v>39</v>
      </c>
      <c r="R39" s="274" t="s">
        <v>2731</v>
      </c>
      <c r="S39" s="272">
        <v>0.72040000000000004</v>
      </c>
      <c r="T39" s="272">
        <v>0.4541</v>
      </c>
    </row>
    <row r="40" spans="1:20">
      <c r="A40" s="155" t="str">
        <f t="shared" si="5"/>
        <v>236_7291</v>
      </c>
      <c r="B40" s="295">
        <v>236</v>
      </c>
      <c r="C40" s="145">
        <v>7291</v>
      </c>
      <c r="D40" s="143">
        <v>1</v>
      </c>
      <c r="E40" s="146">
        <v>0.87670000000000003</v>
      </c>
      <c r="F40" s="146">
        <v>0.6431</v>
      </c>
      <c r="G40" s="271" t="str">
        <f t="shared" si="6"/>
        <v/>
      </c>
      <c r="I40" s="295">
        <f t="shared" si="7"/>
        <v>236</v>
      </c>
      <c r="J40" s="146">
        <f t="shared" si="3"/>
        <v>0.87670000000000003</v>
      </c>
      <c r="K40" s="146">
        <f t="shared" si="4"/>
        <v>0.6431</v>
      </c>
      <c r="P40" s="299">
        <v>236</v>
      </c>
      <c r="Q40" s="144">
        <v>7291</v>
      </c>
      <c r="R40" s="157" t="s">
        <v>1831</v>
      </c>
      <c r="S40" s="272">
        <v>0.87670000000000003</v>
      </c>
      <c r="T40" s="272">
        <v>0.6431</v>
      </c>
    </row>
    <row r="41" spans="1:20">
      <c r="A41" s="155" t="str">
        <f t="shared" si="5"/>
        <v>237_7212</v>
      </c>
      <c r="B41" s="295">
        <v>237</v>
      </c>
      <c r="C41" s="145">
        <v>7212</v>
      </c>
      <c r="D41" s="143">
        <v>1</v>
      </c>
      <c r="E41" s="146">
        <v>0.71589999999999998</v>
      </c>
      <c r="F41" s="146">
        <v>0.63449999999999995</v>
      </c>
      <c r="G41" s="271" t="str">
        <f t="shared" si="6"/>
        <v/>
      </c>
      <c r="I41" s="295">
        <f t="shared" si="7"/>
        <v>237</v>
      </c>
      <c r="J41" s="146">
        <f t="shared" si="3"/>
        <v>0.71589999999999998</v>
      </c>
      <c r="K41" s="146">
        <f t="shared" si="4"/>
        <v>0.63449999999999995</v>
      </c>
      <c r="P41" s="299">
        <v>237</v>
      </c>
      <c r="Q41" s="144">
        <v>7212</v>
      </c>
      <c r="R41" s="157" t="s">
        <v>1832</v>
      </c>
      <c r="S41" s="272">
        <v>0.71589999999999998</v>
      </c>
      <c r="T41" s="272">
        <v>0.63449999999999995</v>
      </c>
    </row>
    <row r="42" spans="1:20">
      <c r="A42" s="155" t="str">
        <f t="shared" si="5"/>
        <v>239_73909</v>
      </c>
      <c r="B42" s="295">
        <v>239</v>
      </c>
      <c r="C42" s="145">
        <v>73909</v>
      </c>
      <c r="D42" s="143">
        <v>3</v>
      </c>
      <c r="E42" s="146">
        <v>0.88849999999999996</v>
      </c>
      <c r="F42" s="146">
        <v>0.59230000000000005</v>
      </c>
      <c r="G42" s="271" t="str">
        <f t="shared" si="6"/>
        <v/>
      </c>
      <c r="I42" s="295">
        <f t="shared" si="7"/>
        <v>239</v>
      </c>
      <c r="J42" s="146">
        <f t="shared" si="3"/>
        <v>0.88849999999999996</v>
      </c>
      <c r="K42" s="146">
        <f t="shared" si="4"/>
        <v>0.59230000000000005</v>
      </c>
      <c r="P42" s="299">
        <v>239</v>
      </c>
      <c r="Q42" s="144">
        <v>73909</v>
      </c>
      <c r="R42" s="157" t="s">
        <v>1833</v>
      </c>
      <c r="S42" s="272">
        <v>0.88849999999999996</v>
      </c>
      <c r="T42" s="272">
        <v>0.59230000000000005</v>
      </c>
    </row>
    <row r="43" spans="1:20">
      <c r="A43" s="155" t="str">
        <f t="shared" si="5"/>
        <v>239_9121</v>
      </c>
      <c r="B43" s="295">
        <v>239</v>
      </c>
      <c r="C43" s="273">
        <v>9121</v>
      </c>
      <c r="D43" s="143">
        <v>3</v>
      </c>
      <c r="E43" s="146">
        <v>0.88849999999999996</v>
      </c>
      <c r="F43" s="146">
        <v>0.59230000000000005</v>
      </c>
      <c r="G43" s="271" t="str">
        <f t="shared" si="6"/>
        <v/>
      </c>
      <c r="I43" s="295">
        <f t="shared" si="7"/>
        <v>239</v>
      </c>
      <c r="J43" s="146">
        <f t="shared" si="3"/>
        <v>0.88849999999999996</v>
      </c>
      <c r="K43" s="146">
        <f t="shared" si="4"/>
        <v>0.59230000000000005</v>
      </c>
      <c r="P43" s="299">
        <v>239</v>
      </c>
      <c r="Q43" s="271">
        <v>9121</v>
      </c>
      <c r="R43" s="274" t="s">
        <v>1835</v>
      </c>
      <c r="S43" s="272">
        <v>0.88849999999999996</v>
      </c>
      <c r="T43" s="272">
        <v>0.59230000000000005</v>
      </c>
    </row>
    <row r="44" spans="1:20">
      <c r="A44" s="155" t="str">
        <f t="shared" si="5"/>
        <v>239_7422</v>
      </c>
      <c r="B44" s="295">
        <v>239</v>
      </c>
      <c r="C44" s="273">
        <v>7422</v>
      </c>
      <c r="D44" s="143">
        <v>3</v>
      </c>
      <c r="E44" s="146">
        <v>0.88849999999999996</v>
      </c>
      <c r="F44" s="146">
        <v>0.59230000000000005</v>
      </c>
      <c r="G44" s="271" t="str">
        <f t="shared" si="6"/>
        <v/>
      </c>
      <c r="I44" s="295">
        <f t="shared" si="7"/>
        <v>239</v>
      </c>
      <c r="J44" s="146">
        <f t="shared" si="3"/>
        <v>0.88849999999999996</v>
      </c>
      <c r="K44" s="146">
        <f t="shared" si="4"/>
        <v>0.59230000000000005</v>
      </c>
      <c r="P44" s="299">
        <v>239</v>
      </c>
      <c r="Q44" s="271">
        <v>7422</v>
      </c>
      <c r="R44" s="274" t="s">
        <v>1834</v>
      </c>
      <c r="S44" s="272">
        <v>0.88849999999999996</v>
      </c>
      <c r="T44" s="272">
        <v>0.59230000000000005</v>
      </c>
    </row>
    <row r="45" spans="1:20">
      <c r="A45" s="155" t="str">
        <f t="shared" si="5"/>
        <v>311_201</v>
      </c>
      <c r="B45" s="295">
        <v>311</v>
      </c>
      <c r="C45" s="280">
        <v>201</v>
      </c>
      <c r="D45" s="143">
        <v>1</v>
      </c>
      <c r="E45" s="146">
        <v>0.94169999999999998</v>
      </c>
      <c r="F45" s="146">
        <v>0.70199999999999996</v>
      </c>
      <c r="G45" s="271" t="str">
        <f t="shared" si="6"/>
        <v/>
      </c>
      <c r="I45" s="295">
        <f t="shared" si="7"/>
        <v>311</v>
      </c>
      <c r="J45" s="146">
        <f t="shared" si="3"/>
        <v>0.94169999999999998</v>
      </c>
      <c r="K45" s="146">
        <f t="shared" si="4"/>
        <v>0.70199999999999996</v>
      </c>
      <c r="P45" s="299">
        <v>311</v>
      </c>
      <c r="Q45" s="280">
        <v>201</v>
      </c>
      <c r="R45" s="157" t="s">
        <v>4</v>
      </c>
      <c r="S45" s="272">
        <v>0.94169999999999998</v>
      </c>
      <c r="T45" s="272">
        <v>0.70199999999999996</v>
      </c>
    </row>
    <row r="46" spans="1:20">
      <c r="A46" s="155" t="str">
        <f t="shared" si="5"/>
        <v>312_202</v>
      </c>
      <c r="B46" s="295">
        <v>312</v>
      </c>
      <c r="C46" s="286">
        <v>202</v>
      </c>
      <c r="D46" s="143">
        <v>1</v>
      </c>
      <c r="E46" s="146">
        <v>0.94169999999999998</v>
      </c>
      <c r="F46" s="146">
        <v>0.70199999999999996</v>
      </c>
      <c r="G46" s="271" t="str">
        <f t="shared" si="6"/>
        <v/>
      </c>
      <c r="I46" s="295">
        <f t="shared" si="7"/>
        <v>312</v>
      </c>
      <c r="J46" s="146">
        <f t="shared" si="3"/>
        <v>0.94169999999999998</v>
      </c>
      <c r="K46" s="146">
        <f t="shared" si="4"/>
        <v>0.70199999999999996</v>
      </c>
      <c r="P46" s="299">
        <v>312</v>
      </c>
      <c r="Q46" s="286">
        <v>202</v>
      </c>
      <c r="R46" s="274" t="s">
        <v>77</v>
      </c>
      <c r="S46" s="272">
        <v>0.94169999999999998</v>
      </c>
      <c r="T46" s="272">
        <v>0.70199999999999996</v>
      </c>
    </row>
    <row r="47" spans="1:20">
      <c r="A47" s="155" t="str">
        <f t="shared" si="5"/>
        <v>390_2030</v>
      </c>
      <c r="B47" s="295">
        <v>390</v>
      </c>
      <c r="C47" s="291">
        <v>2030</v>
      </c>
      <c r="D47" s="143">
        <v>1</v>
      </c>
      <c r="E47" s="146">
        <v>0.94169999999999998</v>
      </c>
      <c r="F47" s="146">
        <v>0.70199999999999996</v>
      </c>
      <c r="G47" s="271" t="str">
        <f t="shared" si="6"/>
        <v/>
      </c>
      <c r="I47" s="295">
        <f t="shared" si="7"/>
        <v>390</v>
      </c>
      <c r="J47" s="146">
        <f t="shared" si="3"/>
        <v>0.94169999999999998</v>
      </c>
      <c r="K47" s="146">
        <f t="shared" si="4"/>
        <v>0.70199999999999996</v>
      </c>
      <c r="P47" s="299">
        <v>390</v>
      </c>
      <c r="Q47" s="290">
        <v>2030</v>
      </c>
      <c r="R47" s="157" t="s">
        <v>1836</v>
      </c>
      <c r="S47" s="272">
        <v>0.94169999999999998</v>
      </c>
      <c r="T47" s="272">
        <v>0.70199999999999996</v>
      </c>
    </row>
    <row r="48" spans="1:20">
      <c r="A48" s="155" t="str">
        <f t="shared" si="5"/>
        <v>411_1610</v>
      </c>
      <c r="B48" s="295">
        <v>411</v>
      </c>
      <c r="C48" s="145">
        <v>1610</v>
      </c>
      <c r="D48" s="143">
        <v>1</v>
      </c>
      <c r="E48" s="146">
        <v>0.35049999999999998</v>
      </c>
      <c r="F48" s="146">
        <v>0.17449999999999999</v>
      </c>
      <c r="G48" s="271" t="str">
        <f t="shared" si="6"/>
        <v/>
      </c>
      <c r="I48" s="295">
        <f t="shared" si="7"/>
        <v>411</v>
      </c>
      <c r="J48" s="146">
        <f t="shared" si="3"/>
        <v>0.35049999999999998</v>
      </c>
      <c r="K48" s="146">
        <f t="shared" si="4"/>
        <v>0.17449999999999999</v>
      </c>
      <c r="P48" s="299">
        <v>411</v>
      </c>
      <c r="Q48" s="144">
        <v>1610</v>
      </c>
      <c r="R48" s="157" t="s">
        <v>78</v>
      </c>
      <c r="S48" s="272">
        <v>0.35049999999999998</v>
      </c>
      <c r="T48" s="272">
        <v>0.17449999999999999</v>
      </c>
    </row>
    <row r="49" spans="1:20">
      <c r="A49" s="155" t="str">
        <f t="shared" si="5"/>
        <v>412_1621</v>
      </c>
      <c r="B49" s="295">
        <v>412</v>
      </c>
      <c r="C49" s="145">
        <v>1621</v>
      </c>
      <c r="D49" s="143">
        <v>1</v>
      </c>
      <c r="E49" s="146">
        <v>0.35049999999999998</v>
      </c>
      <c r="F49" s="146">
        <v>0.17449999999999999</v>
      </c>
      <c r="G49" s="271" t="str">
        <f t="shared" si="6"/>
        <v/>
      </c>
      <c r="I49" s="295">
        <f t="shared" si="7"/>
        <v>412</v>
      </c>
      <c r="J49" s="146">
        <f t="shared" si="3"/>
        <v>0.35049999999999998</v>
      </c>
      <c r="K49" s="146">
        <f t="shared" si="4"/>
        <v>0.17449999999999999</v>
      </c>
      <c r="P49" s="299">
        <v>412</v>
      </c>
      <c r="Q49" s="144">
        <v>1621</v>
      </c>
      <c r="R49" s="157" t="s">
        <v>79</v>
      </c>
      <c r="S49" s="272">
        <v>0.35049999999999998</v>
      </c>
      <c r="T49" s="272">
        <v>0.17449999999999999</v>
      </c>
    </row>
    <row r="50" spans="1:20">
      <c r="A50" s="155" t="str">
        <f t="shared" si="5"/>
        <v>413_1622</v>
      </c>
      <c r="B50" s="295">
        <v>413</v>
      </c>
      <c r="C50" s="145">
        <v>1622</v>
      </c>
      <c r="D50" s="143">
        <v>1</v>
      </c>
      <c r="E50" s="146">
        <v>0.35049999999999998</v>
      </c>
      <c r="F50" s="146">
        <v>0.17449999999999999</v>
      </c>
      <c r="G50" s="271" t="str">
        <f t="shared" si="6"/>
        <v/>
      </c>
      <c r="I50" s="295">
        <f t="shared" si="7"/>
        <v>413</v>
      </c>
      <c r="J50" s="146">
        <f t="shared" si="3"/>
        <v>0.35049999999999998</v>
      </c>
      <c r="K50" s="146">
        <f t="shared" si="4"/>
        <v>0.17449999999999999</v>
      </c>
      <c r="P50" s="299">
        <v>413</v>
      </c>
      <c r="Q50" s="144">
        <v>1622</v>
      </c>
      <c r="R50" s="157" t="s">
        <v>80</v>
      </c>
      <c r="S50" s="272">
        <v>0.35049999999999998</v>
      </c>
      <c r="T50" s="272">
        <v>0.17449999999999999</v>
      </c>
    </row>
    <row r="51" spans="1:20">
      <c r="A51" s="155" t="str">
        <f t="shared" si="5"/>
        <v>414_1623</v>
      </c>
      <c r="B51" s="295">
        <v>414</v>
      </c>
      <c r="C51" s="145">
        <v>1623</v>
      </c>
      <c r="D51" s="143">
        <v>1</v>
      </c>
      <c r="E51" s="146">
        <v>0.35049999999999998</v>
      </c>
      <c r="F51" s="146">
        <v>0.17449999999999999</v>
      </c>
      <c r="G51" s="271" t="str">
        <f t="shared" si="6"/>
        <v/>
      </c>
      <c r="I51" s="295">
        <f t="shared" si="7"/>
        <v>414</v>
      </c>
      <c r="J51" s="146">
        <f t="shared" si="3"/>
        <v>0.35049999999999998</v>
      </c>
      <c r="K51" s="146">
        <f t="shared" si="4"/>
        <v>0.17449999999999999</v>
      </c>
      <c r="P51" s="299">
        <v>414</v>
      </c>
      <c r="Q51" s="144">
        <v>1623</v>
      </c>
      <c r="R51" s="157" t="s">
        <v>81</v>
      </c>
      <c r="S51" s="272">
        <v>0.35049999999999998</v>
      </c>
      <c r="T51" s="272">
        <v>0.17449999999999999</v>
      </c>
    </row>
    <row r="52" spans="1:20">
      <c r="A52" s="155" t="str">
        <f t="shared" si="5"/>
        <v>415_1630</v>
      </c>
      <c r="B52" s="295">
        <v>415</v>
      </c>
      <c r="C52" s="145">
        <v>1630</v>
      </c>
      <c r="D52" s="143">
        <v>1</v>
      </c>
      <c r="E52" s="146">
        <v>0.35049999999999998</v>
      </c>
      <c r="F52" s="146">
        <v>0.17449999999999999</v>
      </c>
      <c r="G52" s="271" t="str">
        <f t="shared" si="6"/>
        <v/>
      </c>
      <c r="I52" s="295">
        <f t="shared" si="7"/>
        <v>415</v>
      </c>
      <c r="J52" s="146">
        <f t="shared" si="3"/>
        <v>0.35049999999999998</v>
      </c>
      <c r="K52" s="146">
        <f t="shared" si="4"/>
        <v>0.17449999999999999</v>
      </c>
      <c r="P52" s="299">
        <v>415</v>
      </c>
      <c r="Q52" s="144">
        <v>1630</v>
      </c>
      <c r="R52" s="157" t="s">
        <v>82</v>
      </c>
      <c r="S52" s="272">
        <v>0.35049999999999998</v>
      </c>
      <c r="T52" s="272">
        <v>0.17449999999999999</v>
      </c>
    </row>
    <row r="53" spans="1:20">
      <c r="A53" s="155" t="str">
        <f t="shared" si="5"/>
        <v>416_3202</v>
      </c>
      <c r="B53" s="295">
        <v>416</v>
      </c>
      <c r="C53" s="145">
        <v>3202</v>
      </c>
      <c r="D53" s="143">
        <v>1</v>
      </c>
      <c r="E53" s="146">
        <v>0.37690000000000001</v>
      </c>
      <c r="F53" s="146">
        <v>0.16930000000000001</v>
      </c>
      <c r="G53" s="271" t="str">
        <f t="shared" si="6"/>
        <v/>
      </c>
      <c r="I53" s="295">
        <f t="shared" si="7"/>
        <v>416</v>
      </c>
      <c r="J53" s="146">
        <f t="shared" si="3"/>
        <v>0.37690000000000001</v>
      </c>
      <c r="K53" s="146">
        <f t="shared" si="4"/>
        <v>0.16930000000000001</v>
      </c>
      <c r="P53" s="299">
        <v>416</v>
      </c>
      <c r="Q53" s="144">
        <v>3202</v>
      </c>
      <c r="R53" s="157" t="s">
        <v>83</v>
      </c>
      <c r="S53" s="272">
        <v>0.37690000000000001</v>
      </c>
      <c r="T53" s="272">
        <v>0.16930000000000001</v>
      </c>
    </row>
    <row r="54" spans="1:20">
      <c r="A54" s="155" t="str">
        <f>B54&amp;"_"&amp;C54</f>
        <v>419_16291</v>
      </c>
      <c r="B54" s="295">
        <v>419</v>
      </c>
      <c r="C54" s="273">
        <v>16291</v>
      </c>
      <c r="D54" s="143">
        <v>3</v>
      </c>
      <c r="E54" s="146">
        <v>0.35049999999999998</v>
      </c>
      <c r="F54" s="146">
        <v>0.17449999999999999</v>
      </c>
      <c r="G54" s="271" t="str">
        <f>IF(AND(B54=P54,C54=Q54,E54=S54,F54=T54),"","x")</f>
        <v/>
      </c>
      <c r="I54" s="295">
        <f>B54</f>
        <v>419</v>
      </c>
      <c r="J54" s="146">
        <f>E54</f>
        <v>0.35049999999999998</v>
      </c>
      <c r="K54" s="146">
        <f>F54</f>
        <v>0.17449999999999999</v>
      </c>
      <c r="P54" s="299">
        <v>419</v>
      </c>
      <c r="Q54" s="271">
        <v>16291</v>
      </c>
      <c r="R54" s="274" t="s">
        <v>2791</v>
      </c>
      <c r="S54" s="272">
        <v>0.35049999999999998</v>
      </c>
      <c r="T54" s="272">
        <v>0.17449999999999999</v>
      </c>
    </row>
    <row r="55" spans="1:20">
      <c r="A55" s="155" t="str">
        <f t="shared" si="5"/>
        <v>419_16292</v>
      </c>
      <c r="B55" s="295">
        <v>419</v>
      </c>
      <c r="C55" s="273">
        <v>16292</v>
      </c>
      <c r="D55" s="143">
        <v>3</v>
      </c>
      <c r="E55" s="146">
        <v>0.35049999999999998</v>
      </c>
      <c r="F55" s="146">
        <v>0.17449999999999999</v>
      </c>
      <c r="G55" s="271" t="str">
        <f t="shared" si="6"/>
        <v/>
      </c>
      <c r="I55" s="295">
        <f t="shared" si="7"/>
        <v>419</v>
      </c>
      <c r="J55" s="146">
        <f t="shared" si="3"/>
        <v>0.35049999999999998</v>
      </c>
      <c r="K55" s="146">
        <f t="shared" si="4"/>
        <v>0.17449999999999999</v>
      </c>
      <c r="P55" s="299">
        <v>419</v>
      </c>
      <c r="Q55" s="271">
        <v>16292</v>
      </c>
      <c r="R55" s="274" t="s">
        <v>1837</v>
      </c>
      <c r="S55" s="272">
        <v>0.35049999999999998</v>
      </c>
      <c r="T55" s="272">
        <v>0.17449999999999999</v>
      </c>
    </row>
    <row r="56" spans="1:20">
      <c r="A56" s="155" t="str">
        <f t="shared" si="5"/>
        <v>419_16299</v>
      </c>
      <c r="B56" s="295">
        <v>419</v>
      </c>
      <c r="C56" s="273">
        <v>16299</v>
      </c>
      <c r="D56" s="143">
        <v>3</v>
      </c>
      <c r="E56" s="146">
        <v>0.35049999999999998</v>
      </c>
      <c r="F56" s="146">
        <v>0.17449999999999999</v>
      </c>
      <c r="G56" s="271" t="str">
        <f t="shared" si="6"/>
        <v/>
      </c>
      <c r="I56" s="295">
        <f t="shared" si="7"/>
        <v>419</v>
      </c>
      <c r="J56" s="146">
        <f t="shared" si="3"/>
        <v>0.35049999999999998</v>
      </c>
      <c r="K56" s="146">
        <f t="shared" si="4"/>
        <v>0.17449999999999999</v>
      </c>
      <c r="P56" s="299">
        <v>419</v>
      </c>
      <c r="Q56" s="271">
        <v>16299</v>
      </c>
      <c r="R56" s="274" t="s">
        <v>1838</v>
      </c>
      <c r="S56" s="272">
        <v>0.35049999999999998</v>
      </c>
      <c r="T56" s="272">
        <v>0.17449999999999999</v>
      </c>
    </row>
    <row r="57" spans="1:20">
      <c r="A57" s="155" t="str">
        <f t="shared" si="5"/>
        <v>421_1711</v>
      </c>
      <c r="B57" s="295">
        <v>421</v>
      </c>
      <c r="C57" s="145">
        <v>1711</v>
      </c>
      <c r="D57" s="143">
        <v>1</v>
      </c>
      <c r="E57" s="146">
        <v>0.91359999999999997</v>
      </c>
      <c r="F57" s="146">
        <v>0.46460000000000001</v>
      </c>
      <c r="G57" s="271" t="str">
        <f t="shared" si="6"/>
        <v/>
      </c>
      <c r="I57" s="295">
        <f t="shared" si="7"/>
        <v>421</v>
      </c>
      <c r="J57" s="146">
        <f t="shared" si="3"/>
        <v>0.91359999999999997</v>
      </c>
      <c r="K57" s="146">
        <f t="shared" si="4"/>
        <v>0.46460000000000001</v>
      </c>
      <c r="P57" s="299">
        <v>421</v>
      </c>
      <c r="Q57" s="144">
        <v>1711</v>
      </c>
      <c r="R57" s="157" t="s">
        <v>85</v>
      </c>
      <c r="S57" s="272">
        <v>0.91359999999999997</v>
      </c>
      <c r="T57" s="272">
        <v>0.46460000000000001</v>
      </c>
    </row>
    <row r="58" spans="1:20">
      <c r="A58" s="155" t="str">
        <f t="shared" si="5"/>
        <v>422_20112</v>
      </c>
      <c r="B58" s="295">
        <v>422</v>
      </c>
      <c r="C58" s="145">
        <v>20112</v>
      </c>
      <c r="D58" s="143">
        <v>1</v>
      </c>
      <c r="E58" s="146">
        <v>0.91359999999999997</v>
      </c>
      <c r="F58" s="146">
        <v>0.46460000000000001</v>
      </c>
      <c r="G58" s="271" t="str">
        <f t="shared" si="6"/>
        <v/>
      </c>
      <c r="I58" s="295">
        <f t="shared" si="7"/>
        <v>422</v>
      </c>
      <c r="J58" s="146">
        <f t="shared" si="3"/>
        <v>0.91359999999999997</v>
      </c>
      <c r="K58" s="146">
        <f t="shared" si="4"/>
        <v>0.46460000000000001</v>
      </c>
      <c r="P58" s="299">
        <v>422</v>
      </c>
      <c r="Q58" s="144">
        <v>20112</v>
      </c>
      <c r="R58" s="157" t="s">
        <v>86</v>
      </c>
      <c r="S58" s="272">
        <v>0.91359999999999997</v>
      </c>
      <c r="T58" s="272">
        <v>0.46460000000000001</v>
      </c>
    </row>
    <row r="59" spans="1:20">
      <c r="A59" s="155" t="str">
        <f t="shared" si="5"/>
        <v>423_1712</v>
      </c>
      <c r="B59" s="295">
        <v>423</v>
      </c>
      <c r="C59" s="145">
        <v>1712</v>
      </c>
      <c r="D59" s="143">
        <v>1</v>
      </c>
      <c r="E59" s="146">
        <v>0.73470000000000002</v>
      </c>
      <c r="F59" s="146">
        <v>0.3024</v>
      </c>
      <c r="G59" s="271" t="str">
        <f t="shared" si="6"/>
        <v/>
      </c>
      <c r="I59" s="295">
        <f t="shared" si="7"/>
        <v>423</v>
      </c>
      <c r="J59" s="146">
        <f t="shared" si="3"/>
        <v>0.73470000000000002</v>
      </c>
      <c r="K59" s="146">
        <f t="shared" si="4"/>
        <v>0.3024</v>
      </c>
      <c r="P59" s="299">
        <v>423</v>
      </c>
      <c r="Q59" s="144">
        <v>1712</v>
      </c>
      <c r="R59" s="157" t="s">
        <v>87</v>
      </c>
      <c r="S59" s="272">
        <v>0.73470000000000002</v>
      </c>
      <c r="T59" s="272">
        <v>0.3024</v>
      </c>
    </row>
    <row r="60" spans="1:20">
      <c r="A60" s="155" t="str">
        <f t="shared" si="5"/>
        <v>429_20423</v>
      </c>
      <c r="B60" s="280">
        <v>429</v>
      </c>
      <c r="C60" s="273">
        <v>20423</v>
      </c>
      <c r="D60" s="143">
        <v>1</v>
      </c>
      <c r="E60" s="146">
        <v>0.91679999999999995</v>
      </c>
      <c r="F60" s="146">
        <v>0.50490000000000002</v>
      </c>
      <c r="G60" s="271" t="str">
        <f t="shared" si="6"/>
        <v/>
      </c>
      <c r="I60" s="295">
        <f t="shared" si="7"/>
        <v>429</v>
      </c>
      <c r="J60" s="146">
        <f t="shared" si="3"/>
        <v>0.91679999999999995</v>
      </c>
      <c r="K60" s="146">
        <f t="shared" si="4"/>
        <v>0.50490000000000002</v>
      </c>
      <c r="P60" s="281">
        <v>429</v>
      </c>
      <c r="Q60" s="271">
        <v>20423</v>
      </c>
      <c r="R60" s="274" t="s">
        <v>1840</v>
      </c>
      <c r="S60" s="272">
        <v>0.91679999999999995</v>
      </c>
      <c r="T60" s="272">
        <v>0.50490000000000002</v>
      </c>
    </row>
    <row r="61" spans="1:20">
      <c r="A61" s="155" t="str">
        <f t="shared" si="5"/>
        <v>431_2593</v>
      </c>
      <c r="B61" s="295">
        <v>431</v>
      </c>
      <c r="C61" s="145">
        <v>2593</v>
      </c>
      <c r="D61" s="143">
        <v>1</v>
      </c>
      <c r="E61" s="146">
        <v>0.75660000000000005</v>
      </c>
      <c r="F61" s="146">
        <v>0.64700000000000002</v>
      </c>
      <c r="G61" s="271" t="str">
        <f t="shared" si="6"/>
        <v/>
      </c>
      <c r="I61" s="295">
        <f t="shared" si="7"/>
        <v>431</v>
      </c>
      <c r="J61" s="146">
        <f t="shared" si="3"/>
        <v>0.75660000000000005</v>
      </c>
      <c r="K61" s="146">
        <f t="shared" si="4"/>
        <v>0.64700000000000002</v>
      </c>
      <c r="P61" s="299">
        <v>431</v>
      </c>
      <c r="Q61" s="144">
        <v>2593</v>
      </c>
      <c r="R61" s="157" t="s">
        <v>1841</v>
      </c>
      <c r="S61" s="272">
        <v>0.75660000000000005</v>
      </c>
      <c r="T61" s="272">
        <v>0.64700000000000002</v>
      </c>
    </row>
    <row r="62" spans="1:20">
      <c r="A62" s="155" t="str">
        <f t="shared" si="5"/>
        <v>432_2511</v>
      </c>
      <c r="B62" s="295">
        <v>432</v>
      </c>
      <c r="C62" s="145">
        <v>2511</v>
      </c>
      <c r="D62" s="143">
        <v>1</v>
      </c>
      <c r="E62" s="146">
        <v>0.49530000000000002</v>
      </c>
      <c r="F62" s="146">
        <v>0.39290000000000003</v>
      </c>
      <c r="G62" s="271" t="str">
        <f t="shared" si="6"/>
        <v/>
      </c>
      <c r="I62" s="295">
        <f t="shared" si="7"/>
        <v>432</v>
      </c>
      <c r="J62" s="146">
        <f t="shared" si="3"/>
        <v>0.49530000000000002</v>
      </c>
      <c r="K62" s="146">
        <f t="shared" si="4"/>
        <v>0.39290000000000003</v>
      </c>
      <c r="P62" s="299">
        <v>432</v>
      </c>
      <c r="Q62" s="144">
        <v>2511</v>
      </c>
      <c r="R62" s="157" t="s">
        <v>1842</v>
      </c>
      <c r="S62" s="272">
        <v>0.49530000000000002</v>
      </c>
      <c r="T62" s="272">
        <v>0.39290000000000003</v>
      </c>
    </row>
    <row r="63" spans="1:20">
      <c r="A63" s="155" t="str">
        <f>B63&amp;"_"&amp;C63</f>
        <v>433_2921</v>
      </c>
      <c r="B63" s="280">
        <v>433</v>
      </c>
      <c r="C63" s="283">
        <v>2921</v>
      </c>
      <c r="D63" s="143">
        <v>2</v>
      </c>
      <c r="E63" s="146">
        <v>0.33929999999999999</v>
      </c>
      <c r="F63" s="146">
        <v>0.24340000000000001</v>
      </c>
      <c r="G63" s="271" t="str">
        <f>IF(AND(B63=P63,C63=Q63,E63=S63,F63=T63),"","x")</f>
        <v/>
      </c>
      <c r="I63" s="295">
        <f>B63</f>
        <v>433</v>
      </c>
      <c r="J63" s="146">
        <f>E63</f>
        <v>0.33929999999999999</v>
      </c>
      <c r="K63" s="146">
        <f>F63</f>
        <v>0.24340000000000001</v>
      </c>
      <c r="P63" s="281">
        <v>433</v>
      </c>
      <c r="Q63" s="282">
        <v>2921</v>
      </c>
      <c r="R63" s="274" t="s">
        <v>1822</v>
      </c>
      <c r="S63" s="272">
        <v>0.33929999999999999</v>
      </c>
      <c r="T63" s="272">
        <v>0.24340000000000001</v>
      </c>
    </row>
    <row r="64" spans="1:20">
      <c r="A64" s="155" t="str">
        <f t="shared" si="5"/>
        <v>433_29194</v>
      </c>
      <c r="B64" s="280">
        <v>433</v>
      </c>
      <c r="C64" s="283">
        <v>29194</v>
      </c>
      <c r="D64" s="143">
        <v>2</v>
      </c>
      <c r="E64" s="146">
        <v>0.33929999999999999</v>
      </c>
      <c r="F64" s="146">
        <v>0.24340000000000001</v>
      </c>
      <c r="G64" s="271" t="str">
        <f t="shared" si="6"/>
        <v/>
      </c>
      <c r="I64" s="295">
        <f t="shared" si="7"/>
        <v>433</v>
      </c>
      <c r="J64" s="146">
        <f t="shared" si="3"/>
        <v>0.33929999999999999</v>
      </c>
      <c r="K64" s="146">
        <f t="shared" si="4"/>
        <v>0.24340000000000001</v>
      </c>
      <c r="P64" s="281">
        <v>433</v>
      </c>
      <c r="Q64" s="282">
        <v>29194</v>
      </c>
      <c r="R64" s="274" t="s">
        <v>1843</v>
      </c>
      <c r="S64" s="272">
        <v>0.33929999999999999</v>
      </c>
      <c r="T64" s="272">
        <v>0.24340000000000001</v>
      </c>
    </row>
    <row r="65" spans="1:20">
      <c r="A65" s="155" t="str">
        <f>B65&amp;"_"&amp;C65</f>
        <v>439_20129</v>
      </c>
      <c r="B65" s="295">
        <v>439</v>
      </c>
      <c r="C65" s="283">
        <v>20129</v>
      </c>
      <c r="D65" s="143">
        <v>3</v>
      </c>
      <c r="E65" s="146">
        <v>0.77070000000000005</v>
      </c>
      <c r="F65" s="146">
        <v>0.70750000000000002</v>
      </c>
      <c r="G65" s="271" t="str">
        <f>IF(AND(B65=P65,C65=Q65,E65=S65,F65=T65),"","x")</f>
        <v/>
      </c>
      <c r="I65" s="295">
        <f>B65</f>
        <v>439</v>
      </c>
      <c r="J65" s="146">
        <f>E65</f>
        <v>0.77070000000000005</v>
      </c>
      <c r="K65" s="146">
        <f>F65</f>
        <v>0.70750000000000002</v>
      </c>
      <c r="P65" s="299">
        <v>439</v>
      </c>
      <c r="Q65" s="282">
        <v>20129</v>
      </c>
      <c r="R65" s="157" t="s">
        <v>1845</v>
      </c>
      <c r="S65" s="272">
        <v>0.77070000000000005</v>
      </c>
      <c r="T65" s="272">
        <v>0.70750000000000002</v>
      </c>
    </row>
    <row r="66" spans="1:20">
      <c r="A66" s="155" t="str">
        <f>B66&amp;"_"&amp;C66</f>
        <v>439_20493</v>
      </c>
      <c r="B66" s="295">
        <v>439</v>
      </c>
      <c r="C66" s="283">
        <v>20493</v>
      </c>
      <c r="D66" s="143">
        <v>3</v>
      </c>
      <c r="E66" s="146">
        <v>0.77070000000000005</v>
      </c>
      <c r="F66" s="146">
        <v>0.70750000000000002</v>
      </c>
      <c r="G66" s="271" t="str">
        <f>IF(AND(B66=P66,C66=Q66,E66=S66,F66=T66),"","x")</f>
        <v/>
      </c>
      <c r="I66" s="295">
        <f>B66</f>
        <v>439</v>
      </c>
      <c r="J66" s="146">
        <f>E66</f>
        <v>0.77070000000000005</v>
      </c>
      <c r="K66" s="146">
        <f>F66</f>
        <v>0.70750000000000002</v>
      </c>
      <c r="P66" s="299">
        <v>439</v>
      </c>
      <c r="Q66" s="282">
        <v>20493</v>
      </c>
      <c r="R66" s="157" t="s">
        <v>1818</v>
      </c>
      <c r="S66" s="272">
        <v>0.77070000000000005</v>
      </c>
      <c r="T66" s="272">
        <v>0.70750000000000002</v>
      </c>
    </row>
    <row r="67" spans="1:20">
      <c r="A67" s="155" t="str">
        <f t="shared" si="5"/>
        <v>439_26429</v>
      </c>
      <c r="B67" s="295">
        <v>439</v>
      </c>
      <c r="C67" s="283">
        <v>26429</v>
      </c>
      <c r="D67" s="143">
        <v>3</v>
      </c>
      <c r="E67" s="146">
        <v>0.77070000000000005</v>
      </c>
      <c r="F67" s="146">
        <v>0.70750000000000002</v>
      </c>
      <c r="G67" s="271" t="str">
        <f t="shared" si="6"/>
        <v/>
      </c>
      <c r="I67" s="295">
        <f t="shared" si="7"/>
        <v>439</v>
      </c>
      <c r="J67" s="146">
        <f t="shared" si="3"/>
        <v>0.77070000000000005</v>
      </c>
      <c r="K67" s="146">
        <f t="shared" si="4"/>
        <v>0.70750000000000002</v>
      </c>
      <c r="P67" s="299">
        <v>439</v>
      </c>
      <c r="Q67" s="282">
        <v>26429</v>
      </c>
      <c r="R67" s="274" t="s">
        <v>1844</v>
      </c>
      <c r="S67" s="272">
        <v>0.77070000000000005</v>
      </c>
      <c r="T67" s="272">
        <v>0.70750000000000002</v>
      </c>
    </row>
    <row r="68" spans="1:20">
      <c r="A68" s="155" t="str">
        <f t="shared" ref="A68:A97" si="8">B68&amp;"_"&amp;C68</f>
        <v>441_204</v>
      </c>
      <c r="B68" s="295">
        <v>441</v>
      </c>
      <c r="C68" s="280">
        <v>204</v>
      </c>
      <c r="D68" s="143">
        <v>1</v>
      </c>
      <c r="E68" s="146">
        <v>0.95779999999999998</v>
      </c>
      <c r="F68" s="146">
        <v>0.74670000000000003</v>
      </c>
      <c r="G68" s="271" t="str">
        <f t="shared" ref="G68:G97" si="9">IF(AND(B68=P68,C68=Q68,E68=S68,F68=T68),"","x")</f>
        <v/>
      </c>
      <c r="I68" s="295">
        <f t="shared" ref="I68:I97" si="10">B68</f>
        <v>441</v>
      </c>
      <c r="J68" s="146">
        <f t="shared" ref="J68:J130" si="11">E68</f>
        <v>0.95779999999999998</v>
      </c>
      <c r="K68" s="146">
        <f t="shared" ref="K68:K130" si="12">F68</f>
        <v>0.74670000000000003</v>
      </c>
      <c r="P68" s="299">
        <v>441</v>
      </c>
      <c r="Q68" s="280">
        <v>204</v>
      </c>
      <c r="R68" s="157" t="s">
        <v>27</v>
      </c>
      <c r="S68" s="272">
        <v>0.95779999999999998</v>
      </c>
      <c r="T68" s="272">
        <v>0.74670000000000003</v>
      </c>
    </row>
    <row r="69" spans="1:20">
      <c r="A69" s="155" t="str">
        <f t="shared" si="8"/>
        <v>442_62</v>
      </c>
      <c r="B69" s="280">
        <v>442</v>
      </c>
      <c r="C69" s="273">
        <v>62</v>
      </c>
      <c r="D69" s="275">
        <v>3</v>
      </c>
      <c r="E69" s="276">
        <v>0.8972</v>
      </c>
      <c r="F69" s="276">
        <v>0.67349999999999999</v>
      </c>
      <c r="G69" s="271" t="str">
        <f t="shared" si="9"/>
        <v/>
      </c>
      <c r="H69" s="175"/>
      <c r="I69" s="280">
        <f t="shared" si="10"/>
        <v>442</v>
      </c>
      <c r="J69" s="276">
        <f t="shared" si="11"/>
        <v>0.8972</v>
      </c>
      <c r="K69" s="276">
        <f t="shared" si="12"/>
        <v>0.67349999999999999</v>
      </c>
      <c r="L69" s="271"/>
      <c r="M69" s="271"/>
      <c r="N69" s="271"/>
      <c r="O69" s="271"/>
      <c r="P69" s="281">
        <v>442</v>
      </c>
      <c r="Q69" s="271">
        <v>62</v>
      </c>
      <c r="R69" s="274" t="s">
        <v>2738</v>
      </c>
      <c r="S69" s="277">
        <v>0.8972</v>
      </c>
      <c r="T69" s="272">
        <v>0.67349999999999999</v>
      </c>
    </row>
    <row r="70" spans="1:20">
      <c r="A70" s="155" t="str">
        <f t="shared" si="8"/>
        <v>442_63</v>
      </c>
      <c r="B70" s="280">
        <v>442</v>
      </c>
      <c r="C70" s="273">
        <v>63</v>
      </c>
      <c r="D70" s="275">
        <v>3</v>
      </c>
      <c r="E70" s="276">
        <v>0.8972</v>
      </c>
      <c r="F70" s="276">
        <v>0.67349999999999999</v>
      </c>
      <c r="G70" s="271" t="str">
        <f t="shared" si="9"/>
        <v/>
      </c>
      <c r="H70" s="175"/>
      <c r="I70" s="280">
        <f t="shared" si="10"/>
        <v>442</v>
      </c>
      <c r="J70" s="276">
        <f t="shared" si="11"/>
        <v>0.8972</v>
      </c>
      <c r="K70" s="276">
        <f t="shared" si="12"/>
        <v>0.67349999999999999</v>
      </c>
      <c r="L70" s="271"/>
      <c r="M70" s="271"/>
      <c r="N70" s="271"/>
      <c r="O70" s="271"/>
      <c r="P70" s="281">
        <v>442</v>
      </c>
      <c r="Q70" s="271">
        <v>63</v>
      </c>
      <c r="R70" s="274" t="s">
        <v>2740</v>
      </c>
      <c r="S70" s="277">
        <v>0.8972</v>
      </c>
      <c r="T70" s="272">
        <v>0.67349999999999999</v>
      </c>
    </row>
    <row r="71" spans="1:20">
      <c r="A71" s="155" t="str">
        <f t="shared" si="8"/>
        <v>442_5822</v>
      </c>
      <c r="B71" s="280">
        <v>442</v>
      </c>
      <c r="C71" s="273">
        <v>5822</v>
      </c>
      <c r="D71" s="275">
        <v>3</v>
      </c>
      <c r="E71" s="276">
        <v>0.8972</v>
      </c>
      <c r="F71" s="276">
        <v>0.67349999999999999</v>
      </c>
      <c r="G71" s="271" t="str">
        <f t="shared" si="9"/>
        <v/>
      </c>
      <c r="H71" s="175"/>
      <c r="I71" s="280">
        <f t="shared" si="10"/>
        <v>442</v>
      </c>
      <c r="J71" s="276">
        <f t="shared" si="11"/>
        <v>0.8972</v>
      </c>
      <c r="K71" s="276">
        <f t="shared" si="12"/>
        <v>0.67349999999999999</v>
      </c>
      <c r="L71" s="271"/>
      <c r="M71" s="271"/>
      <c r="N71" s="271"/>
      <c r="O71" s="271"/>
      <c r="P71" s="281">
        <v>442</v>
      </c>
      <c r="Q71" s="271">
        <v>5822</v>
      </c>
      <c r="R71" s="274" t="s">
        <v>2722</v>
      </c>
      <c r="S71" s="277">
        <v>0.8972</v>
      </c>
      <c r="T71" s="272">
        <v>0.67349999999999999</v>
      </c>
    </row>
    <row r="72" spans="1:20">
      <c r="A72" s="155" t="str">
        <f t="shared" si="8"/>
        <v>443_41226</v>
      </c>
      <c r="B72" s="295">
        <v>443</v>
      </c>
      <c r="C72" s="145">
        <v>41226</v>
      </c>
      <c r="D72" s="143">
        <v>1</v>
      </c>
      <c r="E72" s="146">
        <v>0.95779999999999998</v>
      </c>
      <c r="F72" s="146">
        <v>0.74670000000000003</v>
      </c>
      <c r="G72" s="271" t="str">
        <f t="shared" si="9"/>
        <v/>
      </c>
      <c r="I72" s="295">
        <f t="shared" si="10"/>
        <v>443</v>
      </c>
      <c r="J72" s="146">
        <f t="shared" si="11"/>
        <v>0.95779999999999998</v>
      </c>
      <c r="K72" s="146">
        <f t="shared" si="12"/>
        <v>0.74670000000000003</v>
      </c>
      <c r="P72" s="299">
        <v>443</v>
      </c>
      <c r="Q72" s="144">
        <v>41226</v>
      </c>
      <c r="R72" s="157" t="s">
        <v>94</v>
      </c>
      <c r="S72" s="272">
        <v>0.95779999999999998</v>
      </c>
      <c r="T72" s="272">
        <v>0.74670000000000003</v>
      </c>
    </row>
    <row r="73" spans="1:20">
      <c r="A73" s="155" t="str">
        <f t="shared" si="8"/>
        <v>444_7430</v>
      </c>
      <c r="B73" s="295">
        <v>444</v>
      </c>
      <c r="C73" s="145">
        <v>7430</v>
      </c>
      <c r="D73" s="143">
        <v>1</v>
      </c>
      <c r="E73" s="146">
        <v>0.95779999999999998</v>
      </c>
      <c r="F73" s="146">
        <v>0.74670000000000003</v>
      </c>
      <c r="G73" s="271" t="str">
        <f t="shared" si="9"/>
        <v/>
      </c>
      <c r="I73" s="295">
        <f t="shared" si="10"/>
        <v>444</v>
      </c>
      <c r="J73" s="146">
        <f t="shared" si="11"/>
        <v>0.95779999999999998</v>
      </c>
      <c r="K73" s="146">
        <f t="shared" si="12"/>
        <v>0.74670000000000003</v>
      </c>
      <c r="P73" s="299">
        <v>444</v>
      </c>
      <c r="Q73" s="144">
        <v>7430</v>
      </c>
      <c r="R73" s="157" t="s">
        <v>1846</v>
      </c>
      <c r="S73" s="272">
        <v>0.95779999999999998</v>
      </c>
      <c r="T73" s="272">
        <v>0.74670000000000003</v>
      </c>
    </row>
    <row r="74" spans="1:20">
      <c r="A74" s="155" t="str">
        <f t="shared" si="8"/>
        <v>445_72112</v>
      </c>
      <c r="B74" s="295">
        <v>445</v>
      </c>
      <c r="C74" s="145">
        <v>72112</v>
      </c>
      <c r="D74" s="143">
        <v>1</v>
      </c>
      <c r="E74" s="146">
        <v>0.95779999999999998</v>
      </c>
      <c r="F74" s="146">
        <v>0.74670000000000003</v>
      </c>
      <c r="G74" s="271" t="str">
        <f t="shared" si="9"/>
        <v/>
      </c>
      <c r="I74" s="295">
        <f t="shared" si="10"/>
        <v>445</v>
      </c>
      <c r="J74" s="146">
        <f t="shared" si="11"/>
        <v>0.95779999999999998</v>
      </c>
      <c r="K74" s="146">
        <f t="shared" si="12"/>
        <v>0.74670000000000003</v>
      </c>
      <c r="P74" s="299">
        <v>445</v>
      </c>
      <c r="Q74" s="144">
        <v>72112</v>
      </c>
      <c r="R74" s="157" t="s">
        <v>1847</v>
      </c>
      <c r="S74" s="272">
        <v>0.95779999999999998</v>
      </c>
      <c r="T74" s="272">
        <v>0.74670000000000003</v>
      </c>
    </row>
    <row r="75" spans="1:20">
      <c r="A75" s="155" t="str">
        <f t="shared" si="8"/>
        <v>446_37</v>
      </c>
      <c r="B75" s="295">
        <v>446</v>
      </c>
      <c r="C75" s="145">
        <v>37</v>
      </c>
      <c r="D75" s="143">
        <v>3</v>
      </c>
      <c r="E75" s="146">
        <v>0.72040000000000004</v>
      </c>
      <c r="F75" s="146">
        <v>0.4541</v>
      </c>
      <c r="G75" s="271" t="str">
        <f t="shared" si="9"/>
        <v/>
      </c>
      <c r="I75" s="295">
        <f t="shared" si="10"/>
        <v>446</v>
      </c>
      <c r="J75" s="146">
        <f t="shared" si="11"/>
        <v>0.72040000000000004</v>
      </c>
      <c r="K75" s="146">
        <f t="shared" si="12"/>
        <v>0.4541</v>
      </c>
      <c r="P75" s="299">
        <v>446</v>
      </c>
      <c r="Q75" s="144">
        <v>37</v>
      </c>
      <c r="R75" s="157" t="s">
        <v>2727</v>
      </c>
      <c r="S75" s="272">
        <v>0.72040000000000004</v>
      </c>
      <c r="T75" s="272">
        <v>0.4541</v>
      </c>
    </row>
    <row r="76" spans="1:20">
      <c r="A76" s="155" t="str">
        <f t="shared" si="8"/>
        <v>446_38</v>
      </c>
      <c r="B76" s="295">
        <v>446</v>
      </c>
      <c r="C76" s="145">
        <v>38</v>
      </c>
      <c r="D76" s="143">
        <v>3</v>
      </c>
      <c r="E76" s="146">
        <v>0.72040000000000004</v>
      </c>
      <c r="F76" s="146">
        <v>0.4541</v>
      </c>
      <c r="G76" s="271" t="str">
        <f t="shared" si="9"/>
        <v/>
      </c>
      <c r="I76" s="295">
        <f t="shared" si="10"/>
        <v>446</v>
      </c>
      <c r="J76" s="146">
        <f t="shared" si="11"/>
        <v>0.72040000000000004</v>
      </c>
      <c r="K76" s="146">
        <f t="shared" si="12"/>
        <v>0.4541</v>
      </c>
      <c r="P76" s="299">
        <v>446</v>
      </c>
      <c r="Q76" s="144">
        <v>38</v>
      </c>
      <c r="R76" s="157" t="s">
        <v>2729</v>
      </c>
      <c r="S76" s="272">
        <v>0.72040000000000004</v>
      </c>
      <c r="T76" s="272">
        <v>0.4541</v>
      </c>
    </row>
    <row r="77" spans="1:20">
      <c r="A77" s="155" t="str">
        <f t="shared" si="8"/>
        <v>446_39</v>
      </c>
      <c r="B77" s="295">
        <v>446</v>
      </c>
      <c r="C77" s="145">
        <v>39</v>
      </c>
      <c r="D77" s="143">
        <v>3</v>
      </c>
      <c r="E77" s="146">
        <v>0.72040000000000004</v>
      </c>
      <c r="F77" s="146">
        <v>0.4541</v>
      </c>
      <c r="G77" s="271" t="str">
        <f t="shared" si="9"/>
        <v/>
      </c>
      <c r="I77" s="295">
        <f t="shared" si="10"/>
        <v>446</v>
      </c>
      <c r="J77" s="146">
        <f t="shared" si="11"/>
        <v>0.72040000000000004</v>
      </c>
      <c r="K77" s="146">
        <f t="shared" si="12"/>
        <v>0.4541</v>
      </c>
      <c r="P77" s="299">
        <v>446</v>
      </c>
      <c r="Q77" s="144">
        <v>39</v>
      </c>
      <c r="R77" s="157" t="s">
        <v>2731</v>
      </c>
      <c r="S77" s="272">
        <v>0.72040000000000004</v>
      </c>
      <c r="T77" s="272">
        <v>0.4541</v>
      </c>
    </row>
    <row r="78" spans="1:20">
      <c r="A78" s="155" t="str">
        <f t="shared" si="8"/>
        <v>447_7011</v>
      </c>
      <c r="B78" s="296">
        <v>447</v>
      </c>
      <c r="C78" s="152">
        <v>7011</v>
      </c>
      <c r="D78" s="153">
        <v>1</v>
      </c>
      <c r="E78" s="154">
        <v>0.9637</v>
      </c>
      <c r="F78" s="154">
        <v>0.88500000000000001</v>
      </c>
      <c r="G78" s="271" t="str">
        <f t="shared" si="9"/>
        <v/>
      </c>
      <c r="I78" s="295">
        <f t="shared" si="10"/>
        <v>447</v>
      </c>
      <c r="J78" s="146">
        <f t="shared" si="11"/>
        <v>0.9637</v>
      </c>
      <c r="K78" s="146">
        <f t="shared" si="12"/>
        <v>0.88500000000000001</v>
      </c>
      <c r="M78" s="157" t="s">
        <v>2236</v>
      </c>
      <c r="N78" s="157"/>
      <c r="O78" s="157"/>
      <c r="P78" s="300">
        <v>447</v>
      </c>
      <c r="Q78" s="144">
        <v>7011</v>
      </c>
      <c r="R78" s="157" t="s">
        <v>1848</v>
      </c>
      <c r="S78" s="272">
        <v>0.9637</v>
      </c>
      <c r="T78" s="272">
        <v>0.88500000000000001</v>
      </c>
    </row>
    <row r="79" spans="1:20">
      <c r="A79" s="155" t="str">
        <f t="shared" si="8"/>
        <v>449_204</v>
      </c>
      <c r="B79" s="295">
        <v>449</v>
      </c>
      <c r="C79" s="284">
        <v>204</v>
      </c>
      <c r="D79" s="143">
        <v>1</v>
      </c>
      <c r="E79" s="146">
        <v>0.95779999999999998</v>
      </c>
      <c r="F79" s="146">
        <v>0.74670000000000003</v>
      </c>
      <c r="G79" s="271" t="str">
        <f t="shared" si="9"/>
        <v/>
      </c>
      <c r="I79" s="295">
        <f t="shared" si="10"/>
        <v>449</v>
      </c>
      <c r="J79" s="146">
        <f t="shared" si="11"/>
        <v>0.95779999999999998</v>
      </c>
      <c r="K79" s="146">
        <f t="shared" si="12"/>
        <v>0.74670000000000003</v>
      </c>
      <c r="P79" s="299">
        <v>449</v>
      </c>
      <c r="Q79" s="284">
        <v>204</v>
      </c>
      <c r="R79" s="157" t="s">
        <v>27</v>
      </c>
      <c r="S79" s="272">
        <v>0.95779999999999998</v>
      </c>
      <c r="T79" s="272">
        <v>0.74670000000000003</v>
      </c>
    </row>
    <row r="80" spans="1:20">
      <c r="A80" s="155" t="str">
        <f t="shared" si="8"/>
        <v>511_311</v>
      </c>
      <c r="B80" s="295">
        <v>511</v>
      </c>
      <c r="C80" s="284">
        <v>311</v>
      </c>
      <c r="D80" s="143">
        <v>1</v>
      </c>
      <c r="E80" s="146">
        <v>0.89929999999999999</v>
      </c>
      <c r="F80" s="146">
        <v>0.71050000000000002</v>
      </c>
      <c r="G80" s="271" t="str">
        <f t="shared" si="9"/>
        <v/>
      </c>
      <c r="I80" s="295">
        <f t="shared" si="10"/>
        <v>511</v>
      </c>
      <c r="J80" s="146">
        <f t="shared" si="11"/>
        <v>0.89929999999999999</v>
      </c>
      <c r="K80" s="146">
        <f t="shared" si="12"/>
        <v>0.71050000000000002</v>
      </c>
      <c r="P80" s="299">
        <v>511</v>
      </c>
      <c r="Q80" s="284">
        <v>311</v>
      </c>
      <c r="R80" s="157" t="s">
        <v>100</v>
      </c>
      <c r="S80" s="272">
        <v>0.89929999999999999</v>
      </c>
      <c r="T80" s="272">
        <v>0.71050000000000002</v>
      </c>
    </row>
    <row r="81" spans="1:20">
      <c r="A81" s="155" t="str">
        <f t="shared" si="8"/>
        <v>512_312</v>
      </c>
      <c r="B81" s="295">
        <v>512</v>
      </c>
      <c r="C81" s="284">
        <v>312</v>
      </c>
      <c r="D81" s="143">
        <v>1</v>
      </c>
      <c r="E81" s="146">
        <v>0.89929999999999999</v>
      </c>
      <c r="F81" s="146">
        <v>0.71050000000000002</v>
      </c>
      <c r="G81" s="271" t="str">
        <f t="shared" si="9"/>
        <v/>
      </c>
      <c r="I81" s="295">
        <f t="shared" si="10"/>
        <v>512</v>
      </c>
      <c r="J81" s="146">
        <f t="shared" si="11"/>
        <v>0.89929999999999999</v>
      </c>
      <c r="K81" s="146">
        <f t="shared" si="12"/>
        <v>0.71050000000000002</v>
      </c>
      <c r="P81" s="299">
        <v>512</v>
      </c>
      <c r="Q81" s="284">
        <v>312</v>
      </c>
      <c r="R81" s="157" t="s">
        <v>101</v>
      </c>
      <c r="S81" s="272">
        <v>0.89929999999999999</v>
      </c>
      <c r="T81" s="272">
        <v>0.71050000000000002</v>
      </c>
    </row>
    <row r="82" spans="1:20">
      <c r="A82" s="155" t="str">
        <f t="shared" si="8"/>
        <v>520_321</v>
      </c>
      <c r="B82" s="295">
        <v>520</v>
      </c>
      <c r="C82" s="284">
        <v>321</v>
      </c>
      <c r="D82" s="143">
        <v>1</v>
      </c>
      <c r="E82" s="146">
        <v>0.89929999999999999</v>
      </c>
      <c r="F82" s="146">
        <v>0.71050000000000002</v>
      </c>
      <c r="G82" s="271" t="str">
        <f t="shared" si="9"/>
        <v/>
      </c>
      <c r="I82" s="295">
        <f t="shared" si="10"/>
        <v>520</v>
      </c>
      <c r="J82" s="146">
        <f t="shared" si="11"/>
        <v>0.89929999999999999</v>
      </c>
      <c r="K82" s="146">
        <f t="shared" si="12"/>
        <v>0.71050000000000002</v>
      </c>
      <c r="P82" s="299">
        <v>520</v>
      </c>
      <c r="Q82" s="284">
        <v>321</v>
      </c>
      <c r="R82" s="157" t="s">
        <v>29</v>
      </c>
      <c r="S82" s="272">
        <v>0.89929999999999999</v>
      </c>
      <c r="T82" s="272">
        <v>0.71050000000000002</v>
      </c>
    </row>
    <row r="83" spans="1:20">
      <c r="A83" s="155" t="str">
        <f t="shared" si="8"/>
        <v>611_3311</v>
      </c>
      <c r="B83" s="295">
        <v>611</v>
      </c>
      <c r="C83" s="145">
        <v>3311</v>
      </c>
      <c r="D83" s="143">
        <v>1</v>
      </c>
      <c r="E83" s="146">
        <v>0.89739999999999998</v>
      </c>
      <c r="F83" s="146">
        <v>0.47360000000000002</v>
      </c>
      <c r="G83" s="271" t="str">
        <f t="shared" si="9"/>
        <v/>
      </c>
      <c r="I83" s="295">
        <f t="shared" si="10"/>
        <v>611</v>
      </c>
      <c r="J83" s="146">
        <f t="shared" si="11"/>
        <v>0.89739999999999998</v>
      </c>
      <c r="K83" s="146">
        <f t="shared" si="12"/>
        <v>0.47360000000000002</v>
      </c>
      <c r="P83" s="299">
        <v>611</v>
      </c>
      <c r="Q83" s="144">
        <v>3311</v>
      </c>
      <c r="R83" s="157" t="s">
        <v>1849</v>
      </c>
      <c r="S83" s="272">
        <v>0.89739999999999998</v>
      </c>
      <c r="T83" s="272">
        <v>0.47360000000000002</v>
      </c>
    </row>
    <row r="84" spans="1:20">
      <c r="A84" s="155" t="str">
        <f>B84&amp;"_"&amp;C84</f>
        <v>612_16292</v>
      </c>
      <c r="B84" s="295">
        <v>612</v>
      </c>
      <c r="C84" s="283">
        <v>16292</v>
      </c>
      <c r="D84" s="143">
        <v>2</v>
      </c>
      <c r="E84" s="146">
        <v>0.89739999999999998</v>
      </c>
      <c r="F84" s="146">
        <v>0.47360000000000002</v>
      </c>
      <c r="G84" s="271" t="str">
        <f>IF(AND(B84=P84,C84=Q84,E84=S84,F84=T84),"","x")</f>
        <v/>
      </c>
      <c r="I84" s="295">
        <f>B84</f>
        <v>612</v>
      </c>
      <c r="J84" s="146">
        <f>E84</f>
        <v>0.89739999999999998</v>
      </c>
      <c r="K84" s="146">
        <f>F84</f>
        <v>0.47360000000000002</v>
      </c>
      <c r="P84" s="299">
        <v>612</v>
      </c>
      <c r="Q84" s="282">
        <v>16292</v>
      </c>
      <c r="R84" s="157" t="s">
        <v>1837</v>
      </c>
      <c r="S84" s="272">
        <v>0.89739999999999998</v>
      </c>
      <c r="T84" s="272">
        <v>0.47360000000000002</v>
      </c>
    </row>
    <row r="85" spans="1:20">
      <c r="A85" s="155" t="str">
        <f t="shared" si="8"/>
        <v>612_32029</v>
      </c>
      <c r="B85" s="295">
        <v>612</v>
      </c>
      <c r="C85" s="283">
        <v>32029</v>
      </c>
      <c r="D85" s="143">
        <v>2</v>
      </c>
      <c r="E85" s="146">
        <v>0.89739999999999998</v>
      </c>
      <c r="F85" s="146">
        <v>0.47360000000000002</v>
      </c>
      <c r="G85" s="271" t="str">
        <f t="shared" si="9"/>
        <v/>
      </c>
      <c r="I85" s="295">
        <f t="shared" si="10"/>
        <v>612</v>
      </c>
      <c r="J85" s="146">
        <f t="shared" si="11"/>
        <v>0.89739999999999998</v>
      </c>
      <c r="K85" s="146">
        <f t="shared" si="12"/>
        <v>0.47360000000000002</v>
      </c>
      <c r="P85" s="299">
        <v>612</v>
      </c>
      <c r="Q85" s="282">
        <v>32029</v>
      </c>
      <c r="R85" s="157" t="s">
        <v>1850</v>
      </c>
      <c r="S85" s="272">
        <v>0.89739999999999998</v>
      </c>
      <c r="T85" s="272">
        <v>0.47360000000000002</v>
      </c>
    </row>
    <row r="86" spans="1:20">
      <c r="A86" s="155" t="str">
        <f t="shared" si="8"/>
        <v>619_2011</v>
      </c>
      <c r="B86" s="295">
        <v>619</v>
      </c>
      <c r="C86" s="283">
        <v>2011</v>
      </c>
      <c r="D86" s="143">
        <v>2</v>
      </c>
      <c r="E86" s="146">
        <v>0.90880000000000005</v>
      </c>
      <c r="F86" s="146">
        <v>0.53520000000000001</v>
      </c>
      <c r="G86" s="271" t="str">
        <f t="shared" si="9"/>
        <v/>
      </c>
      <c r="I86" s="295">
        <f t="shared" si="10"/>
        <v>619</v>
      </c>
      <c r="J86" s="146">
        <f t="shared" si="11"/>
        <v>0.90880000000000005</v>
      </c>
      <c r="K86" s="146">
        <f t="shared" si="12"/>
        <v>0.53520000000000001</v>
      </c>
      <c r="P86" s="299">
        <v>619</v>
      </c>
      <c r="Q86" s="282">
        <v>2011</v>
      </c>
      <c r="R86" s="157" t="s">
        <v>1851</v>
      </c>
      <c r="S86" s="272">
        <v>0.90880000000000005</v>
      </c>
      <c r="T86" s="272">
        <v>0.53520000000000001</v>
      </c>
    </row>
    <row r="87" spans="1:20">
      <c r="A87" s="155" t="str">
        <f t="shared" si="8"/>
        <v>619_20423</v>
      </c>
      <c r="B87" s="295">
        <v>619</v>
      </c>
      <c r="C87" s="283">
        <v>20423</v>
      </c>
      <c r="D87" s="143">
        <v>2</v>
      </c>
      <c r="E87" s="146">
        <v>0.90880000000000005</v>
      </c>
      <c r="F87" s="146">
        <v>0.53520000000000001</v>
      </c>
      <c r="G87" s="271" t="str">
        <f t="shared" si="9"/>
        <v/>
      </c>
      <c r="I87" s="295">
        <f t="shared" si="10"/>
        <v>619</v>
      </c>
      <c r="J87" s="146">
        <f t="shared" si="11"/>
        <v>0.90880000000000005</v>
      </c>
      <c r="K87" s="146">
        <f t="shared" si="12"/>
        <v>0.53520000000000001</v>
      </c>
      <c r="P87" s="299">
        <v>619</v>
      </c>
      <c r="Q87" s="282">
        <v>20423</v>
      </c>
      <c r="R87" s="157" t="s">
        <v>1840</v>
      </c>
      <c r="S87" s="272">
        <v>0.90880000000000005</v>
      </c>
      <c r="T87" s="272">
        <v>0.53520000000000001</v>
      </c>
    </row>
    <row r="88" spans="1:20">
      <c r="A88" s="155" t="str">
        <f t="shared" si="8"/>
        <v>621_3111</v>
      </c>
      <c r="B88" s="295">
        <v>621</v>
      </c>
      <c r="C88" s="145">
        <v>3111</v>
      </c>
      <c r="D88" s="143">
        <v>1</v>
      </c>
      <c r="E88" s="146">
        <v>0.86129999999999995</v>
      </c>
      <c r="F88" s="146">
        <v>0.73660000000000003</v>
      </c>
      <c r="G88" s="271" t="str">
        <f t="shared" si="9"/>
        <v/>
      </c>
      <c r="I88" s="295">
        <f t="shared" si="10"/>
        <v>621</v>
      </c>
      <c r="J88" s="146">
        <f t="shared" si="11"/>
        <v>0.86129999999999995</v>
      </c>
      <c r="K88" s="146">
        <f t="shared" si="12"/>
        <v>0.73660000000000003</v>
      </c>
      <c r="P88" s="299">
        <v>621</v>
      </c>
      <c r="Q88" s="144">
        <v>3111</v>
      </c>
      <c r="R88" s="157" t="s">
        <v>2760</v>
      </c>
      <c r="S88" s="272">
        <v>0.86129999999999995</v>
      </c>
      <c r="T88" s="272">
        <v>0.73660000000000003</v>
      </c>
    </row>
    <row r="89" spans="1:20">
      <c r="A89" s="155" t="str">
        <f t="shared" si="8"/>
        <v>622_3112</v>
      </c>
      <c r="B89" s="295">
        <v>622</v>
      </c>
      <c r="C89" s="145">
        <v>3112</v>
      </c>
      <c r="D89" s="143">
        <v>1</v>
      </c>
      <c r="E89" s="146">
        <v>0.80900000000000005</v>
      </c>
      <c r="F89" s="146">
        <v>0.67579999999999996</v>
      </c>
      <c r="G89" s="271" t="str">
        <f t="shared" si="9"/>
        <v/>
      </c>
      <c r="I89" s="295">
        <f t="shared" si="10"/>
        <v>622</v>
      </c>
      <c r="J89" s="146">
        <f t="shared" si="11"/>
        <v>0.80900000000000005</v>
      </c>
      <c r="K89" s="146">
        <f t="shared" si="12"/>
        <v>0.67579999999999996</v>
      </c>
      <c r="P89" s="299">
        <v>622</v>
      </c>
      <c r="Q89" s="144">
        <v>3112</v>
      </c>
      <c r="R89" s="157" t="s">
        <v>106</v>
      </c>
      <c r="S89" s="272">
        <v>0.80900000000000005</v>
      </c>
      <c r="T89" s="272">
        <v>0.67579999999999996</v>
      </c>
    </row>
    <row r="90" spans="1:20">
      <c r="A90" s="155" t="str">
        <f t="shared" si="8"/>
        <v>623_31114</v>
      </c>
      <c r="B90" s="295">
        <v>623</v>
      </c>
      <c r="C90" s="145">
        <v>31114</v>
      </c>
      <c r="D90" s="143">
        <v>1</v>
      </c>
      <c r="E90" s="146">
        <v>0.69230000000000003</v>
      </c>
      <c r="F90" s="146">
        <v>0.56759999999999999</v>
      </c>
      <c r="G90" s="271" t="str">
        <f t="shared" si="9"/>
        <v/>
      </c>
      <c r="I90" s="295">
        <f t="shared" si="10"/>
        <v>623</v>
      </c>
      <c r="J90" s="146">
        <f t="shared" si="11"/>
        <v>0.69230000000000003</v>
      </c>
      <c r="K90" s="146">
        <f t="shared" si="12"/>
        <v>0.56759999999999999</v>
      </c>
      <c r="P90" s="299">
        <v>623</v>
      </c>
      <c r="Q90" s="144">
        <v>31114</v>
      </c>
      <c r="R90" s="157" t="s">
        <v>1852</v>
      </c>
      <c r="S90" s="272">
        <v>0.69230000000000003</v>
      </c>
      <c r="T90" s="272">
        <v>0.56759999999999999</v>
      </c>
    </row>
    <row r="91" spans="1:20">
      <c r="A91" s="155" t="str">
        <f t="shared" si="8"/>
        <v>624_2721</v>
      </c>
      <c r="B91" s="295">
        <v>624</v>
      </c>
      <c r="C91" s="145">
        <v>2721</v>
      </c>
      <c r="D91" s="143">
        <v>1</v>
      </c>
      <c r="E91" s="146">
        <v>0.84609999999999996</v>
      </c>
      <c r="F91" s="146">
        <v>0.73470000000000002</v>
      </c>
      <c r="G91" s="271" t="str">
        <f t="shared" si="9"/>
        <v/>
      </c>
      <c r="I91" s="295">
        <f t="shared" si="10"/>
        <v>624</v>
      </c>
      <c r="J91" s="146">
        <f t="shared" si="11"/>
        <v>0.84609999999999996</v>
      </c>
      <c r="K91" s="146">
        <f t="shared" si="12"/>
        <v>0.73470000000000002</v>
      </c>
      <c r="P91" s="299">
        <v>624</v>
      </c>
      <c r="Q91" s="144">
        <v>2721</v>
      </c>
      <c r="R91" s="157" t="s">
        <v>1823</v>
      </c>
      <c r="S91" s="272">
        <v>0.84609999999999996</v>
      </c>
      <c r="T91" s="272">
        <v>0.73470000000000002</v>
      </c>
    </row>
    <row r="92" spans="1:20">
      <c r="A92" s="155" t="str">
        <f t="shared" si="8"/>
        <v>625_13922</v>
      </c>
      <c r="B92" s="295">
        <v>625</v>
      </c>
      <c r="C92" s="145">
        <v>13922</v>
      </c>
      <c r="D92" s="143">
        <v>1</v>
      </c>
      <c r="E92" s="146">
        <v>0.80900000000000005</v>
      </c>
      <c r="F92" s="146">
        <v>0.67579999999999996</v>
      </c>
      <c r="G92" s="271" t="str">
        <f t="shared" si="9"/>
        <v/>
      </c>
      <c r="I92" s="295">
        <f t="shared" si="10"/>
        <v>625</v>
      </c>
      <c r="J92" s="146">
        <f t="shared" si="11"/>
        <v>0.80900000000000005</v>
      </c>
      <c r="K92" s="146">
        <f t="shared" si="12"/>
        <v>0.67579999999999996</v>
      </c>
      <c r="P92" s="299">
        <v>625</v>
      </c>
      <c r="Q92" s="144">
        <v>13922</v>
      </c>
      <c r="R92" s="157" t="s">
        <v>1853</v>
      </c>
      <c r="S92" s="272">
        <v>0.80900000000000005</v>
      </c>
      <c r="T92" s="272">
        <v>0.67579999999999996</v>
      </c>
    </row>
    <row r="93" spans="1:20">
      <c r="A93" s="155" t="str">
        <f t="shared" si="8"/>
        <v>626_2511</v>
      </c>
      <c r="B93" s="295">
        <v>626</v>
      </c>
      <c r="C93" s="145">
        <v>2511</v>
      </c>
      <c r="D93" s="143">
        <v>1</v>
      </c>
      <c r="E93" s="146">
        <v>0.49530000000000002</v>
      </c>
      <c r="F93" s="146">
        <v>0.39290000000000003</v>
      </c>
      <c r="G93" s="271" t="str">
        <f t="shared" si="9"/>
        <v/>
      </c>
      <c r="I93" s="295">
        <f t="shared" si="10"/>
        <v>626</v>
      </c>
      <c r="J93" s="146">
        <f t="shared" si="11"/>
        <v>0.49530000000000002</v>
      </c>
      <c r="K93" s="146">
        <f t="shared" si="12"/>
        <v>0.39290000000000003</v>
      </c>
      <c r="P93" s="299">
        <v>626</v>
      </c>
      <c r="Q93" s="144">
        <v>2511</v>
      </c>
      <c r="R93" s="157" t="s">
        <v>2764</v>
      </c>
      <c r="S93" s="272">
        <v>0.49530000000000002</v>
      </c>
      <c r="T93" s="272">
        <v>0.39290000000000003</v>
      </c>
    </row>
    <row r="94" spans="1:20">
      <c r="A94" s="278" t="str">
        <f t="shared" si="8"/>
        <v>627_23111</v>
      </c>
      <c r="B94" s="280">
        <v>627</v>
      </c>
      <c r="C94" s="283">
        <v>23111</v>
      </c>
      <c r="D94" s="143">
        <v>1</v>
      </c>
      <c r="E94" s="146">
        <v>0.80900000000000005</v>
      </c>
      <c r="F94" s="146">
        <v>0.67579999999999996</v>
      </c>
      <c r="G94" s="271" t="str">
        <f t="shared" si="9"/>
        <v/>
      </c>
      <c r="I94" s="295">
        <f t="shared" si="10"/>
        <v>627</v>
      </c>
      <c r="J94" s="146">
        <f t="shared" si="11"/>
        <v>0.80900000000000005</v>
      </c>
      <c r="K94" s="146">
        <f t="shared" si="12"/>
        <v>0.67579999999999996</v>
      </c>
      <c r="P94" s="281">
        <v>627</v>
      </c>
      <c r="Q94" s="282">
        <v>23111</v>
      </c>
      <c r="R94" s="285" t="s">
        <v>2762</v>
      </c>
      <c r="S94" s="272">
        <v>0.80900000000000005</v>
      </c>
      <c r="T94" s="272">
        <v>0.67579999999999996</v>
      </c>
    </row>
    <row r="95" spans="1:20">
      <c r="A95" s="155" t="str">
        <f t="shared" si="8"/>
        <v>628_2323</v>
      </c>
      <c r="B95" s="280">
        <v>628</v>
      </c>
      <c r="C95" s="273">
        <v>2323</v>
      </c>
      <c r="D95" s="143">
        <v>2</v>
      </c>
      <c r="E95" s="146">
        <v>0.77239999999999998</v>
      </c>
      <c r="F95" s="146">
        <v>0.4834</v>
      </c>
      <c r="G95" s="271" t="str">
        <f t="shared" si="9"/>
        <v/>
      </c>
      <c r="I95" s="295">
        <f t="shared" si="10"/>
        <v>628</v>
      </c>
      <c r="J95" s="146">
        <f t="shared" si="11"/>
        <v>0.77239999999999998</v>
      </c>
      <c r="K95" s="146">
        <f t="shared" si="12"/>
        <v>0.4834</v>
      </c>
      <c r="P95" s="281">
        <v>628</v>
      </c>
      <c r="Q95" s="271">
        <v>2323</v>
      </c>
      <c r="R95" s="157" t="s">
        <v>2765</v>
      </c>
      <c r="S95" s="272">
        <v>0.77239999999999998</v>
      </c>
      <c r="T95" s="272">
        <v>0.4834</v>
      </c>
    </row>
    <row r="96" spans="1:20">
      <c r="A96" s="155" t="str">
        <f t="shared" si="8"/>
        <v>628_2332</v>
      </c>
      <c r="B96" s="295">
        <v>628</v>
      </c>
      <c r="C96" s="145">
        <v>2332</v>
      </c>
      <c r="D96" s="143">
        <v>2</v>
      </c>
      <c r="E96" s="146">
        <v>0.77239999999999998</v>
      </c>
      <c r="F96" s="146">
        <v>0.4834</v>
      </c>
      <c r="G96" s="271" t="str">
        <f t="shared" si="9"/>
        <v/>
      </c>
      <c r="I96" s="295">
        <f t="shared" si="10"/>
        <v>628</v>
      </c>
      <c r="J96" s="146">
        <f t="shared" si="11"/>
        <v>0.77239999999999998</v>
      </c>
      <c r="K96" s="146">
        <f t="shared" si="12"/>
        <v>0.4834</v>
      </c>
      <c r="P96" s="299">
        <v>628</v>
      </c>
      <c r="Q96" s="144">
        <v>2332</v>
      </c>
      <c r="R96" s="157" t="s">
        <v>1854</v>
      </c>
      <c r="S96" s="272">
        <v>0.77239999999999998</v>
      </c>
      <c r="T96" s="272">
        <v>0.4834</v>
      </c>
    </row>
    <row r="97" spans="1:20">
      <c r="A97" s="155" t="str">
        <f t="shared" si="8"/>
        <v>629_25944</v>
      </c>
      <c r="B97" s="297">
        <v>629</v>
      </c>
      <c r="C97" s="283">
        <v>25944</v>
      </c>
      <c r="D97" s="148">
        <v>12</v>
      </c>
      <c r="E97" s="149">
        <v>0.80249999999999999</v>
      </c>
      <c r="F97" s="149">
        <v>0.68010000000000004</v>
      </c>
      <c r="G97" s="271" t="str">
        <f t="shared" si="9"/>
        <v/>
      </c>
      <c r="I97" s="295">
        <f t="shared" si="10"/>
        <v>629</v>
      </c>
      <c r="J97" s="146">
        <f t="shared" si="11"/>
        <v>0.80249999999999999</v>
      </c>
      <c r="K97" s="146">
        <f t="shared" si="12"/>
        <v>0.68010000000000004</v>
      </c>
      <c r="P97" s="299">
        <v>629</v>
      </c>
      <c r="Q97" s="282">
        <v>25944</v>
      </c>
      <c r="R97" s="157" t="s">
        <v>1855</v>
      </c>
      <c r="S97" s="272">
        <v>0.80249999999999999</v>
      </c>
      <c r="T97" s="272">
        <v>0.68010000000000004</v>
      </c>
    </row>
    <row r="98" spans="1:20">
      <c r="A98" s="155" t="str">
        <f t="shared" ref="A98:A129" si="13">B98&amp;"_"&amp;C98</f>
        <v>629_29</v>
      </c>
      <c r="B98" s="297">
        <v>629</v>
      </c>
      <c r="C98" s="283">
        <v>29</v>
      </c>
      <c r="D98" s="148">
        <v>12</v>
      </c>
      <c r="E98" s="149">
        <v>0.80249999999999999</v>
      </c>
      <c r="F98" s="149">
        <v>0.68010000000000004</v>
      </c>
      <c r="G98" s="271" t="str">
        <f t="shared" ref="G98:G129" si="14">IF(AND(B98=P98,C98=Q98,E98=S98,F98=T98),"","x")</f>
        <v/>
      </c>
      <c r="I98" s="295">
        <f t="shared" ref="I98:I129" si="15">B98</f>
        <v>629</v>
      </c>
      <c r="J98" s="146">
        <f t="shared" si="11"/>
        <v>0.80249999999999999</v>
      </c>
      <c r="K98" s="146">
        <f t="shared" si="12"/>
        <v>0.68010000000000004</v>
      </c>
      <c r="P98" s="299">
        <v>629</v>
      </c>
      <c r="Q98" s="282">
        <v>29</v>
      </c>
      <c r="R98" s="157" t="s">
        <v>1856</v>
      </c>
      <c r="S98" s="272">
        <v>0.80249999999999999</v>
      </c>
      <c r="T98" s="272">
        <v>0.68010000000000004</v>
      </c>
    </row>
    <row r="99" spans="1:20">
      <c r="A99" s="155" t="str">
        <f t="shared" si="13"/>
        <v>629_28</v>
      </c>
      <c r="B99" s="297">
        <v>629</v>
      </c>
      <c r="C99" s="283">
        <v>28</v>
      </c>
      <c r="D99" s="148">
        <v>12</v>
      </c>
      <c r="E99" s="149">
        <v>0.80249999999999999</v>
      </c>
      <c r="F99" s="149">
        <v>0.68010000000000004</v>
      </c>
      <c r="G99" s="271" t="str">
        <f t="shared" si="14"/>
        <v/>
      </c>
      <c r="I99" s="295">
        <f t="shared" si="15"/>
        <v>629</v>
      </c>
      <c r="J99" s="146">
        <f t="shared" si="11"/>
        <v>0.80249999999999999</v>
      </c>
      <c r="K99" s="146">
        <f t="shared" si="12"/>
        <v>0.68010000000000004</v>
      </c>
      <c r="P99" s="299">
        <v>629</v>
      </c>
      <c r="Q99" s="282">
        <v>28</v>
      </c>
      <c r="R99" s="157" t="s">
        <v>1857</v>
      </c>
      <c r="S99" s="272">
        <v>0.80249999999999999</v>
      </c>
      <c r="T99" s="272">
        <v>0.68010000000000004</v>
      </c>
    </row>
    <row r="100" spans="1:20">
      <c r="A100" s="155" t="str">
        <f t="shared" si="13"/>
        <v>629_222</v>
      </c>
      <c r="B100" s="297">
        <v>629</v>
      </c>
      <c r="C100" s="283">
        <v>222</v>
      </c>
      <c r="D100" s="148">
        <v>12</v>
      </c>
      <c r="E100" s="149">
        <v>0.80249999999999999</v>
      </c>
      <c r="F100" s="149">
        <v>0.68010000000000004</v>
      </c>
      <c r="G100" s="271" t="str">
        <f t="shared" si="14"/>
        <v/>
      </c>
      <c r="I100" s="295">
        <f t="shared" si="15"/>
        <v>629</v>
      </c>
      <c r="J100" s="146">
        <f t="shared" ref="J100" si="16">E100</f>
        <v>0.80249999999999999</v>
      </c>
      <c r="K100" s="146">
        <f t="shared" ref="K100" si="17">F100</f>
        <v>0.68010000000000004</v>
      </c>
      <c r="P100" s="299">
        <v>629</v>
      </c>
      <c r="Q100" s="282">
        <v>222</v>
      </c>
      <c r="R100" s="285" t="s">
        <v>2786</v>
      </c>
      <c r="S100" s="272">
        <v>0.80249999999999999</v>
      </c>
      <c r="T100" s="272">
        <v>0.68010000000000004</v>
      </c>
    </row>
    <row r="101" spans="1:20">
      <c r="A101" s="155" t="str">
        <f t="shared" si="13"/>
        <v>629_20492</v>
      </c>
      <c r="B101" s="297">
        <v>629</v>
      </c>
      <c r="C101" s="283">
        <v>20492</v>
      </c>
      <c r="D101" s="148">
        <v>12</v>
      </c>
      <c r="E101" s="149">
        <v>0.80249999999999999</v>
      </c>
      <c r="F101" s="149">
        <v>0.68010000000000004</v>
      </c>
      <c r="G101" s="271" t="str">
        <f t="shared" si="14"/>
        <v/>
      </c>
      <c r="I101" s="295">
        <f t="shared" si="15"/>
        <v>629</v>
      </c>
      <c r="J101" s="146">
        <f t="shared" si="11"/>
        <v>0.80249999999999999</v>
      </c>
      <c r="K101" s="146">
        <f t="shared" si="12"/>
        <v>0.68010000000000004</v>
      </c>
      <c r="P101" s="299">
        <v>629</v>
      </c>
      <c r="Q101" s="282">
        <v>20492</v>
      </c>
      <c r="R101" s="285" t="s">
        <v>1858</v>
      </c>
      <c r="S101" s="272">
        <v>0.80249999999999999</v>
      </c>
      <c r="T101" s="272">
        <v>0.68010000000000004</v>
      </c>
    </row>
    <row r="102" spans="1:20">
      <c r="A102" s="155" t="str">
        <f t="shared" si="13"/>
        <v>629_7220</v>
      </c>
      <c r="B102" s="297">
        <v>629</v>
      </c>
      <c r="C102" s="289">
        <v>7220</v>
      </c>
      <c r="D102" s="148">
        <v>12</v>
      </c>
      <c r="E102" s="149">
        <v>0.80249999999999999</v>
      </c>
      <c r="F102" s="149">
        <v>0.68010000000000004</v>
      </c>
      <c r="G102" s="271" t="str">
        <f t="shared" si="14"/>
        <v/>
      </c>
      <c r="I102" s="295">
        <f t="shared" si="15"/>
        <v>629</v>
      </c>
      <c r="J102" s="146">
        <f t="shared" si="11"/>
        <v>0.80249999999999999</v>
      </c>
      <c r="K102" s="146">
        <f t="shared" si="12"/>
        <v>0.68010000000000004</v>
      </c>
      <c r="P102" s="299">
        <v>629</v>
      </c>
      <c r="Q102" s="288">
        <v>7220</v>
      </c>
      <c r="R102" s="285" t="s">
        <v>2767</v>
      </c>
      <c r="S102" s="272">
        <v>0.80249999999999999</v>
      </c>
      <c r="T102" s="272">
        <v>0.68010000000000004</v>
      </c>
    </row>
    <row r="103" spans="1:20">
      <c r="A103" s="155" t="str">
        <f t="shared" si="13"/>
        <v>629_20499</v>
      </c>
      <c r="B103" s="297">
        <v>629</v>
      </c>
      <c r="C103" s="283">
        <v>20499</v>
      </c>
      <c r="D103" s="148">
        <v>12</v>
      </c>
      <c r="E103" s="149">
        <v>0.80249999999999999</v>
      </c>
      <c r="F103" s="149">
        <v>0.68010000000000004</v>
      </c>
      <c r="G103" s="271" t="str">
        <f t="shared" si="14"/>
        <v/>
      </c>
      <c r="I103" s="295">
        <f t="shared" si="15"/>
        <v>629</v>
      </c>
      <c r="J103" s="146">
        <f t="shared" si="11"/>
        <v>0.80249999999999999</v>
      </c>
      <c r="K103" s="146">
        <f t="shared" si="12"/>
        <v>0.68010000000000004</v>
      </c>
      <c r="P103" s="299">
        <v>629</v>
      </c>
      <c r="Q103" s="282">
        <v>20499</v>
      </c>
      <c r="R103" s="285" t="s">
        <v>2743</v>
      </c>
      <c r="S103" s="272">
        <v>0.80249999999999999</v>
      </c>
      <c r="T103" s="272">
        <v>0.68010000000000004</v>
      </c>
    </row>
    <row r="104" spans="1:20">
      <c r="A104" s="155" t="str">
        <f t="shared" si="13"/>
        <v>629_33303</v>
      </c>
      <c r="B104" s="297">
        <v>629</v>
      </c>
      <c r="C104" s="283">
        <v>33303</v>
      </c>
      <c r="D104" s="148">
        <v>12</v>
      </c>
      <c r="E104" s="149">
        <v>0.80249999999999999</v>
      </c>
      <c r="F104" s="149">
        <v>0.68010000000000004</v>
      </c>
      <c r="G104" s="271" t="str">
        <f t="shared" si="14"/>
        <v/>
      </c>
      <c r="I104" s="295">
        <f t="shared" si="15"/>
        <v>629</v>
      </c>
      <c r="J104" s="146">
        <f t="shared" si="11"/>
        <v>0.80249999999999999</v>
      </c>
      <c r="K104" s="146">
        <f t="shared" si="12"/>
        <v>0.68010000000000004</v>
      </c>
      <c r="P104" s="299">
        <v>629</v>
      </c>
      <c r="Q104" s="282">
        <v>33303</v>
      </c>
      <c r="R104" s="285" t="s">
        <v>2744</v>
      </c>
      <c r="S104" s="272">
        <v>0.80249999999999999</v>
      </c>
      <c r="T104" s="272">
        <v>0.68010000000000004</v>
      </c>
    </row>
    <row r="105" spans="1:20">
      <c r="A105" s="155" t="str">
        <f t="shared" si="13"/>
        <v>629_33999</v>
      </c>
      <c r="B105" s="297">
        <v>629</v>
      </c>
      <c r="C105" s="283">
        <v>33999</v>
      </c>
      <c r="D105" s="148">
        <v>12</v>
      </c>
      <c r="E105" s="149">
        <v>0.80249999999999999</v>
      </c>
      <c r="F105" s="149">
        <v>0.68010000000000004</v>
      </c>
      <c r="G105" s="271" t="str">
        <f t="shared" si="14"/>
        <v/>
      </c>
      <c r="I105" s="295">
        <f t="shared" si="15"/>
        <v>629</v>
      </c>
      <c r="J105" s="146">
        <f t="shared" si="11"/>
        <v>0.80249999999999999</v>
      </c>
      <c r="K105" s="146">
        <f t="shared" si="12"/>
        <v>0.68010000000000004</v>
      </c>
      <c r="P105" s="299">
        <v>629</v>
      </c>
      <c r="Q105" s="282">
        <v>33999</v>
      </c>
      <c r="R105" s="157" t="s">
        <v>1859</v>
      </c>
      <c r="S105" s="272">
        <v>0.80249999999999999</v>
      </c>
      <c r="T105" s="272">
        <v>0.68010000000000004</v>
      </c>
    </row>
    <row r="106" spans="1:20">
      <c r="A106" s="155" t="str">
        <f t="shared" si="13"/>
        <v>629_22193</v>
      </c>
      <c r="B106" s="297">
        <v>629</v>
      </c>
      <c r="C106" s="283">
        <v>22193</v>
      </c>
      <c r="D106" s="148">
        <v>12</v>
      </c>
      <c r="E106" s="149">
        <v>0.80249999999999999</v>
      </c>
      <c r="F106" s="149">
        <v>0.68010000000000004</v>
      </c>
      <c r="G106" s="271" t="str">
        <f t="shared" si="14"/>
        <v/>
      </c>
      <c r="I106" s="295">
        <f t="shared" si="15"/>
        <v>629</v>
      </c>
      <c r="J106" s="146">
        <f t="shared" si="11"/>
        <v>0.80249999999999999</v>
      </c>
      <c r="K106" s="146">
        <f t="shared" si="12"/>
        <v>0.68010000000000004</v>
      </c>
      <c r="P106" s="299">
        <v>629</v>
      </c>
      <c r="Q106" s="287">
        <v>22193</v>
      </c>
      <c r="R106" s="157" t="s">
        <v>2768</v>
      </c>
      <c r="S106" s="272">
        <v>0.80249999999999999</v>
      </c>
      <c r="T106" s="272">
        <v>0.68010000000000004</v>
      </c>
    </row>
    <row r="107" spans="1:20">
      <c r="A107" s="155" t="str">
        <f t="shared" si="13"/>
        <v>629_25931</v>
      </c>
      <c r="B107" s="297">
        <v>629</v>
      </c>
      <c r="C107" s="283">
        <v>25931</v>
      </c>
      <c r="D107" s="148">
        <v>12</v>
      </c>
      <c r="E107" s="149">
        <v>0.80249999999999999</v>
      </c>
      <c r="F107" s="149">
        <v>0.68010000000000004</v>
      </c>
      <c r="G107" s="271" t="str">
        <f t="shared" si="14"/>
        <v/>
      </c>
      <c r="I107" s="295">
        <f t="shared" si="15"/>
        <v>629</v>
      </c>
      <c r="J107" s="146">
        <f t="shared" si="11"/>
        <v>0.80249999999999999</v>
      </c>
      <c r="K107" s="146">
        <f t="shared" si="12"/>
        <v>0.68010000000000004</v>
      </c>
      <c r="P107" s="299">
        <v>629</v>
      </c>
      <c r="Q107" s="287">
        <v>25931</v>
      </c>
      <c r="R107" s="157" t="s">
        <v>1860</v>
      </c>
      <c r="S107" s="272">
        <v>0.80249999999999999</v>
      </c>
      <c r="T107" s="272">
        <v>0.68010000000000004</v>
      </c>
    </row>
    <row r="108" spans="1:20">
      <c r="A108" s="155" t="str">
        <f t="shared" si="13"/>
        <v>629_13219</v>
      </c>
      <c r="B108" s="297">
        <v>629</v>
      </c>
      <c r="C108" s="147">
        <v>13219</v>
      </c>
      <c r="D108" s="148">
        <v>12</v>
      </c>
      <c r="E108" s="149">
        <v>0.80249999999999999</v>
      </c>
      <c r="F108" s="149">
        <v>0.68010000000000004</v>
      </c>
      <c r="G108" s="271" t="str">
        <f t="shared" si="14"/>
        <v/>
      </c>
      <c r="I108" s="295">
        <f t="shared" si="15"/>
        <v>629</v>
      </c>
      <c r="J108" s="146">
        <f t="shared" si="11"/>
        <v>0.80249999999999999</v>
      </c>
      <c r="K108" s="146">
        <f t="shared" si="12"/>
        <v>0.68010000000000004</v>
      </c>
      <c r="P108" s="299">
        <v>629</v>
      </c>
      <c r="Q108" s="144">
        <v>13219</v>
      </c>
      <c r="R108" s="157" t="s">
        <v>1861</v>
      </c>
      <c r="S108" s="272">
        <v>0.80249999999999999</v>
      </c>
      <c r="T108" s="272">
        <v>0.68010000000000004</v>
      </c>
    </row>
    <row r="109" spans="1:20">
      <c r="A109" s="155" t="str">
        <f t="shared" si="13"/>
        <v>631_42136</v>
      </c>
      <c r="B109" s="295">
        <v>631</v>
      </c>
      <c r="C109" s="145">
        <v>42136</v>
      </c>
      <c r="D109" s="143">
        <v>1</v>
      </c>
      <c r="E109" s="146">
        <v>0.95709999999999995</v>
      </c>
      <c r="F109" s="146">
        <v>0.74809999999999999</v>
      </c>
      <c r="G109" s="271" t="str">
        <f t="shared" si="14"/>
        <v/>
      </c>
      <c r="I109" s="295">
        <f t="shared" si="15"/>
        <v>631</v>
      </c>
      <c r="J109" s="146">
        <f t="shared" si="11"/>
        <v>0.95709999999999995</v>
      </c>
      <c r="K109" s="146">
        <f t="shared" si="12"/>
        <v>0.74809999999999999</v>
      </c>
      <c r="P109" s="299">
        <v>631</v>
      </c>
      <c r="Q109" s="144">
        <v>42136</v>
      </c>
      <c r="R109" s="157" t="s">
        <v>114</v>
      </c>
      <c r="S109" s="272">
        <v>0.95709999999999995</v>
      </c>
      <c r="T109" s="272">
        <v>0.74809999999999999</v>
      </c>
    </row>
    <row r="110" spans="1:20">
      <c r="A110" s="155" t="str">
        <f t="shared" si="13"/>
        <v>632_62</v>
      </c>
      <c r="B110" s="295">
        <v>632</v>
      </c>
      <c r="C110" s="145">
        <v>62</v>
      </c>
      <c r="D110" s="143">
        <v>3</v>
      </c>
      <c r="E110" s="146">
        <v>0.8972</v>
      </c>
      <c r="F110" s="146">
        <v>0.67349999999999999</v>
      </c>
      <c r="G110" s="271" t="str">
        <f t="shared" si="14"/>
        <v/>
      </c>
      <c r="I110" s="295">
        <f t="shared" si="15"/>
        <v>632</v>
      </c>
      <c r="J110" s="146">
        <f t="shared" si="11"/>
        <v>0.8972</v>
      </c>
      <c r="K110" s="146">
        <f t="shared" si="12"/>
        <v>0.67349999999999999</v>
      </c>
      <c r="P110" s="299">
        <v>632</v>
      </c>
      <c r="Q110" s="144">
        <v>62</v>
      </c>
      <c r="R110" s="157" t="s">
        <v>1827</v>
      </c>
      <c r="S110" s="272">
        <v>0.8972</v>
      </c>
      <c r="T110" s="272">
        <v>0.67349999999999999</v>
      </c>
    </row>
    <row r="111" spans="1:20">
      <c r="A111" s="155" t="str">
        <f t="shared" si="13"/>
        <v>632_63</v>
      </c>
      <c r="B111" s="295">
        <v>632</v>
      </c>
      <c r="C111" s="145">
        <v>63</v>
      </c>
      <c r="D111" s="143">
        <v>3</v>
      </c>
      <c r="E111" s="146">
        <v>0.8972</v>
      </c>
      <c r="F111" s="146">
        <v>0.67349999999999999</v>
      </c>
      <c r="G111" s="271" t="str">
        <f t="shared" si="14"/>
        <v/>
      </c>
      <c r="I111" s="295">
        <f t="shared" si="15"/>
        <v>632</v>
      </c>
      <c r="J111" s="146">
        <f t="shared" si="11"/>
        <v>0.8972</v>
      </c>
      <c r="K111" s="146">
        <f t="shared" si="12"/>
        <v>0.67349999999999999</v>
      </c>
      <c r="P111" s="299">
        <v>632</v>
      </c>
      <c r="Q111" s="144">
        <v>63</v>
      </c>
      <c r="R111" s="157" t="s">
        <v>2788</v>
      </c>
      <c r="S111" s="272">
        <v>0.8972</v>
      </c>
      <c r="T111" s="272">
        <v>0.67349999999999999</v>
      </c>
    </row>
    <row r="112" spans="1:20">
      <c r="A112" s="155" t="str">
        <f t="shared" si="13"/>
        <v>632_5822</v>
      </c>
      <c r="B112" s="295">
        <v>632</v>
      </c>
      <c r="C112" s="145">
        <v>5822</v>
      </c>
      <c r="D112" s="143">
        <v>3</v>
      </c>
      <c r="E112" s="146">
        <v>0.8972</v>
      </c>
      <c r="F112" s="146">
        <v>0.67349999999999999</v>
      </c>
      <c r="G112" s="271" t="str">
        <f t="shared" si="14"/>
        <v/>
      </c>
      <c r="I112" s="295">
        <f t="shared" si="15"/>
        <v>632</v>
      </c>
      <c r="J112" s="146">
        <f t="shared" si="11"/>
        <v>0.8972</v>
      </c>
      <c r="K112" s="146">
        <f t="shared" si="12"/>
        <v>0.67349999999999999</v>
      </c>
      <c r="P112" s="299">
        <v>632</v>
      </c>
      <c r="Q112" s="144">
        <v>5822</v>
      </c>
      <c r="R112" s="157" t="s">
        <v>1826</v>
      </c>
      <c r="S112" s="272">
        <v>0.8972</v>
      </c>
      <c r="T112" s="272">
        <v>0.67349999999999999</v>
      </c>
    </row>
    <row r="113" spans="1:20">
      <c r="A113" s="155" t="str">
        <f t="shared" si="13"/>
        <v>633_701</v>
      </c>
      <c r="B113" s="296">
        <v>633</v>
      </c>
      <c r="C113" s="152">
        <v>701</v>
      </c>
      <c r="D113" s="153">
        <v>1</v>
      </c>
      <c r="E113" s="154">
        <v>0.9637</v>
      </c>
      <c r="F113" s="154">
        <v>0.88500000000000001</v>
      </c>
      <c r="G113" s="271" t="str">
        <f t="shared" si="14"/>
        <v/>
      </c>
      <c r="I113" s="295">
        <f t="shared" si="15"/>
        <v>633</v>
      </c>
      <c r="J113" s="146">
        <f t="shared" si="11"/>
        <v>0.9637</v>
      </c>
      <c r="K113" s="146">
        <f t="shared" si="12"/>
        <v>0.88500000000000001</v>
      </c>
      <c r="P113" s="300">
        <v>633</v>
      </c>
      <c r="Q113" s="144">
        <v>701</v>
      </c>
      <c r="R113" s="157" t="s">
        <v>1862</v>
      </c>
      <c r="S113" s="272">
        <v>0.9637</v>
      </c>
      <c r="T113" s="272">
        <v>0.88500000000000001</v>
      </c>
    </row>
    <row r="114" spans="1:20">
      <c r="A114" s="155" t="str">
        <f t="shared" si="13"/>
        <v>634_7291</v>
      </c>
      <c r="B114" s="295">
        <v>634</v>
      </c>
      <c r="C114" s="145">
        <v>7291</v>
      </c>
      <c r="D114" s="143">
        <v>1</v>
      </c>
      <c r="E114" s="146">
        <v>0.87670000000000003</v>
      </c>
      <c r="F114" s="146">
        <v>0.6431</v>
      </c>
      <c r="G114" s="271" t="str">
        <f t="shared" si="14"/>
        <v/>
      </c>
      <c r="I114" s="295">
        <f t="shared" si="15"/>
        <v>634</v>
      </c>
      <c r="J114" s="146">
        <f t="shared" si="11"/>
        <v>0.87670000000000003</v>
      </c>
      <c r="K114" s="146">
        <f t="shared" si="12"/>
        <v>0.6431</v>
      </c>
      <c r="P114" s="299">
        <v>634</v>
      </c>
      <c r="Q114" s="144">
        <v>7291</v>
      </c>
      <c r="R114" s="157" t="s">
        <v>1831</v>
      </c>
      <c r="S114" s="272">
        <v>0.87670000000000003</v>
      </c>
      <c r="T114" s="272">
        <v>0.6431</v>
      </c>
    </row>
    <row r="115" spans="1:20">
      <c r="A115" s="155" t="str">
        <f t="shared" si="13"/>
        <v>635_7212</v>
      </c>
      <c r="B115" s="295">
        <v>635</v>
      </c>
      <c r="C115" s="145">
        <v>7212</v>
      </c>
      <c r="D115" s="143">
        <v>1</v>
      </c>
      <c r="E115" s="146">
        <v>0.71589999999999998</v>
      </c>
      <c r="F115" s="146">
        <v>0.63449999999999995</v>
      </c>
      <c r="G115" s="271" t="str">
        <f t="shared" si="14"/>
        <v/>
      </c>
      <c r="I115" s="295">
        <f t="shared" si="15"/>
        <v>635</v>
      </c>
      <c r="J115" s="146">
        <f t="shared" si="11"/>
        <v>0.71589999999999998</v>
      </c>
      <c r="K115" s="146">
        <f t="shared" si="12"/>
        <v>0.63449999999999995</v>
      </c>
      <c r="P115" s="299">
        <v>635</v>
      </c>
      <c r="Q115" s="144">
        <v>7212</v>
      </c>
      <c r="R115" s="157" t="s">
        <v>1832</v>
      </c>
      <c r="S115" s="272">
        <v>0.71589999999999998</v>
      </c>
      <c r="T115" s="272">
        <v>0.63449999999999995</v>
      </c>
    </row>
    <row r="116" spans="1:20">
      <c r="A116" s="155" t="str">
        <f t="shared" si="13"/>
        <v>636_7310</v>
      </c>
      <c r="B116" s="295">
        <v>636</v>
      </c>
      <c r="C116" s="145">
        <v>7310</v>
      </c>
      <c r="D116" s="143">
        <v>1</v>
      </c>
      <c r="E116" s="146">
        <v>0.95709999999999995</v>
      </c>
      <c r="F116" s="146">
        <v>0.74809999999999999</v>
      </c>
      <c r="G116" s="271" t="str">
        <f t="shared" si="14"/>
        <v/>
      </c>
      <c r="I116" s="295">
        <f t="shared" si="15"/>
        <v>636</v>
      </c>
      <c r="J116" s="146">
        <f t="shared" si="11"/>
        <v>0.95709999999999995</v>
      </c>
      <c r="K116" s="146">
        <f t="shared" si="12"/>
        <v>0.74809999999999999</v>
      </c>
      <c r="P116" s="299">
        <v>636</v>
      </c>
      <c r="Q116" s="144">
        <v>7310</v>
      </c>
      <c r="R116" s="157" t="s">
        <v>70</v>
      </c>
      <c r="S116" s="272">
        <v>0.95709999999999995</v>
      </c>
      <c r="T116" s="272">
        <v>0.74809999999999999</v>
      </c>
    </row>
    <row r="117" spans="1:20">
      <c r="A117" s="155" t="str">
        <f t="shared" si="13"/>
        <v>637_37</v>
      </c>
      <c r="B117" s="295">
        <v>637</v>
      </c>
      <c r="C117" s="145">
        <v>37</v>
      </c>
      <c r="D117" s="143">
        <v>3</v>
      </c>
      <c r="E117" s="146">
        <v>0.72040000000000004</v>
      </c>
      <c r="F117" s="146">
        <v>0.4541</v>
      </c>
      <c r="G117" s="271" t="str">
        <f t="shared" si="14"/>
        <v/>
      </c>
      <c r="I117" s="295">
        <f t="shared" si="15"/>
        <v>637</v>
      </c>
      <c r="J117" s="146">
        <f t="shared" si="11"/>
        <v>0.72040000000000004</v>
      </c>
      <c r="K117" s="146">
        <f t="shared" si="12"/>
        <v>0.4541</v>
      </c>
      <c r="P117" s="299">
        <v>637</v>
      </c>
      <c r="Q117" s="144">
        <v>37</v>
      </c>
      <c r="R117" s="157" t="s">
        <v>2727</v>
      </c>
      <c r="S117" s="272">
        <v>0.72040000000000004</v>
      </c>
      <c r="T117" s="272">
        <v>0.4541</v>
      </c>
    </row>
    <row r="118" spans="1:20">
      <c r="A118" s="155" t="str">
        <f t="shared" si="13"/>
        <v>637_38</v>
      </c>
      <c r="B118" s="295">
        <v>637</v>
      </c>
      <c r="C118" s="145">
        <v>38</v>
      </c>
      <c r="D118" s="143">
        <v>3</v>
      </c>
      <c r="E118" s="146">
        <v>0.72040000000000004</v>
      </c>
      <c r="F118" s="146">
        <v>0.4541</v>
      </c>
      <c r="G118" s="271" t="str">
        <f t="shared" si="14"/>
        <v/>
      </c>
      <c r="I118" s="295">
        <f t="shared" si="15"/>
        <v>637</v>
      </c>
      <c r="J118" s="146">
        <f t="shared" si="11"/>
        <v>0.72040000000000004</v>
      </c>
      <c r="K118" s="146">
        <f t="shared" si="12"/>
        <v>0.4541</v>
      </c>
      <c r="P118" s="299">
        <v>637</v>
      </c>
      <c r="Q118" s="144">
        <v>38</v>
      </c>
      <c r="R118" s="157" t="s">
        <v>2729</v>
      </c>
      <c r="S118" s="272">
        <v>0.72040000000000004</v>
      </c>
      <c r="T118" s="272">
        <v>0.4541</v>
      </c>
    </row>
    <row r="119" spans="1:20">
      <c r="A119" s="155" t="str">
        <f t="shared" si="13"/>
        <v>637_39</v>
      </c>
      <c r="B119" s="295">
        <v>637</v>
      </c>
      <c r="C119" s="145">
        <v>39</v>
      </c>
      <c r="D119" s="143">
        <v>3</v>
      </c>
      <c r="E119" s="146">
        <v>0.72040000000000004</v>
      </c>
      <c r="F119" s="146">
        <v>0.4541</v>
      </c>
      <c r="G119" s="271" t="str">
        <f t="shared" si="14"/>
        <v/>
      </c>
      <c r="I119" s="295">
        <f t="shared" si="15"/>
        <v>637</v>
      </c>
      <c r="J119" s="146">
        <f t="shared" si="11"/>
        <v>0.72040000000000004</v>
      </c>
      <c r="K119" s="146">
        <f t="shared" si="12"/>
        <v>0.4541</v>
      </c>
      <c r="P119" s="299">
        <v>637</v>
      </c>
      <c r="Q119" s="144">
        <v>39</v>
      </c>
      <c r="R119" s="157" t="s">
        <v>2731</v>
      </c>
      <c r="S119" s="272">
        <v>0.72040000000000004</v>
      </c>
      <c r="T119" s="272">
        <v>0.4541</v>
      </c>
    </row>
    <row r="120" spans="1:20">
      <c r="A120" s="155" t="str">
        <f t="shared" si="13"/>
        <v>639_91239</v>
      </c>
      <c r="B120" s="295">
        <v>639</v>
      </c>
      <c r="C120" s="283">
        <v>91239</v>
      </c>
      <c r="D120" s="143">
        <v>7</v>
      </c>
      <c r="E120" s="146">
        <v>0.88280000000000003</v>
      </c>
      <c r="F120" s="146">
        <v>0.58850000000000002</v>
      </c>
      <c r="G120" s="271" t="str">
        <f t="shared" si="14"/>
        <v/>
      </c>
      <c r="I120" s="295">
        <f t="shared" si="15"/>
        <v>639</v>
      </c>
      <c r="J120" s="146">
        <f t="shared" si="11"/>
        <v>0.88280000000000003</v>
      </c>
      <c r="K120" s="146">
        <f t="shared" si="12"/>
        <v>0.58850000000000002</v>
      </c>
      <c r="P120" s="299">
        <v>639</v>
      </c>
      <c r="Q120" s="282">
        <v>91239</v>
      </c>
      <c r="R120" s="157" t="s">
        <v>1863</v>
      </c>
      <c r="S120" s="272">
        <v>0.88280000000000003</v>
      </c>
      <c r="T120" s="272">
        <v>0.58850000000000002</v>
      </c>
    </row>
    <row r="121" spans="1:20">
      <c r="A121" s="155" t="str">
        <f t="shared" si="13"/>
        <v>639_72923</v>
      </c>
      <c r="B121" s="295">
        <v>639</v>
      </c>
      <c r="C121" s="283">
        <v>72923</v>
      </c>
      <c r="D121" s="143">
        <v>7</v>
      </c>
      <c r="E121" s="146">
        <v>0.88280000000000003</v>
      </c>
      <c r="F121" s="146">
        <v>0.58850000000000002</v>
      </c>
      <c r="G121" s="271" t="str">
        <f t="shared" si="14"/>
        <v/>
      </c>
      <c r="I121" s="295">
        <f t="shared" si="15"/>
        <v>639</v>
      </c>
      <c r="J121" s="146">
        <f t="shared" si="11"/>
        <v>0.88280000000000003</v>
      </c>
      <c r="K121" s="146">
        <f t="shared" si="12"/>
        <v>0.58850000000000002</v>
      </c>
      <c r="P121" s="299">
        <v>639</v>
      </c>
      <c r="Q121" s="282">
        <v>72923</v>
      </c>
      <c r="R121" s="157" t="s">
        <v>1864</v>
      </c>
      <c r="S121" s="272">
        <v>0.88280000000000003</v>
      </c>
      <c r="T121" s="272">
        <v>0.58850000000000002</v>
      </c>
    </row>
    <row r="122" spans="1:20">
      <c r="A122" s="155" t="str">
        <f t="shared" si="13"/>
        <v>639_41224</v>
      </c>
      <c r="B122" s="295">
        <v>639</v>
      </c>
      <c r="C122" s="145">
        <v>41224</v>
      </c>
      <c r="D122" s="143">
        <v>7</v>
      </c>
      <c r="E122" s="146">
        <v>0.88280000000000003</v>
      </c>
      <c r="F122" s="146">
        <v>0.58850000000000002</v>
      </c>
      <c r="G122" s="271" t="str">
        <f t="shared" si="14"/>
        <v/>
      </c>
      <c r="I122" s="295">
        <f t="shared" si="15"/>
        <v>639</v>
      </c>
      <c r="J122" s="146">
        <f t="shared" si="11"/>
        <v>0.88280000000000003</v>
      </c>
      <c r="K122" s="146">
        <f t="shared" si="12"/>
        <v>0.58850000000000002</v>
      </c>
      <c r="P122" s="299">
        <v>639</v>
      </c>
      <c r="Q122" s="144">
        <v>41224</v>
      </c>
      <c r="R122" s="157" t="s">
        <v>1865</v>
      </c>
      <c r="S122" s="272">
        <v>0.88280000000000003</v>
      </c>
      <c r="T122" s="272">
        <v>0.58850000000000002</v>
      </c>
    </row>
    <row r="123" spans="1:20">
      <c r="A123" s="155" t="str">
        <f t="shared" si="13"/>
        <v>639_42412</v>
      </c>
      <c r="B123" s="295">
        <v>639</v>
      </c>
      <c r="C123" s="283">
        <v>42412</v>
      </c>
      <c r="D123" s="143">
        <v>7</v>
      </c>
      <c r="E123" s="146">
        <v>0.88280000000000003</v>
      </c>
      <c r="F123" s="146">
        <v>0.58850000000000002</v>
      </c>
      <c r="G123" s="271" t="str">
        <f t="shared" si="14"/>
        <v/>
      </c>
      <c r="I123" s="295">
        <f t="shared" si="15"/>
        <v>639</v>
      </c>
      <c r="J123" s="146">
        <f t="shared" si="11"/>
        <v>0.88280000000000003</v>
      </c>
      <c r="K123" s="146">
        <f t="shared" si="12"/>
        <v>0.58850000000000002</v>
      </c>
      <c r="P123" s="299">
        <v>639</v>
      </c>
      <c r="Q123" s="282">
        <v>42412</v>
      </c>
      <c r="R123" s="157" t="s">
        <v>1866</v>
      </c>
      <c r="S123" s="272">
        <v>0.88280000000000003</v>
      </c>
      <c r="T123" s="272">
        <v>0.58850000000000002</v>
      </c>
    </row>
    <row r="124" spans="1:20">
      <c r="A124" s="155" t="str">
        <f t="shared" si="13"/>
        <v>639_73909</v>
      </c>
      <c r="B124" s="295">
        <v>639</v>
      </c>
      <c r="C124" s="283">
        <v>73909</v>
      </c>
      <c r="D124" s="143">
        <v>7</v>
      </c>
      <c r="E124" s="146">
        <v>0.88280000000000003</v>
      </c>
      <c r="F124" s="146">
        <v>0.58850000000000002</v>
      </c>
      <c r="G124" s="271" t="str">
        <f t="shared" si="14"/>
        <v/>
      </c>
      <c r="I124" s="295">
        <f t="shared" si="15"/>
        <v>639</v>
      </c>
      <c r="J124" s="146">
        <f t="shared" si="11"/>
        <v>0.88280000000000003</v>
      </c>
      <c r="K124" s="146">
        <f t="shared" si="12"/>
        <v>0.58850000000000002</v>
      </c>
      <c r="P124" s="299">
        <v>639</v>
      </c>
      <c r="Q124" s="282">
        <v>73909</v>
      </c>
      <c r="R124" s="157" t="s">
        <v>1833</v>
      </c>
      <c r="S124" s="272">
        <v>0.88280000000000003</v>
      </c>
      <c r="T124" s="272">
        <v>0.58850000000000002</v>
      </c>
    </row>
    <row r="125" spans="1:20">
      <c r="A125" s="155" t="str">
        <f t="shared" si="13"/>
        <v>639_91231</v>
      </c>
      <c r="B125" s="295">
        <v>639</v>
      </c>
      <c r="C125" s="283">
        <v>91231</v>
      </c>
      <c r="D125" s="143">
        <v>7</v>
      </c>
      <c r="E125" s="146">
        <v>0.88280000000000003</v>
      </c>
      <c r="F125" s="146">
        <v>0.58850000000000002</v>
      </c>
      <c r="G125" s="271" t="str">
        <f t="shared" si="14"/>
        <v/>
      </c>
      <c r="I125" s="295">
        <f t="shared" si="15"/>
        <v>639</v>
      </c>
      <c r="J125" s="146">
        <f t="shared" si="11"/>
        <v>0.88280000000000003</v>
      </c>
      <c r="K125" s="146">
        <f t="shared" si="12"/>
        <v>0.58850000000000002</v>
      </c>
      <c r="P125" s="299">
        <v>639</v>
      </c>
      <c r="Q125" s="282">
        <v>91231</v>
      </c>
      <c r="R125" s="157" t="s">
        <v>1867</v>
      </c>
      <c r="S125" s="272">
        <v>0.88280000000000003</v>
      </c>
      <c r="T125" s="272">
        <v>0.58850000000000002</v>
      </c>
    </row>
    <row r="126" spans="1:20">
      <c r="A126" s="155" t="str">
        <f t="shared" si="13"/>
        <v>639_42322</v>
      </c>
      <c r="B126" s="295">
        <v>639</v>
      </c>
      <c r="C126" s="283">
        <v>42322</v>
      </c>
      <c r="D126" s="143">
        <v>7</v>
      </c>
      <c r="E126" s="146">
        <v>0.88280000000000003</v>
      </c>
      <c r="F126" s="146">
        <v>0.58850000000000002</v>
      </c>
      <c r="G126" s="271" t="str">
        <f t="shared" si="14"/>
        <v/>
      </c>
      <c r="I126" s="295">
        <f t="shared" si="15"/>
        <v>639</v>
      </c>
      <c r="J126" s="146">
        <f t="shared" si="11"/>
        <v>0.88280000000000003</v>
      </c>
      <c r="K126" s="146">
        <f t="shared" si="12"/>
        <v>0.58850000000000002</v>
      </c>
      <c r="P126" s="299">
        <v>639</v>
      </c>
      <c r="Q126" s="282">
        <v>42322</v>
      </c>
      <c r="R126" s="157" t="s">
        <v>1868</v>
      </c>
      <c r="S126" s="272">
        <v>0.88280000000000003</v>
      </c>
      <c r="T126" s="272">
        <v>0.58850000000000002</v>
      </c>
    </row>
    <row r="127" spans="1:20">
      <c r="A127" s="155" t="str">
        <f t="shared" si="13"/>
        <v>711_1011</v>
      </c>
      <c r="B127" s="295">
        <v>711</v>
      </c>
      <c r="C127" s="145">
        <v>1011</v>
      </c>
      <c r="D127" s="143">
        <v>1</v>
      </c>
      <c r="E127" s="146">
        <v>0.26919999999999999</v>
      </c>
      <c r="F127" s="146">
        <v>5.91E-2</v>
      </c>
      <c r="G127" s="271" t="str">
        <f t="shared" si="14"/>
        <v/>
      </c>
      <c r="I127" s="295">
        <f t="shared" si="15"/>
        <v>711</v>
      </c>
      <c r="J127" s="146">
        <f t="shared" si="11"/>
        <v>0.26919999999999999</v>
      </c>
      <c r="K127" s="146">
        <f t="shared" si="12"/>
        <v>5.91E-2</v>
      </c>
      <c r="P127" s="299">
        <v>711</v>
      </c>
      <c r="Q127" s="144">
        <v>1011</v>
      </c>
      <c r="R127" s="157" t="s">
        <v>6</v>
      </c>
      <c r="S127" s="272">
        <v>0.26919999999999999</v>
      </c>
      <c r="T127" s="272">
        <v>5.91E-2</v>
      </c>
    </row>
    <row r="128" spans="1:20">
      <c r="A128" s="155" t="str">
        <f t="shared" si="13"/>
        <v>712_1012</v>
      </c>
      <c r="B128" s="295">
        <v>712</v>
      </c>
      <c r="C128" s="145">
        <v>1012</v>
      </c>
      <c r="D128" s="143">
        <v>1</v>
      </c>
      <c r="E128" s="146">
        <v>0.26919999999999999</v>
      </c>
      <c r="F128" s="146">
        <v>5.91E-2</v>
      </c>
      <c r="G128" s="271" t="str">
        <f t="shared" si="14"/>
        <v/>
      </c>
      <c r="I128" s="295">
        <f t="shared" si="15"/>
        <v>712</v>
      </c>
      <c r="J128" s="146">
        <f t="shared" si="11"/>
        <v>0.26919999999999999</v>
      </c>
      <c r="K128" s="146">
        <f t="shared" si="12"/>
        <v>5.91E-2</v>
      </c>
      <c r="P128" s="299">
        <v>712</v>
      </c>
      <c r="Q128" s="144">
        <v>1012</v>
      </c>
      <c r="R128" s="157" t="s">
        <v>122</v>
      </c>
      <c r="S128" s="272">
        <v>0.26919999999999999</v>
      </c>
      <c r="T128" s="272">
        <v>5.91E-2</v>
      </c>
    </row>
    <row r="129" spans="1:20">
      <c r="A129" s="155" t="str">
        <f t="shared" si="13"/>
        <v>721_1021</v>
      </c>
      <c r="B129" s="295">
        <v>721</v>
      </c>
      <c r="C129" s="145">
        <v>1021</v>
      </c>
      <c r="D129" s="143">
        <v>1</v>
      </c>
      <c r="E129" s="146">
        <v>0.26919999999999999</v>
      </c>
      <c r="F129" s="146">
        <v>5.91E-2</v>
      </c>
      <c r="G129" s="271" t="str">
        <f t="shared" si="14"/>
        <v/>
      </c>
      <c r="I129" s="295">
        <f t="shared" si="15"/>
        <v>721</v>
      </c>
      <c r="J129" s="146">
        <f t="shared" si="11"/>
        <v>0.26919999999999999</v>
      </c>
      <c r="K129" s="146">
        <f t="shared" si="12"/>
        <v>5.91E-2</v>
      </c>
      <c r="P129" s="299">
        <v>721</v>
      </c>
      <c r="Q129" s="144">
        <v>1021</v>
      </c>
      <c r="R129" s="157" t="s">
        <v>123</v>
      </c>
      <c r="S129" s="272">
        <v>0.26919999999999999</v>
      </c>
      <c r="T129" s="272">
        <v>5.91E-2</v>
      </c>
    </row>
    <row r="130" spans="1:20">
      <c r="A130" s="155" t="str">
        <f t="shared" ref="A130:A161" si="18">B130&amp;"_"&amp;C130</f>
        <v>722_1022</v>
      </c>
      <c r="B130" s="295">
        <v>722</v>
      </c>
      <c r="C130" s="145">
        <v>1022</v>
      </c>
      <c r="D130" s="143">
        <v>1</v>
      </c>
      <c r="E130" s="146">
        <v>0.26919999999999999</v>
      </c>
      <c r="F130" s="146">
        <v>5.91E-2</v>
      </c>
      <c r="G130" s="271" t="str">
        <f t="shared" ref="G130:G161" si="19">IF(AND(B130=P130,C130=Q130,E130=S130,F130=T130),"","x")</f>
        <v/>
      </c>
      <c r="I130" s="295">
        <f t="shared" ref="I130:I161" si="20">B130</f>
        <v>722</v>
      </c>
      <c r="J130" s="146">
        <f t="shared" si="11"/>
        <v>0.26919999999999999</v>
      </c>
      <c r="K130" s="146">
        <f t="shared" si="12"/>
        <v>5.91E-2</v>
      </c>
      <c r="P130" s="299">
        <v>722</v>
      </c>
      <c r="Q130" s="144">
        <v>1022</v>
      </c>
      <c r="R130" s="157" t="s">
        <v>124</v>
      </c>
      <c r="S130" s="272">
        <v>0.26919999999999999</v>
      </c>
      <c r="T130" s="272">
        <v>5.91E-2</v>
      </c>
    </row>
    <row r="131" spans="1:20">
      <c r="A131" s="155" t="str">
        <f t="shared" si="18"/>
        <v>730_1030</v>
      </c>
      <c r="B131" s="295">
        <v>730</v>
      </c>
      <c r="C131" s="145">
        <v>1030</v>
      </c>
      <c r="D131" s="143">
        <v>1</v>
      </c>
      <c r="E131" s="146">
        <v>0.92200000000000004</v>
      </c>
      <c r="F131" s="146">
        <v>0.67830000000000001</v>
      </c>
      <c r="G131" s="271" t="str">
        <f t="shared" si="19"/>
        <v/>
      </c>
      <c r="I131" s="295">
        <f t="shared" si="20"/>
        <v>730</v>
      </c>
      <c r="J131" s="146">
        <f t="shared" ref="J131:J180" si="21">E131</f>
        <v>0.92200000000000004</v>
      </c>
      <c r="K131" s="146">
        <f t="shared" ref="K131:K180" si="22">F131</f>
        <v>0.67830000000000001</v>
      </c>
      <c r="P131" s="299">
        <v>730</v>
      </c>
      <c r="Q131" s="144">
        <v>1030</v>
      </c>
      <c r="R131" s="157" t="s">
        <v>35</v>
      </c>
      <c r="S131" s="272">
        <v>0.92200000000000004</v>
      </c>
      <c r="T131" s="272">
        <v>0.67830000000000001</v>
      </c>
    </row>
    <row r="132" spans="1:20">
      <c r="A132" s="155" t="str">
        <f t="shared" si="18"/>
        <v>740_1040</v>
      </c>
      <c r="B132" s="295">
        <v>740</v>
      </c>
      <c r="C132" s="145">
        <v>1040</v>
      </c>
      <c r="D132" s="143">
        <v>1</v>
      </c>
      <c r="E132" s="146">
        <v>0.87439999999999996</v>
      </c>
      <c r="F132" s="146">
        <v>0.56459999999999999</v>
      </c>
      <c r="G132" s="271" t="str">
        <f t="shared" si="19"/>
        <v/>
      </c>
      <c r="I132" s="295">
        <f t="shared" si="20"/>
        <v>740</v>
      </c>
      <c r="J132" s="146">
        <f t="shared" si="21"/>
        <v>0.87439999999999996</v>
      </c>
      <c r="K132" s="146">
        <f t="shared" si="22"/>
        <v>0.56459999999999999</v>
      </c>
      <c r="P132" s="299">
        <v>740</v>
      </c>
      <c r="Q132" s="144">
        <v>1040</v>
      </c>
      <c r="R132" s="157" t="s">
        <v>36</v>
      </c>
      <c r="S132" s="272">
        <v>0.87439999999999996</v>
      </c>
      <c r="T132" s="272">
        <v>0.56459999999999999</v>
      </c>
    </row>
    <row r="133" spans="1:20">
      <c r="A133" s="155" t="str">
        <f t="shared" si="18"/>
        <v>750_1050</v>
      </c>
      <c r="B133" s="295">
        <v>750</v>
      </c>
      <c r="C133" s="145">
        <v>1050</v>
      </c>
      <c r="D133" s="143">
        <v>1</v>
      </c>
      <c r="E133" s="146">
        <v>0.87439999999999996</v>
      </c>
      <c r="F133" s="146">
        <v>0.56459999999999999</v>
      </c>
      <c r="G133" s="271" t="str">
        <f t="shared" si="19"/>
        <v/>
      </c>
      <c r="I133" s="295">
        <f t="shared" si="20"/>
        <v>750</v>
      </c>
      <c r="J133" s="146">
        <f t="shared" si="21"/>
        <v>0.87439999999999996</v>
      </c>
      <c r="K133" s="146">
        <f t="shared" si="22"/>
        <v>0.56459999999999999</v>
      </c>
      <c r="P133" s="299">
        <v>750</v>
      </c>
      <c r="Q133" s="144">
        <v>1050</v>
      </c>
      <c r="R133" s="157" t="s">
        <v>37</v>
      </c>
      <c r="S133" s="272">
        <v>0.87439999999999996</v>
      </c>
      <c r="T133" s="272">
        <v>0.56459999999999999</v>
      </c>
    </row>
    <row r="134" spans="1:20">
      <c r="A134" s="155" t="str">
        <f t="shared" si="18"/>
        <v>761_1061</v>
      </c>
      <c r="B134" s="295">
        <v>761</v>
      </c>
      <c r="C134" s="145">
        <v>1061</v>
      </c>
      <c r="D134" s="143">
        <v>1</v>
      </c>
      <c r="E134" s="146">
        <v>0.71279999999999999</v>
      </c>
      <c r="F134" s="146">
        <v>0.4597</v>
      </c>
      <c r="G134" s="271" t="str">
        <f t="shared" si="19"/>
        <v/>
      </c>
      <c r="I134" s="295">
        <f t="shared" si="20"/>
        <v>761</v>
      </c>
      <c r="J134" s="146">
        <f t="shared" si="21"/>
        <v>0.71279999999999999</v>
      </c>
      <c r="K134" s="146">
        <f t="shared" si="22"/>
        <v>0.4597</v>
      </c>
      <c r="P134" s="299">
        <v>761</v>
      </c>
      <c r="Q134" s="144">
        <v>1061</v>
      </c>
      <c r="R134" s="157" t="s">
        <v>125</v>
      </c>
      <c r="S134" s="272">
        <v>0.71279999999999999</v>
      </c>
      <c r="T134" s="272">
        <v>0.4597</v>
      </c>
    </row>
    <row r="135" spans="1:20">
      <c r="A135" s="155" t="str">
        <f t="shared" si="18"/>
        <v>762_1062</v>
      </c>
      <c r="B135" s="298">
        <v>762</v>
      </c>
      <c r="C135" s="150">
        <v>1062</v>
      </c>
      <c r="D135" s="143">
        <v>1</v>
      </c>
      <c r="E135" s="146">
        <v>0.71279999999999999</v>
      </c>
      <c r="F135" s="146">
        <v>0.4597</v>
      </c>
      <c r="G135" s="271" t="str">
        <f t="shared" si="19"/>
        <v/>
      </c>
      <c r="I135" s="295">
        <f t="shared" si="20"/>
        <v>762</v>
      </c>
      <c r="J135" s="146">
        <f t="shared" si="21"/>
        <v>0.71279999999999999</v>
      </c>
      <c r="K135" s="146">
        <f t="shared" si="22"/>
        <v>0.4597</v>
      </c>
      <c r="P135" s="299">
        <v>762</v>
      </c>
      <c r="Q135" s="144">
        <v>1062</v>
      </c>
      <c r="R135" s="157" t="s">
        <v>126</v>
      </c>
      <c r="S135" s="272">
        <v>0.71279999999999999</v>
      </c>
      <c r="T135" s="272">
        <v>0.4597</v>
      </c>
    </row>
    <row r="136" spans="1:20">
      <c r="A136" s="155" t="str">
        <f t="shared" si="18"/>
        <v>770_1080</v>
      </c>
      <c r="B136" s="295">
        <v>770</v>
      </c>
      <c r="C136" s="145">
        <v>1080</v>
      </c>
      <c r="D136" s="143">
        <v>1</v>
      </c>
      <c r="E136" s="146">
        <v>0.53029999999999999</v>
      </c>
      <c r="F136" s="146">
        <v>0.32579999999999998</v>
      </c>
      <c r="G136" s="271" t="str">
        <f t="shared" si="19"/>
        <v/>
      </c>
      <c r="I136" s="295">
        <f t="shared" si="20"/>
        <v>770</v>
      </c>
      <c r="J136" s="146">
        <f t="shared" si="21"/>
        <v>0.53029999999999999</v>
      </c>
      <c r="K136" s="146">
        <f t="shared" si="22"/>
        <v>0.32579999999999998</v>
      </c>
      <c r="P136" s="299">
        <v>770</v>
      </c>
      <c r="Q136" s="144">
        <v>1080</v>
      </c>
      <c r="R136" s="157" t="s">
        <v>39</v>
      </c>
      <c r="S136" s="272">
        <v>0.53029999999999999</v>
      </c>
      <c r="T136" s="272">
        <v>0.32579999999999998</v>
      </c>
    </row>
    <row r="137" spans="1:20">
      <c r="A137" s="155" t="str">
        <f t="shared" si="18"/>
        <v>791_1071</v>
      </c>
      <c r="B137" s="298">
        <v>791</v>
      </c>
      <c r="C137" s="150">
        <v>1071</v>
      </c>
      <c r="D137" s="143">
        <v>1</v>
      </c>
      <c r="E137" s="151">
        <v>0.49559999999999998</v>
      </c>
      <c r="F137" s="151">
        <v>0.1739</v>
      </c>
      <c r="G137" s="271" t="str">
        <f t="shared" si="19"/>
        <v/>
      </c>
      <c r="I137" s="295">
        <f t="shared" si="20"/>
        <v>791</v>
      </c>
      <c r="J137" s="146">
        <f t="shared" si="21"/>
        <v>0.49559999999999998</v>
      </c>
      <c r="K137" s="146">
        <f t="shared" si="22"/>
        <v>0.1739</v>
      </c>
      <c r="P137" s="299">
        <v>791</v>
      </c>
      <c r="Q137" s="144">
        <v>1071</v>
      </c>
      <c r="R137" s="157" t="s">
        <v>127</v>
      </c>
      <c r="S137" s="272">
        <v>0.49559999999999998</v>
      </c>
      <c r="T137" s="272">
        <v>0.1739</v>
      </c>
    </row>
    <row r="138" spans="1:20">
      <c r="A138" s="155" t="str">
        <f t="shared" si="18"/>
        <v>792_1072</v>
      </c>
      <c r="B138" s="295">
        <v>792</v>
      </c>
      <c r="C138" s="145">
        <v>1072</v>
      </c>
      <c r="D138" s="143">
        <v>1</v>
      </c>
      <c r="E138" s="151">
        <v>0.49559999999999998</v>
      </c>
      <c r="F138" s="151">
        <v>0.1739</v>
      </c>
      <c r="G138" s="271" t="str">
        <f t="shared" si="19"/>
        <v/>
      </c>
      <c r="I138" s="295">
        <f t="shared" si="20"/>
        <v>792</v>
      </c>
      <c r="J138" s="146">
        <f t="shared" si="21"/>
        <v>0.49559999999999998</v>
      </c>
      <c r="K138" s="146">
        <f t="shared" si="22"/>
        <v>0.1739</v>
      </c>
      <c r="P138" s="299">
        <v>792</v>
      </c>
      <c r="Q138" s="144">
        <v>1072</v>
      </c>
      <c r="R138" s="157" t="s">
        <v>128</v>
      </c>
      <c r="S138" s="272">
        <v>0.49559999999999998</v>
      </c>
      <c r="T138" s="272">
        <v>0.1739</v>
      </c>
    </row>
    <row r="139" spans="1:20">
      <c r="A139" s="155" t="str">
        <f t="shared" si="18"/>
        <v>793_1073</v>
      </c>
      <c r="B139" s="295">
        <v>793</v>
      </c>
      <c r="C139" s="145">
        <v>1073</v>
      </c>
      <c r="D139" s="143">
        <v>1</v>
      </c>
      <c r="E139" s="151">
        <v>0.49559999999999998</v>
      </c>
      <c r="F139" s="151">
        <v>0.1739</v>
      </c>
      <c r="G139" s="271" t="str">
        <f t="shared" si="19"/>
        <v/>
      </c>
      <c r="I139" s="295">
        <f t="shared" si="20"/>
        <v>793</v>
      </c>
      <c r="J139" s="146">
        <f t="shared" si="21"/>
        <v>0.49559999999999998</v>
      </c>
      <c r="K139" s="146">
        <f t="shared" si="22"/>
        <v>0.1739</v>
      </c>
      <c r="P139" s="299">
        <v>793</v>
      </c>
      <c r="Q139" s="144">
        <v>1073</v>
      </c>
      <c r="R139" s="157" t="s">
        <v>129</v>
      </c>
      <c r="S139" s="272">
        <v>0.49559999999999998</v>
      </c>
      <c r="T139" s="272">
        <v>0.1739</v>
      </c>
    </row>
    <row r="140" spans="1:20">
      <c r="A140" s="155" t="str">
        <f t="shared" si="18"/>
        <v>794_1074</v>
      </c>
      <c r="B140" s="295">
        <v>794</v>
      </c>
      <c r="C140" s="145">
        <v>1074</v>
      </c>
      <c r="D140" s="143">
        <v>1</v>
      </c>
      <c r="E140" s="151">
        <v>0.81659999999999999</v>
      </c>
      <c r="F140" s="151">
        <v>0.41770000000000002</v>
      </c>
      <c r="G140" s="271" t="str">
        <f t="shared" si="19"/>
        <v/>
      </c>
      <c r="I140" s="295">
        <f t="shared" si="20"/>
        <v>794</v>
      </c>
      <c r="J140" s="146">
        <f t="shared" si="21"/>
        <v>0.81659999999999999</v>
      </c>
      <c r="K140" s="146">
        <f t="shared" si="22"/>
        <v>0.41770000000000002</v>
      </c>
      <c r="P140" s="299">
        <v>794</v>
      </c>
      <c r="Q140" s="144">
        <v>1074</v>
      </c>
      <c r="R140" s="157" t="s">
        <v>130</v>
      </c>
      <c r="S140" s="272">
        <v>0.81659999999999999</v>
      </c>
      <c r="T140" s="272">
        <v>0.41770000000000002</v>
      </c>
    </row>
    <row r="141" spans="1:20">
      <c r="A141" s="155" t="str">
        <f t="shared" si="18"/>
        <v>795_1079</v>
      </c>
      <c r="B141" s="295">
        <v>795</v>
      </c>
      <c r="C141" s="145">
        <v>1079</v>
      </c>
      <c r="D141" s="143">
        <v>1</v>
      </c>
      <c r="E141" s="151">
        <v>0.85319999999999996</v>
      </c>
      <c r="F141" s="151">
        <v>0.35820000000000002</v>
      </c>
      <c r="G141" s="271" t="str">
        <f t="shared" si="19"/>
        <v/>
      </c>
      <c r="I141" s="295">
        <f t="shared" si="20"/>
        <v>795</v>
      </c>
      <c r="J141" s="146">
        <f t="shared" si="21"/>
        <v>0.85319999999999996</v>
      </c>
      <c r="K141" s="146">
        <f t="shared" si="22"/>
        <v>0.35820000000000002</v>
      </c>
      <c r="P141" s="299">
        <v>795</v>
      </c>
      <c r="Q141" s="144">
        <v>1079</v>
      </c>
      <c r="R141" s="157" t="s">
        <v>132</v>
      </c>
      <c r="S141" s="272">
        <v>0.85319999999999996</v>
      </c>
      <c r="T141" s="272">
        <v>0.35820000000000002</v>
      </c>
    </row>
    <row r="142" spans="1:20">
      <c r="A142" s="155" t="str">
        <f t="shared" si="18"/>
        <v>799_1079</v>
      </c>
      <c r="B142" s="295">
        <v>799</v>
      </c>
      <c r="C142" s="145">
        <v>1079</v>
      </c>
      <c r="D142" s="143">
        <v>1</v>
      </c>
      <c r="E142" s="151">
        <v>0.85319999999999996</v>
      </c>
      <c r="F142" s="151">
        <v>0.35820000000000002</v>
      </c>
      <c r="G142" s="271" t="str">
        <f t="shared" si="19"/>
        <v/>
      </c>
      <c r="I142" s="295">
        <f t="shared" si="20"/>
        <v>799</v>
      </c>
      <c r="J142" s="146">
        <f t="shared" si="21"/>
        <v>0.85319999999999996</v>
      </c>
      <c r="K142" s="146">
        <f t="shared" si="22"/>
        <v>0.35820000000000002</v>
      </c>
      <c r="P142" s="299">
        <v>799</v>
      </c>
      <c r="Q142" s="144">
        <v>1079</v>
      </c>
      <c r="R142" s="157" t="s">
        <v>132</v>
      </c>
      <c r="S142" s="272">
        <v>0.85319999999999996</v>
      </c>
      <c r="T142" s="272">
        <v>0.35820000000000002</v>
      </c>
    </row>
    <row r="143" spans="1:20">
      <c r="A143" s="155" t="str">
        <f t="shared" si="18"/>
        <v>811_1111</v>
      </c>
      <c r="B143" s="295">
        <v>811</v>
      </c>
      <c r="C143" s="145">
        <v>1111</v>
      </c>
      <c r="D143" s="143">
        <v>1</v>
      </c>
      <c r="E143" s="146">
        <v>0.66180000000000005</v>
      </c>
      <c r="F143" s="146">
        <v>0.23980000000000001</v>
      </c>
      <c r="G143" s="271" t="str">
        <f t="shared" si="19"/>
        <v/>
      </c>
      <c r="I143" s="295">
        <f t="shared" si="20"/>
        <v>811</v>
      </c>
      <c r="J143" s="146">
        <f t="shared" si="21"/>
        <v>0.66180000000000005</v>
      </c>
      <c r="K143" s="146">
        <f t="shared" si="22"/>
        <v>0.23980000000000001</v>
      </c>
      <c r="P143" s="299">
        <v>811</v>
      </c>
      <c r="Q143" s="144">
        <v>1111</v>
      </c>
      <c r="R143" s="157" t="s">
        <v>133</v>
      </c>
      <c r="S143" s="272">
        <v>0.66180000000000005</v>
      </c>
      <c r="T143" s="272">
        <v>0.23980000000000001</v>
      </c>
    </row>
    <row r="144" spans="1:20">
      <c r="A144" s="155" t="str">
        <f t="shared" si="18"/>
        <v>812_1112</v>
      </c>
      <c r="B144" s="295">
        <v>812</v>
      </c>
      <c r="C144" s="145">
        <v>1112</v>
      </c>
      <c r="D144" s="143">
        <v>1</v>
      </c>
      <c r="E144" s="146">
        <v>0.66180000000000005</v>
      </c>
      <c r="F144" s="146">
        <v>0.23980000000000001</v>
      </c>
      <c r="G144" s="271" t="str">
        <f t="shared" si="19"/>
        <v/>
      </c>
      <c r="I144" s="295">
        <f t="shared" si="20"/>
        <v>812</v>
      </c>
      <c r="J144" s="146">
        <f t="shared" si="21"/>
        <v>0.66180000000000005</v>
      </c>
      <c r="K144" s="146">
        <f t="shared" si="22"/>
        <v>0.23980000000000001</v>
      </c>
      <c r="P144" s="299">
        <v>812</v>
      </c>
      <c r="Q144" s="144">
        <v>1112</v>
      </c>
      <c r="R144" s="157" t="s">
        <v>134</v>
      </c>
      <c r="S144" s="272">
        <v>0.66180000000000005</v>
      </c>
      <c r="T144" s="272">
        <v>0.23980000000000001</v>
      </c>
    </row>
    <row r="145" spans="1:20">
      <c r="A145" s="155" t="str">
        <f t="shared" si="18"/>
        <v>821_11202</v>
      </c>
      <c r="B145" s="295">
        <v>821</v>
      </c>
      <c r="C145" s="145">
        <v>11202</v>
      </c>
      <c r="D145" s="143">
        <v>2</v>
      </c>
      <c r="E145" s="146">
        <v>0.66180000000000005</v>
      </c>
      <c r="F145" s="146">
        <v>0.23980000000000001</v>
      </c>
      <c r="G145" s="271" t="str">
        <f t="shared" si="19"/>
        <v/>
      </c>
      <c r="I145" s="295">
        <f t="shared" si="20"/>
        <v>821</v>
      </c>
      <c r="J145" s="146">
        <f t="shared" si="21"/>
        <v>0.66180000000000005</v>
      </c>
      <c r="K145" s="146">
        <f t="shared" si="22"/>
        <v>0.23980000000000001</v>
      </c>
      <c r="P145" s="299">
        <v>821</v>
      </c>
      <c r="Q145" s="144">
        <v>11202</v>
      </c>
      <c r="R145" s="157" t="s">
        <v>1869</v>
      </c>
      <c r="S145" s="272">
        <v>0.66180000000000005</v>
      </c>
      <c r="T145" s="272">
        <v>0.23980000000000001</v>
      </c>
    </row>
    <row r="146" spans="1:20">
      <c r="A146" s="155" t="str">
        <f t="shared" si="18"/>
        <v>821_11209</v>
      </c>
      <c r="B146" s="295">
        <v>821</v>
      </c>
      <c r="C146" s="145">
        <v>11209</v>
      </c>
      <c r="D146" s="143">
        <v>2</v>
      </c>
      <c r="E146" s="146">
        <v>0.66180000000000005</v>
      </c>
      <c r="F146" s="146">
        <v>0.23980000000000001</v>
      </c>
      <c r="G146" s="271" t="str">
        <f t="shared" si="19"/>
        <v/>
      </c>
      <c r="I146" s="295">
        <f t="shared" si="20"/>
        <v>821</v>
      </c>
      <c r="J146" s="146">
        <f t="shared" si="21"/>
        <v>0.66180000000000005</v>
      </c>
      <c r="K146" s="146">
        <f t="shared" si="22"/>
        <v>0.23980000000000001</v>
      </c>
      <c r="P146" s="299">
        <v>821</v>
      </c>
      <c r="Q146" s="144">
        <v>11209</v>
      </c>
      <c r="R146" s="157" t="s">
        <v>1870</v>
      </c>
      <c r="S146" s="272">
        <v>0.66180000000000005</v>
      </c>
      <c r="T146" s="272">
        <v>0.23980000000000001</v>
      </c>
    </row>
    <row r="147" spans="1:20">
      <c r="A147" s="155" t="str">
        <f t="shared" si="18"/>
        <v>822_11201</v>
      </c>
      <c r="B147" s="295">
        <v>822</v>
      </c>
      <c r="C147" s="273">
        <v>11201</v>
      </c>
      <c r="D147" s="143">
        <v>1</v>
      </c>
      <c r="E147" s="146">
        <v>0.4239</v>
      </c>
      <c r="F147" s="146">
        <v>0.39789999999999998</v>
      </c>
      <c r="G147" s="271" t="str">
        <f t="shared" si="19"/>
        <v/>
      </c>
      <c r="I147" s="295">
        <f t="shared" si="20"/>
        <v>822</v>
      </c>
      <c r="J147" s="146">
        <f t="shared" si="21"/>
        <v>0.4239</v>
      </c>
      <c r="K147" s="146">
        <f t="shared" si="22"/>
        <v>0.39789999999999998</v>
      </c>
      <c r="P147" s="299">
        <v>822</v>
      </c>
      <c r="Q147" s="271">
        <v>11201</v>
      </c>
      <c r="R147" s="157" t="s">
        <v>1871</v>
      </c>
      <c r="S147" s="272">
        <v>0.4239</v>
      </c>
      <c r="T147" s="272">
        <v>0.39789999999999998</v>
      </c>
    </row>
    <row r="148" spans="1:20">
      <c r="A148" s="155" t="str">
        <f t="shared" si="18"/>
        <v>911_2925</v>
      </c>
      <c r="B148" s="298">
        <v>911</v>
      </c>
      <c r="C148" s="282">
        <v>2925</v>
      </c>
      <c r="D148" s="143">
        <v>2</v>
      </c>
      <c r="E148" s="151">
        <v>0.2374</v>
      </c>
      <c r="F148" s="151">
        <v>0.2039</v>
      </c>
      <c r="G148" s="271" t="str">
        <f t="shared" si="19"/>
        <v/>
      </c>
      <c r="I148" s="295">
        <f t="shared" si="20"/>
        <v>911</v>
      </c>
      <c r="J148" s="146">
        <f t="shared" si="21"/>
        <v>0.2374</v>
      </c>
      <c r="K148" s="146">
        <f t="shared" si="22"/>
        <v>0.2039</v>
      </c>
      <c r="P148" s="299">
        <v>911</v>
      </c>
      <c r="Q148" s="282">
        <v>2925</v>
      </c>
      <c r="R148" s="285" t="s">
        <v>2751</v>
      </c>
      <c r="S148" s="272">
        <v>0.2374</v>
      </c>
      <c r="T148" s="272">
        <v>0.2039</v>
      </c>
    </row>
    <row r="149" spans="1:20">
      <c r="A149" s="155" t="str">
        <f t="shared" si="18"/>
        <v>911_2852</v>
      </c>
      <c r="B149" s="298">
        <v>911</v>
      </c>
      <c r="C149" s="282">
        <v>2852</v>
      </c>
      <c r="D149" s="143">
        <v>2</v>
      </c>
      <c r="E149" s="151">
        <v>0.2374</v>
      </c>
      <c r="F149" s="151">
        <v>0.2039</v>
      </c>
      <c r="G149" s="271" t="str">
        <f t="shared" si="19"/>
        <v/>
      </c>
      <c r="I149" s="295">
        <f t="shared" si="20"/>
        <v>911</v>
      </c>
      <c r="J149" s="146">
        <f t="shared" si="21"/>
        <v>0.2374</v>
      </c>
      <c r="K149" s="146">
        <f t="shared" si="22"/>
        <v>0.2039</v>
      </c>
      <c r="P149" s="299">
        <v>911</v>
      </c>
      <c r="Q149" s="282">
        <v>2852</v>
      </c>
      <c r="R149" s="285" t="s">
        <v>2749</v>
      </c>
      <c r="S149" s="272">
        <v>0.2374</v>
      </c>
      <c r="T149" s="272">
        <v>0.2039</v>
      </c>
    </row>
    <row r="150" spans="1:20">
      <c r="A150" s="155" t="str">
        <f t="shared" si="18"/>
        <v>912_28511</v>
      </c>
      <c r="B150" s="298">
        <v>912</v>
      </c>
      <c r="C150" s="150">
        <v>28511</v>
      </c>
      <c r="D150" s="143">
        <v>1</v>
      </c>
      <c r="E150" s="151">
        <v>0.2374</v>
      </c>
      <c r="F150" s="151">
        <v>0.2039</v>
      </c>
      <c r="G150" s="271" t="str">
        <f t="shared" si="19"/>
        <v/>
      </c>
      <c r="I150" s="295">
        <f t="shared" si="20"/>
        <v>912</v>
      </c>
      <c r="J150" s="146">
        <f t="shared" si="21"/>
        <v>0.2374</v>
      </c>
      <c r="K150" s="146">
        <f t="shared" si="22"/>
        <v>0.2039</v>
      </c>
      <c r="P150" s="299">
        <v>912</v>
      </c>
      <c r="Q150" s="144">
        <v>28511</v>
      </c>
      <c r="R150" s="157" t="s">
        <v>136</v>
      </c>
      <c r="S150" s="272">
        <v>0.2374</v>
      </c>
      <c r="T150" s="272">
        <v>0.2039</v>
      </c>
    </row>
    <row r="151" spans="1:20">
      <c r="A151" s="155" t="str">
        <f t="shared" si="18"/>
        <v>913_25</v>
      </c>
      <c r="B151" s="298">
        <v>913</v>
      </c>
      <c r="C151" s="150">
        <v>25</v>
      </c>
      <c r="D151" s="143">
        <v>1</v>
      </c>
      <c r="E151" s="151">
        <v>0.64159999999999995</v>
      </c>
      <c r="F151" s="151">
        <v>0.4788</v>
      </c>
      <c r="G151" s="271" t="str">
        <f t="shared" si="19"/>
        <v/>
      </c>
      <c r="I151" s="295">
        <f t="shared" si="20"/>
        <v>913</v>
      </c>
      <c r="J151" s="146">
        <f t="shared" si="21"/>
        <v>0.64159999999999995</v>
      </c>
      <c r="K151" s="146">
        <f t="shared" si="22"/>
        <v>0.4788</v>
      </c>
      <c r="P151" s="299">
        <v>913</v>
      </c>
      <c r="Q151" s="144">
        <v>25</v>
      </c>
      <c r="R151" s="157" t="s">
        <v>1821</v>
      </c>
      <c r="S151" s="272">
        <v>0.64159999999999995</v>
      </c>
      <c r="T151" s="272">
        <v>0.4788</v>
      </c>
    </row>
    <row r="152" spans="1:20">
      <c r="A152" s="155" t="str">
        <f t="shared" si="18"/>
        <v>914_22231</v>
      </c>
      <c r="B152" s="298">
        <v>914</v>
      </c>
      <c r="C152" s="283">
        <v>22231</v>
      </c>
      <c r="D152" s="143">
        <v>5</v>
      </c>
      <c r="E152" s="151">
        <v>0.68220000000000003</v>
      </c>
      <c r="F152" s="151">
        <v>0.30130000000000001</v>
      </c>
      <c r="G152" s="271" t="str">
        <f t="shared" si="19"/>
        <v/>
      </c>
      <c r="I152" s="295">
        <f t="shared" si="20"/>
        <v>914</v>
      </c>
      <c r="J152" s="146">
        <f t="shared" si="21"/>
        <v>0.68220000000000003</v>
      </c>
      <c r="K152" s="146">
        <f t="shared" si="22"/>
        <v>0.30130000000000001</v>
      </c>
      <c r="P152" s="299">
        <v>914</v>
      </c>
      <c r="Q152" s="282">
        <v>22231</v>
      </c>
      <c r="R152" s="157" t="s">
        <v>1872</v>
      </c>
      <c r="S152" s="272">
        <v>0.68220000000000003</v>
      </c>
      <c r="T152" s="272">
        <v>0.30130000000000001</v>
      </c>
    </row>
    <row r="153" spans="1:20">
      <c r="A153" s="155" t="str">
        <f t="shared" si="18"/>
        <v>914_25993</v>
      </c>
      <c r="B153" s="298">
        <v>914</v>
      </c>
      <c r="C153" s="283">
        <v>25993</v>
      </c>
      <c r="D153" s="143">
        <v>5</v>
      </c>
      <c r="E153" s="151">
        <v>0.68220000000000003</v>
      </c>
      <c r="F153" s="151">
        <v>0.30130000000000001</v>
      </c>
      <c r="G153" s="271" t="str">
        <f t="shared" si="19"/>
        <v/>
      </c>
      <c r="I153" s="295">
        <f t="shared" si="20"/>
        <v>914</v>
      </c>
      <c r="J153" s="146">
        <f t="shared" si="21"/>
        <v>0.68220000000000003</v>
      </c>
      <c r="K153" s="146">
        <f t="shared" si="22"/>
        <v>0.30130000000000001</v>
      </c>
      <c r="P153" s="299">
        <v>914</v>
      </c>
      <c r="Q153" s="282">
        <v>25993</v>
      </c>
      <c r="R153" s="157" t="s">
        <v>1873</v>
      </c>
      <c r="S153" s="272">
        <v>0.68220000000000003</v>
      </c>
      <c r="T153" s="272">
        <v>0.30130000000000001</v>
      </c>
    </row>
    <row r="154" spans="1:20">
      <c r="A154" s="155" t="str">
        <f t="shared" si="18"/>
        <v>914_22193</v>
      </c>
      <c r="B154" s="298">
        <v>914</v>
      </c>
      <c r="C154" s="283">
        <v>22193</v>
      </c>
      <c r="D154" s="143">
        <v>5</v>
      </c>
      <c r="E154" s="151">
        <v>0.68220000000000003</v>
      </c>
      <c r="F154" s="151">
        <v>0.30130000000000001</v>
      </c>
      <c r="G154" s="271" t="str">
        <f t="shared" si="19"/>
        <v/>
      </c>
      <c r="I154" s="295">
        <f t="shared" si="20"/>
        <v>914</v>
      </c>
      <c r="J154" s="146">
        <f t="shared" si="21"/>
        <v>0.68220000000000003</v>
      </c>
      <c r="K154" s="146">
        <f t="shared" si="22"/>
        <v>0.30130000000000001</v>
      </c>
      <c r="P154" s="299">
        <v>914</v>
      </c>
      <c r="Q154" s="282">
        <v>22193</v>
      </c>
      <c r="R154" s="157" t="s">
        <v>2768</v>
      </c>
      <c r="S154" s="272">
        <v>0.68220000000000003</v>
      </c>
      <c r="T154" s="272">
        <v>0.30130000000000001</v>
      </c>
    </row>
    <row r="155" spans="1:20">
      <c r="A155" s="155" t="str">
        <f t="shared" si="18"/>
        <v>914_17902</v>
      </c>
      <c r="B155" s="298">
        <v>914</v>
      </c>
      <c r="C155" s="283">
        <v>17902</v>
      </c>
      <c r="D155" s="143">
        <v>5</v>
      </c>
      <c r="E155" s="151">
        <v>0.68220000000000003</v>
      </c>
      <c r="F155" s="151">
        <v>0.30130000000000001</v>
      </c>
      <c r="G155" s="271" t="str">
        <f t="shared" si="19"/>
        <v/>
      </c>
      <c r="I155" s="295">
        <f t="shared" si="20"/>
        <v>914</v>
      </c>
      <c r="J155" s="146">
        <f t="shared" si="21"/>
        <v>0.68220000000000003</v>
      </c>
      <c r="K155" s="146">
        <f t="shared" si="22"/>
        <v>0.30130000000000001</v>
      </c>
      <c r="P155" s="299">
        <v>914</v>
      </c>
      <c r="Q155" s="282">
        <v>17902</v>
      </c>
      <c r="R155" s="157" t="s">
        <v>1874</v>
      </c>
      <c r="S155" s="272">
        <v>0.68220000000000003</v>
      </c>
      <c r="T155" s="272">
        <v>0.30130000000000001</v>
      </c>
    </row>
    <row r="156" spans="1:20">
      <c r="A156" s="155" t="str">
        <f t="shared" si="18"/>
        <v>914_20422</v>
      </c>
      <c r="B156" s="298">
        <v>914</v>
      </c>
      <c r="C156" s="283">
        <v>20422</v>
      </c>
      <c r="D156" s="143">
        <v>5</v>
      </c>
      <c r="E156" s="151">
        <v>0.68220000000000003</v>
      </c>
      <c r="F156" s="151">
        <v>0.30130000000000001</v>
      </c>
      <c r="G156" s="271" t="str">
        <f t="shared" si="19"/>
        <v/>
      </c>
      <c r="I156" s="295">
        <f t="shared" si="20"/>
        <v>914</v>
      </c>
      <c r="J156" s="146">
        <f t="shared" si="21"/>
        <v>0.68220000000000003</v>
      </c>
      <c r="K156" s="146">
        <f t="shared" si="22"/>
        <v>0.30130000000000001</v>
      </c>
      <c r="P156" s="299">
        <v>914</v>
      </c>
      <c r="Q156" s="282">
        <v>20422</v>
      </c>
      <c r="R156" s="157" t="s">
        <v>1875</v>
      </c>
      <c r="S156" s="272">
        <v>0.68220000000000003</v>
      </c>
      <c r="T156" s="272">
        <v>0.30130000000000001</v>
      </c>
    </row>
    <row r="157" spans="1:20">
      <c r="A157" s="155" t="str">
        <f t="shared" si="18"/>
        <v>915_22213</v>
      </c>
      <c r="B157" s="298">
        <v>915</v>
      </c>
      <c r="C157" s="282">
        <v>22213</v>
      </c>
      <c r="D157" s="143">
        <v>10</v>
      </c>
      <c r="E157" s="151">
        <v>0.70740000000000003</v>
      </c>
      <c r="F157" s="151">
        <v>0.50460000000000005</v>
      </c>
      <c r="G157" s="271" t="str">
        <f t="shared" si="19"/>
        <v/>
      </c>
      <c r="I157" s="295">
        <f t="shared" si="20"/>
        <v>915</v>
      </c>
      <c r="J157" s="146">
        <f t="shared" si="21"/>
        <v>0.70740000000000003</v>
      </c>
      <c r="K157" s="146">
        <f t="shared" si="22"/>
        <v>0.50460000000000005</v>
      </c>
      <c r="P157" s="299">
        <v>915</v>
      </c>
      <c r="Q157" s="282">
        <v>22213</v>
      </c>
      <c r="R157" s="285" t="s">
        <v>1876</v>
      </c>
      <c r="S157" s="272">
        <v>0.70740000000000003</v>
      </c>
      <c r="T157" s="272">
        <v>0.50460000000000005</v>
      </c>
    </row>
    <row r="158" spans="1:20">
      <c r="A158" s="155" t="str">
        <f t="shared" si="18"/>
        <v>915_23192</v>
      </c>
      <c r="B158" s="298">
        <v>915</v>
      </c>
      <c r="C158" s="282">
        <v>23192</v>
      </c>
      <c r="D158" s="143">
        <v>10</v>
      </c>
      <c r="E158" s="151">
        <v>0.70740000000000003</v>
      </c>
      <c r="F158" s="151">
        <v>0.50460000000000005</v>
      </c>
      <c r="G158" s="271" t="str">
        <f t="shared" si="19"/>
        <v/>
      </c>
      <c r="I158" s="295">
        <f t="shared" si="20"/>
        <v>915</v>
      </c>
      <c r="J158" s="146">
        <f t="shared" si="21"/>
        <v>0.70740000000000003</v>
      </c>
      <c r="K158" s="146">
        <f t="shared" si="22"/>
        <v>0.50460000000000005</v>
      </c>
      <c r="P158" s="299">
        <v>915</v>
      </c>
      <c r="Q158" s="282">
        <v>23192</v>
      </c>
      <c r="R158" s="285" t="s">
        <v>1877</v>
      </c>
      <c r="S158" s="272">
        <v>0.70740000000000003</v>
      </c>
      <c r="T158" s="272">
        <v>0.50460000000000005</v>
      </c>
    </row>
    <row r="159" spans="1:20">
      <c r="A159" s="155" t="str">
        <f t="shared" si="18"/>
        <v>915_23221</v>
      </c>
      <c r="B159" s="298">
        <v>915</v>
      </c>
      <c r="C159" s="282">
        <v>23221</v>
      </c>
      <c r="D159" s="143">
        <v>10</v>
      </c>
      <c r="E159" s="151">
        <v>0.70740000000000003</v>
      </c>
      <c r="F159" s="151">
        <v>0.50460000000000005</v>
      </c>
      <c r="G159" s="271" t="str">
        <f t="shared" si="19"/>
        <v/>
      </c>
      <c r="I159" s="295">
        <f t="shared" si="20"/>
        <v>915</v>
      </c>
      <c r="J159" s="146">
        <f t="shared" si="21"/>
        <v>0.70740000000000003</v>
      </c>
      <c r="K159" s="146">
        <f t="shared" si="22"/>
        <v>0.50460000000000005</v>
      </c>
      <c r="P159" s="299">
        <v>915</v>
      </c>
      <c r="Q159" s="282">
        <v>23221</v>
      </c>
      <c r="R159" s="157" t="s">
        <v>2756</v>
      </c>
      <c r="S159" s="272">
        <v>0.70740000000000003</v>
      </c>
      <c r="T159" s="272">
        <v>0.50460000000000005</v>
      </c>
    </row>
    <row r="160" spans="1:20">
      <c r="A160" s="155" t="str">
        <f t="shared" si="18"/>
        <v>915_17223</v>
      </c>
      <c r="B160" s="298">
        <v>915</v>
      </c>
      <c r="C160" s="282">
        <v>17223</v>
      </c>
      <c r="D160" s="143">
        <v>10</v>
      </c>
      <c r="E160" s="151">
        <v>0.70740000000000003</v>
      </c>
      <c r="F160" s="151">
        <v>0.50460000000000005</v>
      </c>
      <c r="G160" s="271" t="str">
        <f t="shared" si="19"/>
        <v/>
      </c>
      <c r="I160" s="295">
        <f t="shared" si="20"/>
        <v>915</v>
      </c>
      <c r="J160" s="146">
        <f t="shared" si="21"/>
        <v>0.70740000000000003</v>
      </c>
      <c r="K160" s="146">
        <f t="shared" si="22"/>
        <v>0.50460000000000005</v>
      </c>
      <c r="P160" s="299">
        <v>915</v>
      </c>
      <c r="Q160" s="282">
        <v>17223</v>
      </c>
      <c r="R160" s="157" t="s">
        <v>1878</v>
      </c>
      <c r="S160" s="272">
        <v>0.70740000000000003</v>
      </c>
      <c r="T160" s="272">
        <v>0.50460000000000005</v>
      </c>
    </row>
    <row r="161" spans="1:20">
      <c r="A161" s="155" t="str">
        <f t="shared" si="18"/>
        <v>915_22232</v>
      </c>
      <c r="B161" s="298">
        <v>915</v>
      </c>
      <c r="C161" s="283">
        <v>22232</v>
      </c>
      <c r="D161" s="143">
        <v>10</v>
      </c>
      <c r="E161" s="151">
        <v>0.70740000000000003</v>
      </c>
      <c r="F161" s="151">
        <v>0.50460000000000005</v>
      </c>
      <c r="G161" s="271" t="str">
        <f t="shared" si="19"/>
        <v/>
      </c>
      <c r="I161" s="295">
        <f t="shared" si="20"/>
        <v>915</v>
      </c>
      <c r="J161" s="146">
        <f t="shared" si="21"/>
        <v>0.70740000000000003</v>
      </c>
      <c r="K161" s="146">
        <f t="shared" si="22"/>
        <v>0.50460000000000005</v>
      </c>
      <c r="P161" s="299">
        <v>915</v>
      </c>
      <c r="Q161" s="282">
        <v>22232</v>
      </c>
      <c r="R161" s="157" t="s">
        <v>1879</v>
      </c>
      <c r="S161" s="272">
        <v>0.70740000000000003</v>
      </c>
      <c r="T161" s="272">
        <v>0.50460000000000005</v>
      </c>
    </row>
    <row r="162" spans="1:20">
      <c r="A162" s="155" t="str">
        <f t="shared" ref="A162:A180" si="23">B162&amp;"_"&amp;C162</f>
        <v>915_22251</v>
      </c>
      <c r="B162" s="298">
        <v>915</v>
      </c>
      <c r="C162" s="283">
        <v>22251</v>
      </c>
      <c r="D162" s="143">
        <v>10</v>
      </c>
      <c r="E162" s="151">
        <v>0.70740000000000003</v>
      </c>
      <c r="F162" s="151">
        <v>0.50460000000000005</v>
      </c>
      <c r="G162" s="271" t="str">
        <f t="shared" ref="G162:G180" si="24">IF(AND(B162=P162,C162=Q162,E162=S162,F162=T162),"","x")</f>
        <v/>
      </c>
      <c r="I162" s="295">
        <f t="shared" ref="I162:I180" si="25">B162</f>
        <v>915</v>
      </c>
      <c r="J162" s="146">
        <f t="shared" si="21"/>
        <v>0.70740000000000003</v>
      </c>
      <c r="K162" s="146">
        <f t="shared" si="22"/>
        <v>0.50460000000000005</v>
      </c>
      <c r="P162" s="299">
        <v>915</v>
      </c>
      <c r="Q162" s="282">
        <v>22251</v>
      </c>
      <c r="R162" s="274" t="s">
        <v>2797</v>
      </c>
      <c r="S162" s="272">
        <v>0.70740000000000003</v>
      </c>
      <c r="T162" s="272">
        <v>0.50460000000000005</v>
      </c>
    </row>
    <row r="163" spans="1:20">
      <c r="A163" s="155" t="str">
        <f t="shared" si="23"/>
        <v>915_22231</v>
      </c>
      <c r="B163" s="298">
        <v>915</v>
      </c>
      <c r="C163" s="283">
        <v>22231</v>
      </c>
      <c r="D163" s="143">
        <v>10</v>
      </c>
      <c r="E163" s="151">
        <v>0.70740000000000003</v>
      </c>
      <c r="F163" s="151">
        <v>0.50460000000000005</v>
      </c>
      <c r="G163" s="271" t="str">
        <f t="shared" si="24"/>
        <v/>
      </c>
      <c r="I163" s="295">
        <f t="shared" si="25"/>
        <v>915</v>
      </c>
      <c r="J163" s="146">
        <f t="shared" si="21"/>
        <v>0.70740000000000003</v>
      </c>
      <c r="K163" s="146">
        <f t="shared" si="22"/>
        <v>0.50460000000000005</v>
      </c>
      <c r="P163" s="299">
        <v>915</v>
      </c>
      <c r="Q163" s="282">
        <v>22231</v>
      </c>
      <c r="R163" s="157" t="s">
        <v>2752</v>
      </c>
      <c r="S163" s="272">
        <v>0.70740000000000003</v>
      </c>
      <c r="T163" s="272">
        <v>0.50460000000000005</v>
      </c>
    </row>
    <row r="164" spans="1:20">
      <c r="A164" s="155" t="str">
        <f t="shared" si="23"/>
        <v>915_22212</v>
      </c>
      <c r="B164" s="298">
        <v>915</v>
      </c>
      <c r="C164" s="283">
        <v>22212</v>
      </c>
      <c r="D164" s="143">
        <v>10</v>
      </c>
      <c r="E164" s="151">
        <v>0.70740000000000003</v>
      </c>
      <c r="F164" s="151">
        <v>0.50460000000000005</v>
      </c>
      <c r="G164" s="271" t="str">
        <f t="shared" si="24"/>
        <v/>
      </c>
      <c r="I164" s="295">
        <f t="shared" si="25"/>
        <v>915</v>
      </c>
      <c r="J164" s="146">
        <f t="shared" si="21"/>
        <v>0.70740000000000003</v>
      </c>
      <c r="K164" s="146">
        <f t="shared" si="22"/>
        <v>0.50460000000000005</v>
      </c>
      <c r="P164" s="299">
        <v>915</v>
      </c>
      <c r="Q164" s="271">
        <v>22212</v>
      </c>
      <c r="R164" s="274" t="s">
        <v>2714</v>
      </c>
      <c r="S164" s="272">
        <v>0.70740000000000003</v>
      </c>
      <c r="T164" s="272">
        <v>0.50460000000000005</v>
      </c>
    </row>
    <row r="165" spans="1:20">
      <c r="A165" s="155" t="str">
        <f t="shared" si="23"/>
        <v>915_25991</v>
      </c>
      <c r="B165" s="298">
        <v>915</v>
      </c>
      <c r="C165" s="150">
        <v>25991</v>
      </c>
      <c r="D165" s="143">
        <v>10</v>
      </c>
      <c r="E165" s="151">
        <v>0.70740000000000003</v>
      </c>
      <c r="F165" s="151">
        <v>0.50460000000000005</v>
      </c>
      <c r="G165" s="271" t="str">
        <f t="shared" si="24"/>
        <v/>
      </c>
      <c r="I165" s="295">
        <f t="shared" si="25"/>
        <v>915</v>
      </c>
      <c r="J165" s="146">
        <f t="shared" si="21"/>
        <v>0.70740000000000003</v>
      </c>
      <c r="K165" s="146">
        <f t="shared" si="22"/>
        <v>0.50460000000000005</v>
      </c>
      <c r="P165" s="299">
        <v>915</v>
      </c>
      <c r="Q165" s="144">
        <v>25991</v>
      </c>
      <c r="R165" s="157" t="s">
        <v>1880</v>
      </c>
      <c r="S165" s="272">
        <v>0.70740000000000003</v>
      </c>
      <c r="T165" s="272">
        <v>0.50460000000000005</v>
      </c>
    </row>
    <row r="166" spans="1:20">
      <c r="A166" s="155" t="str">
        <f t="shared" si="23"/>
        <v>915_29192</v>
      </c>
      <c r="B166" s="298">
        <v>915</v>
      </c>
      <c r="C166" s="150">
        <v>29192</v>
      </c>
      <c r="D166" s="143">
        <v>10</v>
      </c>
      <c r="E166" s="151">
        <v>0.70740000000000003</v>
      </c>
      <c r="F166" s="151">
        <v>0.50460000000000005</v>
      </c>
      <c r="G166" s="271" t="str">
        <f t="shared" si="24"/>
        <v/>
      </c>
      <c r="I166" s="295">
        <f t="shared" si="25"/>
        <v>915</v>
      </c>
      <c r="J166" s="146">
        <f t="shared" si="21"/>
        <v>0.70740000000000003</v>
      </c>
      <c r="K166" s="146">
        <f t="shared" si="22"/>
        <v>0.50460000000000005</v>
      </c>
      <c r="P166" s="299">
        <v>915</v>
      </c>
      <c r="Q166" s="144">
        <v>29192</v>
      </c>
      <c r="R166" s="157" t="s">
        <v>1881</v>
      </c>
      <c r="S166" s="272">
        <v>0.70740000000000003</v>
      </c>
      <c r="T166" s="272">
        <v>0.50460000000000005</v>
      </c>
    </row>
    <row r="167" spans="1:20">
      <c r="A167" s="155" t="str">
        <f t="shared" si="23"/>
        <v>919_22251</v>
      </c>
      <c r="B167" s="298">
        <v>919</v>
      </c>
      <c r="C167" s="283">
        <v>22251</v>
      </c>
      <c r="D167" s="143">
        <v>5</v>
      </c>
      <c r="E167" s="151">
        <v>0.92249999999999999</v>
      </c>
      <c r="F167" s="151">
        <v>0.80379999999999996</v>
      </c>
      <c r="G167" s="271" t="str">
        <f t="shared" si="24"/>
        <v/>
      </c>
      <c r="I167" s="295">
        <f t="shared" si="25"/>
        <v>919</v>
      </c>
      <c r="J167" s="146">
        <f t="shared" si="21"/>
        <v>0.92249999999999999</v>
      </c>
      <c r="K167" s="146">
        <f t="shared" si="22"/>
        <v>0.80379999999999996</v>
      </c>
      <c r="P167" s="299">
        <v>919</v>
      </c>
      <c r="Q167" s="282">
        <v>22251</v>
      </c>
      <c r="R167" s="157" t="s">
        <v>2798</v>
      </c>
      <c r="S167" s="272">
        <v>0.92249999999999999</v>
      </c>
      <c r="T167" s="272">
        <v>0.80379999999999996</v>
      </c>
    </row>
    <row r="168" spans="1:20">
      <c r="A168" s="155" t="str">
        <f t="shared" si="23"/>
        <v>919_21102</v>
      </c>
      <c r="B168" s="298">
        <v>919</v>
      </c>
      <c r="C168" s="150">
        <v>21102</v>
      </c>
      <c r="D168" s="143">
        <v>5</v>
      </c>
      <c r="E168" s="151">
        <v>0.92249999999999999</v>
      </c>
      <c r="F168" s="151">
        <v>0.80379999999999996</v>
      </c>
      <c r="G168" s="271" t="str">
        <f t="shared" si="24"/>
        <v/>
      </c>
      <c r="I168" s="295">
        <f t="shared" si="25"/>
        <v>919</v>
      </c>
      <c r="J168" s="146">
        <f t="shared" si="21"/>
        <v>0.92249999999999999</v>
      </c>
      <c r="K168" s="146">
        <f t="shared" si="22"/>
        <v>0.80379999999999996</v>
      </c>
      <c r="P168" s="299">
        <v>919</v>
      </c>
      <c r="Q168" s="144">
        <v>21102</v>
      </c>
      <c r="R168" s="157" t="s">
        <v>1882</v>
      </c>
      <c r="S168" s="272">
        <v>0.92249999999999999</v>
      </c>
      <c r="T168" s="272">
        <v>0.80379999999999996</v>
      </c>
    </row>
    <row r="169" spans="1:20">
      <c r="A169" s="155" t="str">
        <f t="shared" si="23"/>
        <v>919_23221</v>
      </c>
      <c r="B169" s="298">
        <v>919</v>
      </c>
      <c r="C169" s="283">
        <v>23221</v>
      </c>
      <c r="D169" s="143">
        <v>5</v>
      </c>
      <c r="E169" s="151">
        <v>0.92249999999999999</v>
      </c>
      <c r="F169" s="151">
        <v>0.80379999999999996</v>
      </c>
      <c r="G169" s="271" t="str">
        <f t="shared" si="24"/>
        <v/>
      </c>
      <c r="I169" s="295">
        <f t="shared" si="25"/>
        <v>919</v>
      </c>
      <c r="J169" s="146">
        <f t="shared" si="21"/>
        <v>0.92249999999999999</v>
      </c>
      <c r="K169" s="146">
        <f t="shared" si="22"/>
        <v>0.80379999999999996</v>
      </c>
      <c r="P169" s="299">
        <v>919</v>
      </c>
      <c r="Q169" s="282">
        <v>23221</v>
      </c>
      <c r="R169" s="274" t="s">
        <v>2793</v>
      </c>
      <c r="S169" s="272">
        <v>0.92249999999999999</v>
      </c>
      <c r="T169" s="272">
        <v>0.80379999999999996</v>
      </c>
    </row>
    <row r="170" spans="1:20">
      <c r="A170" s="155" t="str">
        <f t="shared" si="23"/>
        <v>919_29171</v>
      </c>
      <c r="B170" s="298">
        <v>919</v>
      </c>
      <c r="C170" s="150">
        <v>29171</v>
      </c>
      <c r="D170" s="143">
        <v>5</v>
      </c>
      <c r="E170" s="151">
        <v>0.92249999999999999</v>
      </c>
      <c r="F170" s="151">
        <v>0.80379999999999996</v>
      </c>
      <c r="G170" s="271" t="str">
        <f t="shared" si="24"/>
        <v/>
      </c>
      <c r="I170" s="295">
        <f t="shared" si="25"/>
        <v>919</v>
      </c>
      <c r="J170" s="146">
        <f t="shared" si="21"/>
        <v>0.92249999999999999</v>
      </c>
      <c r="K170" s="146">
        <f t="shared" si="22"/>
        <v>0.80379999999999996</v>
      </c>
      <c r="P170" s="299">
        <v>919</v>
      </c>
      <c r="Q170" s="144">
        <v>29171</v>
      </c>
      <c r="R170" s="157" t="s">
        <v>1824</v>
      </c>
      <c r="S170" s="272">
        <v>0.92249999999999999</v>
      </c>
      <c r="T170" s="272">
        <v>0.80379999999999996</v>
      </c>
    </row>
    <row r="171" spans="1:20">
      <c r="A171" s="155" t="str">
        <f t="shared" si="23"/>
        <v>919_16291</v>
      </c>
      <c r="B171" s="286">
        <v>919</v>
      </c>
      <c r="C171" s="283">
        <v>16291</v>
      </c>
      <c r="D171" s="333">
        <v>3</v>
      </c>
      <c r="E171" s="151">
        <v>0.92249999999999999</v>
      </c>
      <c r="F171" s="151">
        <v>0.80379999999999996</v>
      </c>
      <c r="G171" s="271" t="str">
        <f t="shared" si="24"/>
        <v/>
      </c>
      <c r="I171" s="295">
        <f t="shared" si="25"/>
        <v>919</v>
      </c>
      <c r="J171" s="146">
        <f t="shared" ref="J171" si="26">E171</f>
        <v>0.92249999999999999</v>
      </c>
      <c r="K171" s="146">
        <f t="shared" ref="K171" si="27">F171</f>
        <v>0.80379999999999996</v>
      </c>
      <c r="P171" s="334">
        <v>919</v>
      </c>
      <c r="Q171" s="282">
        <v>16291</v>
      </c>
      <c r="R171" s="285" t="s">
        <v>2792</v>
      </c>
      <c r="S171" s="272">
        <v>0.92249999999999999</v>
      </c>
      <c r="T171" s="272">
        <v>0.80379999999999996</v>
      </c>
    </row>
    <row r="172" spans="1:20">
      <c r="A172" s="155" t="str">
        <f t="shared" si="23"/>
        <v>921_701</v>
      </c>
      <c r="B172" s="296">
        <v>921</v>
      </c>
      <c r="C172" s="152">
        <v>701</v>
      </c>
      <c r="D172" s="153">
        <v>1</v>
      </c>
      <c r="E172" s="154">
        <v>0.9637</v>
      </c>
      <c r="F172" s="154">
        <v>0.88500000000000001</v>
      </c>
      <c r="G172" s="271" t="str">
        <f t="shared" si="24"/>
        <v/>
      </c>
      <c r="I172" s="295">
        <f t="shared" si="25"/>
        <v>921</v>
      </c>
      <c r="J172" s="146">
        <f t="shared" si="21"/>
        <v>0.9637</v>
      </c>
      <c r="K172" s="146">
        <f t="shared" si="22"/>
        <v>0.88500000000000001</v>
      </c>
      <c r="P172" s="301">
        <v>921</v>
      </c>
      <c r="Q172" s="144">
        <v>701</v>
      </c>
      <c r="R172" s="157" t="s">
        <v>1862</v>
      </c>
      <c r="S172" s="272">
        <v>0.9637</v>
      </c>
      <c r="T172" s="272">
        <v>0.88500000000000001</v>
      </c>
    </row>
    <row r="173" spans="1:20">
      <c r="A173" s="155" t="str">
        <f t="shared" si="23"/>
        <v>922_62</v>
      </c>
      <c r="B173" s="298">
        <v>922</v>
      </c>
      <c r="C173" s="150">
        <v>62</v>
      </c>
      <c r="D173" s="143">
        <v>3</v>
      </c>
      <c r="E173" s="151">
        <v>0.8972</v>
      </c>
      <c r="F173" s="151">
        <v>0.67349999999999999</v>
      </c>
      <c r="G173" s="271" t="str">
        <f t="shared" si="24"/>
        <v/>
      </c>
      <c r="I173" s="295">
        <f t="shared" si="25"/>
        <v>922</v>
      </c>
      <c r="J173" s="146">
        <f t="shared" si="21"/>
        <v>0.8972</v>
      </c>
      <c r="K173" s="146">
        <f t="shared" si="22"/>
        <v>0.67349999999999999</v>
      </c>
      <c r="P173" s="299">
        <v>922</v>
      </c>
      <c r="Q173" s="282">
        <v>62</v>
      </c>
      <c r="R173" s="285" t="s">
        <v>2319</v>
      </c>
      <c r="S173" s="272">
        <v>0.8972</v>
      </c>
      <c r="T173" s="272">
        <v>0.67349999999999999</v>
      </c>
    </row>
    <row r="174" spans="1:20">
      <c r="A174" s="155" t="str">
        <f t="shared" si="23"/>
        <v>922_63</v>
      </c>
      <c r="B174" s="298">
        <v>922</v>
      </c>
      <c r="C174" s="150">
        <v>63</v>
      </c>
      <c r="D174" s="143">
        <v>3</v>
      </c>
      <c r="E174" s="151">
        <v>0.8972</v>
      </c>
      <c r="F174" s="151">
        <v>0.67349999999999999</v>
      </c>
      <c r="G174" s="271" t="str">
        <f t="shared" si="24"/>
        <v/>
      </c>
      <c r="I174" s="295">
        <f t="shared" si="25"/>
        <v>922</v>
      </c>
      <c r="J174" s="146">
        <f t="shared" si="21"/>
        <v>0.8972</v>
      </c>
      <c r="K174" s="146">
        <f t="shared" si="22"/>
        <v>0.67349999999999999</v>
      </c>
      <c r="P174" s="299">
        <v>922</v>
      </c>
      <c r="Q174" s="282">
        <v>63</v>
      </c>
      <c r="R174" s="285" t="s">
        <v>2720</v>
      </c>
      <c r="S174" s="272">
        <v>0.8972</v>
      </c>
      <c r="T174" s="272">
        <v>0.67349999999999999</v>
      </c>
    </row>
    <row r="175" spans="1:20">
      <c r="A175" s="155" t="str">
        <f t="shared" si="23"/>
        <v>922_5822</v>
      </c>
      <c r="B175" s="298">
        <v>922</v>
      </c>
      <c r="C175" s="150">
        <v>5822</v>
      </c>
      <c r="D175" s="143">
        <v>3</v>
      </c>
      <c r="E175" s="151">
        <v>0.8972</v>
      </c>
      <c r="F175" s="151">
        <v>0.67349999999999999</v>
      </c>
      <c r="G175" s="271" t="str">
        <f t="shared" si="24"/>
        <v/>
      </c>
      <c r="I175" s="295">
        <f t="shared" si="25"/>
        <v>922</v>
      </c>
      <c r="J175" s="146">
        <f t="shared" si="21"/>
        <v>0.8972</v>
      </c>
      <c r="K175" s="146">
        <f t="shared" si="22"/>
        <v>0.67349999999999999</v>
      </c>
      <c r="P175" s="299">
        <v>922</v>
      </c>
      <c r="Q175" s="282">
        <v>5822</v>
      </c>
      <c r="R175" s="285" t="s">
        <v>2722</v>
      </c>
      <c r="S175" s="272">
        <v>0.8972</v>
      </c>
      <c r="T175" s="272">
        <v>0.67349999999999999</v>
      </c>
    </row>
    <row r="176" spans="1:20">
      <c r="A176" s="155" t="str">
        <f t="shared" si="23"/>
        <v>923_7291</v>
      </c>
      <c r="B176" s="298">
        <v>923</v>
      </c>
      <c r="C176" s="150">
        <v>7291</v>
      </c>
      <c r="D176" s="143">
        <v>1</v>
      </c>
      <c r="E176" s="151">
        <v>0.87670000000000003</v>
      </c>
      <c r="F176" s="151">
        <v>0.6431</v>
      </c>
      <c r="G176" s="271" t="str">
        <f t="shared" si="24"/>
        <v/>
      </c>
      <c r="I176" s="295">
        <f t="shared" si="25"/>
        <v>923</v>
      </c>
      <c r="J176" s="146">
        <f t="shared" si="21"/>
        <v>0.87670000000000003</v>
      </c>
      <c r="K176" s="146">
        <f t="shared" si="22"/>
        <v>0.6431</v>
      </c>
      <c r="P176" s="299">
        <v>923</v>
      </c>
      <c r="Q176" s="144">
        <v>7291</v>
      </c>
      <c r="R176" s="157" t="s">
        <v>1831</v>
      </c>
      <c r="S176" s="272">
        <v>0.87670000000000003</v>
      </c>
      <c r="T176" s="272">
        <v>0.6431</v>
      </c>
    </row>
    <row r="177" spans="1:20">
      <c r="A177" s="155" t="str">
        <f t="shared" si="23"/>
        <v>924_37</v>
      </c>
      <c r="B177" s="298">
        <v>924</v>
      </c>
      <c r="C177" s="150">
        <v>37</v>
      </c>
      <c r="D177" s="143">
        <v>3</v>
      </c>
      <c r="E177" s="151">
        <v>0.72040000000000004</v>
      </c>
      <c r="F177" s="151">
        <v>0.4541</v>
      </c>
      <c r="G177" s="271" t="str">
        <f t="shared" si="24"/>
        <v/>
      </c>
      <c r="I177" s="295">
        <f t="shared" si="25"/>
        <v>924</v>
      </c>
      <c r="J177" s="146">
        <f t="shared" si="21"/>
        <v>0.72040000000000004</v>
      </c>
      <c r="K177" s="146">
        <f t="shared" si="22"/>
        <v>0.4541</v>
      </c>
      <c r="P177" s="299">
        <v>924</v>
      </c>
      <c r="Q177" s="282">
        <v>37</v>
      </c>
      <c r="R177" s="285" t="s">
        <v>2727</v>
      </c>
      <c r="S177" s="272">
        <v>0.72040000000000004</v>
      </c>
      <c r="T177" s="272">
        <v>0.4541</v>
      </c>
    </row>
    <row r="178" spans="1:20">
      <c r="A178" s="155" t="str">
        <f t="shared" si="23"/>
        <v>924_38</v>
      </c>
      <c r="B178" s="294">
        <v>924</v>
      </c>
      <c r="C178" s="143">
        <v>38</v>
      </c>
      <c r="D178" s="143">
        <v>3</v>
      </c>
      <c r="E178" s="279">
        <v>0.72040000000000004</v>
      </c>
      <c r="F178" s="279">
        <v>0.4541</v>
      </c>
      <c r="G178" s="271" t="str">
        <f t="shared" si="24"/>
        <v/>
      </c>
      <c r="I178" s="295">
        <f t="shared" si="25"/>
        <v>924</v>
      </c>
      <c r="J178" s="146">
        <f t="shared" si="21"/>
        <v>0.72040000000000004</v>
      </c>
      <c r="K178" s="146">
        <f t="shared" si="22"/>
        <v>0.4541</v>
      </c>
      <c r="P178" s="299">
        <v>924</v>
      </c>
      <c r="Q178" s="282">
        <v>38</v>
      </c>
      <c r="R178" s="285" t="s">
        <v>1828</v>
      </c>
      <c r="S178" s="272">
        <v>0.72040000000000004</v>
      </c>
      <c r="T178" s="272">
        <v>0.4541</v>
      </c>
    </row>
    <row r="179" spans="1:20">
      <c r="A179" s="155" t="str">
        <f t="shared" si="23"/>
        <v>924_39</v>
      </c>
      <c r="B179" s="294">
        <v>924</v>
      </c>
      <c r="C179" s="143">
        <v>39</v>
      </c>
      <c r="D179" s="143">
        <v>3</v>
      </c>
      <c r="E179" s="279">
        <v>0.72040000000000004</v>
      </c>
      <c r="F179" s="279">
        <v>0.4541</v>
      </c>
      <c r="G179" s="271" t="str">
        <f t="shared" si="24"/>
        <v/>
      </c>
      <c r="I179" s="295">
        <f t="shared" si="25"/>
        <v>924</v>
      </c>
      <c r="J179" s="146">
        <f t="shared" si="21"/>
        <v>0.72040000000000004</v>
      </c>
      <c r="K179" s="146">
        <f t="shared" si="22"/>
        <v>0.4541</v>
      </c>
      <c r="P179" s="299">
        <v>924</v>
      </c>
      <c r="Q179" s="282">
        <v>39</v>
      </c>
      <c r="R179" s="285" t="s">
        <v>2731</v>
      </c>
      <c r="S179" s="272">
        <v>0.72040000000000004</v>
      </c>
      <c r="T179" s="272">
        <v>0.4541</v>
      </c>
    </row>
    <row r="180" spans="1:20">
      <c r="A180" s="155" t="str">
        <f t="shared" si="23"/>
        <v>929_73909</v>
      </c>
      <c r="B180" s="294">
        <v>929</v>
      </c>
      <c r="C180" s="143">
        <v>73909</v>
      </c>
      <c r="D180" s="143">
        <v>1</v>
      </c>
      <c r="E180" s="279">
        <v>0.89410000000000001</v>
      </c>
      <c r="F180" s="279">
        <v>0.89400000000000002</v>
      </c>
      <c r="G180" s="271" t="str">
        <f t="shared" si="24"/>
        <v/>
      </c>
      <c r="I180" s="295">
        <f t="shared" si="25"/>
        <v>929</v>
      </c>
      <c r="J180" s="146">
        <f t="shared" si="21"/>
        <v>0.89410000000000001</v>
      </c>
      <c r="K180" s="146">
        <f t="shared" si="22"/>
        <v>0.89400000000000002</v>
      </c>
      <c r="P180" s="299">
        <v>929</v>
      </c>
      <c r="Q180" s="144">
        <v>73909</v>
      </c>
      <c r="R180" s="157" t="s">
        <v>1833</v>
      </c>
      <c r="S180" s="272">
        <v>0.89410000000000001</v>
      </c>
      <c r="T180" s="272">
        <v>0.89400000000000002</v>
      </c>
    </row>
  </sheetData>
  <autoFilter ref="A1:T180" xr:uid="{00000000-0009-0000-0000-000011000000}">
    <filterColumn colId="13" showButton="0"/>
  </autoFilter>
  <mergeCells count="1">
    <mergeCell ref="N1:O2"/>
  </mergeCells>
  <phoneticPr fontId="1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tabColor theme="1"/>
  </sheetPr>
  <dimension ref="A2:Z630"/>
  <sheetViews>
    <sheetView zoomScale="115" zoomScaleNormal="115" workbookViewId="0">
      <selection activeCell="E4" sqref="E4"/>
    </sheetView>
  </sheetViews>
  <sheetFormatPr defaultRowHeight="16.5"/>
  <cols>
    <col min="1" max="1" width="8.88671875" style="222"/>
    <col min="2" max="2" width="8.88671875" style="818"/>
    <col min="3" max="3" width="0" style="222" hidden="1" customWidth="1"/>
    <col min="4" max="13" width="8.88671875" style="222"/>
    <col min="14" max="14" width="8.88671875" style="222" hidden="1" customWidth="1"/>
    <col min="15" max="15" width="29.44140625" style="222" hidden="1" customWidth="1"/>
    <col min="16" max="16" width="8.88671875" style="818" hidden="1" customWidth="1"/>
    <col min="17" max="25" width="8.88671875" style="222" hidden="1" customWidth="1"/>
    <col min="26" max="27" width="8.88671875" style="222" customWidth="1"/>
    <col min="28" max="16384" width="8.88671875" style="222"/>
  </cols>
  <sheetData>
    <row r="2" spans="1:26">
      <c r="A2" s="815" t="s">
        <v>1660</v>
      </c>
      <c r="B2" s="816" t="s">
        <v>1140</v>
      </c>
      <c r="C2" s="817" t="s">
        <v>1661</v>
      </c>
      <c r="D2" s="817" t="s">
        <v>1141</v>
      </c>
      <c r="E2" s="817" t="s">
        <v>1466</v>
      </c>
      <c r="F2" s="817" t="s">
        <v>1142</v>
      </c>
      <c r="G2" s="817" t="s">
        <v>1662</v>
      </c>
      <c r="H2" s="817" t="s">
        <v>1663</v>
      </c>
      <c r="I2" s="817" t="s">
        <v>150</v>
      </c>
      <c r="J2" s="817" t="s">
        <v>151</v>
      </c>
      <c r="K2" s="817" t="s">
        <v>3241</v>
      </c>
      <c r="L2" s="817" t="s">
        <v>1145</v>
      </c>
      <c r="N2" s="222" t="s">
        <v>1660</v>
      </c>
      <c r="O2" s="222" t="s">
        <v>2697</v>
      </c>
      <c r="P2" s="818" t="s">
        <v>1140</v>
      </c>
      <c r="Q2" s="222" t="s">
        <v>1141</v>
      </c>
      <c r="R2" s="222" t="s">
        <v>1142</v>
      </c>
      <c r="S2" s="222" t="s">
        <v>1466</v>
      </c>
      <c r="T2" s="222" t="s">
        <v>1143</v>
      </c>
      <c r="U2" s="222" t="s">
        <v>1144</v>
      </c>
      <c r="V2" s="222" t="s">
        <v>150</v>
      </c>
      <c r="W2" s="222" t="s">
        <v>151</v>
      </c>
      <c r="X2" s="222" t="s">
        <v>2259</v>
      </c>
      <c r="Y2" s="222" t="s">
        <v>1145</v>
      </c>
      <c r="Z2" s="819" t="s">
        <v>2698</v>
      </c>
    </row>
    <row r="3" spans="1:26">
      <c r="A3" s="820" t="s">
        <v>230</v>
      </c>
      <c r="B3" s="821">
        <v>26386</v>
      </c>
      <c r="C3" s="822"/>
      <c r="D3" s="823">
        <v>10.57038</v>
      </c>
      <c r="E3" s="823">
        <v>6.7354500000000002</v>
      </c>
      <c r="F3" s="823">
        <v>45.366219999999998</v>
      </c>
      <c r="G3" s="823">
        <v>25</v>
      </c>
      <c r="H3" s="823">
        <v>1</v>
      </c>
      <c r="I3" s="823">
        <v>5</v>
      </c>
      <c r="J3" s="823">
        <v>16</v>
      </c>
      <c r="K3" s="823">
        <v>9</v>
      </c>
      <c r="L3" s="823">
        <v>3</v>
      </c>
      <c r="N3" s="222" t="s">
        <v>230</v>
      </c>
      <c r="O3" s="222" t="s">
        <v>1885</v>
      </c>
      <c r="P3" s="824">
        <v>26386</v>
      </c>
      <c r="Q3" s="824">
        <v>10.57038</v>
      </c>
      <c r="R3" s="824">
        <v>45.366219999999998</v>
      </c>
      <c r="S3" s="824">
        <v>6.7354500000000002</v>
      </c>
      <c r="T3" s="824">
        <v>25</v>
      </c>
      <c r="U3" s="824">
        <v>1</v>
      </c>
      <c r="V3" s="824">
        <v>5</v>
      </c>
      <c r="W3" s="824">
        <v>16</v>
      </c>
      <c r="X3" s="824">
        <v>9</v>
      </c>
      <c r="Y3" s="824">
        <v>3</v>
      </c>
      <c r="Z3" s="480" t="str">
        <f>IF(AND(A3=N3,B3=P3,D3=Q3,E3=S3,F3=R3,G3=T3,H3=U3,I3=V3,J3=W3,K3,X3,L3=Y3),"","x")</f>
        <v/>
      </c>
    </row>
    <row r="4" spans="1:26">
      <c r="A4" s="825" t="s">
        <v>231</v>
      </c>
      <c r="B4" s="826">
        <v>9319</v>
      </c>
      <c r="C4" s="827"/>
      <c r="D4" s="828">
        <v>10.819290000000001</v>
      </c>
      <c r="E4" s="828">
        <v>6.79183</v>
      </c>
      <c r="F4" s="828">
        <v>46.128959999999999</v>
      </c>
      <c r="G4" s="828">
        <v>25</v>
      </c>
      <c r="H4" s="828">
        <v>1</v>
      </c>
      <c r="I4" s="828">
        <v>5</v>
      </c>
      <c r="J4" s="828">
        <v>16</v>
      </c>
      <c r="K4" s="828">
        <v>10</v>
      </c>
      <c r="L4" s="828">
        <v>2</v>
      </c>
      <c r="N4" s="222" t="s">
        <v>231</v>
      </c>
      <c r="O4" s="222" t="s">
        <v>1886</v>
      </c>
      <c r="P4" s="824">
        <v>9319</v>
      </c>
      <c r="Q4" s="824">
        <v>10.819290000000001</v>
      </c>
      <c r="R4" s="824">
        <v>46.128959999999999</v>
      </c>
      <c r="S4" s="824">
        <v>6.79183</v>
      </c>
      <c r="T4" s="824">
        <v>25</v>
      </c>
      <c r="U4" s="824">
        <v>1</v>
      </c>
      <c r="V4" s="824">
        <v>5</v>
      </c>
      <c r="W4" s="824">
        <v>16</v>
      </c>
      <c r="X4" s="824">
        <v>10</v>
      </c>
      <c r="Y4" s="824">
        <v>2</v>
      </c>
      <c r="Z4" s="480" t="str">
        <f t="shared" ref="Z4:Z67" si="0">IF(AND(A4=N4,B4=P4,D4=Q4,E4=S4,F4=R4,G4=T4,H4=U4,I4=V4,J4=W4,K4,X4,L4=Y4),"","x")</f>
        <v/>
      </c>
    </row>
    <row r="5" spans="1:26">
      <c r="A5" s="825" t="s">
        <v>232</v>
      </c>
      <c r="B5" s="826">
        <v>41712</v>
      </c>
      <c r="C5" s="827"/>
      <c r="D5" s="828">
        <v>11.227460000000001</v>
      </c>
      <c r="E5" s="828">
        <v>7.1672700000000003</v>
      </c>
      <c r="F5" s="828">
        <v>51.369799999999998</v>
      </c>
      <c r="G5" s="828">
        <v>27</v>
      </c>
      <c r="H5" s="828">
        <v>1</v>
      </c>
      <c r="I5" s="828">
        <v>5</v>
      </c>
      <c r="J5" s="828">
        <v>16</v>
      </c>
      <c r="K5" s="828">
        <v>10</v>
      </c>
      <c r="L5" s="828">
        <v>4</v>
      </c>
      <c r="N5" s="222" t="s">
        <v>232</v>
      </c>
      <c r="O5" s="222" t="s">
        <v>233</v>
      </c>
      <c r="P5" s="824">
        <v>41712</v>
      </c>
      <c r="Q5" s="824">
        <v>11.227460000000001</v>
      </c>
      <c r="R5" s="824">
        <v>51.369799999999998</v>
      </c>
      <c r="S5" s="824">
        <v>7.1672700000000003</v>
      </c>
      <c r="T5" s="824">
        <v>27</v>
      </c>
      <c r="U5" s="824">
        <v>1</v>
      </c>
      <c r="V5" s="824">
        <v>5</v>
      </c>
      <c r="W5" s="824">
        <v>16</v>
      </c>
      <c r="X5" s="824">
        <v>10</v>
      </c>
      <c r="Y5" s="824">
        <v>4</v>
      </c>
      <c r="Z5" s="480" t="str">
        <f t="shared" si="0"/>
        <v/>
      </c>
    </row>
    <row r="6" spans="1:26">
      <c r="A6" s="825" t="s">
        <v>234</v>
      </c>
      <c r="B6" s="826">
        <v>7925</v>
      </c>
      <c r="C6" s="827"/>
      <c r="D6" s="828">
        <v>10.479369999999999</v>
      </c>
      <c r="E6" s="828">
        <v>6.8284700000000003</v>
      </c>
      <c r="F6" s="828">
        <v>46.627949999999998</v>
      </c>
      <c r="G6" s="828">
        <v>26</v>
      </c>
      <c r="H6" s="828">
        <v>1</v>
      </c>
      <c r="I6" s="828">
        <v>5</v>
      </c>
      <c r="J6" s="828">
        <v>15</v>
      </c>
      <c r="K6" s="828">
        <v>9</v>
      </c>
      <c r="L6" s="828">
        <v>4</v>
      </c>
      <c r="N6" s="222" t="s">
        <v>234</v>
      </c>
      <c r="O6" s="222" t="s">
        <v>1887</v>
      </c>
      <c r="P6" s="824">
        <v>7925</v>
      </c>
      <c r="Q6" s="824">
        <v>10.479369999999999</v>
      </c>
      <c r="R6" s="824">
        <v>46.627949999999998</v>
      </c>
      <c r="S6" s="824">
        <v>6.8284700000000003</v>
      </c>
      <c r="T6" s="824">
        <v>26</v>
      </c>
      <c r="U6" s="824">
        <v>1</v>
      </c>
      <c r="V6" s="824">
        <v>5</v>
      </c>
      <c r="W6" s="824">
        <v>15</v>
      </c>
      <c r="X6" s="824">
        <v>9</v>
      </c>
      <c r="Y6" s="824">
        <v>4</v>
      </c>
      <c r="Z6" s="480" t="str">
        <f t="shared" si="0"/>
        <v/>
      </c>
    </row>
    <row r="7" spans="1:26">
      <c r="A7" s="825" t="s">
        <v>226</v>
      </c>
      <c r="B7" s="826">
        <v>32297</v>
      </c>
      <c r="C7" s="827"/>
      <c r="D7" s="828">
        <v>10.968819999999999</v>
      </c>
      <c r="E7" s="828">
        <v>6.9580000000000002</v>
      </c>
      <c r="F7" s="828">
        <v>48.413719999999998</v>
      </c>
      <c r="G7" s="828">
        <v>26</v>
      </c>
      <c r="H7" s="828">
        <v>1</v>
      </c>
      <c r="I7" s="828">
        <v>5</v>
      </c>
      <c r="J7" s="828">
        <v>16</v>
      </c>
      <c r="K7" s="828">
        <v>10</v>
      </c>
      <c r="L7" s="828">
        <v>3</v>
      </c>
      <c r="N7" s="222" t="s">
        <v>226</v>
      </c>
      <c r="O7" s="222" t="s">
        <v>1888</v>
      </c>
      <c r="P7" s="824">
        <v>32297</v>
      </c>
      <c r="Q7" s="824">
        <v>10.968819999999999</v>
      </c>
      <c r="R7" s="824">
        <v>48.413719999999998</v>
      </c>
      <c r="S7" s="824">
        <v>6.9580000000000002</v>
      </c>
      <c r="T7" s="824">
        <v>26</v>
      </c>
      <c r="U7" s="824">
        <v>1</v>
      </c>
      <c r="V7" s="824">
        <v>5</v>
      </c>
      <c r="W7" s="824">
        <v>16</v>
      </c>
      <c r="X7" s="824">
        <v>10</v>
      </c>
      <c r="Y7" s="824">
        <v>3</v>
      </c>
      <c r="Z7" s="480" t="str">
        <f t="shared" si="0"/>
        <v/>
      </c>
    </row>
    <row r="8" spans="1:26">
      <c r="A8" s="825" t="s">
        <v>235</v>
      </c>
      <c r="B8" s="826">
        <v>14114</v>
      </c>
      <c r="C8" s="827"/>
      <c r="D8" s="828">
        <v>6.4909299999999996</v>
      </c>
      <c r="E8" s="828">
        <v>5.1242299999999998</v>
      </c>
      <c r="F8" s="828">
        <v>26.257729999999999</v>
      </c>
      <c r="G8" s="828">
        <v>49</v>
      </c>
      <c r="H8" s="828">
        <v>1</v>
      </c>
      <c r="I8" s="828">
        <v>3</v>
      </c>
      <c r="J8" s="828">
        <v>9</v>
      </c>
      <c r="K8" s="828">
        <v>5</v>
      </c>
      <c r="L8" s="828">
        <v>3</v>
      </c>
      <c r="N8" s="222" t="s">
        <v>235</v>
      </c>
      <c r="O8" s="222" t="s">
        <v>1889</v>
      </c>
      <c r="P8" s="824">
        <v>14114</v>
      </c>
      <c r="Q8" s="824">
        <v>6.4909299999999996</v>
      </c>
      <c r="R8" s="824">
        <v>26.257729999999999</v>
      </c>
      <c r="S8" s="824">
        <v>5.1242299999999998</v>
      </c>
      <c r="T8" s="824">
        <v>49</v>
      </c>
      <c r="U8" s="824">
        <v>1</v>
      </c>
      <c r="V8" s="824">
        <v>3</v>
      </c>
      <c r="W8" s="824">
        <v>9</v>
      </c>
      <c r="X8" s="824">
        <v>5</v>
      </c>
      <c r="Y8" s="824">
        <v>3</v>
      </c>
      <c r="Z8" s="480" t="str">
        <f t="shared" si="0"/>
        <v/>
      </c>
    </row>
    <row r="9" spans="1:26">
      <c r="A9" s="825" t="s">
        <v>236</v>
      </c>
      <c r="B9" s="826">
        <v>5321</v>
      </c>
      <c r="C9" s="827"/>
      <c r="D9" s="828">
        <v>10.22176</v>
      </c>
      <c r="E9" s="828">
        <v>6.3328499999999996</v>
      </c>
      <c r="F9" s="828">
        <v>40.104950000000002</v>
      </c>
      <c r="G9" s="828">
        <v>24</v>
      </c>
      <c r="H9" s="828">
        <v>1</v>
      </c>
      <c r="I9" s="828">
        <v>5</v>
      </c>
      <c r="J9" s="828">
        <v>15</v>
      </c>
      <c r="K9" s="828">
        <v>9</v>
      </c>
      <c r="L9" s="828">
        <v>2</v>
      </c>
      <c r="N9" s="222" t="s">
        <v>236</v>
      </c>
      <c r="O9" s="222" t="s">
        <v>1890</v>
      </c>
      <c r="P9" s="824">
        <v>5321</v>
      </c>
      <c r="Q9" s="824">
        <v>10.22176</v>
      </c>
      <c r="R9" s="824">
        <v>40.104950000000002</v>
      </c>
      <c r="S9" s="824">
        <v>6.3328499999999996</v>
      </c>
      <c r="T9" s="824">
        <v>24</v>
      </c>
      <c r="U9" s="824">
        <v>1</v>
      </c>
      <c r="V9" s="824">
        <v>5</v>
      </c>
      <c r="W9" s="824">
        <v>15</v>
      </c>
      <c r="X9" s="824">
        <v>9</v>
      </c>
      <c r="Y9" s="824">
        <v>2</v>
      </c>
      <c r="Z9" s="480" t="str">
        <f t="shared" si="0"/>
        <v/>
      </c>
    </row>
    <row r="10" spans="1:26">
      <c r="A10" s="825" t="s">
        <v>237</v>
      </c>
      <c r="B10" s="826">
        <v>122969</v>
      </c>
      <c r="C10" s="827"/>
      <c r="D10" s="828">
        <v>11.70783</v>
      </c>
      <c r="E10" s="828">
        <v>7.4485599999999996</v>
      </c>
      <c r="F10" s="828">
        <v>55.48104</v>
      </c>
      <c r="G10" s="828">
        <v>28</v>
      </c>
      <c r="H10" s="828">
        <v>1</v>
      </c>
      <c r="I10" s="828">
        <v>5</v>
      </c>
      <c r="J10" s="828">
        <v>17</v>
      </c>
      <c r="K10" s="828">
        <v>11</v>
      </c>
      <c r="L10" s="828">
        <v>3</v>
      </c>
      <c r="N10" s="222" t="s">
        <v>237</v>
      </c>
      <c r="O10" s="222" t="s">
        <v>238</v>
      </c>
      <c r="P10" s="824">
        <v>122969</v>
      </c>
      <c r="Q10" s="824">
        <v>11.70783</v>
      </c>
      <c r="R10" s="824">
        <v>55.48104</v>
      </c>
      <c r="S10" s="824">
        <v>7.4485599999999996</v>
      </c>
      <c r="T10" s="824">
        <v>28</v>
      </c>
      <c r="U10" s="824">
        <v>1</v>
      </c>
      <c r="V10" s="824">
        <v>5</v>
      </c>
      <c r="W10" s="824">
        <v>17</v>
      </c>
      <c r="X10" s="824">
        <v>11</v>
      </c>
      <c r="Y10" s="824">
        <v>3</v>
      </c>
      <c r="Z10" s="480" t="str">
        <f t="shared" si="0"/>
        <v/>
      </c>
    </row>
    <row r="11" spans="1:26">
      <c r="A11" s="825" t="s">
        <v>239</v>
      </c>
      <c r="B11" s="826">
        <v>818</v>
      </c>
      <c r="C11" s="827"/>
      <c r="D11" s="828">
        <v>10.694380000000001</v>
      </c>
      <c r="E11" s="828">
        <v>6.5589899999999997</v>
      </c>
      <c r="F11" s="828">
        <v>43.020310000000002</v>
      </c>
      <c r="G11" s="828">
        <v>24</v>
      </c>
      <c r="H11" s="828">
        <v>1</v>
      </c>
      <c r="I11" s="828">
        <v>5</v>
      </c>
      <c r="J11" s="828">
        <v>16</v>
      </c>
      <c r="K11" s="828">
        <v>10</v>
      </c>
      <c r="L11" s="828">
        <v>4</v>
      </c>
      <c r="N11" s="222" t="s">
        <v>239</v>
      </c>
      <c r="O11" s="222" t="s">
        <v>1891</v>
      </c>
      <c r="P11" s="824">
        <v>818</v>
      </c>
      <c r="Q11" s="824">
        <v>10.694380000000001</v>
      </c>
      <c r="R11" s="824">
        <v>43.020310000000002</v>
      </c>
      <c r="S11" s="824">
        <v>6.5589899999999997</v>
      </c>
      <c r="T11" s="824">
        <v>24</v>
      </c>
      <c r="U11" s="824">
        <v>1</v>
      </c>
      <c r="V11" s="824">
        <v>5</v>
      </c>
      <c r="W11" s="824">
        <v>16</v>
      </c>
      <c r="X11" s="824">
        <v>10</v>
      </c>
      <c r="Y11" s="824">
        <v>4</v>
      </c>
      <c r="Z11" s="480" t="str">
        <f t="shared" si="0"/>
        <v/>
      </c>
    </row>
    <row r="12" spans="1:26">
      <c r="A12" s="825" t="s">
        <v>240</v>
      </c>
      <c r="B12" s="826">
        <v>30502</v>
      </c>
      <c r="C12" s="827"/>
      <c r="D12" s="828">
        <v>10.853389999999999</v>
      </c>
      <c r="E12" s="828">
        <v>6.9379999999999997</v>
      </c>
      <c r="F12" s="828">
        <v>48.13588</v>
      </c>
      <c r="G12" s="828">
        <v>26</v>
      </c>
      <c r="H12" s="828">
        <v>1</v>
      </c>
      <c r="I12" s="828">
        <v>5</v>
      </c>
      <c r="J12" s="828">
        <v>16</v>
      </c>
      <c r="K12" s="828">
        <v>10</v>
      </c>
      <c r="L12" s="828">
        <v>2</v>
      </c>
      <c r="N12" s="222" t="s">
        <v>240</v>
      </c>
      <c r="O12" s="222" t="s">
        <v>1892</v>
      </c>
      <c r="P12" s="824">
        <v>30502</v>
      </c>
      <c r="Q12" s="824">
        <v>10.853389999999999</v>
      </c>
      <c r="R12" s="824">
        <v>48.13588</v>
      </c>
      <c r="S12" s="824">
        <v>6.9379999999999997</v>
      </c>
      <c r="T12" s="824">
        <v>26</v>
      </c>
      <c r="U12" s="824">
        <v>1</v>
      </c>
      <c r="V12" s="824">
        <v>5</v>
      </c>
      <c r="W12" s="824">
        <v>16</v>
      </c>
      <c r="X12" s="824">
        <v>10</v>
      </c>
      <c r="Y12" s="824">
        <v>2</v>
      </c>
      <c r="Z12" s="480" t="str">
        <f t="shared" si="0"/>
        <v/>
      </c>
    </row>
    <row r="13" spans="1:26">
      <c r="A13" s="825" t="s">
        <v>241</v>
      </c>
      <c r="B13" s="826">
        <v>36886</v>
      </c>
      <c r="C13" s="827"/>
      <c r="D13" s="828">
        <v>11.0771</v>
      </c>
      <c r="E13" s="828">
        <v>8.6693599999999993</v>
      </c>
      <c r="F13" s="828">
        <v>75.157889999999995</v>
      </c>
      <c r="G13" s="828">
        <v>55</v>
      </c>
      <c r="H13" s="828">
        <v>1</v>
      </c>
      <c r="I13" s="828">
        <v>5</v>
      </c>
      <c r="J13" s="828">
        <v>15</v>
      </c>
      <c r="K13" s="828">
        <v>9</v>
      </c>
      <c r="L13" s="828">
        <v>3</v>
      </c>
      <c r="N13" s="222" t="s">
        <v>241</v>
      </c>
      <c r="O13" s="222" t="s">
        <v>1893</v>
      </c>
      <c r="P13" s="824">
        <v>36886</v>
      </c>
      <c r="Q13" s="824">
        <v>11.0771</v>
      </c>
      <c r="R13" s="824">
        <v>75.157889999999995</v>
      </c>
      <c r="S13" s="824">
        <v>8.6693599999999993</v>
      </c>
      <c r="T13" s="824">
        <v>55</v>
      </c>
      <c r="U13" s="824">
        <v>1</v>
      </c>
      <c r="V13" s="824">
        <v>5</v>
      </c>
      <c r="W13" s="824">
        <v>15</v>
      </c>
      <c r="X13" s="824">
        <v>9</v>
      </c>
      <c r="Y13" s="824">
        <v>3</v>
      </c>
      <c r="Z13" s="480" t="str">
        <f t="shared" si="0"/>
        <v/>
      </c>
    </row>
    <row r="14" spans="1:26">
      <c r="A14" s="825" t="s">
        <v>242</v>
      </c>
      <c r="B14" s="826">
        <v>55</v>
      </c>
      <c r="C14" s="829"/>
      <c r="D14" s="828">
        <v>15.14545</v>
      </c>
      <c r="E14" s="828">
        <v>7.4297199999999997</v>
      </c>
      <c r="F14" s="828">
        <v>55.200670000000002</v>
      </c>
      <c r="G14" s="828">
        <v>28</v>
      </c>
      <c r="H14" s="828">
        <v>1</v>
      </c>
      <c r="I14" s="828">
        <v>9</v>
      </c>
      <c r="J14" s="828">
        <v>21</v>
      </c>
      <c r="K14" s="828">
        <v>15</v>
      </c>
      <c r="L14" s="828">
        <v>16</v>
      </c>
      <c r="N14" s="222" t="s">
        <v>242</v>
      </c>
      <c r="O14" s="222" t="s">
        <v>1894</v>
      </c>
      <c r="P14" s="824">
        <v>55</v>
      </c>
      <c r="Q14" s="824">
        <v>15.14545</v>
      </c>
      <c r="R14" s="824">
        <v>55.200670000000002</v>
      </c>
      <c r="S14" s="824">
        <v>7.4297199999999997</v>
      </c>
      <c r="T14" s="824">
        <v>28</v>
      </c>
      <c r="U14" s="824">
        <v>1</v>
      </c>
      <c r="V14" s="824">
        <v>9</v>
      </c>
      <c r="W14" s="824">
        <v>21</v>
      </c>
      <c r="X14" s="824">
        <v>15</v>
      </c>
      <c r="Y14" s="824">
        <v>16</v>
      </c>
      <c r="Z14" s="480" t="str">
        <f t="shared" si="0"/>
        <v/>
      </c>
    </row>
    <row r="15" spans="1:26">
      <c r="A15" s="825" t="s">
        <v>243</v>
      </c>
      <c r="B15" s="826">
        <v>6327</v>
      </c>
      <c r="C15" s="829"/>
      <c r="D15" s="828">
        <v>10.22096</v>
      </c>
      <c r="E15" s="828">
        <v>6.2143800000000002</v>
      </c>
      <c r="F15" s="828">
        <v>38.618569999999998</v>
      </c>
      <c r="G15" s="828">
        <v>24</v>
      </c>
      <c r="H15" s="828">
        <v>1</v>
      </c>
      <c r="I15" s="828">
        <v>5</v>
      </c>
      <c r="J15" s="828">
        <v>15</v>
      </c>
      <c r="K15" s="828">
        <v>9</v>
      </c>
      <c r="L15" s="828">
        <v>4</v>
      </c>
      <c r="N15" s="222" t="s">
        <v>243</v>
      </c>
      <c r="O15" s="222" t="s">
        <v>1895</v>
      </c>
      <c r="P15" s="824">
        <v>6327</v>
      </c>
      <c r="Q15" s="824">
        <v>10.22096</v>
      </c>
      <c r="R15" s="824">
        <v>38.618569999999998</v>
      </c>
      <c r="S15" s="824">
        <v>6.2143800000000002</v>
      </c>
      <c r="T15" s="824">
        <v>24</v>
      </c>
      <c r="U15" s="824">
        <v>1</v>
      </c>
      <c r="V15" s="824">
        <v>5</v>
      </c>
      <c r="W15" s="824">
        <v>15</v>
      </c>
      <c r="X15" s="824">
        <v>9</v>
      </c>
      <c r="Y15" s="824">
        <v>4</v>
      </c>
      <c r="Z15" s="480" t="str">
        <f t="shared" si="0"/>
        <v/>
      </c>
    </row>
    <row r="16" spans="1:26">
      <c r="A16" s="825" t="s">
        <v>244</v>
      </c>
      <c r="B16" s="826">
        <v>8561</v>
      </c>
      <c r="C16" s="829"/>
      <c r="D16" s="828">
        <v>11.202310000000001</v>
      </c>
      <c r="E16" s="828">
        <v>6.7984</v>
      </c>
      <c r="F16" s="828">
        <v>46.218179999999997</v>
      </c>
      <c r="G16" s="828">
        <v>25</v>
      </c>
      <c r="H16" s="828">
        <v>1</v>
      </c>
      <c r="I16" s="828">
        <v>5</v>
      </c>
      <c r="J16" s="828">
        <v>16</v>
      </c>
      <c r="K16" s="828">
        <v>10</v>
      </c>
      <c r="L16" s="828">
        <v>3</v>
      </c>
      <c r="N16" s="222" t="s">
        <v>244</v>
      </c>
      <c r="O16" s="222" t="s">
        <v>1896</v>
      </c>
      <c r="P16" s="824">
        <v>8561</v>
      </c>
      <c r="Q16" s="824">
        <v>11.202310000000001</v>
      </c>
      <c r="R16" s="824">
        <v>46.218179999999997</v>
      </c>
      <c r="S16" s="824">
        <v>6.7984</v>
      </c>
      <c r="T16" s="824">
        <v>25</v>
      </c>
      <c r="U16" s="824">
        <v>1</v>
      </c>
      <c r="V16" s="824">
        <v>5</v>
      </c>
      <c r="W16" s="824">
        <v>16</v>
      </c>
      <c r="X16" s="824">
        <v>10</v>
      </c>
      <c r="Y16" s="824">
        <v>3</v>
      </c>
      <c r="Z16" s="480" t="str">
        <f t="shared" si="0"/>
        <v/>
      </c>
    </row>
    <row r="17" spans="1:26">
      <c r="A17" s="825" t="s">
        <v>245</v>
      </c>
      <c r="B17" s="826">
        <v>5406</v>
      </c>
      <c r="C17" s="829"/>
      <c r="D17" s="828">
        <v>9.1037700000000008</v>
      </c>
      <c r="E17" s="828">
        <v>5.4390000000000001</v>
      </c>
      <c r="F17" s="828">
        <v>29.582750000000001</v>
      </c>
      <c r="G17" s="828">
        <v>21</v>
      </c>
      <c r="H17" s="828">
        <v>1</v>
      </c>
      <c r="I17" s="828">
        <v>4</v>
      </c>
      <c r="J17" s="828">
        <v>13</v>
      </c>
      <c r="K17" s="828">
        <v>8</v>
      </c>
      <c r="L17" s="828">
        <v>3</v>
      </c>
      <c r="N17" s="222" t="s">
        <v>245</v>
      </c>
      <c r="O17" s="222" t="s">
        <v>1897</v>
      </c>
      <c r="P17" s="824">
        <v>5406</v>
      </c>
      <c r="Q17" s="824">
        <v>9.1037700000000008</v>
      </c>
      <c r="R17" s="824">
        <v>29.582750000000001</v>
      </c>
      <c r="S17" s="824">
        <v>5.4390000000000001</v>
      </c>
      <c r="T17" s="824">
        <v>21</v>
      </c>
      <c r="U17" s="824">
        <v>1</v>
      </c>
      <c r="V17" s="824">
        <v>4</v>
      </c>
      <c r="W17" s="824">
        <v>13</v>
      </c>
      <c r="X17" s="824">
        <v>8</v>
      </c>
      <c r="Y17" s="824">
        <v>3</v>
      </c>
      <c r="Z17" s="480" t="str">
        <f t="shared" si="0"/>
        <v/>
      </c>
    </row>
    <row r="18" spans="1:26">
      <c r="A18" s="825" t="s">
        <v>246</v>
      </c>
      <c r="B18" s="826">
        <v>3310</v>
      </c>
      <c r="C18" s="827"/>
      <c r="D18" s="828">
        <v>9.8096700000000006</v>
      </c>
      <c r="E18" s="828">
        <v>6.1920500000000001</v>
      </c>
      <c r="F18" s="828">
        <v>38.341520000000003</v>
      </c>
      <c r="G18" s="828">
        <v>23</v>
      </c>
      <c r="H18" s="828">
        <v>1</v>
      </c>
      <c r="I18" s="828">
        <v>4</v>
      </c>
      <c r="J18" s="828">
        <v>15</v>
      </c>
      <c r="K18" s="828">
        <v>9</v>
      </c>
      <c r="L18" s="828">
        <v>2</v>
      </c>
      <c r="N18" s="222" t="s">
        <v>246</v>
      </c>
      <c r="O18" s="222" t="s">
        <v>247</v>
      </c>
      <c r="P18" s="824">
        <v>3310</v>
      </c>
      <c r="Q18" s="824">
        <v>9.8096700000000006</v>
      </c>
      <c r="R18" s="824">
        <v>38.341520000000003</v>
      </c>
      <c r="S18" s="824">
        <v>6.1920500000000001</v>
      </c>
      <c r="T18" s="824">
        <v>23</v>
      </c>
      <c r="U18" s="824">
        <v>1</v>
      </c>
      <c r="V18" s="824">
        <v>4</v>
      </c>
      <c r="W18" s="824">
        <v>15</v>
      </c>
      <c r="X18" s="824">
        <v>9</v>
      </c>
      <c r="Y18" s="824">
        <v>2</v>
      </c>
      <c r="Z18" s="480" t="str">
        <f t="shared" si="0"/>
        <v/>
      </c>
    </row>
    <row r="19" spans="1:26">
      <c r="A19" s="825" t="s">
        <v>248</v>
      </c>
      <c r="B19" s="826">
        <v>14906</v>
      </c>
      <c r="C19" s="827"/>
      <c r="D19" s="828">
        <v>10.453239999999999</v>
      </c>
      <c r="E19" s="828">
        <v>6.4572700000000003</v>
      </c>
      <c r="F19" s="828">
        <v>41.696339999999999</v>
      </c>
      <c r="G19" s="828">
        <v>24</v>
      </c>
      <c r="H19" s="828">
        <v>1</v>
      </c>
      <c r="I19" s="828">
        <v>5</v>
      </c>
      <c r="J19" s="828">
        <v>16</v>
      </c>
      <c r="K19" s="828">
        <v>9</v>
      </c>
      <c r="L19" s="828">
        <v>3</v>
      </c>
      <c r="N19" s="222" t="s">
        <v>248</v>
      </c>
      <c r="O19" s="222" t="s">
        <v>1898</v>
      </c>
      <c r="P19" s="824">
        <v>14906</v>
      </c>
      <c r="Q19" s="824">
        <v>10.453239999999999</v>
      </c>
      <c r="R19" s="824">
        <v>41.696339999999999</v>
      </c>
      <c r="S19" s="824">
        <v>6.4572700000000003</v>
      </c>
      <c r="T19" s="824">
        <v>24</v>
      </c>
      <c r="U19" s="824">
        <v>1</v>
      </c>
      <c r="V19" s="824">
        <v>5</v>
      </c>
      <c r="W19" s="824">
        <v>16</v>
      </c>
      <c r="X19" s="824">
        <v>9</v>
      </c>
      <c r="Y19" s="824">
        <v>3</v>
      </c>
      <c r="Z19" s="480" t="str">
        <f t="shared" si="0"/>
        <v/>
      </c>
    </row>
    <row r="20" spans="1:26">
      <c r="A20" s="825" t="s">
        <v>249</v>
      </c>
      <c r="B20" s="826">
        <v>7157</v>
      </c>
      <c r="C20" s="827"/>
      <c r="D20" s="828">
        <v>10.437889999999999</v>
      </c>
      <c r="E20" s="828">
        <v>6.0802800000000001</v>
      </c>
      <c r="F20" s="828">
        <v>36.969769999999997</v>
      </c>
      <c r="G20" s="828">
        <v>23</v>
      </c>
      <c r="H20" s="828">
        <v>1</v>
      </c>
      <c r="I20" s="828">
        <v>5</v>
      </c>
      <c r="J20" s="828">
        <v>15</v>
      </c>
      <c r="K20" s="828">
        <v>10</v>
      </c>
      <c r="L20" s="828">
        <v>4</v>
      </c>
      <c r="N20" s="222" t="s">
        <v>249</v>
      </c>
      <c r="O20" s="222" t="s">
        <v>250</v>
      </c>
      <c r="P20" s="824">
        <v>7157</v>
      </c>
      <c r="Q20" s="824">
        <v>10.437889999999999</v>
      </c>
      <c r="R20" s="824">
        <v>36.969769999999997</v>
      </c>
      <c r="S20" s="824">
        <v>6.0802800000000001</v>
      </c>
      <c r="T20" s="824">
        <v>23</v>
      </c>
      <c r="U20" s="824">
        <v>1</v>
      </c>
      <c r="V20" s="824">
        <v>5</v>
      </c>
      <c r="W20" s="824">
        <v>15</v>
      </c>
      <c r="X20" s="824">
        <v>10</v>
      </c>
      <c r="Y20" s="824">
        <v>4</v>
      </c>
      <c r="Z20" s="480" t="str">
        <f t="shared" si="0"/>
        <v/>
      </c>
    </row>
    <row r="21" spans="1:26">
      <c r="A21" s="825" t="s">
        <v>251</v>
      </c>
      <c r="B21" s="826">
        <v>5153</v>
      </c>
      <c r="C21" s="827"/>
      <c r="D21" s="828">
        <v>9.3953000000000007</v>
      </c>
      <c r="E21" s="828">
        <v>5.7739500000000001</v>
      </c>
      <c r="F21" s="828">
        <v>33.338459999999998</v>
      </c>
      <c r="G21" s="828">
        <v>22</v>
      </c>
      <c r="H21" s="828">
        <v>1</v>
      </c>
      <c r="I21" s="828">
        <v>5</v>
      </c>
      <c r="J21" s="828">
        <v>14</v>
      </c>
      <c r="K21" s="828">
        <v>8</v>
      </c>
      <c r="L21" s="828">
        <v>3</v>
      </c>
      <c r="N21" s="222" t="s">
        <v>251</v>
      </c>
      <c r="O21" s="222" t="s">
        <v>1899</v>
      </c>
      <c r="P21" s="824">
        <v>5153</v>
      </c>
      <c r="Q21" s="824">
        <v>9.3953000000000007</v>
      </c>
      <c r="R21" s="824">
        <v>33.338459999999998</v>
      </c>
      <c r="S21" s="824">
        <v>5.7739500000000001</v>
      </c>
      <c r="T21" s="824">
        <v>22</v>
      </c>
      <c r="U21" s="824">
        <v>1</v>
      </c>
      <c r="V21" s="824">
        <v>5</v>
      </c>
      <c r="W21" s="824">
        <v>14</v>
      </c>
      <c r="X21" s="824">
        <v>8</v>
      </c>
      <c r="Y21" s="824">
        <v>3</v>
      </c>
      <c r="Z21" s="480" t="str">
        <f t="shared" si="0"/>
        <v/>
      </c>
    </row>
    <row r="22" spans="1:26">
      <c r="A22" s="825" t="s">
        <v>252</v>
      </c>
      <c r="B22" s="826">
        <v>3293</v>
      </c>
      <c r="C22" s="827"/>
      <c r="D22" s="828">
        <v>8.8906799999999997</v>
      </c>
      <c r="E22" s="828">
        <v>5.5425700000000004</v>
      </c>
      <c r="F22" s="828">
        <v>30.720120000000001</v>
      </c>
      <c r="G22" s="828">
        <v>21</v>
      </c>
      <c r="H22" s="828">
        <v>1</v>
      </c>
      <c r="I22" s="828">
        <v>4</v>
      </c>
      <c r="J22" s="828">
        <v>13</v>
      </c>
      <c r="K22" s="828">
        <v>8</v>
      </c>
      <c r="L22" s="828">
        <v>2</v>
      </c>
      <c r="N22" s="222" t="s">
        <v>252</v>
      </c>
      <c r="O22" s="222" t="s">
        <v>1900</v>
      </c>
      <c r="P22" s="824">
        <v>3293</v>
      </c>
      <c r="Q22" s="824">
        <v>8.8906799999999997</v>
      </c>
      <c r="R22" s="824">
        <v>30.720120000000001</v>
      </c>
      <c r="S22" s="824">
        <v>5.5425700000000004</v>
      </c>
      <c r="T22" s="824">
        <v>21</v>
      </c>
      <c r="U22" s="824">
        <v>1</v>
      </c>
      <c r="V22" s="824">
        <v>4</v>
      </c>
      <c r="W22" s="824">
        <v>13</v>
      </c>
      <c r="X22" s="824">
        <v>8</v>
      </c>
      <c r="Y22" s="824">
        <v>2</v>
      </c>
      <c r="Z22" s="480" t="str">
        <f t="shared" si="0"/>
        <v/>
      </c>
    </row>
    <row r="23" spans="1:26">
      <c r="A23" s="825" t="s">
        <v>253</v>
      </c>
      <c r="B23" s="826">
        <v>2637</v>
      </c>
      <c r="C23" s="827"/>
      <c r="D23" s="828">
        <v>10.73038</v>
      </c>
      <c r="E23" s="828">
        <v>6.3077800000000002</v>
      </c>
      <c r="F23" s="828">
        <v>39.788049999999998</v>
      </c>
      <c r="G23" s="828">
        <v>25</v>
      </c>
      <c r="H23" s="828">
        <v>1</v>
      </c>
      <c r="I23" s="828">
        <v>5</v>
      </c>
      <c r="J23" s="828">
        <v>15</v>
      </c>
      <c r="K23" s="828">
        <v>10</v>
      </c>
      <c r="L23" s="828">
        <v>4</v>
      </c>
      <c r="N23" s="222" t="s">
        <v>253</v>
      </c>
      <c r="O23" s="222" t="s">
        <v>254</v>
      </c>
      <c r="P23" s="824">
        <v>2637</v>
      </c>
      <c r="Q23" s="824">
        <v>10.73038</v>
      </c>
      <c r="R23" s="824">
        <v>39.788049999999998</v>
      </c>
      <c r="S23" s="824">
        <v>6.3077800000000002</v>
      </c>
      <c r="T23" s="824">
        <v>25</v>
      </c>
      <c r="U23" s="824">
        <v>1</v>
      </c>
      <c r="V23" s="824">
        <v>5</v>
      </c>
      <c r="W23" s="824">
        <v>15</v>
      </c>
      <c r="X23" s="824">
        <v>10</v>
      </c>
      <c r="Y23" s="824">
        <v>4</v>
      </c>
      <c r="Z23" s="480" t="str">
        <f t="shared" si="0"/>
        <v/>
      </c>
    </row>
    <row r="24" spans="1:26">
      <c r="A24" s="825" t="s">
        <v>255</v>
      </c>
      <c r="B24" s="826">
        <v>15041</v>
      </c>
      <c r="C24" s="827"/>
      <c r="D24" s="828">
        <v>9.9853699999999996</v>
      </c>
      <c r="E24" s="828">
        <v>6.12751</v>
      </c>
      <c r="F24" s="828">
        <v>37.546329999999998</v>
      </c>
      <c r="G24" s="828">
        <v>23</v>
      </c>
      <c r="H24" s="828">
        <v>1</v>
      </c>
      <c r="I24" s="828">
        <v>5</v>
      </c>
      <c r="J24" s="828">
        <v>15</v>
      </c>
      <c r="K24" s="828">
        <v>9</v>
      </c>
      <c r="L24" s="828">
        <v>3</v>
      </c>
      <c r="N24" s="222" t="s">
        <v>255</v>
      </c>
      <c r="O24" s="222" t="s">
        <v>1901</v>
      </c>
      <c r="P24" s="824">
        <v>15041</v>
      </c>
      <c r="Q24" s="824">
        <v>9.9853699999999996</v>
      </c>
      <c r="R24" s="824">
        <v>37.546329999999998</v>
      </c>
      <c r="S24" s="824">
        <v>6.12751</v>
      </c>
      <c r="T24" s="824">
        <v>23</v>
      </c>
      <c r="U24" s="824">
        <v>1</v>
      </c>
      <c r="V24" s="824">
        <v>5</v>
      </c>
      <c r="W24" s="824">
        <v>15</v>
      </c>
      <c r="X24" s="824">
        <v>9</v>
      </c>
      <c r="Y24" s="824">
        <v>3</v>
      </c>
      <c r="Z24" s="480" t="str">
        <f t="shared" si="0"/>
        <v/>
      </c>
    </row>
    <row r="25" spans="1:26">
      <c r="A25" s="825" t="s">
        <v>256</v>
      </c>
      <c r="B25" s="826">
        <v>2190</v>
      </c>
      <c r="C25" s="827"/>
      <c r="D25" s="828">
        <v>8.8872099999999996</v>
      </c>
      <c r="E25" s="828">
        <v>5.3754099999999996</v>
      </c>
      <c r="F25" s="828">
        <v>28.89499</v>
      </c>
      <c r="G25" s="828">
        <v>21</v>
      </c>
      <c r="H25" s="828">
        <v>1</v>
      </c>
      <c r="I25" s="828">
        <v>4</v>
      </c>
      <c r="J25" s="828">
        <v>13</v>
      </c>
      <c r="K25" s="828">
        <v>8</v>
      </c>
      <c r="L25" s="828">
        <v>4</v>
      </c>
      <c r="N25" s="222" t="s">
        <v>256</v>
      </c>
      <c r="O25" s="222" t="s">
        <v>1902</v>
      </c>
      <c r="P25" s="824">
        <v>2190</v>
      </c>
      <c r="Q25" s="824">
        <v>8.8872099999999996</v>
      </c>
      <c r="R25" s="824">
        <v>28.89499</v>
      </c>
      <c r="S25" s="824">
        <v>5.3754099999999996</v>
      </c>
      <c r="T25" s="824">
        <v>21</v>
      </c>
      <c r="U25" s="824">
        <v>1</v>
      </c>
      <c r="V25" s="824">
        <v>4</v>
      </c>
      <c r="W25" s="824">
        <v>13</v>
      </c>
      <c r="X25" s="824">
        <v>8</v>
      </c>
      <c r="Y25" s="824">
        <v>4</v>
      </c>
      <c r="Z25" s="480" t="str">
        <f t="shared" si="0"/>
        <v/>
      </c>
    </row>
    <row r="26" spans="1:26">
      <c r="A26" s="825" t="s">
        <v>257</v>
      </c>
      <c r="B26" s="826">
        <v>2713</v>
      </c>
      <c r="C26" s="827"/>
      <c r="D26" s="828">
        <v>10.029859999999999</v>
      </c>
      <c r="E26" s="828">
        <v>6.3082900000000004</v>
      </c>
      <c r="F26" s="828">
        <v>39.794460000000001</v>
      </c>
      <c r="G26" s="828">
        <v>24</v>
      </c>
      <c r="H26" s="828">
        <v>1</v>
      </c>
      <c r="I26" s="828">
        <v>5</v>
      </c>
      <c r="J26" s="828">
        <v>14</v>
      </c>
      <c r="K26" s="828">
        <v>9</v>
      </c>
      <c r="L26" s="828">
        <v>3</v>
      </c>
      <c r="N26" s="222" t="s">
        <v>257</v>
      </c>
      <c r="O26" s="222" t="s">
        <v>258</v>
      </c>
      <c r="P26" s="824">
        <v>2713</v>
      </c>
      <c r="Q26" s="824">
        <v>10.029859999999999</v>
      </c>
      <c r="R26" s="824">
        <v>39.794460000000001</v>
      </c>
      <c r="S26" s="824">
        <v>6.3082900000000004</v>
      </c>
      <c r="T26" s="824">
        <v>24</v>
      </c>
      <c r="U26" s="824">
        <v>1</v>
      </c>
      <c r="V26" s="824">
        <v>5</v>
      </c>
      <c r="W26" s="824">
        <v>14</v>
      </c>
      <c r="X26" s="824">
        <v>9</v>
      </c>
      <c r="Y26" s="824">
        <v>3</v>
      </c>
      <c r="Z26" s="480" t="str">
        <f t="shared" si="0"/>
        <v/>
      </c>
    </row>
    <row r="27" spans="1:26">
      <c r="A27" s="825" t="s">
        <v>259</v>
      </c>
      <c r="B27" s="826">
        <v>22903</v>
      </c>
      <c r="C27" s="827"/>
      <c r="D27" s="828">
        <v>10.247260000000001</v>
      </c>
      <c r="E27" s="828">
        <v>6.3844399999999997</v>
      </c>
      <c r="F27" s="828">
        <v>40.761020000000002</v>
      </c>
      <c r="G27" s="828">
        <v>24</v>
      </c>
      <c r="H27" s="828">
        <v>1</v>
      </c>
      <c r="I27" s="828">
        <v>5</v>
      </c>
      <c r="J27" s="828">
        <v>15</v>
      </c>
      <c r="K27" s="828">
        <v>9</v>
      </c>
      <c r="L27" s="828">
        <v>3</v>
      </c>
      <c r="N27" s="222" t="s">
        <v>259</v>
      </c>
      <c r="O27" s="222" t="s">
        <v>1903</v>
      </c>
      <c r="P27" s="824">
        <v>22903</v>
      </c>
      <c r="Q27" s="824">
        <v>10.247260000000001</v>
      </c>
      <c r="R27" s="824">
        <v>40.761020000000002</v>
      </c>
      <c r="S27" s="824">
        <v>6.3844399999999997</v>
      </c>
      <c r="T27" s="824">
        <v>24</v>
      </c>
      <c r="U27" s="824">
        <v>1</v>
      </c>
      <c r="V27" s="824">
        <v>5</v>
      </c>
      <c r="W27" s="824">
        <v>15</v>
      </c>
      <c r="X27" s="824">
        <v>9</v>
      </c>
      <c r="Y27" s="824">
        <v>3</v>
      </c>
      <c r="Z27" s="480" t="str">
        <f t="shared" si="0"/>
        <v/>
      </c>
    </row>
    <row r="28" spans="1:26">
      <c r="A28" s="825" t="s">
        <v>260</v>
      </c>
      <c r="B28" s="826">
        <v>4389</v>
      </c>
      <c r="C28" s="827"/>
      <c r="D28" s="828">
        <v>11.03349</v>
      </c>
      <c r="E28" s="828">
        <v>6.6594499999999996</v>
      </c>
      <c r="F28" s="828">
        <v>44.348239999999997</v>
      </c>
      <c r="G28" s="828">
        <v>25</v>
      </c>
      <c r="H28" s="828">
        <v>1</v>
      </c>
      <c r="I28" s="828">
        <v>5</v>
      </c>
      <c r="J28" s="828">
        <v>16</v>
      </c>
      <c r="K28" s="828">
        <v>10</v>
      </c>
      <c r="L28" s="828">
        <v>3</v>
      </c>
      <c r="N28" s="222" t="s">
        <v>260</v>
      </c>
      <c r="O28" s="222" t="s">
        <v>1904</v>
      </c>
      <c r="P28" s="824">
        <v>4389</v>
      </c>
      <c r="Q28" s="824">
        <v>11.03349</v>
      </c>
      <c r="R28" s="824">
        <v>44.348239999999997</v>
      </c>
      <c r="S28" s="824">
        <v>6.6594499999999996</v>
      </c>
      <c r="T28" s="824">
        <v>25</v>
      </c>
      <c r="U28" s="824">
        <v>1</v>
      </c>
      <c r="V28" s="824">
        <v>5</v>
      </c>
      <c r="W28" s="824">
        <v>16</v>
      </c>
      <c r="X28" s="824">
        <v>10</v>
      </c>
      <c r="Y28" s="824">
        <v>3</v>
      </c>
      <c r="Z28" s="480" t="str">
        <f t="shared" si="0"/>
        <v/>
      </c>
    </row>
    <row r="29" spans="1:26">
      <c r="A29" s="825" t="s">
        <v>261</v>
      </c>
      <c r="B29" s="826">
        <v>1559</v>
      </c>
      <c r="C29" s="827"/>
      <c r="D29" s="828">
        <v>13.096220000000001</v>
      </c>
      <c r="E29" s="828">
        <v>7.5857799999999997</v>
      </c>
      <c r="F29" s="828">
        <v>57.54401</v>
      </c>
      <c r="G29" s="828">
        <v>29</v>
      </c>
      <c r="H29" s="828">
        <v>1</v>
      </c>
      <c r="I29" s="828">
        <v>7</v>
      </c>
      <c r="J29" s="828">
        <v>19</v>
      </c>
      <c r="K29" s="828">
        <v>12</v>
      </c>
      <c r="L29" s="828">
        <v>11</v>
      </c>
      <c r="N29" s="222" t="s">
        <v>261</v>
      </c>
      <c r="O29" s="222" t="s">
        <v>1905</v>
      </c>
      <c r="P29" s="824">
        <v>1559</v>
      </c>
      <c r="Q29" s="824">
        <v>13.096220000000001</v>
      </c>
      <c r="R29" s="824">
        <v>57.54401</v>
      </c>
      <c r="S29" s="824">
        <v>7.5857799999999997</v>
      </c>
      <c r="T29" s="824">
        <v>29</v>
      </c>
      <c r="U29" s="824">
        <v>1</v>
      </c>
      <c r="V29" s="824">
        <v>7</v>
      </c>
      <c r="W29" s="824">
        <v>19</v>
      </c>
      <c r="X29" s="824">
        <v>12</v>
      </c>
      <c r="Y29" s="824">
        <v>11</v>
      </c>
      <c r="Z29" s="480" t="str">
        <f t="shared" si="0"/>
        <v/>
      </c>
    </row>
    <row r="30" spans="1:26">
      <c r="A30" s="825" t="s">
        <v>262</v>
      </c>
      <c r="B30" s="826">
        <v>3554</v>
      </c>
      <c r="C30" s="827"/>
      <c r="D30" s="828">
        <v>9.9923999999999999</v>
      </c>
      <c r="E30" s="828">
        <v>6.1197100000000004</v>
      </c>
      <c r="F30" s="828">
        <v>37.450830000000003</v>
      </c>
      <c r="G30" s="828">
        <v>23</v>
      </c>
      <c r="H30" s="828">
        <v>1</v>
      </c>
      <c r="I30" s="828">
        <v>5</v>
      </c>
      <c r="J30" s="828">
        <v>15</v>
      </c>
      <c r="K30" s="828">
        <v>9</v>
      </c>
      <c r="L30" s="828">
        <v>2</v>
      </c>
      <c r="N30" s="222" t="s">
        <v>262</v>
      </c>
      <c r="O30" s="222" t="s">
        <v>263</v>
      </c>
      <c r="P30" s="824">
        <v>3554</v>
      </c>
      <c r="Q30" s="824">
        <v>9.9923999999999999</v>
      </c>
      <c r="R30" s="824">
        <v>37.450830000000003</v>
      </c>
      <c r="S30" s="824">
        <v>6.1197100000000004</v>
      </c>
      <c r="T30" s="824">
        <v>23</v>
      </c>
      <c r="U30" s="824">
        <v>1</v>
      </c>
      <c r="V30" s="824">
        <v>5</v>
      </c>
      <c r="W30" s="824">
        <v>15</v>
      </c>
      <c r="X30" s="824">
        <v>9</v>
      </c>
      <c r="Y30" s="824">
        <v>2</v>
      </c>
      <c r="Z30" s="480" t="str">
        <f t="shared" si="0"/>
        <v/>
      </c>
    </row>
    <row r="31" spans="1:26">
      <c r="A31" s="825" t="s">
        <v>264</v>
      </c>
      <c r="B31" s="826">
        <v>4336</v>
      </c>
      <c r="C31" s="827"/>
      <c r="D31" s="828">
        <v>9.2647600000000008</v>
      </c>
      <c r="E31" s="828">
        <v>5.5314199999999998</v>
      </c>
      <c r="F31" s="828">
        <v>30.596550000000001</v>
      </c>
      <c r="G31" s="828">
        <v>21</v>
      </c>
      <c r="H31" s="828">
        <v>1</v>
      </c>
      <c r="I31" s="828">
        <v>5</v>
      </c>
      <c r="J31" s="828">
        <v>14</v>
      </c>
      <c r="K31" s="828">
        <v>8</v>
      </c>
      <c r="L31" s="828">
        <v>5</v>
      </c>
      <c r="N31" s="222" t="s">
        <v>264</v>
      </c>
      <c r="O31" s="222" t="s">
        <v>265</v>
      </c>
      <c r="P31" s="824">
        <v>4336</v>
      </c>
      <c r="Q31" s="824">
        <v>9.2647600000000008</v>
      </c>
      <c r="R31" s="824">
        <v>30.596550000000001</v>
      </c>
      <c r="S31" s="824">
        <v>5.5314199999999998</v>
      </c>
      <c r="T31" s="824">
        <v>21</v>
      </c>
      <c r="U31" s="824">
        <v>1</v>
      </c>
      <c r="V31" s="824">
        <v>5</v>
      </c>
      <c r="W31" s="824">
        <v>14</v>
      </c>
      <c r="X31" s="824">
        <v>8</v>
      </c>
      <c r="Y31" s="824">
        <v>5</v>
      </c>
      <c r="Z31" s="480" t="str">
        <f t="shared" si="0"/>
        <v/>
      </c>
    </row>
    <row r="32" spans="1:26">
      <c r="A32" s="825" t="s">
        <v>266</v>
      </c>
      <c r="B32" s="826">
        <v>3739</v>
      </c>
      <c r="C32" s="827"/>
      <c r="D32" s="828">
        <v>11.062849999999999</v>
      </c>
      <c r="E32" s="828">
        <v>6.6913200000000002</v>
      </c>
      <c r="F32" s="828">
        <v>44.773739999999997</v>
      </c>
      <c r="G32" s="828">
        <v>25</v>
      </c>
      <c r="H32" s="828">
        <v>1</v>
      </c>
      <c r="I32" s="828">
        <v>5</v>
      </c>
      <c r="J32" s="828">
        <v>16</v>
      </c>
      <c r="K32" s="828">
        <v>11</v>
      </c>
      <c r="L32" s="828">
        <v>3</v>
      </c>
      <c r="N32" s="222" t="s">
        <v>266</v>
      </c>
      <c r="O32" s="222" t="s">
        <v>267</v>
      </c>
      <c r="P32" s="824">
        <v>3739</v>
      </c>
      <c r="Q32" s="824">
        <v>11.062849999999999</v>
      </c>
      <c r="R32" s="824">
        <v>44.773739999999997</v>
      </c>
      <c r="S32" s="824">
        <v>6.6913200000000002</v>
      </c>
      <c r="T32" s="824">
        <v>25</v>
      </c>
      <c r="U32" s="824">
        <v>1</v>
      </c>
      <c r="V32" s="824">
        <v>5</v>
      </c>
      <c r="W32" s="824">
        <v>16</v>
      </c>
      <c r="X32" s="824">
        <v>11</v>
      </c>
      <c r="Y32" s="824">
        <v>3</v>
      </c>
      <c r="Z32" s="480" t="str">
        <f t="shared" si="0"/>
        <v/>
      </c>
    </row>
    <row r="33" spans="1:26">
      <c r="A33" s="825" t="s">
        <v>268</v>
      </c>
      <c r="B33" s="826">
        <v>6069</v>
      </c>
      <c r="C33" s="827"/>
      <c r="D33" s="828">
        <v>10.79519</v>
      </c>
      <c r="E33" s="828">
        <v>7.8335999999999997</v>
      </c>
      <c r="F33" s="828">
        <v>61.365259999999999</v>
      </c>
      <c r="G33" s="828">
        <v>29</v>
      </c>
      <c r="H33" s="828">
        <v>1</v>
      </c>
      <c r="I33" s="828">
        <v>4</v>
      </c>
      <c r="J33" s="828">
        <v>17</v>
      </c>
      <c r="K33" s="828">
        <v>9</v>
      </c>
      <c r="L33" s="828">
        <v>4</v>
      </c>
      <c r="N33" s="222" t="s">
        <v>268</v>
      </c>
      <c r="O33" s="222" t="s">
        <v>1906</v>
      </c>
      <c r="P33" s="824">
        <v>6069</v>
      </c>
      <c r="Q33" s="824">
        <v>10.79519</v>
      </c>
      <c r="R33" s="824">
        <v>61.365259999999999</v>
      </c>
      <c r="S33" s="824">
        <v>7.8335999999999997</v>
      </c>
      <c r="T33" s="824">
        <v>29</v>
      </c>
      <c r="U33" s="824">
        <v>1</v>
      </c>
      <c r="V33" s="824">
        <v>4</v>
      </c>
      <c r="W33" s="824">
        <v>17</v>
      </c>
      <c r="X33" s="824">
        <v>9</v>
      </c>
      <c r="Y33" s="824">
        <v>4</v>
      </c>
      <c r="Z33" s="480" t="str">
        <f t="shared" si="0"/>
        <v/>
      </c>
    </row>
    <row r="34" spans="1:26">
      <c r="A34" s="825" t="s">
        <v>269</v>
      </c>
      <c r="B34" s="826">
        <v>9166</v>
      </c>
      <c r="C34" s="827"/>
      <c r="D34" s="828">
        <v>11.16179</v>
      </c>
      <c r="E34" s="828">
        <v>7.1421799999999998</v>
      </c>
      <c r="F34" s="828">
        <v>51.0107</v>
      </c>
      <c r="G34" s="828">
        <v>27</v>
      </c>
      <c r="H34" s="828">
        <v>1</v>
      </c>
      <c r="I34" s="828">
        <v>5</v>
      </c>
      <c r="J34" s="828">
        <v>16</v>
      </c>
      <c r="K34" s="828">
        <v>10</v>
      </c>
      <c r="L34" s="828">
        <v>2</v>
      </c>
      <c r="N34" s="222" t="s">
        <v>269</v>
      </c>
      <c r="O34" s="222" t="s">
        <v>270</v>
      </c>
      <c r="P34" s="824">
        <v>9166</v>
      </c>
      <c r="Q34" s="824">
        <v>11.16179</v>
      </c>
      <c r="R34" s="824">
        <v>51.0107</v>
      </c>
      <c r="S34" s="824">
        <v>7.1421799999999998</v>
      </c>
      <c r="T34" s="824">
        <v>27</v>
      </c>
      <c r="U34" s="824">
        <v>1</v>
      </c>
      <c r="V34" s="824">
        <v>5</v>
      </c>
      <c r="W34" s="824">
        <v>16</v>
      </c>
      <c r="X34" s="824">
        <v>10</v>
      </c>
      <c r="Y34" s="824">
        <v>2</v>
      </c>
      <c r="Z34" s="480" t="str">
        <f t="shared" si="0"/>
        <v/>
      </c>
    </row>
    <row r="35" spans="1:26">
      <c r="A35" s="825" t="s">
        <v>271</v>
      </c>
      <c r="B35" s="826">
        <v>5989</v>
      </c>
      <c r="C35" s="827"/>
      <c r="D35" s="828">
        <v>12.23326</v>
      </c>
      <c r="E35" s="828">
        <v>8.5777000000000001</v>
      </c>
      <c r="F35" s="828">
        <v>73.577010000000001</v>
      </c>
      <c r="G35" s="828">
        <v>33</v>
      </c>
      <c r="H35" s="828">
        <v>1</v>
      </c>
      <c r="I35" s="828">
        <v>5</v>
      </c>
      <c r="J35" s="828">
        <v>18</v>
      </c>
      <c r="K35" s="828">
        <v>10</v>
      </c>
      <c r="L35" s="828">
        <v>4</v>
      </c>
      <c r="N35" s="222" t="s">
        <v>271</v>
      </c>
      <c r="O35" s="222" t="s">
        <v>272</v>
      </c>
      <c r="P35" s="824">
        <v>5989</v>
      </c>
      <c r="Q35" s="824">
        <v>12.23326</v>
      </c>
      <c r="R35" s="824">
        <v>73.577010000000001</v>
      </c>
      <c r="S35" s="824">
        <v>8.5777000000000001</v>
      </c>
      <c r="T35" s="824">
        <v>33</v>
      </c>
      <c r="U35" s="824">
        <v>1</v>
      </c>
      <c r="V35" s="824">
        <v>5</v>
      </c>
      <c r="W35" s="824">
        <v>18</v>
      </c>
      <c r="X35" s="824">
        <v>10</v>
      </c>
      <c r="Y35" s="824">
        <v>4</v>
      </c>
      <c r="Z35" s="480" t="str">
        <f t="shared" si="0"/>
        <v/>
      </c>
    </row>
    <row r="36" spans="1:26">
      <c r="A36" s="825" t="s">
        <v>273</v>
      </c>
      <c r="B36" s="826">
        <v>38956</v>
      </c>
      <c r="C36" s="827"/>
      <c r="D36" s="828">
        <v>10.963010000000001</v>
      </c>
      <c r="E36" s="828">
        <v>6.9183300000000001</v>
      </c>
      <c r="F36" s="828">
        <v>47.863320000000002</v>
      </c>
      <c r="G36" s="828">
        <v>26</v>
      </c>
      <c r="H36" s="828">
        <v>1</v>
      </c>
      <c r="I36" s="828">
        <v>5</v>
      </c>
      <c r="J36" s="828">
        <v>16</v>
      </c>
      <c r="K36" s="828">
        <v>10</v>
      </c>
      <c r="L36" s="828">
        <v>3</v>
      </c>
      <c r="N36" s="222" t="s">
        <v>273</v>
      </c>
      <c r="O36" s="222" t="s">
        <v>1907</v>
      </c>
      <c r="P36" s="824">
        <v>38956</v>
      </c>
      <c r="Q36" s="824">
        <v>10.963010000000001</v>
      </c>
      <c r="R36" s="824">
        <v>47.863320000000002</v>
      </c>
      <c r="S36" s="824">
        <v>6.9183300000000001</v>
      </c>
      <c r="T36" s="824">
        <v>26</v>
      </c>
      <c r="U36" s="824">
        <v>1</v>
      </c>
      <c r="V36" s="824">
        <v>5</v>
      </c>
      <c r="W36" s="824">
        <v>16</v>
      </c>
      <c r="X36" s="824">
        <v>10</v>
      </c>
      <c r="Y36" s="824">
        <v>3</v>
      </c>
      <c r="Z36" s="480" t="str">
        <f t="shared" si="0"/>
        <v/>
      </c>
    </row>
    <row r="37" spans="1:26">
      <c r="A37" s="825" t="s">
        <v>274</v>
      </c>
      <c r="B37" s="826">
        <v>2801</v>
      </c>
      <c r="C37" s="827"/>
      <c r="D37" s="828">
        <v>12.51803</v>
      </c>
      <c r="E37" s="828">
        <v>7.8785699999999999</v>
      </c>
      <c r="F37" s="828">
        <v>62.071910000000003</v>
      </c>
      <c r="G37" s="828">
        <v>30</v>
      </c>
      <c r="H37" s="828">
        <v>1</v>
      </c>
      <c r="I37" s="828">
        <v>6</v>
      </c>
      <c r="J37" s="828">
        <v>18</v>
      </c>
      <c r="K37" s="828">
        <v>11</v>
      </c>
      <c r="L37" s="828">
        <v>3</v>
      </c>
      <c r="N37" s="222" t="s">
        <v>274</v>
      </c>
      <c r="O37" s="222" t="s">
        <v>1908</v>
      </c>
      <c r="P37" s="824">
        <v>2801</v>
      </c>
      <c r="Q37" s="824">
        <v>12.51803</v>
      </c>
      <c r="R37" s="824">
        <v>62.071910000000003</v>
      </c>
      <c r="S37" s="824">
        <v>7.8785699999999999</v>
      </c>
      <c r="T37" s="824">
        <v>30</v>
      </c>
      <c r="U37" s="824">
        <v>1</v>
      </c>
      <c r="V37" s="824">
        <v>6</v>
      </c>
      <c r="W37" s="824">
        <v>18</v>
      </c>
      <c r="X37" s="824">
        <v>11</v>
      </c>
      <c r="Y37" s="824">
        <v>3</v>
      </c>
      <c r="Z37" s="480" t="str">
        <f t="shared" si="0"/>
        <v/>
      </c>
    </row>
    <row r="38" spans="1:26">
      <c r="A38" s="825" t="s">
        <v>275</v>
      </c>
      <c r="B38" s="826">
        <v>2344</v>
      </c>
      <c r="C38" s="827"/>
      <c r="D38" s="828">
        <v>11.711180000000001</v>
      </c>
      <c r="E38" s="828">
        <v>7.3483999999999998</v>
      </c>
      <c r="F38" s="828">
        <v>53.998919999999998</v>
      </c>
      <c r="G38" s="828">
        <v>27</v>
      </c>
      <c r="H38" s="828">
        <v>1</v>
      </c>
      <c r="I38" s="828">
        <v>5</v>
      </c>
      <c r="J38" s="828">
        <v>17</v>
      </c>
      <c r="K38" s="828">
        <v>11</v>
      </c>
      <c r="L38" s="828">
        <v>3</v>
      </c>
      <c r="N38" s="222" t="s">
        <v>275</v>
      </c>
      <c r="O38" s="222" t="s">
        <v>276</v>
      </c>
      <c r="P38" s="824">
        <v>2344</v>
      </c>
      <c r="Q38" s="824">
        <v>11.711180000000001</v>
      </c>
      <c r="R38" s="824">
        <v>53.998919999999998</v>
      </c>
      <c r="S38" s="824">
        <v>7.3483999999999998</v>
      </c>
      <c r="T38" s="824">
        <v>27</v>
      </c>
      <c r="U38" s="824">
        <v>1</v>
      </c>
      <c r="V38" s="824">
        <v>5</v>
      </c>
      <c r="W38" s="824">
        <v>17</v>
      </c>
      <c r="X38" s="824">
        <v>11</v>
      </c>
      <c r="Y38" s="824">
        <v>3</v>
      </c>
      <c r="Z38" s="480" t="str">
        <f t="shared" si="0"/>
        <v/>
      </c>
    </row>
    <row r="39" spans="1:26">
      <c r="A39" s="825" t="s">
        <v>277</v>
      </c>
      <c r="B39" s="826">
        <v>2457</v>
      </c>
      <c r="C39" s="827"/>
      <c r="D39" s="828">
        <v>9.7842900000000004</v>
      </c>
      <c r="E39" s="828">
        <v>6.2335700000000003</v>
      </c>
      <c r="F39" s="828">
        <v>38.85736</v>
      </c>
      <c r="G39" s="828">
        <v>23</v>
      </c>
      <c r="H39" s="828">
        <v>1</v>
      </c>
      <c r="I39" s="828">
        <v>4</v>
      </c>
      <c r="J39" s="828">
        <v>15</v>
      </c>
      <c r="K39" s="828">
        <v>9</v>
      </c>
      <c r="L39" s="828">
        <v>3</v>
      </c>
      <c r="N39" s="222" t="s">
        <v>277</v>
      </c>
      <c r="O39" s="222" t="s">
        <v>1909</v>
      </c>
      <c r="P39" s="824">
        <v>2457</v>
      </c>
      <c r="Q39" s="824">
        <v>9.7842900000000004</v>
      </c>
      <c r="R39" s="824">
        <v>38.85736</v>
      </c>
      <c r="S39" s="824">
        <v>6.2335700000000003</v>
      </c>
      <c r="T39" s="824">
        <v>23</v>
      </c>
      <c r="U39" s="824">
        <v>1</v>
      </c>
      <c r="V39" s="824">
        <v>4</v>
      </c>
      <c r="W39" s="824">
        <v>15</v>
      </c>
      <c r="X39" s="824">
        <v>9</v>
      </c>
      <c r="Y39" s="824">
        <v>3</v>
      </c>
      <c r="Z39" s="480" t="str">
        <f t="shared" si="0"/>
        <v/>
      </c>
    </row>
    <row r="40" spans="1:26">
      <c r="A40" s="825" t="s">
        <v>278</v>
      </c>
      <c r="B40" s="826">
        <v>17066</v>
      </c>
      <c r="C40" s="827"/>
      <c r="D40" s="828">
        <v>10.86294</v>
      </c>
      <c r="E40" s="828">
        <v>7.0652900000000001</v>
      </c>
      <c r="F40" s="828">
        <v>49.918340000000001</v>
      </c>
      <c r="G40" s="828">
        <v>27</v>
      </c>
      <c r="H40" s="828">
        <v>1</v>
      </c>
      <c r="I40" s="828">
        <v>5</v>
      </c>
      <c r="J40" s="828">
        <v>16</v>
      </c>
      <c r="K40" s="828">
        <v>10</v>
      </c>
      <c r="L40" s="828">
        <v>2</v>
      </c>
      <c r="N40" s="222" t="s">
        <v>278</v>
      </c>
      <c r="O40" s="222" t="s">
        <v>1910</v>
      </c>
      <c r="P40" s="824">
        <v>17066</v>
      </c>
      <c r="Q40" s="824">
        <v>10.86294</v>
      </c>
      <c r="R40" s="824">
        <v>49.918340000000001</v>
      </c>
      <c r="S40" s="824">
        <v>7.0652900000000001</v>
      </c>
      <c r="T40" s="824">
        <v>27</v>
      </c>
      <c r="U40" s="824">
        <v>1</v>
      </c>
      <c r="V40" s="824">
        <v>5</v>
      </c>
      <c r="W40" s="824">
        <v>16</v>
      </c>
      <c r="X40" s="824">
        <v>10</v>
      </c>
      <c r="Y40" s="824">
        <v>2</v>
      </c>
      <c r="Z40" s="480" t="str">
        <f t="shared" si="0"/>
        <v/>
      </c>
    </row>
    <row r="41" spans="1:26">
      <c r="A41" s="825" t="s">
        <v>279</v>
      </c>
      <c r="B41" s="826">
        <v>604</v>
      </c>
      <c r="C41" s="827"/>
      <c r="D41" s="828">
        <v>10.625830000000001</v>
      </c>
      <c r="E41" s="828">
        <v>6.7432699999999999</v>
      </c>
      <c r="F41" s="828">
        <v>45.471699999999998</v>
      </c>
      <c r="G41" s="828">
        <v>26</v>
      </c>
      <c r="H41" s="828">
        <v>1</v>
      </c>
      <c r="I41" s="828">
        <v>5</v>
      </c>
      <c r="J41" s="828">
        <v>16</v>
      </c>
      <c r="K41" s="828">
        <v>9</v>
      </c>
      <c r="L41" s="828">
        <v>8</v>
      </c>
      <c r="N41" s="222" t="s">
        <v>279</v>
      </c>
      <c r="O41" s="222" t="s">
        <v>280</v>
      </c>
      <c r="P41" s="824">
        <v>604</v>
      </c>
      <c r="Q41" s="824">
        <v>10.625830000000001</v>
      </c>
      <c r="R41" s="824">
        <v>45.471699999999998</v>
      </c>
      <c r="S41" s="824">
        <v>6.7432699999999999</v>
      </c>
      <c r="T41" s="824">
        <v>26</v>
      </c>
      <c r="U41" s="824">
        <v>1</v>
      </c>
      <c r="V41" s="824">
        <v>5</v>
      </c>
      <c r="W41" s="824">
        <v>16</v>
      </c>
      <c r="X41" s="824">
        <v>9</v>
      </c>
      <c r="Y41" s="824">
        <v>8</v>
      </c>
      <c r="Z41" s="480" t="str">
        <f t="shared" si="0"/>
        <v/>
      </c>
    </row>
    <row r="42" spans="1:26">
      <c r="A42" s="825" t="s">
        <v>281</v>
      </c>
      <c r="B42" s="826">
        <v>38097</v>
      </c>
      <c r="C42" s="827"/>
      <c r="D42" s="828">
        <v>10.00192</v>
      </c>
      <c r="E42" s="828">
        <v>6.5252999999999997</v>
      </c>
      <c r="F42" s="828">
        <v>42.579509999999999</v>
      </c>
      <c r="G42" s="828">
        <v>25</v>
      </c>
      <c r="H42" s="828">
        <v>1</v>
      </c>
      <c r="I42" s="828">
        <v>5</v>
      </c>
      <c r="J42" s="828">
        <v>15</v>
      </c>
      <c r="K42" s="828">
        <v>9</v>
      </c>
      <c r="L42" s="828">
        <v>4</v>
      </c>
      <c r="N42" s="222" t="s">
        <v>281</v>
      </c>
      <c r="O42" s="222" t="s">
        <v>282</v>
      </c>
      <c r="P42" s="824">
        <v>38097</v>
      </c>
      <c r="Q42" s="824">
        <v>10.00192</v>
      </c>
      <c r="R42" s="824">
        <v>42.579509999999999</v>
      </c>
      <c r="S42" s="824">
        <v>6.5252999999999997</v>
      </c>
      <c r="T42" s="824">
        <v>25</v>
      </c>
      <c r="U42" s="824">
        <v>1</v>
      </c>
      <c r="V42" s="824">
        <v>5</v>
      </c>
      <c r="W42" s="824">
        <v>15</v>
      </c>
      <c r="X42" s="824">
        <v>9</v>
      </c>
      <c r="Y42" s="824">
        <v>4</v>
      </c>
      <c r="Z42" s="480" t="str">
        <f t="shared" si="0"/>
        <v/>
      </c>
    </row>
    <row r="43" spans="1:26">
      <c r="A43" s="825" t="s">
        <v>283</v>
      </c>
      <c r="B43" s="826">
        <v>5360</v>
      </c>
      <c r="C43" s="827"/>
      <c r="D43" s="828">
        <v>10.822010000000001</v>
      </c>
      <c r="E43" s="828">
        <v>7.3235400000000004</v>
      </c>
      <c r="F43" s="828">
        <v>53.634300000000003</v>
      </c>
      <c r="G43" s="828">
        <v>28</v>
      </c>
      <c r="H43" s="828">
        <v>1</v>
      </c>
      <c r="I43" s="828">
        <v>5</v>
      </c>
      <c r="J43" s="828">
        <v>16</v>
      </c>
      <c r="K43" s="828">
        <v>9</v>
      </c>
      <c r="L43" s="828">
        <v>2</v>
      </c>
      <c r="N43" s="222" t="s">
        <v>283</v>
      </c>
      <c r="O43" s="222" t="s">
        <v>284</v>
      </c>
      <c r="P43" s="824">
        <v>5360</v>
      </c>
      <c r="Q43" s="824">
        <v>10.822010000000001</v>
      </c>
      <c r="R43" s="824">
        <v>53.634300000000003</v>
      </c>
      <c r="S43" s="824">
        <v>7.3235400000000004</v>
      </c>
      <c r="T43" s="824">
        <v>28</v>
      </c>
      <c r="U43" s="824">
        <v>1</v>
      </c>
      <c r="V43" s="824">
        <v>5</v>
      </c>
      <c r="W43" s="824">
        <v>16</v>
      </c>
      <c r="X43" s="824">
        <v>9</v>
      </c>
      <c r="Y43" s="824">
        <v>2</v>
      </c>
      <c r="Z43" s="480" t="str">
        <f t="shared" si="0"/>
        <v/>
      </c>
    </row>
    <row r="44" spans="1:26">
      <c r="A44" s="825" t="s">
        <v>285</v>
      </c>
      <c r="B44" s="826">
        <v>2031</v>
      </c>
      <c r="C44" s="827"/>
      <c r="D44" s="828">
        <v>10.350569999999999</v>
      </c>
      <c r="E44" s="828">
        <v>6.6446199999999997</v>
      </c>
      <c r="F44" s="828">
        <v>44.150930000000002</v>
      </c>
      <c r="G44" s="828">
        <v>25</v>
      </c>
      <c r="H44" s="828">
        <v>1</v>
      </c>
      <c r="I44" s="828">
        <v>5</v>
      </c>
      <c r="J44" s="828">
        <v>15</v>
      </c>
      <c r="K44" s="828">
        <v>9</v>
      </c>
      <c r="L44" s="828">
        <v>3</v>
      </c>
      <c r="N44" s="222" t="s">
        <v>285</v>
      </c>
      <c r="O44" s="222" t="s">
        <v>286</v>
      </c>
      <c r="P44" s="824">
        <v>2031</v>
      </c>
      <c r="Q44" s="824">
        <v>10.350569999999999</v>
      </c>
      <c r="R44" s="824">
        <v>44.150930000000002</v>
      </c>
      <c r="S44" s="824">
        <v>6.6446199999999997</v>
      </c>
      <c r="T44" s="824">
        <v>25</v>
      </c>
      <c r="U44" s="824">
        <v>1</v>
      </c>
      <c r="V44" s="824">
        <v>5</v>
      </c>
      <c r="W44" s="824">
        <v>15</v>
      </c>
      <c r="X44" s="824">
        <v>9</v>
      </c>
      <c r="Y44" s="824">
        <v>3</v>
      </c>
      <c r="Z44" s="480" t="str">
        <f t="shared" si="0"/>
        <v/>
      </c>
    </row>
    <row r="45" spans="1:26">
      <c r="A45" s="825" t="s">
        <v>287</v>
      </c>
      <c r="B45" s="826">
        <v>22003</v>
      </c>
      <c r="C45" s="827"/>
      <c r="D45" s="828">
        <v>10.677630000000001</v>
      </c>
      <c r="E45" s="828">
        <v>7.1114199999999999</v>
      </c>
      <c r="F45" s="828">
        <v>50.572330000000001</v>
      </c>
      <c r="G45" s="828">
        <v>27</v>
      </c>
      <c r="H45" s="828">
        <v>1</v>
      </c>
      <c r="I45" s="828">
        <v>5</v>
      </c>
      <c r="J45" s="828">
        <v>16</v>
      </c>
      <c r="K45" s="828">
        <v>9</v>
      </c>
      <c r="L45" s="828">
        <v>3</v>
      </c>
      <c r="N45" s="222" t="s">
        <v>287</v>
      </c>
      <c r="O45" s="222" t="s">
        <v>1911</v>
      </c>
      <c r="P45" s="824">
        <v>22003</v>
      </c>
      <c r="Q45" s="824">
        <v>10.677630000000001</v>
      </c>
      <c r="R45" s="824">
        <v>50.572330000000001</v>
      </c>
      <c r="S45" s="824">
        <v>7.1114199999999999</v>
      </c>
      <c r="T45" s="824">
        <v>27</v>
      </c>
      <c r="U45" s="824">
        <v>1</v>
      </c>
      <c r="V45" s="824">
        <v>5</v>
      </c>
      <c r="W45" s="824">
        <v>16</v>
      </c>
      <c r="X45" s="824">
        <v>9</v>
      </c>
      <c r="Y45" s="824">
        <v>3</v>
      </c>
      <c r="Z45" s="480" t="str">
        <f t="shared" si="0"/>
        <v/>
      </c>
    </row>
    <row r="46" spans="1:26">
      <c r="A46" s="825" t="s">
        <v>288</v>
      </c>
      <c r="B46" s="826">
        <v>10037</v>
      </c>
      <c r="C46" s="827"/>
      <c r="D46" s="828">
        <v>11.075519999999999</v>
      </c>
      <c r="E46" s="828">
        <v>7.2356600000000002</v>
      </c>
      <c r="F46" s="828">
        <v>52.354799999999997</v>
      </c>
      <c r="G46" s="828">
        <v>27</v>
      </c>
      <c r="H46" s="828">
        <v>1</v>
      </c>
      <c r="I46" s="828">
        <v>5</v>
      </c>
      <c r="J46" s="828">
        <v>16</v>
      </c>
      <c r="K46" s="828">
        <v>10</v>
      </c>
      <c r="L46" s="828">
        <v>3</v>
      </c>
      <c r="N46" s="222" t="s">
        <v>288</v>
      </c>
      <c r="O46" s="222" t="s">
        <v>1912</v>
      </c>
      <c r="P46" s="824">
        <v>10037</v>
      </c>
      <c r="Q46" s="824">
        <v>11.075519999999999</v>
      </c>
      <c r="R46" s="824">
        <v>52.354799999999997</v>
      </c>
      <c r="S46" s="824">
        <v>7.2356600000000002</v>
      </c>
      <c r="T46" s="824">
        <v>27</v>
      </c>
      <c r="U46" s="824">
        <v>1</v>
      </c>
      <c r="V46" s="824">
        <v>5</v>
      </c>
      <c r="W46" s="824">
        <v>16</v>
      </c>
      <c r="X46" s="824">
        <v>10</v>
      </c>
      <c r="Y46" s="824">
        <v>3</v>
      </c>
      <c r="Z46" s="480" t="str">
        <f t="shared" si="0"/>
        <v/>
      </c>
    </row>
    <row r="47" spans="1:26">
      <c r="A47" s="825" t="s">
        <v>289</v>
      </c>
      <c r="B47" s="826">
        <v>8497</v>
      </c>
      <c r="C47" s="827"/>
      <c r="D47" s="828">
        <v>10.67459</v>
      </c>
      <c r="E47" s="828">
        <v>7.5915699999999999</v>
      </c>
      <c r="F47" s="828">
        <v>57.631970000000003</v>
      </c>
      <c r="G47" s="828">
        <v>30</v>
      </c>
      <c r="H47" s="828">
        <v>1</v>
      </c>
      <c r="I47" s="828">
        <v>4</v>
      </c>
      <c r="J47" s="828">
        <v>16</v>
      </c>
      <c r="K47" s="828">
        <v>9</v>
      </c>
      <c r="L47" s="828">
        <v>2</v>
      </c>
      <c r="N47" s="222" t="s">
        <v>289</v>
      </c>
      <c r="O47" s="222" t="s">
        <v>1913</v>
      </c>
      <c r="P47" s="824">
        <v>8497</v>
      </c>
      <c r="Q47" s="824">
        <v>10.67459</v>
      </c>
      <c r="R47" s="824">
        <v>57.631970000000003</v>
      </c>
      <c r="S47" s="824">
        <v>7.5915699999999999</v>
      </c>
      <c r="T47" s="824">
        <v>30</v>
      </c>
      <c r="U47" s="824">
        <v>1</v>
      </c>
      <c r="V47" s="824">
        <v>4</v>
      </c>
      <c r="W47" s="824">
        <v>16</v>
      </c>
      <c r="X47" s="824">
        <v>9</v>
      </c>
      <c r="Y47" s="824">
        <v>2</v>
      </c>
      <c r="Z47" s="480" t="str">
        <f t="shared" si="0"/>
        <v/>
      </c>
    </row>
    <row r="48" spans="1:26">
      <c r="A48" s="825" t="s">
        <v>290</v>
      </c>
      <c r="B48" s="826">
        <v>26626</v>
      </c>
      <c r="C48" s="827"/>
      <c r="D48" s="828">
        <v>9.6625899999999998</v>
      </c>
      <c r="E48" s="828">
        <v>6.36653</v>
      </c>
      <c r="F48" s="828">
        <v>40.532760000000003</v>
      </c>
      <c r="G48" s="828">
        <v>24</v>
      </c>
      <c r="H48" s="828">
        <v>1</v>
      </c>
      <c r="I48" s="828">
        <v>4</v>
      </c>
      <c r="J48" s="828">
        <v>14</v>
      </c>
      <c r="K48" s="828">
        <v>8</v>
      </c>
      <c r="L48" s="828">
        <v>2</v>
      </c>
      <c r="N48" s="222" t="s">
        <v>290</v>
      </c>
      <c r="O48" s="222" t="s">
        <v>1914</v>
      </c>
      <c r="P48" s="824">
        <v>26626</v>
      </c>
      <c r="Q48" s="824">
        <v>9.6625899999999998</v>
      </c>
      <c r="R48" s="824">
        <v>40.532760000000003</v>
      </c>
      <c r="S48" s="824">
        <v>6.36653</v>
      </c>
      <c r="T48" s="824">
        <v>24</v>
      </c>
      <c r="U48" s="824">
        <v>1</v>
      </c>
      <c r="V48" s="824">
        <v>4</v>
      </c>
      <c r="W48" s="824">
        <v>14</v>
      </c>
      <c r="X48" s="824">
        <v>8</v>
      </c>
      <c r="Y48" s="824">
        <v>2</v>
      </c>
      <c r="Z48" s="480" t="str">
        <f t="shared" si="0"/>
        <v/>
      </c>
    </row>
    <row r="49" spans="1:26">
      <c r="A49" s="825" t="s">
        <v>291</v>
      </c>
      <c r="B49" s="826">
        <v>30374</v>
      </c>
      <c r="C49" s="827"/>
      <c r="D49" s="828">
        <v>10.87055</v>
      </c>
      <c r="E49" s="828">
        <v>6.9743599999999999</v>
      </c>
      <c r="F49" s="828">
        <v>48.641719999999999</v>
      </c>
      <c r="G49" s="828">
        <v>26</v>
      </c>
      <c r="H49" s="828">
        <v>1</v>
      </c>
      <c r="I49" s="828">
        <v>5</v>
      </c>
      <c r="J49" s="828">
        <v>16</v>
      </c>
      <c r="K49" s="828">
        <v>10</v>
      </c>
      <c r="L49" s="828">
        <v>2</v>
      </c>
      <c r="N49" s="222" t="s">
        <v>291</v>
      </c>
      <c r="O49" s="222" t="s">
        <v>1915</v>
      </c>
      <c r="P49" s="824">
        <v>30374</v>
      </c>
      <c r="Q49" s="824">
        <v>10.87055</v>
      </c>
      <c r="R49" s="824">
        <v>48.641719999999999</v>
      </c>
      <c r="S49" s="824">
        <v>6.9743599999999999</v>
      </c>
      <c r="T49" s="824">
        <v>26</v>
      </c>
      <c r="U49" s="824">
        <v>1</v>
      </c>
      <c r="V49" s="824">
        <v>5</v>
      </c>
      <c r="W49" s="824">
        <v>16</v>
      </c>
      <c r="X49" s="824">
        <v>10</v>
      </c>
      <c r="Y49" s="824">
        <v>2</v>
      </c>
      <c r="Z49" s="480" t="str">
        <f t="shared" si="0"/>
        <v/>
      </c>
    </row>
    <row r="50" spans="1:26">
      <c r="A50" s="825" t="s">
        <v>292</v>
      </c>
      <c r="B50" s="826">
        <v>15542</v>
      </c>
      <c r="C50" s="827"/>
      <c r="D50" s="828">
        <v>10.81766</v>
      </c>
      <c r="E50" s="828">
        <v>6.8346799999999996</v>
      </c>
      <c r="F50" s="828">
        <v>46.712899999999998</v>
      </c>
      <c r="G50" s="828">
        <v>26</v>
      </c>
      <c r="H50" s="828">
        <v>1</v>
      </c>
      <c r="I50" s="828">
        <v>5</v>
      </c>
      <c r="J50" s="828">
        <v>16</v>
      </c>
      <c r="K50" s="828">
        <v>10</v>
      </c>
      <c r="L50" s="828">
        <v>5</v>
      </c>
      <c r="N50" s="222" t="s">
        <v>292</v>
      </c>
      <c r="O50" s="222" t="s">
        <v>1916</v>
      </c>
      <c r="P50" s="824">
        <v>15542</v>
      </c>
      <c r="Q50" s="824">
        <v>10.81766</v>
      </c>
      <c r="R50" s="824">
        <v>46.712899999999998</v>
      </c>
      <c r="S50" s="824">
        <v>6.8346799999999996</v>
      </c>
      <c r="T50" s="824">
        <v>26</v>
      </c>
      <c r="U50" s="824">
        <v>1</v>
      </c>
      <c r="V50" s="824">
        <v>5</v>
      </c>
      <c r="W50" s="824">
        <v>16</v>
      </c>
      <c r="X50" s="824">
        <v>10</v>
      </c>
      <c r="Y50" s="824">
        <v>5</v>
      </c>
      <c r="Z50" s="480" t="str">
        <f t="shared" si="0"/>
        <v/>
      </c>
    </row>
    <row r="51" spans="1:26">
      <c r="A51" s="825" t="s">
        <v>293</v>
      </c>
      <c r="B51" s="826">
        <v>12895</v>
      </c>
      <c r="C51" s="827"/>
      <c r="D51" s="828">
        <v>11.88166</v>
      </c>
      <c r="E51" s="828">
        <v>7.5714300000000003</v>
      </c>
      <c r="F51" s="828">
        <v>57.326619999999998</v>
      </c>
      <c r="G51" s="828">
        <v>29</v>
      </c>
      <c r="H51" s="828">
        <v>1</v>
      </c>
      <c r="I51" s="828">
        <v>5</v>
      </c>
      <c r="J51" s="828">
        <v>17</v>
      </c>
      <c r="K51" s="828">
        <v>11</v>
      </c>
      <c r="L51" s="828">
        <v>3</v>
      </c>
      <c r="N51" s="222" t="s">
        <v>293</v>
      </c>
      <c r="O51" s="222" t="s">
        <v>1917</v>
      </c>
      <c r="P51" s="824">
        <v>12895</v>
      </c>
      <c r="Q51" s="824">
        <v>11.88166</v>
      </c>
      <c r="R51" s="824">
        <v>57.326619999999998</v>
      </c>
      <c r="S51" s="824">
        <v>7.5714300000000003</v>
      </c>
      <c r="T51" s="824">
        <v>29</v>
      </c>
      <c r="U51" s="824">
        <v>1</v>
      </c>
      <c r="V51" s="824">
        <v>5</v>
      </c>
      <c r="W51" s="824">
        <v>17</v>
      </c>
      <c r="X51" s="824">
        <v>11</v>
      </c>
      <c r="Y51" s="824">
        <v>3</v>
      </c>
      <c r="Z51" s="480" t="str">
        <f t="shared" si="0"/>
        <v/>
      </c>
    </row>
    <row r="52" spans="1:26">
      <c r="A52" s="825" t="s">
        <v>294</v>
      </c>
      <c r="B52" s="826">
        <v>776</v>
      </c>
      <c r="C52" s="827"/>
      <c r="D52" s="828">
        <v>11.279640000000001</v>
      </c>
      <c r="E52" s="828">
        <v>6.8678100000000004</v>
      </c>
      <c r="F52" s="828">
        <v>47.16686</v>
      </c>
      <c r="G52" s="828">
        <v>26</v>
      </c>
      <c r="H52" s="828">
        <v>1</v>
      </c>
      <c r="I52" s="828">
        <v>5</v>
      </c>
      <c r="J52" s="828">
        <v>17</v>
      </c>
      <c r="K52" s="828">
        <v>11</v>
      </c>
      <c r="L52" s="828">
        <v>2</v>
      </c>
      <c r="N52" s="222" t="s">
        <v>294</v>
      </c>
      <c r="O52" s="222" t="s">
        <v>295</v>
      </c>
      <c r="P52" s="824">
        <v>776</v>
      </c>
      <c r="Q52" s="824">
        <v>11.279640000000001</v>
      </c>
      <c r="R52" s="824">
        <v>47.16686</v>
      </c>
      <c r="S52" s="824">
        <v>6.8678100000000004</v>
      </c>
      <c r="T52" s="824">
        <v>26</v>
      </c>
      <c r="U52" s="824">
        <v>1</v>
      </c>
      <c r="V52" s="824">
        <v>5</v>
      </c>
      <c r="W52" s="824">
        <v>17</v>
      </c>
      <c r="X52" s="824">
        <v>11</v>
      </c>
      <c r="Y52" s="824">
        <v>2</v>
      </c>
      <c r="Z52" s="480" t="str">
        <f t="shared" si="0"/>
        <v/>
      </c>
    </row>
    <row r="53" spans="1:26">
      <c r="A53" s="825" t="s">
        <v>296</v>
      </c>
      <c r="B53" s="826">
        <v>83562</v>
      </c>
      <c r="C53" s="827"/>
      <c r="D53" s="828">
        <v>11.8492</v>
      </c>
      <c r="E53" s="828">
        <v>7.8148900000000001</v>
      </c>
      <c r="F53" s="828">
        <v>61.072569999999999</v>
      </c>
      <c r="G53" s="828">
        <v>30</v>
      </c>
      <c r="H53" s="828">
        <v>1</v>
      </c>
      <c r="I53" s="828">
        <v>5</v>
      </c>
      <c r="J53" s="828">
        <v>17</v>
      </c>
      <c r="K53" s="828">
        <v>10</v>
      </c>
      <c r="L53" s="828">
        <v>3</v>
      </c>
      <c r="N53" s="222" t="s">
        <v>296</v>
      </c>
      <c r="O53" s="222" t="s">
        <v>1918</v>
      </c>
      <c r="P53" s="824">
        <v>83562</v>
      </c>
      <c r="Q53" s="824">
        <v>11.8492</v>
      </c>
      <c r="R53" s="824">
        <v>61.072569999999999</v>
      </c>
      <c r="S53" s="824">
        <v>7.8148900000000001</v>
      </c>
      <c r="T53" s="824">
        <v>30</v>
      </c>
      <c r="U53" s="824">
        <v>1</v>
      </c>
      <c r="V53" s="824">
        <v>5</v>
      </c>
      <c r="W53" s="824">
        <v>17</v>
      </c>
      <c r="X53" s="824">
        <v>10</v>
      </c>
      <c r="Y53" s="824">
        <v>3</v>
      </c>
      <c r="Z53" s="480" t="str">
        <f t="shared" si="0"/>
        <v/>
      </c>
    </row>
    <row r="54" spans="1:26">
      <c r="A54" s="825" t="s">
        <v>297</v>
      </c>
      <c r="B54" s="826">
        <v>84652</v>
      </c>
      <c r="C54" s="827"/>
      <c r="D54" s="828">
        <v>10.68294</v>
      </c>
      <c r="E54" s="828">
        <v>7.0026700000000002</v>
      </c>
      <c r="F54" s="828">
        <v>49.03734</v>
      </c>
      <c r="G54" s="828">
        <v>27</v>
      </c>
      <c r="H54" s="828">
        <v>1</v>
      </c>
      <c r="I54" s="828">
        <v>5</v>
      </c>
      <c r="J54" s="828">
        <v>16</v>
      </c>
      <c r="K54" s="828">
        <v>9</v>
      </c>
      <c r="L54" s="828">
        <v>3</v>
      </c>
      <c r="N54" s="222" t="s">
        <v>297</v>
      </c>
      <c r="O54" s="222" t="s">
        <v>1919</v>
      </c>
      <c r="P54" s="824">
        <v>84652</v>
      </c>
      <c r="Q54" s="824">
        <v>10.68294</v>
      </c>
      <c r="R54" s="824">
        <v>49.03734</v>
      </c>
      <c r="S54" s="824">
        <v>7.0026700000000002</v>
      </c>
      <c r="T54" s="824">
        <v>27</v>
      </c>
      <c r="U54" s="824">
        <v>1</v>
      </c>
      <c r="V54" s="824">
        <v>5</v>
      </c>
      <c r="W54" s="824">
        <v>16</v>
      </c>
      <c r="X54" s="824">
        <v>9</v>
      </c>
      <c r="Y54" s="824">
        <v>3</v>
      </c>
      <c r="Z54" s="480" t="str">
        <f t="shared" si="0"/>
        <v/>
      </c>
    </row>
    <row r="55" spans="1:26">
      <c r="A55" s="825" t="s">
        <v>298</v>
      </c>
      <c r="B55" s="826">
        <v>13389</v>
      </c>
      <c r="C55" s="827"/>
      <c r="D55" s="828">
        <v>9.6290200000000006</v>
      </c>
      <c r="E55" s="828">
        <v>6.3222399999999999</v>
      </c>
      <c r="F55" s="828">
        <v>39.970750000000002</v>
      </c>
      <c r="G55" s="828">
        <v>24</v>
      </c>
      <c r="H55" s="828">
        <v>1</v>
      </c>
      <c r="I55" s="828">
        <v>4</v>
      </c>
      <c r="J55" s="828">
        <v>14</v>
      </c>
      <c r="K55" s="828">
        <v>8</v>
      </c>
      <c r="L55" s="828">
        <v>2</v>
      </c>
      <c r="N55" s="222" t="s">
        <v>298</v>
      </c>
      <c r="O55" s="222" t="s">
        <v>1920</v>
      </c>
      <c r="P55" s="824">
        <v>13389</v>
      </c>
      <c r="Q55" s="824">
        <v>9.6290200000000006</v>
      </c>
      <c r="R55" s="824">
        <v>39.970750000000002</v>
      </c>
      <c r="S55" s="824">
        <v>6.3222399999999999</v>
      </c>
      <c r="T55" s="824">
        <v>24</v>
      </c>
      <c r="U55" s="824">
        <v>1</v>
      </c>
      <c r="V55" s="824">
        <v>4</v>
      </c>
      <c r="W55" s="824">
        <v>14</v>
      </c>
      <c r="X55" s="824">
        <v>8</v>
      </c>
      <c r="Y55" s="824">
        <v>2</v>
      </c>
      <c r="Z55" s="480" t="str">
        <f t="shared" si="0"/>
        <v/>
      </c>
    </row>
    <row r="56" spans="1:26">
      <c r="A56" s="825" t="s">
        <v>299</v>
      </c>
      <c r="B56" s="826">
        <v>48908</v>
      </c>
      <c r="C56" s="827"/>
      <c r="D56" s="828">
        <v>11.60209</v>
      </c>
      <c r="E56" s="828">
        <v>7.5731999999999999</v>
      </c>
      <c r="F56" s="828">
        <v>57.353409999999997</v>
      </c>
      <c r="G56" s="828">
        <v>29</v>
      </c>
      <c r="H56" s="828">
        <v>1</v>
      </c>
      <c r="I56" s="828">
        <v>5</v>
      </c>
      <c r="J56" s="828">
        <v>17</v>
      </c>
      <c r="K56" s="828">
        <v>10</v>
      </c>
      <c r="L56" s="828">
        <v>3</v>
      </c>
      <c r="N56" s="222" t="s">
        <v>299</v>
      </c>
      <c r="O56" s="222" t="s">
        <v>1921</v>
      </c>
      <c r="P56" s="824">
        <v>48908</v>
      </c>
      <c r="Q56" s="824">
        <v>11.60209</v>
      </c>
      <c r="R56" s="824">
        <v>57.353409999999997</v>
      </c>
      <c r="S56" s="824">
        <v>7.5731999999999999</v>
      </c>
      <c r="T56" s="824">
        <v>29</v>
      </c>
      <c r="U56" s="824">
        <v>1</v>
      </c>
      <c r="V56" s="824">
        <v>5</v>
      </c>
      <c r="W56" s="824">
        <v>17</v>
      </c>
      <c r="X56" s="824">
        <v>10</v>
      </c>
      <c r="Y56" s="824">
        <v>3</v>
      </c>
      <c r="Z56" s="480" t="str">
        <f t="shared" si="0"/>
        <v/>
      </c>
    </row>
    <row r="57" spans="1:26">
      <c r="A57" s="825" t="s">
        <v>300</v>
      </c>
      <c r="B57" s="826">
        <v>51841</v>
      </c>
      <c r="C57" s="827"/>
      <c r="D57" s="828">
        <v>11.295349999999999</v>
      </c>
      <c r="E57" s="828">
        <v>7.2075300000000002</v>
      </c>
      <c r="F57" s="828">
        <v>51.948509999999999</v>
      </c>
      <c r="G57" s="828">
        <v>27</v>
      </c>
      <c r="H57" s="828">
        <v>1</v>
      </c>
      <c r="I57" s="828">
        <v>5</v>
      </c>
      <c r="J57" s="828">
        <v>17</v>
      </c>
      <c r="K57" s="828">
        <v>10</v>
      </c>
      <c r="L57" s="828">
        <v>2</v>
      </c>
      <c r="N57" s="222" t="s">
        <v>300</v>
      </c>
      <c r="O57" s="222" t="s">
        <v>1922</v>
      </c>
      <c r="P57" s="824">
        <v>51841</v>
      </c>
      <c r="Q57" s="824">
        <v>11.295349999999999</v>
      </c>
      <c r="R57" s="824">
        <v>51.948509999999999</v>
      </c>
      <c r="S57" s="824">
        <v>7.2075300000000002</v>
      </c>
      <c r="T57" s="824">
        <v>27</v>
      </c>
      <c r="U57" s="824">
        <v>1</v>
      </c>
      <c r="V57" s="824">
        <v>5</v>
      </c>
      <c r="W57" s="824">
        <v>17</v>
      </c>
      <c r="X57" s="824">
        <v>10</v>
      </c>
      <c r="Y57" s="824">
        <v>2</v>
      </c>
      <c r="Z57" s="480" t="str">
        <f t="shared" si="0"/>
        <v/>
      </c>
    </row>
    <row r="58" spans="1:26">
      <c r="A58" s="825" t="s">
        <v>301</v>
      </c>
      <c r="B58" s="826">
        <v>7164</v>
      </c>
      <c r="C58" s="827"/>
      <c r="D58" s="828">
        <v>12.23227</v>
      </c>
      <c r="E58" s="828">
        <v>7.64961</v>
      </c>
      <c r="F58" s="828">
        <v>58.516469999999998</v>
      </c>
      <c r="G58" s="828">
        <v>29</v>
      </c>
      <c r="H58" s="828">
        <v>1</v>
      </c>
      <c r="I58" s="828">
        <v>6</v>
      </c>
      <c r="J58" s="828">
        <v>18</v>
      </c>
      <c r="K58" s="828">
        <v>11</v>
      </c>
      <c r="L58" s="828">
        <v>3</v>
      </c>
      <c r="N58" s="222" t="s">
        <v>301</v>
      </c>
      <c r="O58" s="222" t="s">
        <v>1923</v>
      </c>
      <c r="P58" s="824">
        <v>7164</v>
      </c>
      <c r="Q58" s="824">
        <v>12.23227</v>
      </c>
      <c r="R58" s="824">
        <v>58.516469999999998</v>
      </c>
      <c r="S58" s="824">
        <v>7.64961</v>
      </c>
      <c r="T58" s="824">
        <v>29</v>
      </c>
      <c r="U58" s="824">
        <v>1</v>
      </c>
      <c r="V58" s="824">
        <v>6</v>
      </c>
      <c r="W58" s="824">
        <v>18</v>
      </c>
      <c r="X58" s="824">
        <v>11</v>
      </c>
      <c r="Y58" s="824">
        <v>3</v>
      </c>
      <c r="Z58" s="480" t="str">
        <f t="shared" si="0"/>
        <v/>
      </c>
    </row>
    <row r="59" spans="1:26">
      <c r="A59" s="825" t="s">
        <v>302</v>
      </c>
      <c r="B59" s="826">
        <v>54056</v>
      </c>
      <c r="C59" s="827"/>
      <c r="D59" s="828">
        <v>11.723660000000001</v>
      </c>
      <c r="E59" s="828">
        <v>7.40707</v>
      </c>
      <c r="F59" s="828">
        <v>54.864669999999997</v>
      </c>
      <c r="G59" s="828">
        <v>28</v>
      </c>
      <c r="H59" s="828">
        <v>1</v>
      </c>
      <c r="I59" s="828">
        <v>5</v>
      </c>
      <c r="J59" s="828">
        <v>17</v>
      </c>
      <c r="K59" s="828">
        <v>11</v>
      </c>
      <c r="L59" s="828">
        <v>4</v>
      </c>
      <c r="N59" s="222" t="s">
        <v>302</v>
      </c>
      <c r="O59" s="222" t="s">
        <v>1924</v>
      </c>
      <c r="P59" s="824">
        <v>54056</v>
      </c>
      <c r="Q59" s="824">
        <v>11.723660000000001</v>
      </c>
      <c r="R59" s="824">
        <v>54.864669999999997</v>
      </c>
      <c r="S59" s="824">
        <v>7.40707</v>
      </c>
      <c r="T59" s="824">
        <v>28</v>
      </c>
      <c r="U59" s="824">
        <v>1</v>
      </c>
      <c r="V59" s="824">
        <v>5</v>
      </c>
      <c r="W59" s="824">
        <v>17</v>
      </c>
      <c r="X59" s="824">
        <v>11</v>
      </c>
      <c r="Y59" s="824">
        <v>4</v>
      </c>
      <c r="Z59" s="480" t="str">
        <f t="shared" si="0"/>
        <v/>
      </c>
    </row>
    <row r="60" spans="1:26">
      <c r="A60" s="825" t="s">
        <v>303</v>
      </c>
      <c r="B60" s="826">
        <v>28533</v>
      </c>
      <c r="C60" s="827"/>
      <c r="D60" s="828">
        <v>11.325200000000001</v>
      </c>
      <c r="E60" s="828">
        <v>7.2405099999999996</v>
      </c>
      <c r="F60" s="828">
        <v>52.425049999999999</v>
      </c>
      <c r="G60" s="828">
        <v>27</v>
      </c>
      <c r="H60" s="828">
        <v>1</v>
      </c>
      <c r="I60" s="828">
        <v>5</v>
      </c>
      <c r="J60" s="828">
        <v>17</v>
      </c>
      <c r="K60" s="828">
        <v>10</v>
      </c>
      <c r="L60" s="828">
        <v>3</v>
      </c>
      <c r="N60" s="222" t="s">
        <v>303</v>
      </c>
      <c r="O60" s="222" t="s">
        <v>1925</v>
      </c>
      <c r="P60" s="824">
        <v>28533</v>
      </c>
      <c r="Q60" s="824">
        <v>11.325200000000001</v>
      </c>
      <c r="R60" s="824">
        <v>52.425049999999999</v>
      </c>
      <c r="S60" s="824">
        <v>7.2405099999999996</v>
      </c>
      <c r="T60" s="824">
        <v>27</v>
      </c>
      <c r="U60" s="824">
        <v>1</v>
      </c>
      <c r="V60" s="824">
        <v>5</v>
      </c>
      <c r="W60" s="824">
        <v>17</v>
      </c>
      <c r="X60" s="824">
        <v>10</v>
      </c>
      <c r="Y60" s="824">
        <v>3</v>
      </c>
      <c r="Z60" s="480" t="str">
        <f t="shared" si="0"/>
        <v/>
      </c>
    </row>
    <row r="61" spans="1:26">
      <c r="A61" s="825" t="s">
        <v>304</v>
      </c>
      <c r="B61" s="826">
        <v>36081</v>
      </c>
      <c r="C61" s="827"/>
      <c r="D61" s="828">
        <v>10.8477</v>
      </c>
      <c r="E61" s="828">
        <v>6.97682</v>
      </c>
      <c r="F61" s="828">
        <v>48.676000000000002</v>
      </c>
      <c r="G61" s="828">
        <v>26</v>
      </c>
      <c r="H61" s="828">
        <v>1</v>
      </c>
      <c r="I61" s="828">
        <v>5</v>
      </c>
      <c r="J61" s="828">
        <v>16</v>
      </c>
      <c r="K61" s="828">
        <v>10</v>
      </c>
      <c r="L61" s="828">
        <v>3</v>
      </c>
      <c r="N61" s="222" t="s">
        <v>304</v>
      </c>
      <c r="O61" s="222" t="s">
        <v>1926</v>
      </c>
      <c r="P61" s="824">
        <v>36081</v>
      </c>
      <c r="Q61" s="824">
        <v>10.8477</v>
      </c>
      <c r="R61" s="824">
        <v>48.676000000000002</v>
      </c>
      <c r="S61" s="824">
        <v>6.97682</v>
      </c>
      <c r="T61" s="824">
        <v>26</v>
      </c>
      <c r="U61" s="824">
        <v>1</v>
      </c>
      <c r="V61" s="824">
        <v>5</v>
      </c>
      <c r="W61" s="824">
        <v>16</v>
      </c>
      <c r="X61" s="824">
        <v>10</v>
      </c>
      <c r="Y61" s="824">
        <v>3</v>
      </c>
      <c r="Z61" s="480" t="str">
        <f t="shared" si="0"/>
        <v/>
      </c>
    </row>
    <row r="62" spans="1:26">
      <c r="A62" s="825" t="s">
        <v>305</v>
      </c>
      <c r="B62" s="826">
        <v>942204</v>
      </c>
      <c r="C62" s="827"/>
      <c r="D62" s="828">
        <v>11.124180000000001</v>
      </c>
      <c r="E62" s="828">
        <v>8.5746900000000004</v>
      </c>
      <c r="F62" s="828">
        <v>73.525310000000005</v>
      </c>
      <c r="G62" s="828">
        <v>143</v>
      </c>
      <c r="H62" s="828">
        <v>1</v>
      </c>
      <c r="I62" s="828">
        <v>5</v>
      </c>
      <c r="J62" s="828">
        <v>15</v>
      </c>
      <c r="K62" s="828">
        <v>9</v>
      </c>
      <c r="L62" s="828">
        <v>7</v>
      </c>
      <c r="N62" s="222" t="s">
        <v>305</v>
      </c>
      <c r="O62" s="222" t="s">
        <v>1927</v>
      </c>
      <c r="P62" s="824">
        <v>942204</v>
      </c>
      <c r="Q62" s="824">
        <v>11.124180000000001</v>
      </c>
      <c r="R62" s="824">
        <v>73.525310000000005</v>
      </c>
      <c r="S62" s="824">
        <v>8.5746900000000004</v>
      </c>
      <c r="T62" s="824">
        <v>143</v>
      </c>
      <c r="U62" s="824">
        <v>1</v>
      </c>
      <c r="V62" s="824">
        <v>5</v>
      </c>
      <c r="W62" s="824">
        <v>15</v>
      </c>
      <c r="X62" s="824">
        <v>9</v>
      </c>
      <c r="Y62" s="824">
        <v>7</v>
      </c>
      <c r="Z62" s="480" t="str">
        <f t="shared" si="0"/>
        <v/>
      </c>
    </row>
    <row r="63" spans="1:26">
      <c r="A63" s="825" t="s">
        <v>306</v>
      </c>
      <c r="B63" s="826">
        <v>47923</v>
      </c>
      <c r="C63" s="827"/>
      <c r="D63" s="828">
        <v>9.7001899999999992</v>
      </c>
      <c r="E63" s="828">
        <v>5.77135</v>
      </c>
      <c r="F63" s="828">
        <v>33.308509999999998</v>
      </c>
      <c r="G63" s="828">
        <v>22</v>
      </c>
      <c r="H63" s="828">
        <v>1</v>
      </c>
      <c r="I63" s="828">
        <v>5</v>
      </c>
      <c r="J63" s="828">
        <v>14</v>
      </c>
      <c r="K63" s="828">
        <v>9</v>
      </c>
      <c r="L63" s="828">
        <v>5</v>
      </c>
      <c r="N63" s="222" t="s">
        <v>306</v>
      </c>
      <c r="O63" s="222" t="s">
        <v>1928</v>
      </c>
      <c r="P63" s="824">
        <v>47923</v>
      </c>
      <c r="Q63" s="824">
        <v>9.7001899999999992</v>
      </c>
      <c r="R63" s="824">
        <v>33.308509999999998</v>
      </c>
      <c r="S63" s="824">
        <v>5.77135</v>
      </c>
      <c r="T63" s="824">
        <v>22</v>
      </c>
      <c r="U63" s="824">
        <v>1</v>
      </c>
      <c r="V63" s="824">
        <v>5</v>
      </c>
      <c r="W63" s="824">
        <v>14</v>
      </c>
      <c r="X63" s="824">
        <v>9</v>
      </c>
      <c r="Y63" s="824">
        <v>5</v>
      </c>
      <c r="Z63" s="480" t="str">
        <f t="shared" si="0"/>
        <v/>
      </c>
    </row>
    <row r="64" spans="1:26">
      <c r="A64" s="825" t="s">
        <v>307</v>
      </c>
      <c r="B64" s="826">
        <v>2627</v>
      </c>
      <c r="C64" s="827"/>
      <c r="D64" s="828">
        <v>9.2455300000000005</v>
      </c>
      <c r="E64" s="828">
        <v>5.5051300000000003</v>
      </c>
      <c r="F64" s="828">
        <v>30.30641</v>
      </c>
      <c r="G64" s="828">
        <v>21</v>
      </c>
      <c r="H64" s="828">
        <v>1</v>
      </c>
      <c r="I64" s="828">
        <v>5</v>
      </c>
      <c r="J64" s="828">
        <v>13</v>
      </c>
      <c r="K64" s="828">
        <v>9</v>
      </c>
      <c r="L64" s="828">
        <v>4</v>
      </c>
      <c r="N64" s="222" t="s">
        <v>307</v>
      </c>
      <c r="O64" s="222" t="s">
        <v>308</v>
      </c>
      <c r="P64" s="824">
        <v>2627</v>
      </c>
      <c r="Q64" s="824">
        <v>9.2455300000000005</v>
      </c>
      <c r="R64" s="824">
        <v>30.30641</v>
      </c>
      <c r="S64" s="824">
        <v>5.5051300000000003</v>
      </c>
      <c r="T64" s="824">
        <v>21</v>
      </c>
      <c r="U64" s="824">
        <v>1</v>
      </c>
      <c r="V64" s="824">
        <v>5</v>
      </c>
      <c r="W64" s="824">
        <v>13</v>
      </c>
      <c r="X64" s="824">
        <v>9</v>
      </c>
      <c r="Y64" s="824">
        <v>4</v>
      </c>
      <c r="Z64" s="480" t="str">
        <f t="shared" si="0"/>
        <v/>
      </c>
    </row>
    <row r="65" spans="1:26">
      <c r="A65" s="825" t="s">
        <v>309</v>
      </c>
      <c r="B65" s="826">
        <v>196473</v>
      </c>
      <c r="C65" s="827"/>
      <c r="D65" s="828">
        <v>9.2048400000000008</v>
      </c>
      <c r="E65" s="828">
        <v>5.4366899999999996</v>
      </c>
      <c r="F65" s="828">
        <v>29.557549999999999</v>
      </c>
      <c r="G65" s="828">
        <v>21</v>
      </c>
      <c r="H65" s="828">
        <v>1</v>
      </c>
      <c r="I65" s="828">
        <v>5</v>
      </c>
      <c r="J65" s="828">
        <v>13</v>
      </c>
      <c r="K65" s="828">
        <v>9</v>
      </c>
      <c r="L65" s="828">
        <v>3</v>
      </c>
      <c r="N65" s="222" t="s">
        <v>309</v>
      </c>
      <c r="O65" s="222" t="s">
        <v>1929</v>
      </c>
      <c r="P65" s="824">
        <v>196473</v>
      </c>
      <c r="Q65" s="824">
        <v>9.2048400000000008</v>
      </c>
      <c r="R65" s="824">
        <v>29.557549999999999</v>
      </c>
      <c r="S65" s="824">
        <v>5.4366899999999996</v>
      </c>
      <c r="T65" s="824">
        <v>21</v>
      </c>
      <c r="U65" s="824">
        <v>1</v>
      </c>
      <c r="V65" s="824">
        <v>5</v>
      </c>
      <c r="W65" s="824">
        <v>13</v>
      </c>
      <c r="X65" s="824">
        <v>9</v>
      </c>
      <c r="Y65" s="824">
        <v>3</v>
      </c>
      <c r="Z65" s="480" t="str">
        <f t="shared" si="0"/>
        <v/>
      </c>
    </row>
    <row r="66" spans="1:26">
      <c r="A66" s="825" t="s">
        <v>310</v>
      </c>
      <c r="B66" s="826">
        <v>29605</v>
      </c>
      <c r="C66" s="827"/>
      <c r="D66" s="828">
        <v>10.366390000000001</v>
      </c>
      <c r="E66" s="828">
        <v>6.6528600000000004</v>
      </c>
      <c r="F66" s="828">
        <v>44.260530000000003</v>
      </c>
      <c r="G66" s="828">
        <v>25</v>
      </c>
      <c r="H66" s="828">
        <v>1</v>
      </c>
      <c r="I66" s="828">
        <v>5</v>
      </c>
      <c r="J66" s="828">
        <v>15</v>
      </c>
      <c r="K66" s="828">
        <v>9</v>
      </c>
      <c r="L66" s="828">
        <v>2</v>
      </c>
      <c r="N66" s="222" t="s">
        <v>310</v>
      </c>
      <c r="O66" s="222" t="s">
        <v>1930</v>
      </c>
      <c r="P66" s="824">
        <v>29605</v>
      </c>
      <c r="Q66" s="824">
        <v>10.366390000000001</v>
      </c>
      <c r="R66" s="824">
        <v>44.260530000000003</v>
      </c>
      <c r="S66" s="824">
        <v>6.6528600000000004</v>
      </c>
      <c r="T66" s="824">
        <v>25</v>
      </c>
      <c r="U66" s="824">
        <v>1</v>
      </c>
      <c r="V66" s="824">
        <v>5</v>
      </c>
      <c r="W66" s="824">
        <v>15</v>
      </c>
      <c r="X66" s="824">
        <v>9</v>
      </c>
      <c r="Y66" s="824">
        <v>2</v>
      </c>
      <c r="Z66" s="480" t="str">
        <f t="shared" si="0"/>
        <v/>
      </c>
    </row>
    <row r="67" spans="1:26">
      <c r="A67" s="825" t="s">
        <v>311</v>
      </c>
      <c r="B67" s="826">
        <v>19323</v>
      </c>
      <c r="C67" s="827"/>
      <c r="D67" s="828">
        <v>11.07701</v>
      </c>
      <c r="E67" s="828">
        <v>6.8105099999999998</v>
      </c>
      <c r="F67" s="828">
        <v>46.38306</v>
      </c>
      <c r="G67" s="828">
        <v>26</v>
      </c>
      <c r="H67" s="828">
        <v>1</v>
      </c>
      <c r="I67" s="828">
        <v>5</v>
      </c>
      <c r="J67" s="828">
        <v>16</v>
      </c>
      <c r="K67" s="828">
        <v>10</v>
      </c>
      <c r="L67" s="828">
        <v>3</v>
      </c>
      <c r="N67" s="222" t="s">
        <v>311</v>
      </c>
      <c r="O67" s="222" t="s">
        <v>1931</v>
      </c>
      <c r="P67" s="824">
        <v>19323</v>
      </c>
      <c r="Q67" s="824">
        <v>11.07701</v>
      </c>
      <c r="R67" s="824">
        <v>46.38306</v>
      </c>
      <c r="S67" s="824">
        <v>6.8105099999999998</v>
      </c>
      <c r="T67" s="824">
        <v>26</v>
      </c>
      <c r="U67" s="824">
        <v>1</v>
      </c>
      <c r="V67" s="824">
        <v>5</v>
      </c>
      <c r="W67" s="824">
        <v>16</v>
      </c>
      <c r="X67" s="824">
        <v>10</v>
      </c>
      <c r="Y67" s="824">
        <v>3</v>
      </c>
      <c r="Z67" s="480" t="str">
        <f t="shared" si="0"/>
        <v/>
      </c>
    </row>
    <row r="68" spans="1:26">
      <c r="A68" s="825" t="s">
        <v>312</v>
      </c>
      <c r="B68" s="826">
        <v>16403</v>
      </c>
      <c r="C68" s="827"/>
      <c r="D68" s="828">
        <v>9.7436399999999992</v>
      </c>
      <c r="E68" s="828">
        <v>6.0209200000000003</v>
      </c>
      <c r="F68" s="828">
        <v>36.2515</v>
      </c>
      <c r="G68" s="828">
        <v>23</v>
      </c>
      <c r="H68" s="828">
        <v>1</v>
      </c>
      <c r="I68" s="828">
        <v>5</v>
      </c>
      <c r="J68" s="828">
        <v>14</v>
      </c>
      <c r="K68" s="828">
        <v>9</v>
      </c>
      <c r="L68" s="828">
        <v>4</v>
      </c>
      <c r="N68" s="222" t="s">
        <v>312</v>
      </c>
      <c r="O68" s="222" t="s">
        <v>313</v>
      </c>
      <c r="P68" s="824">
        <v>16403</v>
      </c>
      <c r="Q68" s="824">
        <v>9.7436399999999992</v>
      </c>
      <c r="R68" s="824">
        <v>36.2515</v>
      </c>
      <c r="S68" s="824">
        <v>6.0209200000000003</v>
      </c>
      <c r="T68" s="824">
        <v>23</v>
      </c>
      <c r="U68" s="824">
        <v>1</v>
      </c>
      <c r="V68" s="824">
        <v>5</v>
      </c>
      <c r="W68" s="824">
        <v>14</v>
      </c>
      <c r="X68" s="824">
        <v>9</v>
      </c>
      <c r="Y68" s="824">
        <v>4</v>
      </c>
      <c r="Z68" s="480" t="str">
        <f t="shared" ref="Z68:Z131" si="1">IF(AND(A68=N68,B68=P68,D68=Q68,E68=S68,F68=R68,G68=T68,H68=U68,I68=V68,J68=W68,K68,X68,L68=Y68),"","x")</f>
        <v/>
      </c>
    </row>
    <row r="69" spans="1:26">
      <c r="A69" s="825" t="s">
        <v>314</v>
      </c>
      <c r="B69" s="826">
        <v>218373</v>
      </c>
      <c r="C69" s="827"/>
      <c r="D69" s="828">
        <v>9.7535500000000006</v>
      </c>
      <c r="E69" s="828">
        <v>7.8434799999999996</v>
      </c>
      <c r="F69" s="828">
        <v>61.520180000000003</v>
      </c>
      <c r="G69" s="828">
        <v>80</v>
      </c>
      <c r="H69" s="828">
        <v>1</v>
      </c>
      <c r="I69" s="828">
        <v>4</v>
      </c>
      <c r="J69" s="828">
        <v>13</v>
      </c>
      <c r="K69" s="828">
        <v>8</v>
      </c>
      <c r="L69" s="828">
        <v>3</v>
      </c>
      <c r="N69" s="222" t="s">
        <v>314</v>
      </c>
      <c r="O69" s="222" t="s">
        <v>1932</v>
      </c>
      <c r="P69" s="824">
        <v>218373</v>
      </c>
      <c r="Q69" s="824">
        <v>9.7535500000000006</v>
      </c>
      <c r="R69" s="824">
        <v>61.520180000000003</v>
      </c>
      <c r="S69" s="824">
        <v>7.8434799999999996</v>
      </c>
      <c r="T69" s="824">
        <v>80</v>
      </c>
      <c r="U69" s="824">
        <v>1</v>
      </c>
      <c r="V69" s="824">
        <v>4</v>
      </c>
      <c r="W69" s="824">
        <v>13</v>
      </c>
      <c r="X69" s="824">
        <v>8</v>
      </c>
      <c r="Y69" s="824">
        <v>3</v>
      </c>
      <c r="Z69" s="480" t="str">
        <f t="shared" si="1"/>
        <v/>
      </c>
    </row>
    <row r="70" spans="1:26">
      <c r="A70" s="825" t="s">
        <v>315</v>
      </c>
      <c r="B70" s="826">
        <v>28699</v>
      </c>
      <c r="C70" s="827"/>
      <c r="D70" s="828">
        <v>9.1058199999999996</v>
      </c>
      <c r="E70" s="828">
        <v>5.6203399999999997</v>
      </c>
      <c r="F70" s="828">
        <v>31.588180000000001</v>
      </c>
      <c r="G70" s="828">
        <v>22</v>
      </c>
      <c r="H70" s="828">
        <v>1</v>
      </c>
      <c r="I70" s="828">
        <v>4</v>
      </c>
      <c r="J70" s="828">
        <v>13</v>
      </c>
      <c r="K70" s="828">
        <v>8</v>
      </c>
      <c r="L70" s="828">
        <v>4</v>
      </c>
      <c r="N70" s="222" t="s">
        <v>315</v>
      </c>
      <c r="O70" s="222" t="s">
        <v>1933</v>
      </c>
      <c r="P70" s="824">
        <v>28699</v>
      </c>
      <c r="Q70" s="824">
        <v>9.1058199999999996</v>
      </c>
      <c r="R70" s="824">
        <v>31.588180000000001</v>
      </c>
      <c r="S70" s="824">
        <v>5.6203399999999997</v>
      </c>
      <c r="T70" s="824">
        <v>22</v>
      </c>
      <c r="U70" s="824">
        <v>1</v>
      </c>
      <c r="V70" s="824">
        <v>4</v>
      </c>
      <c r="W70" s="824">
        <v>13</v>
      </c>
      <c r="X70" s="824">
        <v>8</v>
      </c>
      <c r="Y70" s="824">
        <v>4</v>
      </c>
      <c r="Z70" s="480" t="str">
        <f t="shared" si="1"/>
        <v/>
      </c>
    </row>
    <row r="71" spans="1:26">
      <c r="A71" s="825" t="s">
        <v>316</v>
      </c>
      <c r="B71" s="826">
        <v>155205</v>
      </c>
      <c r="C71" s="827"/>
      <c r="D71" s="828">
        <v>9.7652300000000007</v>
      </c>
      <c r="E71" s="828">
        <v>5.7600699999999998</v>
      </c>
      <c r="F71" s="828">
        <v>33.178370000000001</v>
      </c>
      <c r="G71" s="828">
        <v>22</v>
      </c>
      <c r="H71" s="828">
        <v>1</v>
      </c>
      <c r="I71" s="828">
        <v>5</v>
      </c>
      <c r="J71" s="828">
        <v>14</v>
      </c>
      <c r="K71" s="828">
        <v>9</v>
      </c>
      <c r="L71" s="828">
        <v>3</v>
      </c>
      <c r="N71" s="222" t="s">
        <v>316</v>
      </c>
      <c r="O71" s="222" t="s">
        <v>1934</v>
      </c>
      <c r="P71" s="824">
        <v>155205</v>
      </c>
      <c r="Q71" s="824">
        <v>9.7652300000000007</v>
      </c>
      <c r="R71" s="824">
        <v>33.178370000000001</v>
      </c>
      <c r="S71" s="824">
        <v>5.7600699999999998</v>
      </c>
      <c r="T71" s="824">
        <v>22</v>
      </c>
      <c r="U71" s="824">
        <v>1</v>
      </c>
      <c r="V71" s="824">
        <v>5</v>
      </c>
      <c r="W71" s="824">
        <v>14</v>
      </c>
      <c r="X71" s="824">
        <v>9</v>
      </c>
      <c r="Y71" s="824">
        <v>3</v>
      </c>
      <c r="Z71" s="480" t="str">
        <f t="shared" si="1"/>
        <v/>
      </c>
    </row>
    <row r="72" spans="1:26">
      <c r="A72" s="825" t="s">
        <v>317</v>
      </c>
      <c r="B72" s="826">
        <v>74929</v>
      </c>
      <c r="C72" s="827"/>
      <c r="D72" s="828">
        <v>10.387130000000001</v>
      </c>
      <c r="E72" s="828">
        <v>7.8259100000000004</v>
      </c>
      <c r="F72" s="828">
        <v>61.244790000000002</v>
      </c>
      <c r="G72" s="828">
        <v>56</v>
      </c>
      <c r="H72" s="828">
        <v>1</v>
      </c>
      <c r="I72" s="828">
        <v>4</v>
      </c>
      <c r="J72" s="828">
        <v>14</v>
      </c>
      <c r="K72" s="828">
        <v>8</v>
      </c>
      <c r="L72" s="828">
        <v>3</v>
      </c>
      <c r="N72" s="222" t="s">
        <v>317</v>
      </c>
      <c r="O72" s="222" t="s">
        <v>1935</v>
      </c>
      <c r="P72" s="824">
        <v>74929</v>
      </c>
      <c r="Q72" s="824">
        <v>10.387130000000001</v>
      </c>
      <c r="R72" s="824">
        <v>61.244790000000002</v>
      </c>
      <c r="S72" s="824">
        <v>7.8259100000000004</v>
      </c>
      <c r="T72" s="824">
        <v>56</v>
      </c>
      <c r="U72" s="824">
        <v>1</v>
      </c>
      <c r="V72" s="824">
        <v>4</v>
      </c>
      <c r="W72" s="824">
        <v>14</v>
      </c>
      <c r="X72" s="824">
        <v>8</v>
      </c>
      <c r="Y72" s="824">
        <v>3</v>
      </c>
      <c r="Z72" s="480" t="str">
        <f t="shared" si="1"/>
        <v/>
      </c>
    </row>
    <row r="73" spans="1:26">
      <c r="A73" s="825" t="s">
        <v>318</v>
      </c>
      <c r="B73" s="826">
        <v>2276</v>
      </c>
      <c r="C73" s="827"/>
      <c r="D73" s="828">
        <v>9.3014100000000006</v>
      </c>
      <c r="E73" s="828">
        <v>9.0833300000000001</v>
      </c>
      <c r="F73" s="828">
        <v>82.506919999999994</v>
      </c>
      <c r="G73" s="828">
        <v>52</v>
      </c>
      <c r="H73" s="828">
        <v>1</v>
      </c>
      <c r="I73" s="828">
        <v>3</v>
      </c>
      <c r="J73" s="828">
        <v>13</v>
      </c>
      <c r="K73" s="828">
        <v>6</v>
      </c>
      <c r="L73" s="828">
        <v>3</v>
      </c>
      <c r="N73" s="222" t="s">
        <v>318</v>
      </c>
      <c r="O73" s="222" t="s">
        <v>319</v>
      </c>
      <c r="P73" s="824">
        <v>2276</v>
      </c>
      <c r="Q73" s="824">
        <v>9.3014100000000006</v>
      </c>
      <c r="R73" s="824">
        <v>82.506919999999994</v>
      </c>
      <c r="S73" s="824">
        <v>9.0833300000000001</v>
      </c>
      <c r="T73" s="824">
        <v>52</v>
      </c>
      <c r="U73" s="824">
        <v>1</v>
      </c>
      <c r="V73" s="824">
        <v>3</v>
      </c>
      <c r="W73" s="824">
        <v>13</v>
      </c>
      <c r="X73" s="824">
        <v>6</v>
      </c>
      <c r="Y73" s="824">
        <v>3</v>
      </c>
      <c r="Z73" s="480" t="str">
        <f t="shared" si="1"/>
        <v/>
      </c>
    </row>
    <row r="74" spans="1:26">
      <c r="A74" s="825" t="s">
        <v>320</v>
      </c>
      <c r="B74" s="826">
        <v>1958</v>
      </c>
      <c r="C74" s="827"/>
      <c r="D74" s="828">
        <v>10.913690000000001</v>
      </c>
      <c r="E74" s="828">
        <v>5.9210599999999998</v>
      </c>
      <c r="F74" s="828">
        <v>35.058970000000002</v>
      </c>
      <c r="G74" s="828">
        <v>24</v>
      </c>
      <c r="H74" s="828">
        <v>1</v>
      </c>
      <c r="I74" s="828">
        <v>6</v>
      </c>
      <c r="J74" s="828">
        <v>15</v>
      </c>
      <c r="K74" s="828">
        <v>11</v>
      </c>
      <c r="L74" s="828">
        <v>11</v>
      </c>
      <c r="N74" s="222" t="s">
        <v>320</v>
      </c>
      <c r="O74" s="222" t="s">
        <v>321</v>
      </c>
      <c r="P74" s="824">
        <v>1958</v>
      </c>
      <c r="Q74" s="824">
        <v>10.913690000000001</v>
      </c>
      <c r="R74" s="824">
        <v>35.058970000000002</v>
      </c>
      <c r="S74" s="824">
        <v>5.9210599999999998</v>
      </c>
      <c r="T74" s="824">
        <v>24</v>
      </c>
      <c r="U74" s="824">
        <v>1</v>
      </c>
      <c r="V74" s="824">
        <v>6</v>
      </c>
      <c r="W74" s="824">
        <v>15</v>
      </c>
      <c r="X74" s="824">
        <v>11</v>
      </c>
      <c r="Y74" s="824">
        <v>11</v>
      </c>
      <c r="Z74" s="480" t="str">
        <f t="shared" si="1"/>
        <v/>
      </c>
    </row>
    <row r="75" spans="1:26">
      <c r="A75" s="825" t="s">
        <v>322</v>
      </c>
      <c r="B75" s="826">
        <v>21173</v>
      </c>
      <c r="C75" s="827"/>
      <c r="D75" s="828">
        <v>10.84258</v>
      </c>
      <c r="E75" s="828">
        <v>6.5838299999999998</v>
      </c>
      <c r="F75" s="828">
        <v>43.346789999999999</v>
      </c>
      <c r="G75" s="828">
        <v>25</v>
      </c>
      <c r="H75" s="828">
        <v>1</v>
      </c>
      <c r="I75" s="828">
        <v>5</v>
      </c>
      <c r="J75" s="828">
        <v>16</v>
      </c>
      <c r="K75" s="828">
        <v>10</v>
      </c>
      <c r="L75" s="828">
        <v>4</v>
      </c>
      <c r="N75" s="222" t="s">
        <v>322</v>
      </c>
      <c r="O75" s="222" t="s">
        <v>1936</v>
      </c>
      <c r="P75" s="824">
        <v>21173</v>
      </c>
      <c r="Q75" s="824">
        <v>10.84258</v>
      </c>
      <c r="R75" s="824">
        <v>43.346789999999999</v>
      </c>
      <c r="S75" s="824">
        <v>6.5838299999999998</v>
      </c>
      <c r="T75" s="824">
        <v>25</v>
      </c>
      <c r="U75" s="824">
        <v>1</v>
      </c>
      <c r="V75" s="824">
        <v>5</v>
      </c>
      <c r="W75" s="824">
        <v>16</v>
      </c>
      <c r="X75" s="824">
        <v>10</v>
      </c>
      <c r="Y75" s="824">
        <v>4</v>
      </c>
      <c r="Z75" s="480" t="str">
        <f t="shared" si="1"/>
        <v/>
      </c>
    </row>
    <row r="76" spans="1:26">
      <c r="A76" s="825" t="s">
        <v>323</v>
      </c>
      <c r="B76" s="826">
        <v>13439</v>
      </c>
      <c r="C76" s="827"/>
      <c r="D76" s="828">
        <v>11.605180000000001</v>
      </c>
      <c r="E76" s="828">
        <v>7.1620499999999998</v>
      </c>
      <c r="F76" s="828">
        <v>51.294919999999998</v>
      </c>
      <c r="G76" s="828">
        <v>27</v>
      </c>
      <c r="H76" s="828">
        <v>1</v>
      </c>
      <c r="I76" s="828">
        <v>6</v>
      </c>
      <c r="J76" s="828">
        <v>17</v>
      </c>
      <c r="K76" s="828">
        <v>11</v>
      </c>
      <c r="L76" s="828">
        <v>4</v>
      </c>
      <c r="N76" s="222" t="s">
        <v>323</v>
      </c>
      <c r="O76" s="222" t="s">
        <v>1937</v>
      </c>
      <c r="P76" s="824">
        <v>13439</v>
      </c>
      <c r="Q76" s="824">
        <v>11.605180000000001</v>
      </c>
      <c r="R76" s="824">
        <v>51.294919999999998</v>
      </c>
      <c r="S76" s="824">
        <v>7.1620499999999998</v>
      </c>
      <c r="T76" s="824">
        <v>27</v>
      </c>
      <c r="U76" s="824">
        <v>1</v>
      </c>
      <c r="V76" s="824">
        <v>6</v>
      </c>
      <c r="W76" s="824">
        <v>17</v>
      </c>
      <c r="X76" s="824">
        <v>11</v>
      </c>
      <c r="Y76" s="824">
        <v>4</v>
      </c>
      <c r="Z76" s="480" t="str">
        <f t="shared" si="1"/>
        <v/>
      </c>
    </row>
    <row r="77" spans="1:26">
      <c r="A77" s="825" t="s">
        <v>324</v>
      </c>
      <c r="B77" s="826">
        <v>5264</v>
      </c>
      <c r="C77" s="827"/>
      <c r="D77" s="828">
        <v>8.8090799999999998</v>
      </c>
      <c r="E77" s="828">
        <v>5.23949</v>
      </c>
      <c r="F77" s="828">
        <v>27.45224</v>
      </c>
      <c r="G77" s="828">
        <v>20</v>
      </c>
      <c r="H77" s="828">
        <v>1</v>
      </c>
      <c r="I77" s="828">
        <v>4</v>
      </c>
      <c r="J77" s="828">
        <v>13</v>
      </c>
      <c r="K77" s="828">
        <v>8</v>
      </c>
      <c r="L77" s="828">
        <v>4</v>
      </c>
      <c r="N77" s="222" t="s">
        <v>324</v>
      </c>
      <c r="O77" s="222" t="s">
        <v>1938</v>
      </c>
      <c r="P77" s="824">
        <v>5264</v>
      </c>
      <c r="Q77" s="824">
        <v>8.8090799999999998</v>
      </c>
      <c r="R77" s="824">
        <v>27.45224</v>
      </c>
      <c r="S77" s="824">
        <v>5.23949</v>
      </c>
      <c r="T77" s="824">
        <v>20</v>
      </c>
      <c r="U77" s="824">
        <v>1</v>
      </c>
      <c r="V77" s="824">
        <v>4</v>
      </c>
      <c r="W77" s="824">
        <v>13</v>
      </c>
      <c r="X77" s="824">
        <v>8</v>
      </c>
      <c r="Y77" s="824">
        <v>4</v>
      </c>
      <c r="Z77" s="480" t="str">
        <f t="shared" si="1"/>
        <v/>
      </c>
    </row>
    <row r="78" spans="1:26">
      <c r="A78" s="825" t="s">
        <v>325</v>
      </c>
      <c r="B78" s="826">
        <v>165561</v>
      </c>
      <c r="C78" s="827"/>
      <c r="D78" s="828">
        <v>9.94679</v>
      </c>
      <c r="E78" s="828">
        <v>6.3617699999999999</v>
      </c>
      <c r="F78" s="828">
        <v>40.472059999999999</v>
      </c>
      <c r="G78" s="828">
        <v>24</v>
      </c>
      <c r="H78" s="828">
        <v>1</v>
      </c>
      <c r="I78" s="828">
        <v>4</v>
      </c>
      <c r="J78" s="828">
        <v>15</v>
      </c>
      <c r="K78" s="828">
        <v>9</v>
      </c>
      <c r="L78" s="828">
        <v>3</v>
      </c>
      <c r="N78" s="222" t="s">
        <v>325</v>
      </c>
      <c r="O78" s="222" t="s">
        <v>326</v>
      </c>
      <c r="P78" s="824">
        <v>165561</v>
      </c>
      <c r="Q78" s="824">
        <v>9.94679</v>
      </c>
      <c r="R78" s="824">
        <v>40.472059999999999</v>
      </c>
      <c r="S78" s="824">
        <v>6.3617699999999999</v>
      </c>
      <c r="T78" s="824">
        <v>24</v>
      </c>
      <c r="U78" s="824">
        <v>1</v>
      </c>
      <c r="V78" s="824">
        <v>4</v>
      </c>
      <c r="W78" s="824">
        <v>15</v>
      </c>
      <c r="X78" s="824">
        <v>9</v>
      </c>
      <c r="Y78" s="824">
        <v>3</v>
      </c>
      <c r="Z78" s="480" t="str">
        <f t="shared" si="1"/>
        <v/>
      </c>
    </row>
    <row r="79" spans="1:26">
      <c r="A79" s="825" t="s">
        <v>327</v>
      </c>
      <c r="B79" s="826">
        <v>23964</v>
      </c>
      <c r="C79" s="827"/>
      <c r="D79" s="828">
        <v>9.2652300000000007</v>
      </c>
      <c r="E79" s="828">
        <v>6.0497100000000001</v>
      </c>
      <c r="F79" s="828">
        <v>36.59901</v>
      </c>
      <c r="G79" s="828">
        <v>23</v>
      </c>
      <c r="H79" s="828">
        <v>1</v>
      </c>
      <c r="I79" s="828">
        <v>4</v>
      </c>
      <c r="J79" s="828">
        <v>14</v>
      </c>
      <c r="K79" s="828">
        <v>8</v>
      </c>
      <c r="L79" s="828">
        <v>3</v>
      </c>
      <c r="N79" s="222" t="s">
        <v>327</v>
      </c>
      <c r="O79" s="222" t="s">
        <v>1939</v>
      </c>
      <c r="P79" s="824">
        <v>23964</v>
      </c>
      <c r="Q79" s="824">
        <v>9.2652300000000007</v>
      </c>
      <c r="R79" s="824">
        <v>36.59901</v>
      </c>
      <c r="S79" s="824">
        <v>6.0497100000000001</v>
      </c>
      <c r="T79" s="824">
        <v>23</v>
      </c>
      <c r="U79" s="824">
        <v>1</v>
      </c>
      <c r="V79" s="824">
        <v>4</v>
      </c>
      <c r="W79" s="824">
        <v>14</v>
      </c>
      <c r="X79" s="824">
        <v>8</v>
      </c>
      <c r="Y79" s="824">
        <v>3</v>
      </c>
      <c r="Z79" s="480" t="str">
        <f t="shared" si="1"/>
        <v/>
      </c>
    </row>
    <row r="80" spans="1:26">
      <c r="A80" s="825" t="s">
        <v>328</v>
      </c>
      <c r="B80" s="826">
        <v>3265</v>
      </c>
      <c r="C80" s="827"/>
      <c r="D80" s="828">
        <v>11.62726</v>
      </c>
      <c r="E80" s="828">
        <v>7.2450000000000001</v>
      </c>
      <c r="F80" s="828">
        <v>52.49</v>
      </c>
      <c r="G80" s="828">
        <v>27</v>
      </c>
      <c r="H80" s="828">
        <v>1</v>
      </c>
      <c r="I80" s="828">
        <v>5</v>
      </c>
      <c r="J80" s="828">
        <v>17</v>
      </c>
      <c r="K80" s="828">
        <v>11</v>
      </c>
      <c r="L80" s="828">
        <v>3</v>
      </c>
      <c r="N80" s="222" t="s">
        <v>328</v>
      </c>
      <c r="O80" s="222" t="s">
        <v>1940</v>
      </c>
      <c r="P80" s="824">
        <v>3265</v>
      </c>
      <c r="Q80" s="824">
        <v>11.62726</v>
      </c>
      <c r="R80" s="824">
        <v>52.49</v>
      </c>
      <c r="S80" s="824">
        <v>7.2450000000000001</v>
      </c>
      <c r="T80" s="824">
        <v>27</v>
      </c>
      <c r="U80" s="824">
        <v>1</v>
      </c>
      <c r="V80" s="824">
        <v>5</v>
      </c>
      <c r="W80" s="824">
        <v>17</v>
      </c>
      <c r="X80" s="824">
        <v>11</v>
      </c>
      <c r="Y80" s="824">
        <v>3</v>
      </c>
      <c r="Z80" s="480" t="str">
        <f t="shared" si="1"/>
        <v/>
      </c>
    </row>
    <row r="81" spans="1:26">
      <c r="A81" s="825" t="s">
        <v>329</v>
      </c>
      <c r="B81" s="826">
        <v>81086</v>
      </c>
      <c r="C81" s="829"/>
      <c r="D81" s="828">
        <v>8.4745200000000001</v>
      </c>
      <c r="E81" s="828">
        <v>4.9490600000000002</v>
      </c>
      <c r="F81" s="828">
        <v>24.493200000000002</v>
      </c>
      <c r="G81" s="828">
        <v>20</v>
      </c>
      <c r="H81" s="828">
        <v>1</v>
      </c>
      <c r="I81" s="828">
        <v>4</v>
      </c>
      <c r="J81" s="828">
        <v>12</v>
      </c>
      <c r="K81" s="828">
        <v>8</v>
      </c>
      <c r="L81" s="828">
        <v>3</v>
      </c>
      <c r="N81" s="222" t="s">
        <v>329</v>
      </c>
      <c r="O81" s="222" t="s">
        <v>1941</v>
      </c>
      <c r="P81" s="824">
        <v>81086</v>
      </c>
      <c r="Q81" s="824">
        <v>8.4745200000000001</v>
      </c>
      <c r="R81" s="824">
        <v>24.493200000000002</v>
      </c>
      <c r="S81" s="824">
        <v>4.9490600000000002</v>
      </c>
      <c r="T81" s="824">
        <v>20</v>
      </c>
      <c r="U81" s="824">
        <v>1</v>
      </c>
      <c r="V81" s="824">
        <v>4</v>
      </c>
      <c r="W81" s="824">
        <v>12</v>
      </c>
      <c r="X81" s="824">
        <v>8</v>
      </c>
      <c r="Y81" s="824">
        <v>3</v>
      </c>
      <c r="Z81" s="480" t="str">
        <f t="shared" si="1"/>
        <v/>
      </c>
    </row>
    <row r="82" spans="1:26">
      <c r="A82" s="825" t="s">
        <v>330</v>
      </c>
      <c r="B82" s="826">
        <v>5635</v>
      </c>
      <c r="C82" s="827"/>
      <c r="D82" s="828">
        <v>11.32902</v>
      </c>
      <c r="E82" s="828">
        <v>7.0930499999999999</v>
      </c>
      <c r="F82" s="828">
        <v>50.311329999999998</v>
      </c>
      <c r="G82" s="828">
        <v>27</v>
      </c>
      <c r="H82" s="828">
        <v>1</v>
      </c>
      <c r="I82" s="828">
        <v>5</v>
      </c>
      <c r="J82" s="828">
        <v>17</v>
      </c>
      <c r="K82" s="828">
        <v>10</v>
      </c>
      <c r="L82" s="828">
        <v>4</v>
      </c>
      <c r="N82" s="222" t="s">
        <v>330</v>
      </c>
      <c r="O82" s="222" t="s">
        <v>1942</v>
      </c>
      <c r="P82" s="824">
        <v>5635</v>
      </c>
      <c r="Q82" s="824">
        <v>11.32902</v>
      </c>
      <c r="R82" s="824">
        <v>50.311329999999998</v>
      </c>
      <c r="S82" s="824">
        <v>7.0930499999999999</v>
      </c>
      <c r="T82" s="824">
        <v>27</v>
      </c>
      <c r="U82" s="824">
        <v>1</v>
      </c>
      <c r="V82" s="824">
        <v>5</v>
      </c>
      <c r="W82" s="824">
        <v>17</v>
      </c>
      <c r="X82" s="824">
        <v>10</v>
      </c>
      <c r="Y82" s="824">
        <v>4</v>
      </c>
      <c r="Z82" s="480" t="str">
        <f t="shared" si="1"/>
        <v/>
      </c>
    </row>
    <row r="83" spans="1:26">
      <c r="A83" s="825" t="s">
        <v>331</v>
      </c>
      <c r="B83" s="826">
        <v>44448</v>
      </c>
      <c r="C83" s="827"/>
      <c r="D83" s="828">
        <v>11.10005</v>
      </c>
      <c r="E83" s="828">
        <v>6.9070400000000003</v>
      </c>
      <c r="F83" s="828">
        <v>47.7072</v>
      </c>
      <c r="G83" s="828">
        <v>26</v>
      </c>
      <c r="H83" s="828">
        <v>1</v>
      </c>
      <c r="I83" s="828">
        <v>5</v>
      </c>
      <c r="J83" s="828">
        <v>16</v>
      </c>
      <c r="K83" s="828">
        <v>10</v>
      </c>
      <c r="L83" s="828">
        <v>3</v>
      </c>
      <c r="N83" s="222" t="s">
        <v>331</v>
      </c>
      <c r="O83" s="222" t="s">
        <v>1943</v>
      </c>
      <c r="P83" s="824">
        <v>44448</v>
      </c>
      <c r="Q83" s="824">
        <v>11.10005</v>
      </c>
      <c r="R83" s="824">
        <v>47.7072</v>
      </c>
      <c r="S83" s="824">
        <v>6.9070400000000003</v>
      </c>
      <c r="T83" s="824">
        <v>26</v>
      </c>
      <c r="U83" s="824">
        <v>1</v>
      </c>
      <c r="V83" s="824">
        <v>5</v>
      </c>
      <c r="W83" s="824">
        <v>16</v>
      </c>
      <c r="X83" s="824">
        <v>10</v>
      </c>
      <c r="Y83" s="824">
        <v>3</v>
      </c>
      <c r="Z83" s="480" t="str">
        <f t="shared" si="1"/>
        <v/>
      </c>
    </row>
    <row r="84" spans="1:26">
      <c r="A84" s="825" t="s">
        <v>332</v>
      </c>
      <c r="B84" s="826">
        <v>1324</v>
      </c>
      <c r="C84" s="827"/>
      <c r="D84" s="828">
        <v>10.42825</v>
      </c>
      <c r="E84" s="828">
        <v>6.4569099999999997</v>
      </c>
      <c r="F84" s="828">
        <v>41.691749999999999</v>
      </c>
      <c r="G84" s="828">
        <v>24</v>
      </c>
      <c r="H84" s="828">
        <v>1</v>
      </c>
      <c r="I84" s="828">
        <v>5</v>
      </c>
      <c r="J84" s="828">
        <v>15</v>
      </c>
      <c r="K84" s="828">
        <v>9</v>
      </c>
      <c r="L84" s="828">
        <v>3</v>
      </c>
      <c r="N84" s="222" t="s">
        <v>332</v>
      </c>
      <c r="O84" s="222" t="s">
        <v>333</v>
      </c>
      <c r="P84" s="824">
        <v>1324</v>
      </c>
      <c r="Q84" s="824">
        <v>10.42825</v>
      </c>
      <c r="R84" s="824">
        <v>41.691749999999999</v>
      </c>
      <c r="S84" s="824">
        <v>6.4569099999999997</v>
      </c>
      <c r="T84" s="824">
        <v>24</v>
      </c>
      <c r="U84" s="824">
        <v>1</v>
      </c>
      <c r="V84" s="824">
        <v>5</v>
      </c>
      <c r="W84" s="824">
        <v>15</v>
      </c>
      <c r="X84" s="824">
        <v>9</v>
      </c>
      <c r="Y84" s="824">
        <v>3</v>
      </c>
      <c r="Z84" s="480" t="str">
        <f t="shared" si="1"/>
        <v/>
      </c>
    </row>
    <row r="85" spans="1:26">
      <c r="A85" s="825" t="s">
        <v>334</v>
      </c>
      <c r="B85" s="826">
        <v>239</v>
      </c>
      <c r="C85" s="827"/>
      <c r="D85" s="828">
        <v>10.00418</v>
      </c>
      <c r="E85" s="828">
        <v>6.5056500000000002</v>
      </c>
      <c r="F85" s="828">
        <v>42.323509999999999</v>
      </c>
      <c r="G85" s="828">
        <v>25</v>
      </c>
      <c r="H85" s="828">
        <v>1</v>
      </c>
      <c r="I85" s="828">
        <v>4</v>
      </c>
      <c r="J85" s="828">
        <v>15</v>
      </c>
      <c r="K85" s="828">
        <v>8</v>
      </c>
      <c r="L85" s="828">
        <v>2</v>
      </c>
      <c r="N85" s="222" t="s">
        <v>334</v>
      </c>
      <c r="O85" s="222" t="s">
        <v>1944</v>
      </c>
      <c r="P85" s="824">
        <v>239</v>
      </c>
      <c r="Q85" s="824">
        <v>10.00418</v>
      </c>
      <c r="R85" s="824">
        <v>42.323509999999999</v>
      </c>
      <c r="S85" s="824">
        <v>6.5056500000000002</v>
      </c>
      <c r="T85" s="824">
        <v>25</v>
      </c>
      <c r="U85" s="824">
        <v>1</v>
      </c>
      <c r="V85" s="824">
        <v>4</v>
      </c>
      <c r="W85" s="824">
        <v>15</v>
      </c>
      <c r="X85" s="824">
        <v>8</v>
      </c>
      <c r="Y85" s="824">
        <v>2</v>
      </c>
      <c r="Z85" s="480" t="str">
        <f t="shared" si="1"/>
        <v/>
      </c>
    </row>
    <row r="86" spans="1:26">
      <c r="A86" s="825" t="s">
        <v>335</v>
      </c>
      <c r="B86" s="826">
        <v>342</v>
      </c>
      <c r="C86" s="827"/>
      <c r="D86" s="828">
        <v>10.71637</v>
      </c>
      <c r="E86" s="828">
        <v>7.5778400000000001</v>
      </c>
      <c r="F86" s="828">
        <v>57.423720000000003</v>
      </c>
      <c r="G86" s="828">
        <v>27</v>
      </c>
      <c r="H86" s="828">
        <v>1</v>
      </c>
      <c r="I86" s="828">
        <v>4</v>
      </c>
      <c r="J86" s="828">
        <v>16</v>
      </c>
      <c r="K86" s="828">
        <v>9</v>
      </c>
      <c r="L86" s="828">
        <v>3</v>
      </c>
      <c r="N86" s="222" t="s">
        <v>335</v>
      </c>
      <c r="O86" s="222" t="s">
        <v>336</v>
      </c>
      <c r="P86" s="824">
        <v>342</v>
      </c>
      <c r="Q86" s="824">
        <v>10.71637</v>
      </c>
      <c r="R86" s="824">
        <v>57.423720000000003</v>
      </c>
      <c r="S86" s="824">
        <v>7.5778400000000001</v>
      </c>
      <c r="T86" s="824">
        <v>27</v>
      </c>
      <c r="U86" s="824">
        <v>1</v>
      </c>
      <c r="V86" s="824">
        <v>4</v>
      </c>
      <c r="W86" s="824">
        <v>16</v>
      </c>
      <c r="X86" s="824">
        <v>9</v>
      </c>
      <c r="Y86" s="824">
        <v>3</v>
      </c>
      <c r="Z86" s="480" t="str">
        <f t="shared" si="1"/>
        <v/>
      </c>
    </row>
    <row r="87" spans="1:26">
      <c r="A87" s="825" t="s">
        <v>337</v>
      </c>
      <c r="B87" s="826">
        <v>199711</v>
      </c>
      <c r="C87" s="827"/>
      <c r="D87" s="828">
        <v>9.8324499999999997</v>
      </c>
      <c r="E87" s="828">
        <v>6.3263100000000003</v>
      </c>
      <c r="F87" s="828">
        <v>40.022179999999999</v>
      </c>
      <c r="G87" s="828">
        <v>24</v>
      </c>
      <c r="H87" s="828">
        <v>1</v>
      </c>
      <c r="I87" s="828">
        <v>4</v>
      </c>
      <c r="J87" s="828">
        <v>14</v>
      </c>
      <c r="K87" s="828">
        <v>9</v>
      </c>
      <c r="L87" s="828">
        <v>3</v>
      </c>
      <c r="N87" s="222" t="s">
        <v>337</v>
      </c>
      <c r="O87" s="222" t="s">
        <v>1945</v>
      </c>
      <c r="P87" s="824">
        <v>199711</v>
      </c>
      <c r="Q87" s="824">
        <v>9.8324499999999997</v>
      </c>
      <c r="R87" s="824">
        <v>40.022179999999999</v>
      </c>
      <c r="S87" s="824">
        <v>6.3263100000000003</v>
      </c>
      <c r="T87" s="824">
        <v>24</v>
      </c>
      <c r="U87" s="824">
        <v>1</v>
      </c>
      <c r="V87" s="824">
        <v>4</v>
      </c>
      <c r="W87" s="824">
        <v>14</v>
      </c>
      <c r="X87" s="824">
        <v>9</v>
      </c>
      <c r="Y87" s="824">
        <v>3</v>
      </c>
      <c r="Z87" s="480" t="str">
        <f t="shared" si="1"/>
        <v/>
      </c>
    </row>
    <row r="88" spans="1:26">
      <c r="A88" s="825" t="s">
        <v>338</v>
      </c>
      <c r="B88" s="826">
        <v>39191</v>
      </c>
      <c r="C88" s="827"/>
      <c r="D88" s="828">
        <v>12.289350000000001</v>
      </c>
      <c r="E88" s="828">
        <v>7.7806600000000001</v>
      </c>
      <c r="F88" s="828">
        <v>60.538679999999999</v>
      </c>
      <c r="G88" s="828">
        <v>29</v>
      </c>
      <c r="H88" s="828">
        <v>1</v>
      </c>
      <c r="I88" s="828">
        <v>6</v>
      </c>
      <c r="J88" s="828">
        <v>18</v>
      </c>
      <c r="K88" s="828">
        <v>11</v>
      </c>
      <c r="L88" s="828">
        <v>3</v>
      </c>
      <c r="N88" s="222" t="s">
        <v>338</v>
      </c>
      <c r="O88" s="222" t="s">
        <v>1946</v>
      </c>
      <c r="P88" s="824">
        <v>39191</v>
      </c>
      <c r="Q88" s="824">
        <v>12.289350000000001</v>
      </c>
      <c r="R88" s="824">
        <v>60.538679999999999</v>
      </c>
      <c r="S88" s="824">
        <v>7.7806600000000001</v>
      </c>
      <c r="T88" s="824">
        <v>29</v>
      </c>
      <c r="U88" s="824">
        <v>1</v>
      </c>
      <c r="V88" s="824">
        <v>6</v>
      </c>
      <c r="W88" s="824">
        <v>18</v>
      </c>
      <c r="X88" s="824">
        <v>11</v>
      </c>
      <c r="Y88" s="824">
        <v>3</v>
      </c>
      <c r="Z88" s="480" t="str">
        <f t="shared" si="1"/>
        <v/>
      </c>
    </row>
    <row r="89" spans="1:26">
      <c r="A89" s="825" t="s">
        <v>339</v>
      </c>
      <c r="B89" s="826">
        <v>99511</v>
      </c>
      <c r="C89" s="827"/>
      <c r="D89" s="828">
        <v>8.6149100000000001</v>
      </c>
      <c r="E89" s="828">
        <v>5.5107200000000001</v>
      </c>
      <c r="F89" s="828">
        <v>30.368020000000001</v>
      </c>
      <c r="G89" s="828">
        <v>21</v>
      </c>
      <c r="H89" s="828">
        <v>1</v>
      </c>
      <c r="I89" s="828">
        <v>4</v>
      </c>
      <c r="J89" s="828">
        <v>13</v>
      </c>
      <c r="K89" s="828">
        <v>8</v>
      </c>
      <c r="L89" s="828">
        <v>3</v>
      </c>
      <c r="N89" s="222" t="s">
        <v>339</v>
      </c>
      <c r="O89" s="222" t="s">
        <v>1947</v>
      </c>
      <c r="P89" s="824">
        <v>99511</v>
      </c>
      <c r="Q89" s="824">
        <v>8.6149100000000001</v>
      </c>
      <c r="R89" s="824">
        <v>30.368020000000001</v>
      </c>
      <c r="S89" s="824">
        <v>5.5107200000000001</v>
      </c>
      <c r="T89" s="824">
        <v>21</v>
      </c>
      <c r="U89" s="824">
        <v>1</v>
      </c>
      <c r="V89" s="824">
        <v>4</v>
      </c>
      <c r="W89" s="824">
        <v>13</v>
      </c>
      <c r="X89" s="824">
        <v>8</v>
      </c>
      <c r="Y89" s="824">
        <v>3</v>
      </c>
      <c r="Z89" s="480" t="str">
        <f t="shared" si="1"/>
        <v/>
      </c>
    </row>
    <row r="90" spans="1:26">
      <c r="A90" s="825" t="s">
        <v>340</v>
      </c>
      <c r="B90" s="826">
        <v>14044</v>
      </c>
      <c r="C90" s="827"/>
      <c r="D90" s="828">
        <v>9.1935300000000009</v>
      </c>
      <c r="E90" s="828">
        <v>5.7248900000000003</v>
      </c>
      <c r="F90" s="828">
        <v>32.774329999999999</v>
      </c>
      <c r="G90" s="828">
        <v>22</v>
      </c>
      <c r="H90" s="828">
        <v>1</v>
      </c>
      <c r="I90" s="828">
        <v>4</v>
      </c>
      <c r="J90" s="828">
        <v>13</v>
      </c>
      <c r="K90" s="828">
        <v>8</v>
      </c>
      <c r="L90" s="828">
        <v>4</v>
      </c>
      <c r="N90" s="222" t="s">
        <v>340</v>
      </c>
      <c r="O90" s="222" t="s">
        <v>1948</v>
      </c>
      <c r="P90" s="824">
        <v>14044</v>
      </c>
      <c r="Q90" s="824">
        <v>9.1935300000000009</v>
      </c>
      <c r="R90" s="824">
        <v>32.774329999999999</v>
      </c>
      <c r="S90" s="824">
        <v>5.7248900000000003</v>
      </c>
      <c r="T90" s="824">
        <v>22</v>
      </c>
      <c r="U90" s="824">
        <v>1</v>
      </c>
      <c r="V90" s="824">
        <v>4</v>
      </c>
      <c r="W90" s="824">
        <v>13</v>
      </c>
      <c r="X90" s="824">
        <v>8</v>
      </c>
      <c r="Y90" s="824">
        <v>4</v>
      </c>
      <c r="Z90" s="480" t="str">
        <f t="shared" si="1"/>
        <v/>
      </c>
    </row>
    <row r="91" spans="1:26">
      <c r="A91" s="825" t="s">
        <v>341</v>
      </c>
      <c r="B91" s="826">
        <v>1022</v>
      </c>
      <c r="C91" s="827"/>
      <c r="D91" s="828">
        <v>12.05284</v>
      </c>
      <c r="E91" s="828">
        <v>7.57911</v>
      </c>
      <c r="F91" s="828">
        <v>57.44285</v>
      </c>
      <c r="G91" s="828">
        <v>29</v>
      </c>
      <c r="H91" s="828">
        <v>1</v>
      </c>
      <c r="I91" s="828">
        <v>6</v>
      </c>
      <c r="J91" s="828">
        <v>18</v>
      </c>
      <c r="K91" s="828">
        <v>11</v>
      </c>
      <c r="L91" s="828">
        <v>2</v>
      </c>
      <c r="N91" s="222" t="s">
        <v>341</v>
      </c>
      <c r="O91" s="222" t="s">
        <v>1949</v>
      </c>
      <c r="P91" s="824">
        <v>1022</v>
      </c>
      <c r="Q91" s="824">
        <v>12.05284</v>
      </c>
      <c r="R91" s="824">
        <v>57.44285</v>
      </c>
      <c r="S91" s="824">
        <v>7.57911</v>
      </c>
      <c r="T91" s="824">
        <v>29</v>
      </c>
      <c r="U91" s="824">
        <v>1</v>
      </c>
      <c r="V91" s="824">
        <v>6</v>
      </c>
      <c r="W91" s="824">
        <v>18</v>
      </c>
      <c r="X91" s="824">
        <v>11</v>
      </c>
      <c r="Y91" s="824">
        <v>2</v>
      </c>
      <c r="Z91" s="480" t="str">
        <f t="shared" si="1"/>
        <v/>
      </c>
    </row>
    <row r="92" spans="1:26">
      <c r="A92" s="825" t="s">
        <v>342</v>
      </c>
      <c r="B92" s="826">
        <v>16023</v>
      </c>
      <c r="C92" s="827"/>
      <c r="D92" s="828">
        <v>11.22006</v>
      </c>
      <c r="E92" s="828">
        <v>6.9593400000000001</v>
      </c>
      <c r="F92" s="828">
        <v>48.432409999999997</v>
      </c>
      <c r="G92" s="828">
        <v>26</v>
      </c>
      <c r="H92" s="828">
        <v>1</v>
      </c>
      <c r="I92" s="828">
        <v>5</v>
      </c>
      <c r="J92" s="828">
        <v>17</v>
      </c>
      <c r="K92" s="828">
        <v>10</v>
      </c>
      <c r="L92" s="828">
        <v>3</v>
      </c>
      <c r="N92" s="222" t="s">
        <v>342</v>
      </c>
      <c r="O92" s="222" t="s">
        <v>1950</v>
      </c>
      <c r="P92" s="824">
        <v>16023</v>
      </c>
      <c r="Q92" s="824">
        <v>11.22006</v>
      </c>
      <c r="R92" s="824">
        <v>48.432409999999997</v>
      </c>
      <c r="S92" s="824">
        <v>6.9593400000000001</v>
      </c>
      <c r="T92" s="824">
        <v>26</v>
      </c>
      <c r="U92" s="824">
        <v>1</v>
      </c>
      <c r="V92" s="824">
        <v>5</v>
      </c>
      <c r="W92" s="824">
        <v>17</v>
      </c>
      <c r="X92" s="824">
        <v>10</v>
      </c>
      <c r="Y92" s="824">
        <v>3</v>
      </c>
      <c r="Z92" s="480" t="str">
        <f t="shared" si="1"/>
        <v/>
      </c>
    </row>
    <row r="93" spans="1:26">
      <c r="A93" s="825" t="s">
        <v>343</v>
      </c>
      <c r="B93" s="826">
        <v>4051</v>
      </c>
      <c r="C93" s="827"/>
      <c r="D93" s="828">
        <v>10.58405</v>
      </c>
      <c r="E93" s="828">
        <v>6.4669400000000001</v>
      </c>
      <c r="F93" s="828">
        <v>41.821269999999998</v>
      </c>
      <c r="G93" s="828">
        <v>24</v>
      </c>
      <c r="H93" s="828">
        <v>1</v>
      </c>
      <c r="I93" s="828">
        <v>5</v>
      </c>
      <c r="J93" s="828">
        <v>16</v>
      </c>
      <c r="K93" s="828">
        <v>10</v>
      </c>
      <c r="L93" s="828">
        <v>3</v>
      </c>
      <c r="N93" s="222" t="s">
        <v>343</v>
      </c>
      <c r="O93" s="222" t="s">
        <v>1951</v>
      </c>
      <c r="P93" s="824">
        <v>4051</v>
      </c>
      <c r="Q93" s="824">
        <v>10.58405</v>
      </c>
      <c r="R93" s="824">
        <v>41.821269999999998</v>
      </c>
      <c r="S93" s="824">
        <v>6.4669400000000001</v>
      </c>
      <c r="T93" s="824">
        <v>24</v>
      </c>
      <c r="U93" s="824">
        <v>1</v>
      </c>
      <c r="V93" s="824">
        <v>5</v>
      </c>
      <c r="W93" s="824">
        <v>16</v>
      </c>
      <c r="X93" s="824">
        <v>10</v>
      </c>
      <c r="Y93" s="824">
        <v>3</v>
      </c>
      <c r="Z93" s="480" t="str">
        <f t="shared" si="1"/>
        <v/>
      </c>
    </row>
    <row r="94" spans="1:26">
      <c r="A94" s="825" t="s">
        <v>344</v>
      </c>
      <c r="B94" s="826">
        <v>11224</v>
      </c>
      <c r="C94" s="827"/>
      <c r="D94" s="828">
        <v>10.39006</v>
      </c>
      <c r="E94" s="828">
        <v>6.4577600000000004</v>
      </c>
      <c r="F94" s="828">
        <v>41.702599999999997</v>
      </c>
      <c r="G94" s="828">
        <v>25</v>
      </c>
      <c r="H94" s="828">
        <v>1</v>
      </c>
      <c r="I94" s="828">
        <v>5</v>
      </c>
      <c r="J94" s="828">
        <v>15</v>
      </c>
      <c r="K94" s="828">
        <v>9</v>
      </c>
      <c r="L94" s="828">
        <v>3</v>
      </c>
      <c r="N94" s="222" t="s">
        <v>344</v>
      </c>
      <c r="O94" s="222" t="s">
        <v>1952</v>
      </c>
      <c r="P94" s="824">
        <v>11224</v>
      </c>
      <c r="Q94" s="824">
        <v>10.39006</v>
      </c>
      <c r="R94" s="824">
        <v>41.702599999999997</v>
      </c>
      <c r="S94" s="824">
        <v>6.4577600000000004</v>
      </c>
      <c r="T94" s="824">
        <v>25</v>
      </c>
      <c r="U94" s="824">
        <v>1</v>
      </c>
      <c r="V94" s="824">
        <v>5</v>
      </c>
      <c r="W94" s="824">
        <v>15</v>
      </c>
      <c r="X94" s="824">
        <v>9</v>
      </c>
      <c r="Y94" s="824">
        <v>3</v>
      </c>
      <c r="Z94" s="480" t="str">
        <f t="shared" si="1"/>
        <v/>
      </c>
    </row>
    <row r="95" spans="1:26">
      <c r="A95" s="825" t="s">
        <v>345</v>
      </c>
      <c r="B95" s="826">
        <v>759</v>
      </c>
      <c r="C95" s="827"/>
      <c r="D95" s="828">
        <v>14.50066</v>
      </c>
      <c r="E95" s="828">
        <v>8.5364199999999997</v>
      </c>
      <c r="F95" s="828">
        <v>72.870379999999997</v>
      </c>
      <c r="G95" s="828">
        <v>31</v>
      </c>
      <c r="H95" s="828">
        <v>1</v>
      </c>
      <c r="I95" s="828">
        <v>7</v>
      </c>
      <c r="J95" s="828">
        <v>21</v>
      </c>
      <c r="K95" s="828">
        <v>14</v>
      </c>
      <c r="L95" s="828">
        <v>13</v>
      </c>
      <c r="N95" s="222" t="s">
        <v>345</v>
      </c>
      <c r="O95" s="222" t="s">
        <v>1953</v>
      </c>
      <c r="P95" s="824">
        <v>759</v>
      </c>
      <c r="Q95" s="824">
        <v>14.50066</v>
      </c>
      <c r="R95" s="824">
        <v>72.870379999999997</v>
      </c>
      <c r="S95" s="824">
        <v>8.5364199999999997</v>
      </c>
      <c r="T95" s="824">
        <v>31</v>
      </c>
      <c r="U95" s="824">
        <v>1</v>
      </c>
      <c r="V95" s="824">
        <v>7</v>
      </c>
      <c r="W95" s="824">
        <v>21</v>
      </c>
      <c r="X95" s="824">
        <v>14</v>
      </c>
      <c r="Y95" s="824">
        <v>13</v>
      </c>
      <c r="Z95" s="480" t="str">
        <f t="shared" si="1"/>
        <v/>
      </c>
    </row>
    <row r="96" spans="1:26">
      <c r="A96" s="825" t="s">
        <v>346</v>
      </c>
      <c r="B96" s="826">
        <v>9398</v>
      </c>
      <c r="C96" s="827"/>
      <c r="D96" s="828">
        <v>11.13279</v>
      </c>
      <c r="E96" s="828">
        <v>7.1796600000000002</v>
      </c>
      <c r="F96" s="828">
        <v>51.547539999999998</v>
      </c>
      <c r="G96" s="828">
        <v>27</v>
      </c>
      <c r="H96" s="828">
        <v>1</v>
      </c>
      <c r="I96" s="828">
        <v>5</v>
      </c>
      <c r="J96" s="828">
        <v>16</v>
      </c>
      <c r="K96" s="828">
        <v>10</v>
      </c>
      <c r="L96" s="828">
        <v>2</v>
      </c>
      <c r="N96" s="222" t="s">
        <v>346</v>
      </c>
      <c r="O96" s="222" t="s">
        <v>1954</v>
      </c>
      <c r="P96" s="824">
        <v>9398</v>
      </c>
      <c r="Q96" s="824">
        <v>11.13279</v>
      </c>
      <c r="R96" s="824">
        <v>51.547539999999998</v>
      </c>
      <c r="S96" s="824">
        <v>7.1796600000000002</v>
      </c>
      <c r="T96" s="824">
        <v>27</v>
      </c>
      <c r="U96" s="824">
        <v>1</v>
      </c>
      <c r="V96" s="824">
        <v>5</v>
      </c>
      <c r="W96" s="824">
        <v>16</v>
      </c>
      <c r="X96" s="824">
        <v>10</v>
      </c>
      <c r="Y96" s="824">
        <v>2</v>
      </c>
      <c r="Z96" s="480" t="str">
        <f t="shared" si="1"/>
        <v/>
      </c>
    </row>
    <row r="97" spans="1:26">
      <c r="A97" s="825" t="s">
        <v>347</v>
      </c>
      <c r="B97" s="826">
        <v>1649</v>
      </c>
      <c r="C97" s="827"/>
      <c r="D97" s="828">
        <v>10.466340000000001</v>
      </c>
      <c r="E97" s="828">
        <v>6.3967900000000002</v>
      </c>
      <c r="F97" s="828">
        <v>40.91892</v>
      </c>
      <c r="G97" s="828">
        <v>24</v>
      </c>
      <c r="H97" s="828">
        <v>1</v>
      </c>
      <c r="I97" s="828">
        <v>5</v>
      </c>
      <c r="J97" s="828">
        <v>15</v>
      </c>
      <c r="K97" s="828">
        <v>10</v>
      </c>
      <c r="L97" s="828">
        <v>3</v>
      </c>
      <c r="N97" s="222" t="s">
        <v>347</v>
      </c>
      <c r="O97" s="222" t="s">
        <v>1955</v>
      </c>
      <c r="P97" s="824">
        <v>1649</v>
      </c>
      <c r="Q97" s="824">
        <v>10.466340000000001</v>
      </c>
      <c r="R97" s="824">
        <v>40.91892</v>
      </c>
      <c r="S97" s="824">
        <v>6.3967900000000002</v>
      </c>
      <c r="T97" s="824">
        <v>24</v>
      </c>
      <c r="U97" s="824">
        <v>1</v>
      </c>
      <c r="V97" s="824">
        <v>5</v>
      </c>
      <c r="W97" s="824">
        <v>15</v>
      </c>
      <c r="X97" s="824">
        <v>10</v>
      </c>
      <c r="Y97" s="824">
        <v>3</v>
      </c>
      <c r="Z97" s="480" t="str">
        <f t="shared" si="1"/>
        <v/>
      </c>
    </row>
    <row r="98" spans="1:26">
      <c r="A98" s="825" t="s">
        <v>348</v>
      </c>
      <c r="B98" s="826">
        <v>44059</v>
      </c>
      <c r="C98" s="827"/>
      <c r="D98" s="828">
        <v>10.79133</v>
      </c>
      <c r="E98" s="828">
        <v>6.6416500000000003</v>
      </c>
      <c r="F98" s="828">
        <v>44.111519999999999</v>
      </c>
      <c r="G98" s="828">
        <v>25</v>
      </c>
      <c r="H98" s="828">
        <v>1</v>
      </c>
      <c r="I98" s="828">
        <v>5</v>
      </c>
      <c r="J98" s="828">
        <v>16</v>
      </c>
      <c r="K98" s="828">
        <v>10</v>
      </c>
      <c r="L98" s="828">
        <v>4</v>
      </c>
      <c r="N98" s="222" t="s">
        <v>348</v>
      </c>
      <c r="O98" s="222" t="s">
        <v>1956</v>
      </c>
      <c r="P98" s="824">
        <v>44059</v>
      </c>
      <c r="Q98" s="824">
        <v>10.79133</v>
      </c>
      <c r="R98" s="824">
        <v>44.111519999999999</v>
      </c>
      <c r="S98" s="824">
        <v>6.6416500000000003</v>
      </c>
      <c r="T98" s="824">
        <v>25</v>
      </c>
      <c r="U98" s="824">
        <v>1</v>
      </c>
      <c r="V98" s="824">
        <v>5</v>
      </c>
      <c r="W98" s="824">
        <v>16</v>
      </c>
      <c r="X98" s="824">
        <v>10</v>
      </c>
      <c r="Y98" s="824">
        <v>4</v>
      </c>
      <c r="Z98" s="480" t="str">
        <f t="shared" si="1"/>
        <v/>
      </c>
    </row>
    <row r="99" spans="1:26">
      <c r="A99" s="825" t="s">
        <v>349</v>
      </c>
      <c r="B99" s="826">
        <v>20290</v>
      </c>
      <c r="C99" s="827"/>
      <c r="D99" s="828">
        <v>10.67102</v>
      </c>
      <c r="E99" s="828">
        <v>6.5503</v>
      </c>
      <c r="F99" s="828">
        <v>42.90645</v>
      </c>
      <c r="G99" s="828">
        <v>25</v>
      </c>
      <c r="H99" s="828">
        <v>1</v>
      </c>
      <c r="I99" s="828">
        <v>5</v>
      </c>
      <c r="J99" s="828">
        <v>15</v>
      </c>
      <c r="K99" s="828">
        <v>10</v>
      </c>
      <c r="L99" s="828">
        <v>4</v>
      </c>
      <c r="N99" s="222" t="s">
        <v>349</v>
      </c>
      <c r="O99" s="222" t="s">
        <v>1957</v>
      </c>
      <c r="P99" s="824">
        <v>20290</v>
      </c>
      <c r="Q99" s="824">
        <v>10.67102</v>
      </c>
      <c r="R99" s="824">
        <v>42.90645</v>
      </c>
      <c r="S99" s="824">
        <v>6.5503</v>
      </c>
      <c r="T99" s="824">
        <v>25</v>
      </c>
      <c r="U99" s="824">
        <v>1</v>
      </c>
      <c r="V99" s="824">
        <v>5</v>
      </c>
      <c r="W99" s="824">
        <v>15</v>
      </c>
      <c r="X99" s="824">
        <v>10</v>
      </c>
      <c r="Y99" s="824">
        <v>4</v>
      </c>
      <c r="Z99" s="480" t="str">
        <f t="shared" si="1"/>
        <v/>
      </c>
    </row>
    <row r="100" spans="1:26">
      <c r="A100" s="825" t="s">
        <v>350</v>
      </c>
      <c r="B100" s="826">
        <v>31578</v>
      </c>
      <c r="C100" s="827"/>
      <c r="D100" s="828">
        <v>9.7758599999999998</v>
      </c>
      <c r="E100" s="828">
        <v>5.9038500000000003</v>
      </c>
      <c r="F100" s="828">
        <v>34.855420000000002</v>
      </c>
      <c r="G100" s="828">
        <v>23</v>
      </c>
      <c r="H100" s="828">
        <v>1</v>
      </c>
      <c r="I100" s="828">
        <v>5</v>
      </c>
      <c r="J100" s="828">
        <v>14</v>
      </c>
      <c r="K100" s="828">
        <v>9</v>
      </c>
      <c r="L100" s="828">
        <v>4</v>
      </c>
      <c r="N100" s="222" t="s">
        <v>350</v>
      </c>
      <c r="O100" s="222" t="s">
        <v>1958</v>
      </c>
      <c r="P100" s="824">
        <v>31578</v>
      </c>
      <c r="Q100" s="824">
        <v>9.7758599999999998</v>
      </c>
      <c r="R100" s="824">
        <v>34.855420000000002</v>
      </c>
      <c r="S100" s="824">
        <v>5.9038500000000003</v>
      </c>
      <c r="T100" s="824">
        <v>23</v>
      </c>
      <c r="U100" s="824">
        <v>1</v>
      </c>
      <c r="V100" s="824">
        <v>5</v>
      </c>
      <c r="W100" s="824">
        <v>14</v>
      </c>
      <c r="X100" s="824">
        <v>9</v>
      </c>
      <c r="Y100" s="824">
        <v>4</v>
      </c>
      <c r="Z100" s="480" t="str">
        <f t="shared" si="1"/>
        <v/>
      </c>
    </row>
    <row r="101" spans="1:26">
      <c r="A101" s="825" t="s">
        <v>351</v>
      </c>
      <c r="B101" s="826">
        <v>6551</v>
      </c>
      <c r="C101" s="827"/>
      <c r="D101" s="828">
        <v>8.3825400000000005</v>
      </c>
      <c r="E101" s="828">
        <v>5.3371399999999998</v>
      </c>
      <c r="F101" s="828">
        <v>28.48509</v>
      </c>
      <c r="G101" s="828">
        <v>20</v>
      </c>
      <c r="H101" s="828">
        <v>1</v>
      </c>
      <c r="I101" s="828">
        <v>4</v>
      </c>
      <c r="J101" s="828">
        <v>12</v>
      </c>
      <c r="K101" s="828">
        <v>7</v>
      </c>
      <c r="L101" s="828">
        <v>3</v>
      </c>
      <c r="N101" s="222" t="s">
        <v>351</v>
      </c>
      <c r="O101" s="222" t="s">
        <v>1959</v>
      </c>
      <c r="P101" s="824">
        <v>6551</v>
      </c>
      <c r="Q101" s="824">
        <v>8.3825400000000005</v>
      </c>
      <c r="R101" s="824">
        <v>28.48509</v>
      </c>
      <c r="S101" s="824">
        <v>5.3371399999999998</v>
      </c>
      <c r="T101" s="824">
        <v>20</v>
      </c>
      <c r="U101" s="824">
        <v>1</v>
      </c>
      <c r="V101" s="824">
        <v>4</v>
      </c>
      <c r="W101" s="824">
        <v>12</v>
      </c>
      <c r="X101" s="824">
        <v>7</v>
      </c>
      <c r="Y101" s="824">
        <v>3</v>
      </c>
      <c r="Z101" s="480" t="str">
        <f t="shared" si="1"/>
        <v/>
      </c>
    </row>
    <row r="102" spans="1:26">
      <c r="A102" s="825" t="s">
        <v>352</v>
      </c>
      <c r="B102" s="826">
        <v>8001</v>
      </c>
      <c r="C102" s="827"/>
      <c r="D102" s="828">
        <v>11.72278</v>
      </c>
      <c r="E102" s="828">
        <v>7.1845100000000004</v>
      </c>
      <c r="F102" s="828">
        <v>51.617139999999999</v>
      </c>
      <c r="G102" s="828">
        <v>27</v>
      </c>
      <c r="H102" s="828">
        <v>1</v>
      </c>
      <c r="I102" s="828">
        <v>6</v>
      </c>
      <c r="J102" s="828">
        <v>17</v>
      </c>
      <c r="K102" s="828">
        <v>11</v>
      </c>
      <c r="L102" s="828">
        <v>4</v>
      </c>
      <c r="N102" s="222" t="s">
        <v>352</v>
      </c>
      <c r="O102" s="222" t="s">
        <v>1960</v>
      </c>
      <c r="P102" s="824">
        <v>8001</v>
      </c>
      <c r="Q102" s="824">
        <v>11.72278</v>
      </c>
      <c r="R102" s="824">
        <v>51.617139999999999</v>
      </c>
      <c r="S102" s="824">
        <v>7.1845100000000004</v>
      </c>
      <c r="T102" s="824">
        <v>27</v>
      </c>
      <c r="U102" s="824">
        <v>1</v>
      </c>
      <c r="V102" s="824">
        <v>6</v>
      </c>
      <c r="W102" s="824">
        <v>17</v>
      </c>
      <c r="X102" s="824">
        <v>11</v>
      </c>
      <c r="Y102" s="824">
        <v>4</v>
      </c>
      <c r="Z102" s="480" t="str">
        <f t="shared" si="1"/>
        <v/>
      </c>
    </row>
    <row r="103" spans="1:26">
      <c r="A103" s="825" t="s">
        <v>353</v>
      </c>
      <c r="B103" s="826">
        <v>10708</v>
      </c>
      <c r="C103" s="827"/>
      <c r="D103" s="828">
        <v>8.7371099999999995</v>
      </c>
      <c r="E103" s="828">
        <v>5.4775400000000003</v>
      </c>
      <c r="F103" s="828">
        <v>30.003450000000001</v>
      </c>
      <c r="G103" s="828">
        <v>21</v>
      </c>
      <c r="H103" s="828">
        <v>1</v>
      </c>
      <c r="I103" s="828">
        <v>4</v>
      </c>
      <c r="J103" s="828">
        <v>13</v>
      </c>
      <c r="K103" s="828">
        <v>8</v>
      </c>
      <c r="L103" s="828">
        <v>3</v>
      </c>
      <c r="N103" s="222" t="s">
        <v>353</v>
      </c>
      <c r="O103" s="222" t="s">
        <v>1961</v>
      </c>
      <c r="P103" s="824">
        <v>10708</v>
      </c>
      <c r="Q103" s="824">
        <v>8.7371099999999995</v>
      </c>
      <c r="R103" s="824">
        <v>30.003450000000001</v>
      </c>
      <c r="S103" s="824">
        <v>5.4775400000000003</v>
      </c>
      <c r="T103" s="824">
        <v>21</v>
      </c>
      <c r="U103" s="824">
        <v>1</v>
      </c>
      <c r="V103" s="824">
        <v>4</v>
      </c>
      <c r="W103" s="824">
        <v>13</v>
      </c>
      <c r="X103" s="824">
        <v>8</v>
      </c>
      <c r="Y103" s="824">
        <v>3</v>
      </c>
      <c r="Z103" s="480" t="str">
        <f t="shared" si="1"/>
        <v/>
      </c>
    </row>
    <row r="104" spans="1:26">
      <c r="A104" s="825" t="s">
        <v>354</v>
      </c>
      <c r="B104" s="826">
        <v>33713</v>
      </c>
      <c r="C104" s="827"/>
      <c r="D104" s="828">
        <v>10.20523</v>
      </c>
      <c r="E104" s="828">
        <v>6.5073999999999996</v>
      </c>
      <c r="F104" s="828">
        <v>42.346200000000003</v>
      </c>
      <c r="G104" s="828">
        <v>25</v>
      </c>
      <c r="H104" s="828">
        <v>1</v>
      </c>
      <c r="I104" s="828">
        <v>5</v>
      </c>
      <c r="J104" s="828">
        <v>15</v>
      </c>
      <c r="K104" s="828">
        <v>9</v>
      </c>
      <c r="L104" s="828">
        <v>4</v>
      </c>
      <c r="N104" s="222" t="s">
        <v>354</v>
      </c>
      <c r="O104" s="222" t="s">
        <v>1962</v>
      </c>
      <c r="P104" s="824">
        <v>33713</v>
      </c>
      <c r="Q104" s="824">
        <v>10.20523</v>
      </c>
      <c r="R104" s="824">
        <v>42.346200000000003</v>
      </c>
      <c r="S104" s="824">
        <v>6.5073999999999996</v>
      </c>
      <c r="T104" s="824">
        <v>25</v>
      </c>
      <c r="U104" s="824">
        <v>1</v>
      </c>
      <c r="V104" s="824">
        <v>5</v>
      </c>
      <c r="W104" s="824">
        <v>15</v>
      </c>
      <c r="X104" s="824">
        <v>9</v>
      </c>
      <c r="Y104" s="824">
        <v>4</v>
      </c>
      <c r="Z104" s="480" t="str">
        <f t="shared" si="1"/>
        <v/>
      </c>
    </row>
    <row r="105" spans="1:26">
      <c r="A105" s="825" t="s">
        <v>1146</v>
      </c>
      <c r="B105" s="826">
        <v>4176</v>
      </c>
      <c r="C105" s="827"/>
      <c r="D105" s="828">
        <v>9.1443999999999992</v>
      </c>
      <c r="E105" s="828">
        <v>5.5026999999999999</v>
      </c>
      <c r="F105" s="828">
        <v>30.27974</v>
      </c>
      <c r="G105" s="828">
        <v>21</v>
      </c>
      <c r="H105" s="828">
        <v>1</v>
      </c>
      <c r="I105" s="828">
        <v>5</v>
      </c>
      <c r="J105" s="828">
        <v>13</v>
      </c>
      <c r="K105" s="828">
        <v>8</v>
      </c>
      <c r="L105" s="828">
        <v>4</v>
      </c>
      <c r="N105" s="222" t="s">
        <v>1146</v>
      </c>
      <c r="O105" s="222" t="s">
        <v>1963</v>
      </c>
      <c r="P105" s="824">
        <v>4176</v>
      </c>
      <c r="Q105" s="824">
        <v>9.1443999999999992</v>
      </c>
      <c r="R105" s="824">
        <v>30.27974</v>
      </c>
      <c r="S105" s="824">
        <v>5.5026999999999999</v>
      </c>
      <c r="T105" s="824">
        <v>21</v>
      </c>
      <c r="U105" s="824">
        <v>1</v>
      </c>
      <c r="V105" s="824">
        <v>5</v>
      </c>
      <c r="W105" s="824">
        <v>13</v>
      </c>
      <c r="X105" s="824">
        <v>8</v>
      </c>
      <c r="Y105" s="824">
        <v>4</v>
      </c>
      <c r="Z105" s="480" t="str">
        <f t="shared" si="1"/>
        <v/>
      </c>
    </row>
    <row r="106" spans="1:26">
      <c r="A106" s="825" t="s">
        <v>355</v>
      </c>
      <c r="B106" s="826">
        <v>4703</v>
      </c>
      <c r="C106" s="827"/>
      <c r="D106" s="828">
        <v>9.7127400000000002</v>
      </c>
      <c r="E106" s="828">
        <v>8.0934399999999993</v>
      </c>
      <c r="F106" s="828">
        <v>65.503810000000001</v>
      </c>
      <c r="G106" s="828">
        <v>56</v>
      </c>
      <c r="H106" s="828">
        <v>1</v>
      </c>
      <c r="I106" s="828">
        <v>4</v>
      </c>
      <c r="J106" s="828">
        <v>13</v>
      </c>
      <c r="K106" s="828">
        <v>7</v>
      </c>
      <c r="L106" s="828">
        <v>3</v>
      </c>
      <c r="N106" s="222" t="s">
        <v>355</v>
      </c>
      <c r="O106" s="222" t="s">
        <v>1964</v>
      </c>
      <c r="P106" s="824">
        <v>4703</v>
      </c>
      <c r="Q106" s="824">
        <v>9.7127400000000002</v>
      </c>
      <c r="R106" s="824">
        <v>65.503810000000001</v>
      </c>
      <c r="S106" s="824">
        <v>8.0934399999999993</v>
      </c>
      <c r="T106" s="824">
        <v>56</v>
      </c>
      <c r="U106" s="824">
        <v>1</v>
      </c>
      <c r="V106" s="824">
        <v>4</v>
      </c>
      <c r="W106" s="824">
        <v>13</v>
      </c>
      <c r="X106" s="824">
        <v>7</v>
      </c>
      <c r="Y106" s="824">
        <v>3</v>
      </c>
      <c r="Z106" s="480" t="str">
        <f t="shared" si="1"/>
        <v/>
      </c>
    </row>
    <row r="107" spans="1:26">
      <c r="A107" s="825" t="s">
        <v>356</v>
      </c>
      <c r="B107" s="826">
        <v>11644</v>
      </c>
      <c r="C107" s="827"/>
      <c r="D107" s="828">
        <v>10.124610000000001</v>
      </c>
      <c r="E107" s="828">
        <v>6.3837999999999999</v>
      </c>
      <c r="F107" s="828">
        <v>40.75291</v>
      </c>
      <c r="G107" s="828">
        <v>24</v>
      </c>
      <c r="H107" s="828">
        <v>1</v>
      </c>
      <c r="I107" s="828">
        <v>5</v>
      </c>
      <c r="J107" s="828">
        <v>15</v>
      </c>
      <c r="K107" s="828">
        <v>9</v>
      </c>
      <c r="L107" s="828">
        <v>3</v>
      </c>
      <c r="N107" s="222" t="s">
        <v>356</v>
      </c>
      <c r="O107" s="222" t="s">
        <v>1965</v>
      </c>
      <c r="P107" s="824">
        <v>11644</v>
      </c>
      <c r="Q107" s="824">
        <v>10.124610000000001</v>
      </c>
      <c r="R107" s="824">
        <v>40.75291</v>
      </c>
      <c r="S107" s="824">
        <v>6.3837999999999999</v>
      </c>
      <c r="T107" s="824">
        <v>24</v>
      </c>
      <c r="U107" s="824">
        <v>1</v>
      </c>
      <c r="V107" s="824">
        <v>5</v>
      </c>
      <c r="W107" s="824">
        <v>15</v>
      </c>
      <c r="X107" s="824">
        <v>9</v>
      </c>
      <c r="Y107" s="824">
        <v>3</v>
      </c>
      <c r="Z107" s="480" t="str">
        <f t="shared" si="1"/>
        <v/>
      </c>
    </row>
    <row r="108" spans="1:26">
      <c r="A108" s="825" t="s">
        <v>357</v>
      </c>
      <c r="B108" s="826">
        <v>9376</v>
      </c>
      <c r="C108" s="827"/>
      <c r="D108" s="828">
        <v>10.622120000000001</v>
      </c>
      <c r="E108" s="828">
        <v>6.5591699999999999</v>
      </c>
      <c r="F108" s="828">
        <v>43.022739999999999</v>
      </c>
      <c r="G108" s="828">
        <v>25</v>
      </c>
      <c r="H108" s="828">
        <v>1</v>
      </c>
      <c r="I108" s="828">
        <v>5</v>
      </c>
      <c r="J108" s="828">
        <v>15</v>
      </c>
      <c r="K108" s="828">
        <v>10</v>
      </c>
      <c r="L108" s="828">
        <v>4</v>
      </c>
      <c r="N108" s="222" t="s">
        <v>357</v>
      </c>
      <c r="O108" s="222" t="s">
        <v>358</v>
      </c>
      <c r="P108" s="824">
        <v>9376</v>
      </c>
      <c r="Q108" s="824">
        <v>10.622120000000001</v>
      </c>
      <c r="R108" s="824">
        <v>43.022739999999999</v>
      </c>
      <c r="S108" s="824">
        <v>6.5591699999999999</v>
      </c>
      <c r="T108" s="824">
        <v>25</v>
      </c>
      <c r="U108" s="824">
        <v>1</v>
      </c>
      <c r="V108" s="824">
        <v>5</v>
      </c>
      <c r="W108" s="824">
        <v>15</v>
      </c>
      <c r="X108" s="824">
        <v>10</v>
      </c>
      <c r="Y108" s="824">
        <v>4</v>
      </c>
      <c r="Z108" s="480" t="str">
        <f t="shared" si="1"/>
        <v/>
      </c>
    </row>
    <row r="109" spans="1:26">
      <c r="A109" s="825" t="s">
        <v>359</v>
      </c>
      <c r="B109" s="826">
        <v>44602</v>
      </c>
      <c r="C109" s="827"/>
      <c r="D109" s="828">
        <v>10.80059</v>
      </c>
      <c r="E109" s="828">
        <v>6.8612599999999997</v>
      </c>
      <c r="F109" s="828">
        <v>47.076889999999999</v>
      </c>
      <c r="G109" s="828">
        <v>26</v>
      </c>
      <c r="H109" s="828">
        <v>1</v>
      </c>
      <c r="I109" s="828">
        <v>5</v>
      </c>
      <c r="J109" s="828">
        <v>16</v>
      </c>
      <c r="K109" s="828">
        <v>10</v>
      </c>
      <c r="L109" s="828">
        <v>4</v>
      </c>
      <c r="N109" s="222" t="s">
        <v>359</v>
      </c>
      <c r="O109" s="222" t="s">
        <v>1966</v>
      </c>
      <c r="P109" s="824">
        <v>44602</v>
      </c>
      <c r="Q109" s="824">
        <v>10.80059</v>
      </c>
      <c r="R109" s="824">
        <v>47.076889999999999</v>
      </c>
      <c r="S109" s="824">
        <v>6.8612599999999997</v>
      </c>
      <c r="T109" s="824">
        <v>26</v>
      </c>
      <c r="U109" s="824">
        <v>1</v>
      </c>
      <c r="V109" s="824">
        <v>5</v>
      </c>
      <c r="W109" s="824">
        <v>16</v>
      </c>
      <c r="X109" s="824">
        <v>10</v>
      </c>
      <c r="Y109" s="824">
        <v>4</v>
      </c>
      <c r="Z109" s="480" t="str">
        <f t="shared" si="1"/>
        <v/>
      </c>
    </row>
    <row r="110" spans="1:26">
      <c r="A110" s="825" t="s">
        <v>360</v>
      </c>
      <c r="B110" s="826">
        <v>4269</v>
      </c>
      <c r="C110" s="827"/>
      <c r="D110" s="828">
        <v>11.469670000000001</v>
      </c>
      <c r="E110" s="828">
        <v>7.1872400000000001</v>
      </c>
      <c r="F110" s="828">
        <v>51.656350000000003</v>
      </c>
      <c r="G110" s="828">
        <v>27</v>
      </c>
      <c r="H110" s="828">
        <v>1</v>
      </c>
      <c r="I110" s="828">
        <v>5</v>
      </c>
      <c r="J110" s="828">
        <v>17</v>
      </c>
      <c r="K110" s="828">
        <v>10</v>
      </c>
      <c r="L110" s="828">
        <v>3</v>
      </c>
      <c r="N110" s="222" t="s">
        <v>360</v>
      </c>
      <c r="O110" s="222" t="s">
        <v>1967</v>
      </c>
      <c r="P110" s="824">
        <v>4269</v>
      </c>
      <c r="Q110" s="824">
        <v>11.469670000000001</v>
      </c>
      <c r="R110" s="824">
        <v>51.656350000000003</v>
      </c>
      <c r="S110" s="824">
        <v>7.1872400000000001</v>
      </c>
      <c r="T110" s="824">
        <v>27</v>
      </c>
      <c r="U110" s="824">
        <v>1</v>
      </c>
      <c r="V110" s="824">
        <v>5</v>
      </c>
      <c r="W110" s="824">
        <v>17</v>
      </c>
      <c r="X110" s="824">
        <v>10</v>
      </c>
      <c r="Y110" s="824">
        <v>3</v>
      </c>
      <c r="Z110" s="480" t="str">
        <f t="shared" si="1"/>
        <v/>
      </c>
    </row>
    <row r="111" spans="1:26">
      <c r="A111" s="825" t="s">
        <v>361</v>
      </c>
      <c r="B111" s="826">
        <v>229</v>
      </c>
      <c r="C111" s="829"/>
      <c r="D111" s="828">
        <v>10.78166</v>
      </c>
      <c r="E111" s="828">
        <v>6.8444799999999999</v>
      </c>
      <c r="F111" s="828">
        <v>46.84686</v>
      </c>
      <c r="G111" s="828">
        <v>24</v>
      </c>
      <c r="H111" s="828">
        <v>1</v>
      </c>
      <c r="I111" s="828">
        <v>5</v>
      </c>
      <c r="J111" s="828">
        <v>17</v>
      </c>
      <c r="K111" s="828">
        <v>10</v>
      </c>
      <c r="L111" s="828">
        <v>2</v>
      </c>
      <c r="N111" s="222" t="s">
        <v>361</v>
      </c>
      <c r="O111" s="222" t="s">
        <v>1968</v>
      </c>
      <c r="P111" s="824">
        <v>229</v>
      </c>
      <c r="Q111" s="824">
        <v>10.78166</v>
      </c>
      <c r="R111" s="824">
        <v>46.84686</v>
      </c>
      <c r="S111" s="824">
        <v>6.8444799999999999</v>
      </c>
      <c r="T111" s="824">
        <v>24</v>
      </c>
      <c r="U111" s="824">
        <v>1</v>
      </c>
      <c r="V111" s="824">
        <v>5</v>
      </c>
      <c r="W111" s="824">
        <v>17</v>
      </c>
      <c r="X111" s="824">
        <v>10</v>
      </c>
      <c r="Y111" s="824">
        <v>2</v>
      </c>
      <c r="Z111" s="480" t="str">
        <f t="shared" si="1"/>
        <v/>
      </c>
    </row>
    <row r="112" spans="1:26">
      <c r="A112" s="825" t="s">
        <v>362</v>
      </c>
      <c r="B112" s="826">
        <v>1469</v>
      </c>
      <c r="C112" s="827"/>
      <c r="D112" s="828">
        <v>10.72771</v>
      </c>
      <c r="E112" s="828">
        <v>6.3641300000000003</v>
      </c>
      <c r="F112" s="828">
        <v>40.502099999999999</v>
      </c>
      <c r="G112" s="828">
        <v>24</v>
      </c>
      <c r="H112" s="828">
        <v>1</v>
      </c>
      <c r="I112" s="828">
        <v>5</v>
      </c>
      <c r="J112" s="828">
        <v>16</v>
      </c>
      <c r="K112" s="828">
        <v>10</v>
      </c>
      <c r="L112" s="828">
        <v>5</v>
      </c>
      <c r="N112" s="222" t="s">
        <v>362</v>
      </c>
      <c r="O112" s="222" t="s">
        <v>1969</v>
      </c>
      <c r="P112" s="824">
        <v>1469</v>
      </c>
      <c r="Q112" s="824">
        <v>10.72771</v>
      </c>
      <c r="R112" s="824">
        <v>40.502099999999999</v>
      </c>
      <c r="S112" s="824">
        <v>6.3641300000000003</v>
      </c>
      <c r="T112" s="824">
        <v>24</v>
      </c>
      <c r="U112" s="824">
        <v>1</v>
      </c>
      <c r="V112" s="824">
        <v>5</v>
      </c>
      <c r="W112" s="824">
        <v>16</v>
      </c>
      <c r="X112" s="824">
        <v>10</v>
      </c>
      <c r="Y112" s="824">
        <v>5</v>
      </c>
      <c r="Z112" s="480" t="str">
        <f t="shared" si="1"/>
        <v/>
      </c>
    </row>
    <row r="113" spans="1:26">
      <c r="A113" s="825" t="s">
        <v>363</v>
      </c>
      <c r="B113" s="826">
        <v>6358</v>
      </c>
      <c r="C113" s="827"/>
      <c r="D113" s="828">
        <v>10.779960000000001</v>
      </c>
      <c r="E113" s="828">
        <v>6.7726899999999999</v>
      </c>
      <c r="F113" s="828">
        <v>45.869300000000003</v>
      </c>
      <c r="G113" s="828">
        <v>25</v>
      </c>
      <c r="H113" s="828">
        <v>1</v>
      </c>
      <c r="I113" s="828">
        <v>5</v>
      </c>
      <c r="J113" s="828">
        <v>16</v>
      </c>
      <c r="K113" s="828">
        <v>10</v>
      </c>
      <c r="L113" s="828">
        <v>2</v>
      </c>
      <c r="N113" s="222" t="s">
        <v>363</v>
      </c>
      <c r="O113" s="222" t="s">
        <v>1970</v>
      </c>
      <c r="P113" s="824">
        <v>6358</v>
      </c>
      <c r="Q113" s="824">
        <v>10.779960000000001</v>
      </c>
      <c r="R113" s="824">
        <v>45.869300000000003</v>
      </c>
      <c r="S113" s="824">
        <v>6.7726899999999999</v>
      </c>
      <c r="T113" s="824">
        <v>25</v>
      </c>
      <c r="U113" s="824">
        <v>1</v>
      </c>
      <c r="V113" s="824">
        <v>5</v>
      </c>
      <c r="W113" s="824">
        <v>16</v>
      </c>
      <c r="X113" s="824">
        <v>10</v>
      </c>
      <c r="Y113" s="824">
        <v>2</v>
      </c>
      <c r="Z113" s="480" t="str">
        <f t="shared" si="1"/>
        <v/>
      </c>
    </row>
    <row r="114" spans="1:26">
      <c r="A114" s="825" t="s">
        <v>364</v>
      </c>
      <c r="B114" s="826">
        <v>3983</v>
      </c>
      <c r="C114" s="827"/>
      <c r="D114" s="828">
        <v>11.59503</v>
      </c>
      <c r="E114" s="828">
        <v>7.4238099999999996</v>
      </c>
      <c r="F114" s="828">
        <v>55.112949999999998</v>
      </c>
      <c r="G114" s="828">
        <v>28</v>
      </c>
      <c r="H114" s="828">
        <v>1</v>
      </c>
      <c r="I114" s="828">
        <v>5</v>
      </c>
      <c r="J114" s="828">
        <v>17</v>
      </c>
      <c r="K114" s="828">
        <v>11</v>
      </c>
      <c r="L114" s="828">
        <v>2</v>
      </c>
      <c r="N114" s="222" t="s">
        <v>364</v>
      </c>
      <c r="O114" s="222" t="s">
        <v>1971</v>
      </c>
      <c r="P114" s="824">
        <v>3983</v>
      </c>
      <c r="Q114" s="824">
        <v>11.59503</v>
      </c>
      <c r="R114" s="824">
        <v>55.112949999999998</v>
      </c>
      <c r="S114" s="824">
        <v>7.4238099999999996</v>
      </c>
      <c r="T114" s="824">
        <v>28</v>
      </c>
      <c r="U114" s="824">
        <v>1</v>
      </c>
      <c r="V114" s="824">
        <v>5</v>
      </c>
      <c r="W114" s="824">
        <v>17</v>
      </c>
      <c r="X114" s="824">
        <v>11</v>
      </c>
      <c r="Y114" s="824">
        <v>2</v>
      </c>
      <c r="Z114" s="480" t="str">
        <f t="shared" si="1"/>
        <v/>
      </c>
    </row>
    <row r="115" spans="1:26">
      <c r="A115" s="825" t="s">
        <v>365</v>
      </c>
      <c r="B115" s="826">
        <v>512</v>
      </c>
      <c r="C115" s="827"/>
      <c r="D115" s="828">
        <v>9.5898400000000006</v>
      </c>
      <c r="E115" s="828">
        <v>6.3753799999999998</v>
      </c>
      <c r="F115" s="828">
        <v>40.645530000000001</v>
      </c>
      <c r="G115" s="828">
        <v>24</v>
      </c>
      <c r="H115" s="828">
        <v>1</v>
      </c>
      <c r="I115" s="828">
        <v>4</v>
      </c>
      <c r="J115" s="828">
        <v>14</v>
      </c>
      <c r="K115" s="828">
        <v>8</v>
      </c>
      <c r="L115" s="828">
        <v>3</v>
      </c>
      <c r="N115" s="222" t="s">
        <v>365</v>
      </c>
      <c r="O115" s="222" t="s">
        <v>1972</v>
      </c>
      <c r="P115" s="824">
        <v>512</v>
      </c>
      <c r="Q115" s="824">
        <v>9.5898400000000006</v>
      </c>
      <c r="R115" s="824">
        <v>40.645530000000001</v>
      </c>
      <c r="S115" s="824">
        <v>6.3753799999999998</v>
      </c>
      <c r="T115" s="824">
        <v>24</v>
      </c>
      <c r="U115" s="824">
        <v>1</v>
      </c>
      <c r="V115" s="824">
        <v>4</v>
      </c>
      <c r="W115" s="824">
        <v>14</v>
      </c>
      <c r="X115" s="824">
        <v>8</v>
      </c>
      <c r="Y115" s="824">
        <v>3</v>
      </c>
      <c r="Z115" s="480" t="str">
        <f t="shared" si="1"/>
        <v/>
      </c>
    </row>
    <row r="116" spans="1:26">
      <c r="A116" s="825" t="s">
        <v>366</v>
      </c>
      <c r="B116" s="826">
        <v>8065</v>
      </c>
      <c r="C116" s="827"/>
      <c r="D116" s="828">
        <v>9.40198</v>
      </c>
      <c r="E116" s="828">
        <v>5.6514499999999996</v>
      </c>
      <c r="F116" s="828">
        <v>31.938839999999999</v>
      </c>
      <c r="G116" s="828">
        <v>21</v>
      </c>
      <c r="H116" s="828">
        <v>1</v>
      </c>
      <c r="I116" s="828">
        <v>5</v>
      </c>
      <c r="J116" s="828">
        <v>14</v>
      </c>
      <c r="K116" s="828">
        <v>9</v>
      </c>
      <c r="L116" s="828">
        <v>5</v>
      </c>
      <c r="N116" s="222" t="s">
        <v>366</v>
      </c>
      <c r="O116" s="222" t="s">
        <v>1973</v>
      </c>
      <c r="P116" s="824">
        <v>8065</v>
      </c>
      <c r="Q116" s="824">
        <v>9.40198</v>
      </c>
      <c r="R116" s="824">
        <v>31.938839999999999</v>
      </c>
      <c r="S116" s="824">
        <v>5.6514499999999996</v>
      </c>
      <c r="T116" s="824">
        <v>21</v>
      </c>
      <c r="U116" s="824">
        <v>1</v>
      </c>
      <c r="V116" s="824">
        <v>5</v>
      </c>
      <c r="W116" s="824">
        <v>14</v>
      </c>
      <c r="X116" s="824">
        <v>9</v>
      </c>
      <c r="Y116" s="824">
        <v>5</v>
      </c>
      <c r="Z116" s="480" t="str">
        <f t="shared" si="1"/>
        <v/>
      </c>
    </row>
    <row r="117" spans="1:26">
      <c r="A117" s="825" t="s">
        <v>367</v>
      </c>
      <c r="B117" s="826">
        <v>25138</v>
      </c>
      <c r="C117" s="827"/>
      <c r="D117" s="828">
        <v>8.53186</v>
      </c>
      <c r="E117" s="828">
        <v>5.2942400000000003</v>
      </c>
      <c r="F117" s="828">
        <v>28.029</v>
      </c>
      <c r="G117" s="828">
        <v>20</v>
      </c>
      <c r="H117" s="828">
        <v>1</v>
      </c>
      <c r="I117" s="828">
        <v>4</v>
      </c>
      <c r="J117" s="828">
        <v>13</v>
      </c>
      <c r="K117" s="828">
        <v>8</v>
      </c>
      <c r="L117" s="828">
        <v>2</v>
      </c>
      <c r="N117" s="222" t="s">
        <v>367</v>
      </c>
      <c r="O117" s="222" t="s">
        <v>1974</v>
      </c>
      <c r="P117" s="824">
        <v>25138</v>
      </c>
      <c r="Q117" s="824">
        <v>8.53186</v>
      </c>
      <c r="R117" s="824">
        <v>28.029</v>
      </c>
      <c r="S117" s="824">
        <v>5.2942400000000003</v>
      </c>
      <c r="T117" s="824">
        <v>20</v>
      </c>
      <c r="U117" s="824">
        <v>1</v>
      </c>
      <c r="V117" s="824">
        <v>4</v>
      </c>
      <c r="W117" s="824">
        <v>13</v>
      </c>
      <c r="X117" s="824">
        <v>8</v>
      </c>
      <c r="Y117" s="824">
        <v>2</v>
      </c>
      <c r="Z117" s="480" t="str">
        <f t="shared" si="1"/>
        <v/>
      </c>
    </row>
    <row r="118" spans="1:26">
      <c r="A118" s="825" t="s">
        <v>368</v>
      </c>
      <c r="B118" s="826">
        <v>17570</v>
      </c>
      <c r="C118" s="827"/>
      <c r="D118" s="828">
        <v>8.1184999999999992</v>
      </c>
      <c r="E118" s="828">
        <v>5.18309</v>
      </c>
      <c r="F118" s="828">
        <v>26.864439999999998</v>
      </c>
      <c r="G118" s="828">
        <v>20</v>
      </c>
      <c r="H118" s="828">
        <v>1</v>
      </c>
      <c r="I118" s="828">
        <v>4</v>
      </c>
      <c r="J118" s="828">
        <v>12</v>
      </c>
      <c r="K118" s="828">
        <v>7</v>
      </c>
      <c r="L118" s="828">
        <v>3</v>
      </c>
      <c r="N118" s="222" t="s">
        <v>368</v>
      </c>
      <c r="O118" s="222" t="s">
        <v>1975</v>
      </c>
      <c r="P118" s="824">
        <v>17570</v>
      </c>
      <c r="Q118" s="824">
        <v>8.1184999999999992</v>
      </c>
      <c r="R118" s="824">
        <v>26.864439999999998</v>
      </c>
      <c r="S118" s="824">
        <v>5.18309</v>
      </c>
      <c r="T118" s="824">
        <v>20</v>
      </c>
      <c r="U118" s="824">
        <v>1</v>
      </c>
      <c r="V118" s="824">
        <v>4</v>
      </c>
      <c r="W118" s="824">
        <v>12</v>
      </c>
      <c r="X118" s="824">
        <v>7</v>
      </c>
      <c r="Y118" s="824">
        <v>3</v>
      </c>
      <c r="Z118" s="480" t="str">
        <f t="shared" si="1"/>
        <v/>
      </c>
    </row>
    <row r="119" spans="1:26">
      <c r="A119" s="825" t="s">
        <v>369</v>
      </c>
      <c r="B119" s="826">
        <v>41339</v>
      </c>
      <c r="C119" s="827"/>
      <c r="D119" s="828">
        <v>11.19294</v>
      </c>
      <c r="E119" s="828">
        <v>7.1209499999999997</v>
      </c>
      <c r="F119" s="828">
        <v>50.707999999999998</v>
      </c>
      <c r="G119" s="828">
        <v>27</v>
      </c>
      <c r="H119" s="828">
        <v>1</v>
      </c>
      <c r="I119" s="828">
        <v>5</v>
      </c>
      <c r="J119" s="828">
        <v>16</v>
      </c>
      <c r="K119" s="828">
        <v>10</v>
      </c>
      <c r="L119" s="828">
        <v>3</v>
      </c>
      <c r="N119" s="222" t="s">
        <v>369</v>
      </c>
      <c r="O119" s="222" t="s">
        <v>1976</v>
      </c>
      <c r="P119" s="824">
        <v>41339</v>
      </c>
      <c r="Q119" s="824">
        <v>11.19294</v>
      </c>
      <c r="R119" s="824">
        <v>50.707999999999998</v>
      </c>
      <c r="S119" s="824">
        <v>7.1209499999999997</v>
      </c>
      <c r="T119" s="824">
        <v>27</v>
      </c>
      <c r="U119" s="824">
        <v>1</v>
      </c>
      <c r="V119" s="824">
        <v>5</v>
      </c>
      <c r="W119" s="824">
        <v>16</v>
      </c>
      <c r="X119" s="824">
        <v>10</v>
      </c>
      <c r="Y119" s="824">
        <v>3</v>
      </c>
      <c r="Z119" s="480" t="str">
        <f t="shared" si="1"/>
        <v/>
      </c>
    </row>
    <row r="120" spans="1:26">
      <c r="A120" s="825" t="s">
        <v>370</v>
      </c>
      <c r="B120" s="826">
        <v>11225</v>
      </c>
      <c r="C120" s="827"/>
      <c r="D120" s="828">
        <v>11.119109999999999</v>
      </c>
      <c r="E120" s="828">
        <v>7.14201</v>
      </c>
      <c r="F120" s="828">
        <v>51.00835</v>
      </c>
      <c r="G120" s="828">
        <v>27</v>
      </c>
      <c r="H120" s="828">
        <v>1</v>
      </c>
      <c r="I120" s="828">
        <v>5</v>
      </c>
      <c r="J120" s="828">
        <v>16</v>
      </c>
      <c r="K120" s="828">
        <v>10</v>
      </c>
      <c r="L120" s="828">
        <v>2</v>
      </c>
      <c r="N120" s="222" t="s">
        <v>370</v>
      </c>
      <c r="O120" s="222" t="s">
        <v>1977</v>
      </c>
      <c r="P120" s="824">
        <v>11225</v>
      </c>
      <c r="Q120" s="824">
        <v>11.119109999999999</v>
      </c>
      <c r="R120" s="824">
        <v>51.00835</v>
      </c>
      <c r="S120" s="824">
        <v>7.14201</v>
      </c>
      <c r="T120" s="824">
        <v>27</v>
      </c>
      <c r="U120" s="824">
        <v>1</v>
      </c>
      <c r="V120" s="824">
        <v>5</v>
      </c>
      <c r="W120" s="824">
        <v>16</v>
      </c>
      <c r="X120" s="824">
        <v>10</v>
      </c>
      <c r="Y120" s="824">
        <v>2</v>
      </c>
      <c r="Z120" s="480" t="str">
        <f t="shared" si="1"/>
        <v/>
      </c>
    </row>
    <row r="121" spans="1:26">
      <c r="A121" s="825" t="s">
        <v>371</v>
      </c>
      <c r="B121" s="826">
        <v>15696</v>
      </c>
      <c r="C121" s="827"/>
      <c r="D121" s="828">
        <v>11.530900000000001</v>
      </c>
      <c r="E121" s="828">
        <v>7.1858500000000003</v>
      </c>
      <c r="F121" s="828">
        <v>51.636380000000003</v>
      </c>
      <c r="G121" s="828">
        <v>27</v>
      </c>
      <c r="H121" s="828">
        <v>1</v>
      </c>
      <c r="I121" s="828">
        <v>5</v>
      </c>
      <c r="J121" s="828">
        <v>17</v>
      </c>
      <c r="K121" s="828">
        <v>10</v>
      </c>
      <c r="L121" s="828">
        <v>3</v>
      </c>
      <c r="N121" s="222" t="s">
        <v>371</v>
      </c>
      <c r="O121" s="222" t="s">
        <v>1978</v>
      </c>
      <c r="P121" s="824">
        <v>15696</v>
      </c>
      <c r="Q121" s="824">
        <v>11.530900000000001</v>
      </c>
      <c r="R121" s="824">
        <v>51.636380000000003</v>
      </c>
      <c r="S121" s="824">
        <v>7.1858500000000003</v>
      </c>
      <c r="T121" s="824">
        <v>27</v>
      </c>
      <c r="U121" s="824">
        <v>1</v>
      </c>
      <c r="V121" s="824">
        <v>5</v>
      </c>
      <c r="W121" s="824">
        <v>17</v>
      </c>
      <c r="X121" s="824">
        <v>10</v>
      </c>
      <c r="Y121" s="824">
        <v>3</v>
      </c>
      <c r="Z121" s="480" t="str">
        <f t="shared" si="1"/>
        <v/>
      </c>
    </row>
    <row r="122" spans="1:26">
      <c r="A122" s="825" t="s">
        <v>372</v>
      </c>
      <c r="B122" s="826">
        <v>2114</v>
      </c>
      <c r="C122" s="827"/>
      <c r="D122" s="828">
        <v>12.130559999999999</v>
      </c>
      <c r="E122" s="828">
        <v>7.6206199999999997</v>
      </c>
      <c r="F122" s="828">
        <v>58.073810000000002</v>
      </c>
      <c r="G122" s="828">
        <v>29</v>
      </c>
      <c r="H122" s="828">
        <v>1</v>
      </c>
      <c r="I122" s="828">
        <v>6</v>
      </c>
      <c r="J122" s="828">
        <v>18</v>
      </c>
      <c r="K122" s="828">
        <v>11</v>
      </c>
      <c r="L122" s="828">
        <v>2</v>
      </c>
      <c r="N122" s="222" t="s">
        <v>372</v>
      </c>
      <c r="O122" s="222" t="s">
        <v>1979</v>
      </c>
      <c r="P122" s="824">
        <v>2114</v>
      </c>
      <c r="Q122" s="824">
        <v>12.130559999999999</v>
      </c>
      <c r="R122" s="824">
        <v>58.073810000000002</v>
      </c>
      <c r="S122" s="824">
        <v>7.6206199999999997</v>
      </c>
      <c r="T122" s="824">
        <v>29</v>
      </c>
      <c r="U122" s="824">
        <v>1</v>
      </c>
      <c r="V122" s="824">
        <v>6</v>
      </c>
      <c r="W122" s="824">
        <v>18</v>
      </c>
      <c r="X122" s="824">
        <v>11</v>
      </c>
      <c r="Y122" s="824">
        <v>2</v>
      </c>
      <c r="Z122" s="480" t="str">
        <f t="shared" si="1"/>
        <v/>
      </c>
    </row>
    <row r="123" spans="1:26">
      <c r="A123" s="825" t="s">
        <v>373</v>
      </c>
      <c r="B123" s="826">
        <v>1296</v>
      </c>
      <c r="C123" s="827"/>
      <c r="D123" s="828">
        <v>10.962960000000001</v>
      </c>
      <c r="E123" s="828">
        <v>6.9770799999999999</v>
      </c>
      <c r="F123" s="828">
        <v>48.67971</v>
      </c>
      <c r="G123" s="828">
        <v>26</v>
      </c>
      <c r="H123" s="828">
        <v>1</v>
      </c>
      <c r="I123" s="828">
        <v>5</v>
      </c>
      <c r="J123" s="828">
        <v>16</v>
      </c>
      <c r="K123" s="828">
        <v>10</v>
      </c>
      <c r="L123" s="828">
        <v>3</v>
      </c>
      <c r="N123" s="222" t="s">
        <v>373</v>
      </c>
      <c r="O123" s="222" t="s">
        <v>1980</v>
      </c>
      <c r="P123" s="824">
        <v>1296</v>
      </c>
      <c r="Q123" s="824">
        <v>10.962960000000001</v>
      </c>
      <c r="R123" s="824">
        <v>48.67971</v>
      </c>
      <c r="S123" s="824">
        <v>6.9770799999999999</v>
      </c>
      <c r="T123" s="824">
        <v>26</v>
      </c>
      <c r="U123" s="824">
        <v>1</v>
      </c>
      <c r="V123" s="824">
        <v>5</v>
      </c>
      <c r="W123" s="824">
        <v>16</v>
      </c>
      <c r="X123" s="824">
        <v>10</v>
      </c>
      <c r="Y123" s="824">
        <v>3</v>
      </c>
      <c r="Z123" s="480" t="str">
        <f t="shared" si="1"/>
        <v/>
      </c>
    </row>
    <row r="124" spans="1:26">
      <c r="A124" s="825" t="s">
        <v>374</v>
      </c>
      <c r="B124" s="826">
        <v>8108</v>
      </c>
      <c r="C124" s="827"/>
      <c r="D124" s="828">
        <v>8.9152699999999996</v>
      </c>
      <c r="E124" s="828">
        <v>5.6417799999999998</v>
      </c>
      <c r="F124" s="828">
        <v>31.829630000000002</v>
      </c>
      <c r="G124" s="828">
        <v>21</v>
      </c>
      <c r="H124" s="828">
        <v>1</v>
      </c>
      <c r="I124" s="828">
        <v>4</v>
      </c>
      <c r="J124" s="828">
        <v>13</v>
      </c>
      <c r="K124" s="828">
        <v>8</v>
      </c>
      <c r="L124" s="828">
        <v>3</v>
      </c>
      <c r="N124" s="222" t="s">
        <v>374</v>
      </c>
      <c r="O124" s="222" t="s">
        <v>1981</v>
      </c>
      <c r="P124" s="824">
        <v>8108</v>
      </c>
      <c r="Q124" s="824">
        <v>8.9152699999999996</v>
      </c>
      <c r="R124" s="824">
        <v>31.829630000000002</v>
      </c>
      <c r="S124" s="824">
        <v>5.6417799999999998</v>
      </c>
      <c r="T124" s="824">
        <v>21</v>
      </c>
      <c r="U124" s="824">
        <v>1</v>
      </c>
      <c r="V124" s="824">
        <v>4</v>
      </c>
      <c r="W124" s="824">
        <v>13</v>
      </c>
      <c r="X124" s="824">
        <v>8</v>
      </c>
      <c r="Y124" s="824">
        <v>3</v>
      </c>
      <c r="Z124" s="480" t="str">
        <f t="shared" si="1"/>
        <v/>
      </c>
    </row>
    <row r="125" spans="1:26">
      <c r="A125" s="825" t="s">
        <v>375</v>
      </c>
      <c r="B125" s="826">
        <v>83138</v>
      </c>
      <c r="C125" s="827"/>
      <c r="D125" s="828">
        <v>9.6336099999999991</v>
      </c>
      <c r="E125" s="828">
        <v>6.0292300000000001</v>
      </c>
      <c r="F125" s="828">
        <v>36.351619999999997</v>
      </c>
      <c r="G125" s="828">
        <v>23</v>
      </c>
      <c r="H125" s="828">
        <v>1</v>
      </c>
      <c r="I125" s="828">
        <v>4</v>
      </c>
      <c r="J125" s="828">
        <v>14</v>
      </c>
      <c r="K125" s="828">
        <v>9</v>
      </c>
      <c r="L125" s="828">
        <v>3</v>
      </c>
      <c r="N125" s="222" t="s">
        <v>375</v>
      </c>
      <c r="O125" s="222" t="s">
        <v>1982</v>
      </c>
      <c r="P125" s="824">
        <v>83138</v>
      </c>
      <c r="Q125" s="824">
        <v>9.6336099999999991</v>
      </c>
      <c r="R125" s="824">
        <v>36.351619999999997</v>
      </c>
      <c r="S125" s="824">
        <v>6.0292300000000001</v>
      </c>
      <c r="T125" s="824">
        <v>23</v>
      </c>
      <c r="U125" s="824">
        <v>1</v>
      </c>
      <c r="V125" s="824">
        <v>4</v>
      </c>
      <c r="W125" s="824">
        <v>14</v>
      </c>
      <c r="X125" s="824">
        <v>9</v>
      </c>
      <c r="Y125" s="824">
        <v>3</v>
      </c>
      <c r="Z125" s="480" t="str">
        <f t="shared" si="1"/>
        <v/>
      </c>
    </row>
    <row r="126" spans="1:26">
      <c r="A126" s="825" t="s">
        <v>376</v>
      </c>
      <c r="B126" s="826">
        <v>34992</v>
      </c>
      <c r="C126" s="827"/>
      <c r="D126" s="828">
        <v>10.42361</v>
      </c>
      <c r="E126" s="828">
        <v>6.6247100000000003</v>
      </c>
      <c r="F126" s="828">
        <v>43.886769999999999</v>
      </c>
      <c r="G126" s="828">
        <v>25</v>
      </c>
      <c r="H126" s="828">
        <v>1</v>
      </c>
      <c r="I126" s="828">
        <v>5</v>
      </c>
      <c r="J126" s="828">
        <v>15</v>
      </c>
      <c r="K126" s="828">
        <v>9</v>
      </c>
      <c r="L126" s="828">
        <v>3</v>
      </c>
      <c r="N126" s="222" t="s">
        <v>376</v>
      </c>
      <c r="O126" s="222" t="s">
        <v>1983</v>
      </c>
      <c r="P126" s="824">
        <v>34992</v>
      </c>
      <c r="Q126" s="824">
        <v>10.42361</v>
      </c>
      <c r="R126" s="824">
        <v>43.886769999999999</v>
      </c>
      <c r="S126" s="824">
        <v>6.6247100000000003</v>
      </c>
      <c r="T126" s="824">
        <v>25</v>
      </c>
      <c r="U126" s="824">
        <v>1</v>
      </c>
      <c r="V126" s="824">
        <v>5</v>
      </c>
      <c r="W126" s="824">
        <v>15</v>
      </c>
      <c r="X126" s="824">
        <v>9</v>
      </c>
      <c r="Y126" s="824">
        <v>3</v>
      </c>
      <c r="Z126" s="480" t="str">
        <f t="shared" si="1"/>
        <v/>
      </c>
    </row>
    <row r="127" spans="1:26">
      <c r="A127" s="825" t="s">
        <v>377</v>
      </c>
      <c r="B127" s="826">
        <v>36786</v>
      </c>
      <c r="C127" s="827"/>
      <c r="D127" s="828">
        <v>9.6696299999999997</v>
      </c>
      <c r="E127" s="828">
        <v>6.0779500000000004</v>
      </c>
      <c r="F127" s="828">
        <v>36.941420000000001</v>
      </c>
      <c r="G127" s="828">
        <v>23</v>
      </c>
      <c r="H127" s="828">
        <v>1</v>
      </c>
      <c r="I127" s="828">
        <v>4</v>
      </c>
      <c r="J127" s="828">
        <v>14</v>
      </c>
      <c r="K127" s="828">
        <v>9</v>
      </c>
      <c r="L127" s="828">
        <v>3</v>
      </c>
      <c r="N127" s="222" t="s">
        <v>377</v>
      </c>
      <c r="O127" s="222" t="s">
        <v>1984</v>
      </c>
      <c r="P127" s="824">
        <v>36786</v>
      </c>
      <c r="Q127" s="824">
        <v>9.6696299999999997</v>
      </c>
      <c r="R127" s="824">
        <v>36.941420000000001</v>
      </c>
      <c r="S127" s="824">
        <v>6.0779500000000004</v>
      </c>
      <c r="T127" s="824">
        <v>23</v>
      </c>
      <c r="U127" s="824">
        <v>1</v>
      </c>
      <c r="V127" s="824">
        <v>4</v>
      </c>
      <c r="W127" s="824">
        <v>14</v>
      </c>
      <c r="X127" s="824">
        <v>9</v>
      </c>
      <c r="Y127" s="824">
        <v>3</v>
      </c>
      <c r="Z127" s="480" t="str">
        <f t="shared" si="1"/>
        <v/>
      </c>
    </row>
    <row r="128" spans="1:26">
      <c r="A128" s="825" t="s">
        <v>378</v>
      </c>
      <c r="B128" s="826">
        <v>49741</v>
      </c>
      <c r="C128" s="827"/>
      <c r="D128" s="828">
        <v>7.9754500000000004</v>
      </c>
      <c r="E128" s="828">
        <v>5.41432</v>
      </c>
      <c r="F128" s="828">
        <v>29.314859999999999</v>
      </c>
      <c r="G128" s="828">
        <v>21</v>
      </c>
      <c r="H128" s="828">
        <v>1</v>
      </c>
      <c r="I128" s="828">
        <v>3</v>
      </c>
      <c r="J128" s="828">
        <v>12</v>
      </c>
      <c r="K128" s="828">
        <v>7</v>
      </c>
      <c r="L128" s="828">
        <v>2</v>
      </c>
      <c r="N128" s="222" t="s">
        <v>378</v>
      </c>
      <c r="O128" s="222" t="s">
        <v>1985</v>
      </c>
      <c r="P128" s="824">
        <v>49741</v>
      </c>
      <c r="Q128" s="824">
        <v>7.9754500000000004</v>
      </c>
      <c r="R128" s="824">
        <v>29.314859999999999</v>
      </c>
      <c r="S128" s="824">
        <v>5.41432</v>
      </c>
      <c r="T128" s="824">
        <v>21</v>
      </c>
      <c r="U128" s="824">
        <v>1</v>
      </c>
      <c r="V128" s="824">
        <v>3</v>
      </c>
      <c r="W128" s="824">
        <v>12</v>
      </c>
      <c r="X128" s="824">
        <v>7</v>
      </c>
      <c r="Y128" s="824">
        <v>2</v>
      </c>
      <c r="Z128" s="480" t="str">
        <f t="shared" si="1"/>
        <v/>
      </c>
    </row>
    <row r="129" spans="1:26">
      <c r="A129" s="825" t="s">
        <v>379</v>
      </c>
      <c r="B129" s="826">
        <v>5769</v>
      </c>
      <c r="C129" s="827"/>
      <c r="D129" s="828">
        <v>9.9823199999999996</v>
      </c>
      <c r="E129" s="828">
        <v>6.1862000000000004</v>
      </c>
      <c r="F129" s="828">
        <v>38.269100000000002</v>
      </c>
      <c r="G129" s="828">
        <v>23</v>
      </c>
      <c r="H129" s="828">
        <v>1</v>
      </c>
      <c r="I129" s="828">
        <v>5</v>
      </c>
      <c r="J129" s="828">
        <v>15</v>
      </c>
      <c r="K129" s="828">
        <v>9</v>
      </c>
      <c r="L129" s="828">
        <v>3</v>
      </c>
      <c r="N129" s="222" t="s">
        <v>379</v>
      </c>
      <c r="O129" s="222" t="s">
        <v>1986</v>
      </c>
      <c r="P129" s="824">
        <v>5769</v>
      </c>
      <c r="Q129" s="824">
        <v>9.9823199999999996</v>
      </c>
      <c r="R129" s="824">
        <v>38.269100000000002</v>
      </c>
      <c r="S129" s="824">
        <v>6.1862000000000004</v>
      </c>
      <c r="T129" s="824">
        <v>23</v>
      </c>
      <c r="U129" s="824">
        <v>1</v>
      </c>
      <c r="V129" s="824">
        <v>5</v>
      </c>
      <c r="W129" s="824">
        <v>15</v>
      </c>
      <c r="X129" s="824">
        <v>9</v>
      </c>
      <c r="Y129" s="824">
        <v>3</v>
      </c>
      <c r="Z129" s="480" t="str">
        <f t="shared" si="1"/>
        <v/>
      </c>
    </row>
    <row r="130" spans="1:26">
      <c r="A130" s="825" t="s">
        <v>380</v>
      </c>
      <c r="B130" s="826">
        <v>10002</v>
      </c>
      <c r="C130" s="827"/>
      <c r="D130" s="828">
        <v>9.6784599999999994</v>
      </c>
      <c r="E130" s="828">
        <v>6.0873100000000004</v>
      </c>
      <c r="F130" s="828">
        <v>37.055289999999999</v>
      </c>
      <c r="G130" s="828">
        <v>23</v>
      </c>
      <c r="H130" s="828">
        <v>1</v>
      </c>
      <c r="I130" s="828">
        <v>5</v>
      </c>
      <c r="J130" s="828">
        <v>14</v>
      </c>
      <c r="K130" s="828">
        <v>8</v>
      </c>
      <c r="L130" s="828">
        <v>4</v>
      </c>
      <c r="N130" s="222" t="s">
        <v>380</v>
      </c>
      <c r="O130" s="222" t="s">
        <v>1987</v>
      </c>
      <c r="P130" s="824">
        <v>10002</v>
      </c>
      <c r="Q130" s="824">
        <v>9.6784599999999994</v>
      </c>
      <c r="R130" s="824">
        <v>37.055289999999999</v>
      </c>
      <c r="S130" s="824">
        <v>6.0873100000000004</v>
      </c>
      <c r="T130" s="824">
        <v>23</v>
      </c>
      <c r="U130" s="824">
        <v>1</v>
      </c>
      <c r="V130" s="824">
        <v>5</v>
      </c>
      <c r="W130" s="824">
        <v>14</v>
      </c>
      <c r="X130" s="824">
        <v>8</v>
      </c>
      <c r="Y130" s="824">
        <v>4</v>
      </c>
      <c r="Z130" s="480" t="str">
        <f t="shared" si="1"/>
        <v/>
      </c>
    </row>
    <row r="131" spans="1:26">
      <c r="A131" s="825" t="s">
        <v>381</v>
      </c>
      <c r="B131" s="826">
        <v>46972</v>
      </c>
      <c r="C131" s="827"/>
      <c r="D131" s="828">
        <v>10.199199999999999</v>
      </c>
      <c r="E131" s="828">
        <v>6.6849699999999999</v>
      </c>
      <c r="F131" s="828">
        <v>44.688830000000003</v>
      </c>
      <c r="G131" s="828">
        <v>25</v>
      </c>
      <c r="H131" s="828">
        <v>1</v>
      </c>
      <c r="I131" s="828">
        <v>4</v>
      </c>
      <c r="J131" s="828">
        <v>15</v>
      </c>
      <c r="K131" s="828">
        <v>9</v>
      </c>
      <c r="L131" s="828">
        <v>2</v>
      </c>
      <c r="N131" s="222" t="s">
        <v>381</v>
      </c>
      <c r="O131" s="222" t="s">
        <v>382</v>
      </c>
      <c r="P131" s="824">
        <v>46972</v>
      </c>
      <c r="Q131" s="824">
        <v>10.199199999999999</v>
      </c>
      <c r="R131" s="824">
        <v>44.688830000000003</v>
      </c>
      <c r="S131" s="824">
        <v>6.6849699999999999</v>
      </c>
      <c r="T131" s="824">
        <v>25</v>
      </c>
      <c r="U131" s="824">
        <v>1</v>
      </c>
      <c r="V131" s="824">
        <v>4</v>
      </c>
      <c r="W131" s="824">
        <v>15</v>
      </c>
      <c r="X131" s="824">
        <v>9</v>
      </c>
      <c r="Y131" s="824">
        <v>2</v>
      </c>
      <c r="Z131" s="480" t="str">
        <f t="shared" si="1"/>
        <v/>
      </c>
    </row>
    <row r="132" spans="1:26">
      <c r="A132" s="825" t="s">
        <v>383</v>
      </c>
      <c r="B132" s="826">
        <v>14659</v>
      </c>
      <c r="C132" s="827"/>
      <c r="D132" s="828">
        <v>9.7561199999999992</v>
      </c>
      <c r="E132" s="828">
        <v>6.38049</v>
      </c>
      <c r="F132" s="828">
        <v>40.710680000000004</v>
      </c>
      <c r="G132" s="828">
        <v>24</v>
      </c>
      <c r="H132" s="828">
        <v>1</v>
      </c>
      <c r="I132" s="828">
        <v>4</v>
      </c>
      <c r="J132" s="828">
        <v>14</v>
      </c>
      <c r="K132" s="828">
        <v>9</v>
      </c>
      <c r="L132" s="828">
        <v>3</v>
      </c>
      <c r="N132" s="222" t="s">
        <v>383</v>
      </c>
      <c r="O132" s="222" t="s">
        <v>1988</v>
      </c>
      <c r="P132" s="824">
        <v>14659</v>
      </c>
      <c r="Q132" s="824">
        <v>9.7561199999999992</v>
      </c>
      <c r="R132" s="824">
        <v>40.710680000000004</v>
      </c>
      <c r="S132" s="824">
        <v>6.38049</v>
      </c>
      <c r="T132" s="824">
        <v>24</v>
      </c>
      <c r="U132" s="824">
        <v>1</v>
      </c>
      <c r="V132" s="824">
        <v>4</v>
      </c>
      <c r="W132" s="824">
        <v>14</v>
      </c>
      <c r="X132" s="824">
        <v>9</v>
      </c>
      <c r="Y132" s="824">
        <v>3</v>
      </c>
      <c r="Z132" s="480" t="str">
        <f t="shared" ref="Z132:Z195" si="2">IF(AND(A132=N132,B132=P132,D132=Q132,E132=S132,F132=R132,G132=T132,H132=U132,I132=V132,J132=W132,K132,X132,L132=Y132),"","x")</f>
        <v/>
      </c>
    </row>
    <row r="133" spans="1:26">
      <c r="A133" s="825" t="s">
        <v>384</v>
      </c>
      <c r="B133" s="826">
        <v>7149</v>
      </c>
      <c r="C133" s="827"/>
      <c r="D133" s="828">
        <v>11.477130000000001</v>
      </c>
      <c r="E133" s="828">
        <v>7.1813000000000002</v>
      </c>
      <c r="F133" s="828">
        <v>51.570999999999998</v>
      </c>
      <c r="G133" s="828">
        <v>27</v>
      </c>
      <c r="H133" s="828">
        <v>1</v>
      </c>
      <c r="I133" s="828">
        <v>6</v>
      </c>
      <c r="J133" s="828">
        <v>17</v>
      </c>
      <c r="K133" s="828">
        <v>10</v>
      </c>
      <c r="L133" s="828">
        <v>4</v>
      </c>
      <c r="N133" s="222" t="s">
        <v>384</v>
      </c>
      <c r="O133" s="222" t="s">
        <v>1989</v>
      </c>
      <c r="P133" s="824">
        <v>7149</v>
      </c>
      <c r="Q133" s="824">
        <v>11.477130000000001</v>
      </c>
      <c r="R133" s="824">
        <v>51.570999999999998</v>
      </c>
      <c r="S133" s="824">
        <v>7.1813000000000002</v>
      </c>
      <c r="T133" s="824">
        <v>27</v>
      </c>
      <c r="U133" s="824">
        <v>1</v>
      </c>
      <c r="V133" s="824">
        <v>6</v>
      </c>
      <c r="W133" s="824">
        <v>17</v>
      </c>
      <c r="X133" s="824">
        <v>10</v>
      </c>
      <c r="Y133" s="824">
        <v>4</v>
      </c>
      <c r="Z133" s="480" t="str">
        <f t="shared" si="2"/>
        <v/>
      </c>
    </row>
    <row r="134" spans="1:26">
      <c r="A134" s="825" t="s">
        <v>385</v>
      </c>
      <c r="B134" s="826">
        <v>4464</v>
      </c>
      <c r="C134" s="827"/>
      <c r="D134" s="828">
        <v>9.8436400000000006</v>
      </c>
      <c r="E134" s="828">
        <v>6.4168900000000004</v>
      </c>
      <c r="F134" s="828">
        <v>41.17653</v>
      </c>
      <c r="G134" s="828">
        <v>24</v>
      </c>
      <c r="H134" s="828">
        <v>1</v>
      </c>
      <c r="I134" s="828">
        <v>4</v>
      </c>
      <c r="J134" s="828">
        <v>15</v>
      </c>
      <c r="K134" s="828">
        <v>9</v>
      </c>
      <c r="L134" s="828">
        <v>3</v>
      </c>
      <c r="N134" s="222" t="s">
        <v>385</v>
      </c>
      <c r="O134" s="222" t="s">
        <v>1990</v>
      </c>
      <c r="P134" s="824">
        <v>4464</v>
      </c>
      <c r="Q134" s="824">
        <v>9.8436400000000006</v>
      </c>
      <c r="R134" s="824">
        <v>41.17653</v>
      </c>
      <c r="S134" s="824">
        <v>6.4168900000000004</v>
      </c>
      <c r="T134" s="824">
        <v>24</v>
      </c>
      <c r="U134" s="824">
        <v>1</v>
      </c>
      <c r="V134" s="824">
        <v>4</v>
      </c>
      <c r="W134" s="824">
        <v>15</v>
      </c>
      <c r="X134" s="824">
        <v>9</v>
      </c>
      <c r="Y134" s="824">
        <v>3</v>
      </c>
      <c r="Z134" s="480" t="str">
        <f t="shared" si="2"/>
        <v/>
      </c>
    </row>
    <row r="135" spans="1:26">
      <c r="A135" s="825" t="s">
        <v>386</v>
      </c>
      <c r="B135" s="826">
        <v>7253</v>
      </c>
      <c r="C135" s="827"/>
      <c r="D135" s="828">
        <v>12.681789999999999</v>
      </c>
      <c r="E135" s="828">
        <v>8.2170900000000007</v>
      </c>
      <c r="F135" s="828">
        <v>67.520619999999994</v>
      </c>
      <c r="G135" s="828">
        <v>33</v>
      </c>
      <c r="H135" s="828">
        <v>1</v>
      </c>
      <c r="I135" s="828">
        <v>6</v>
      </c>
      <c r="J135" s="828">
        <v>19</v>
      </c>
      <c r="K135" s="828">
        <v>11</v>
      </c>
      <c r="L135" s="828">
        <v>3</v>
      </c>
      <c r="N135" s="222" t="s">
        <v>386</v>
      </c>
      <c r="O135" s="222" t="s">
        <v>1991</v>
      </c>
      <c r="P135" s="824">
        <v>7253</v>
      </c>
      <c r="Q135" s="824">
        <v>12.681789999999999</v>
      </c>
      <c r="R135" s="824">
        <v>67.520619999999994</v>
      </c>
      <c r="S135" s="824">
        <v>8.2170900000000007</v>
      </c>
      <c r="T135" s="824">
        <v>33</v>
      </c>
      <c r="U135" s="824">
        <v>1</v>
      </c>
      <c r="V135" s="824">
        <v>6</v>
      </c>
      <c r="W135" s="824">
        <v>19</v>
      </c>
      <c r="X135" s="824">
        <v>11</v>
      </c>
      <c r="Y135" s="824">
        <v>3</v>
      </c>
      <c r="Z135" s="480" t="str">
        <f t="shared" si="2"/>
        <v/>
      </c>
    </row>
    <row r="136" spans="1:26">
      <c r="A136" s="825" t="s">
        <v>387</v>
      </c>
      <c r="B136" s="826">
        <v>8384</v>
      </c>
      <c r="C136" s="827"/>
      <c r="D136" s="828">
        <v>9.8886000000000003</v>
      </c>
      <c r="E136" s="828">
        <v>6.7314499999999997</v>
      </c>
      <c r="F136" s="828">
        <v>45.31241</v>
      </c>
      <c r="G136" s="828">
        <v>25</v>
      </c>
      <c r="H136" s="828">
        <v>1</v>
      </c>
      <c r="I136" s="828">
        <v>4</v>
      </c>
      <c r="J136" s="828">
        <v>15</v>
      </c>
      <c r="K136" s="828">
        <v>8</v>
      </c>
      <c r="L136" s="828">
        <v>2</v>
      </c>
      <c r="N136" s="222" t="s">
        <v>387</v>
      </c>
      <c r="O136" s="222" t="s">
        <v>1992</v>
      </c>
      <c r="P136" s="824">
        <v>8384</v>
      </c>
      <c r="Q136" s="824">
        <v>9.8886000000000003</v>
      </c>
      <c r="R136" s="824">
        <v>45.31241</v>
      </c>
      <c r="S136" s="824">
        <v>6.7314499999999997</v>
      </c>
      <c r="T136" s="824">
        <v>25</v>
      </c>
      <c r="U136" s="824">
        <v>1</v>
      </c>
      <c r="V136" s="824">
        <v>4</v>
      </c>
      <c r="W136" s="824">
        <v>15</v>
      </c>
      <c r="X136" s="824">
        <v>8</v>
      </c>
      <c r="Y136" s="824">
        <v>2</v>
      </c>
      <c r="Z136" s="480" t="str">
        <f t="shared" si="2"/>
        <v/>
      </c>
    </row>
    <row r="137" spans="1:26">
      <c r="A137" s="825" t="s">
        <v>388</v>
      </c>
      <c r="B137" s="826">
        <v>23972</v>
      </c>
      <c r="C137" s="827"/>
      <c r="D137" s="828">
        <v>8.4844799999999996</v>
      </c>
      <c r="E137" s="828">
        <v>5.52759</v>
      </c>
      <c r="F137" s="828">
        <v>30.554300000000001</v>
      </c>
      <c r="G137" s="828">
        <v>21</v>
      </c>
      <c r="H137" s="828">
        <v>1</v>
      </c>
      <c r="I137" s="828">
        <v>4</v>
      </c>
      <c r="J137" s="828">
        <v>12</v>
      </c>
      <c r="K137" s="828">
        <v>7</v>
      </c>
      <c r="L137" s="828">
        <v>3</v>
      </c>
      <c r="N137" s="222" t="s">
        <v>388</v>
      </c>
      <c r="O137" s="222" t="s">
        <v>1993</v>
      </c>
      <c r="P137" s="824">
        <v>23972</v>
      </c>
      <c r="Q137" s="824">
        <v>8.4844799999999996</v>
      </c>
      <c r="R137" s="824">
        <v>30.554300000000001</v>
      </c>
      <c r="S137" s="824">
        <v>5.52759</v>
      </c>
      <c r="T137" s="824">
        <v>21</v>
      </c>
      <c r="U137" s="824">
        <v>1</v>
      </c>
      <c r="V137" s="824">
        <v>4</v>
      </c>
      <c r="W137" s="824">
        <v>12</v>
      </c>
      <c r="X137" s="824">
        <v>7</v>
      </c>
      <c r="Y137" s="824">
        <v>3</v>
      </c>
      <c r="Z137" s="480" t="str">
        <f t="shared" si="2"/>
        <v/>
      </c>
    </row>
    <row r="138" spans="1:26">
      <c r="A138" s="825" t="s">
        <v>389</v>
      </c>
      <c r="B138" s="826">
        <v>25968</v>
      </c>
      <c r="C138" s="827"/>
      <c r="D138" s="828">
        <v>12.34285</v>
      </c>
      <c r="E138" s="828">
        <v>8.4386700000000001</v>
      </c>
      <c r="F138" s="828">
        <v>71.211179999999999</v>
      </c>
      <c r="G138" s="828">
        <v>33</v>
      </c>
      <c r="H138" s="828">
        <v>1</v>
      </c>
      <c r="I138" s="828">
        <v>5</v>
      </c>
      <c r="J138" s="828">
        <v>18</v>
      </c>
      <c r="K138" s="828">
        <v>11</v>
      </c>
      <c r="L138" s="828">
        <v>2</v>
      </c>
      <c r="N138" s="222" t="s">
        <v>389</v>
      </c>
      <c r="O138" s="222" t="s">
        <v>1994</v>
      </c>
      <c r="P138" s="824">
        <v>25968</v>
      </c>
      <c r="Q138" s="824">
        <v>12.34285</v>
      </c>
      <c r="R138" s="824">
        <v>71.211179999999999</v>
      </c>
      <c r="S138" s="824">
        <v>8.4386700000000001</v>
      </c>
      <c r="T138" s="824">
        <v>33</v>
      </c>
      <c r="U138" s="824">
        <v>1</v>
      </c>
      <c r="V138" s="824">
        <v>5</v>
      </c>
      <c r="W138" s="824">
        <v>18</v>
      </c>
      <c r="X138" s="824">
        <v>11</v>
      </c>
      <c r="Y138" s="824">
        <v>2</v>
      </c>
      <c r="Z138" s="480" t="str">
        <f t="shared" si="2"/>
        <v/>
      </c>
    </row>
    <row r="139" spans="1:26">
      <c r="A139" s="825" t="s">
        <v>390</v>
      </c>
      <c r="B139" s="826">
        <v>17051</v>
      </c>
      <c r="C139" s="827"/>
      <c r="D139" s="828">
        <v>13.12562</v>
      </c>
      <c r="E139" s="828">
        <v>8.0864700000000003</v>
      </c>
      <c r="F139" s="828">
        <v>65.391019999999997</v>
      </c>
      <c r="G139" s="828">
        <v>30</v>
      </c>
      <c r="H139" s="828">
        <v>1</v>
      </c>
      <c r="I139" s="828">
        <v>6</v>
      </c>
      <c r="J139" s="828">
        <v>19</v>
      </c>
      <c r="K139" s="828">
        <v>12</v>
      </c>
      <c r="L139" s="828">
        <v>3</v>
      </c>
      <c r="N139" s="222" t="s">
        <v>390</v>
      </c>
      <c r="O139" s="222" t="s">
        <v>1995</v>
      </c>
      <c r="P139" s="824">
        <v>17051</v>
      </c>
      <c r="Q139" s="824">
        <v>13.12562</v>
      </c>
      <c r="R139" s="824">
        <v>65.391019999999997</v>
      </c>
      <c r="S139" s="824">
        <v>8.0864700000000003</v>
      </c>
      <c r="T139" s="824">
        <v>30</v>
      </c>
      <c r="U139" s="824">
        <v>1</v>
      </c>
      <c r="V139" s="824">
        <v>6</v>
      </c>
      <c r="W139" s="824">
        <v>19</v>
      </c>
      <c r="X139" s="824">
        <v>12</v>
      </c>
      <c r="Y139" s="824">
        <v>3</v>
      </c>
      <c r="Z139" s="480" t="str">
        <f t="shared" si="2"/>
        <v/>
      </c>
    </row>
    <row r="140" spans="1:26">
      <c r="A140" s="825" t="s">
        <v>391</v>
      </c>
      <c r="B140" s="826">
        <v>4013</v>
      </c>
      <c r="C140" s="827"/>
      <c r="D140" s="828">
        <v>12.122350000000001</v>
      </c>
      <c r="E140" s="828">
        <v>7.6112700000000002</v>
      </c>
      <c r="F140" s="828">
        <v>57.931440000000002</v>
      </c>
      <c r="G140" s="828">
        <v>29</v>
      </c>
      <c r="H140" s="828">
        <v>1</v>
      </c>
      <c r="I140" s="828">
        <v>6</v>
      </c>
      <c r="J140" s="828">
        <v>18</v>
      </c>
      <c r="K140" s="828">
        <v>11</v>
      </c>
      <c r="L140" s="828">
        <v>4</v>
      </c>
      <c r="N140" s="222" t="s">
        <v>391</v>
      </c>
      <c r="O140" s="222" t="s">
        <v>1996</v>
      </c>
      <c r="P140" s="824">
        <v>4013</v>
      </c>
      <c r="Q140" s="824">
        <v>12.122350000000001</v>
      </c>
      <c r="R140" s="824">
        <v>57.931440000000002</v>
      </c>
      <c r="S140" s="824">
        <v>7.6112700000000002</v>
      </c>
      <c r="T140" s="824">
        <v>29</v>
      </c>
      <c r="U140" s="824">
        <v>1</v>
      </c>
      <c r="V140" s="824">
        <v>6</v>
      </c>
      <c r="W140" s="824">
        <v>18</v>
      </c>
      <c r="X140" s="824">
        <v>11</v>
      </c>
      <c r="Y140" s="824">
        <v>4</v>
      </c>
      <c r="Z140" s="480" t="str">
        <f t="shared" si="2"/>
        <v/>
      </c>
    </row>
    <row r="141" spans="1:26">
      <c r="A141" s="825" t="s">
        <v>392</v>
      </c>
      <c r="B141" s="826">
        <v>6789</v>
      </c>
      <c r="C141" s="827"/>
      <c r="D141" s="828">
        <v>11.967890000000001</v>
      </c>
      <c r="E141" s="828">
        <v>7.4724300000000001</v>
      </c>
      <c r="F141" s="828">
        <v>55.837209999999999</v>
      </c>
      <c r="G141" s="828">
        <v>28</v>
      </c>
      <c r="H141" s="828">
        <v>1</v>
      </c>
      <c r="I141" s="828">
        <v>6</v>
      </c>
      <c r="J141" s="828">
        <v>18</v>
      </c>
      <c r="K141" s="828">
        <v>11</v>
      </c>
      <c r="L141" s="828">
        <v>2</v>
      </c>
      <c r="N141" s="222" t="s">
        <v>392</v>
      </c>
      <c r="O141" s="222" t="s">
        <v>1997</v>
      </c>
      <c r="P141" s="824">
        <v>6789</v>
      </c>
      <c r="Q141" s="824">
        <v>11.967890000000001</v>
      </c>
      <c r="R141" s="824">
        <v>55.837209999999999</v>
      </c>
      <c r="S141" s="824">
        <v>7.4724300000000001</v>
      </c>
      <c r="T141" s="824">
        <v>28</v>
      </c>
      <c r="U141" s="824">
        <v>1</v>
      </c>
      <c r="V141" s="824">
        <v>6</v>
      </c>
      <c r="W141" s="824">
        <v>18</v>
      </c>
      <c r="X141" s="824">
        <v>11</v>
      </c>
      <c r="Y141" s="824">
        <v>2</v>
      </c>
      <c r="Z141" s="480" t="str">
        <f t="shared" si="2"/>
        <v/>
      </c>
    </row>
    <row r="142" spans="1:26">
      <c r="A142" s="825" t="s">
        <v>393</v>
      </c>
      <c r="B142" s="826">
        <v>2515</v>
      </c>
      <c r="C142" s="827"/>
      <c r="D142" s="828">
        <v>11.40119</v>
      </c>
      <c r="E142" s="828">
        <v>6.8318300000000001</v>
      </c>
      <c r="F142" s="828">
        <v>46.673900000000003</v>
      </c>
      <c r="G142" s="828">
        <v>26</v>
      </c>
      <c r="H142" s="828">
        <v>1</v>
      </c>
      <c r="I142" s="828">
        <v>5</v>
      </c>
      <c r="J142" s="828">
        <v>17</v>
      </c>
      <c r="K142" s="828">
        <v>10</v>
      </c>
      <c r="L142" s="828">
        <v>5</v>
      </c>
      <c r="N142" s="222" t="s">
        <v>393</v>
      </c>
      <c r="O142" s="222" t="s">
        <v>1998</v>
      </c>
      <c r="P142" s="824">
        <v>2515</v>
      </c>
      <c r="Q142" s="824">
        <v>11.40119</v>
      </c>
      <c r="R142" s="824">
        <v>46.673900000000003</v>
      </c>
      <c r="S142" s="824">
        <v>6.8318300000000001</v>
      </c>
      <c r="T142" s="824">
        <v>26</v>
      </c>
      <c r="U142" s="824">
        <v>1</v>
      </c>
      <c r="V142" s="824">
        <v>5</v>
      </c>
      <c r="W142" s="824">
        <v>17</v>
      </c>
      <c r="X142" s="824">
        <v>10</v>
      </c>
      <c r="Y142" s="824">
        <v>5</v>
      </c>
      <c r="Z142" s="480" t="str">
        <f t="shared" si="2"/>
        <v/>
      </c>
    </row>
    <row r="143" spans="1:26">
      <c r="A143" s="825" t="s">
        <v>394</v>
      </c>
      <c r="B143" s="826">
        <v>983</v>
      </c>
      <c r="C143" s="827"/>
      <c r="D143" s="828">
        <v>10.28688</v>
      </c>
      <c r="E143" s="828">
        <v>6.3928700000000003</v>
      </c>
      <c r="F143" s="828">
        <v>40.868740000000003</v>
      </c>
      <c r="G143" s="828">
        <v>23</v>
      </c>
      <c r="H143" s="828">
        <v>1</v>
      </c>
      <c r="I143" s="828">
        <v>5</v>
      </c>
      <c r="J143" s="828">
        <v>16</v>
      </c>
      <c r="K143" s="828">
        <v>9</v>
      </c>
      <c r="L143" s="828">
        <v>3</v>
      </c>
      <c r="N143" s="222" t="s">
        <v>394</v>
      </c>
      <c r="O143" s="222" t="s">
        <v>1999</v>
      </c>
      <c r="P143" s="824">
        <v>983</v>
      </c>
      <c r="Q143" s="824">
        <v>10.28688</v>
      </c>
      <c r="R143" s="824">
        <v>40.868740000000003</v>
      </c>
      <c r="S143" s="824">
        <v>6.3928700000000003</v>
      </c>
      <c r="T143" s="824">
        <v>23</v>
      </c>
      <c r="U143" s="824">
        <v>1</v>
      </c>
      <c r="V143" s="824">
        <v>5</v>
      </c>
      <c r="W143" s="824">
        <v>16</v>
      </c>
      <c r="X143" s="824">
        <v>9</v>
      </c>
      <c r="Y143" s="824">
        <v>3</v>
      </c>
      <c r="Z143" s="480" t="str">
        <f t="shared" si="2"/>
        <v/>
      </c>
    </row>
    <row r="144" spans="1:26">
      <c r="A144" s="825" t="s">
        <v>395</v>
      </c>
      <c r="B144" s="826">
        <v>2500</v>
      </c>
      <c r="C144" s="827"/>
      <c r="D144" s="828">
        <v>10.424799999999999</v>
      </c>
      <c r="E144" s="828">
        <v>6.5627399999999998</v>
      </c>
      <c r="F144" s="828">
        <v>43.069569999999999</v>
      </c>
      <c r="G144" s="828">
        <v>25</v>
      </c>
      <c r="H144" s="828">
        <v>1</v>
      </c>
      <c r="I144" s="828">
        <v>5</v>
      </c>
      <c r="J144" s="828">
        <v>15</v>
      </c>
      <c r="K144" s="828">
        <v>9</v>
      </c>
      <c r="L144" s="828">
        <v>3</v>
      </c>
      <c r="N144" s="222" t="s">
        <v>395</v>
      </c>
      <c r="O144" s="222" t="s">
        <v>2000</v>
      </c>
      <c r="P144" s="824">
        <v>2500</v>
      </c>
      <c r="Q144" s="824">
        <v>10.424799999999999</v>
      </c>
      <c r="R144" s="824">
        <v>43.069569999999999</v>
      </c>
      <c r="S144" s="824">
        <v>6.5627399999999998</v>
      </c>
      <c r="T144" s="824">
        <v>25</v>
      </c>
      <c r="U144" s="824">
        <v>1</v>
      </c>
      <c r="V144" s="824">
        <v>5</v>
      </c>
      <c r="W144" s="824">
        <v>15</v>
      </c>
      <c r="X144" s="824">
        <v>9</v>
      </c>
      <c r="Y144" s="824">
        <v>3</v>
      </c>
      <c r="Z144" s="480" t="str">
        <f t="shared" si="2"/>
        <v/>
      </c>
    </row>
    <row r="145" spans="1:26">
      <c r="A145" s="825" t="s">
        <v>396</v>
      </c>
      <c r="B145" s="826">
        <v>1328</v>
      </c>
      <c r="C145" s="827"/>
      <c r="D145" s="828">
        <v>10.35994</v>
      </c>
      <c r="E145" s="828">
        <v>6.6674699999999998</v>
      </c>
      <c r="F145" s="828">
        <v>44.455120000000001</v>
      </c>
      <c r="G145" s="828">
        <v>25</v>
      </c>
      <c r="H145" s="828">
        <v>1</v>
      </c>
      <c r="I145" s="828">
        <v>5</v>
      </c>
      <c r="J145" s="828">
        <v>15</v>
      </c>
      <c r="K145" s="828">
        <v>9</v>
      </c>
      <c r="L145" s="828">
        <v>3</v>
      </c>
      <c r="N145" s="222" t="s">
        <v>396</v>
      </c>
      <c r="O145" s="222" t="s">
        <v>2001</v>
      </c>
      <c r="P145" s="824">
        <v>1328</v>
      </c>
      <c r="Q145" s="824">
        <v>10.35994</v>
      </c>
      <c r="R145" s="824">
        <v>44.455120000000001</v>
      </c>
      <c r="S145" s="824">
        <v>6.6674699999999998</v>
      </c>
      <c r="T145" s="824">
        <v>25</v>
      </c>
      <c r="U145" s="824">
        <v>1</v>
      </c>
      <c r="V145" s="824">
        <v>5</v>
      </c>
      <c r="W145" s="824">
        <v>15</v>
      </c>
      <c r="X145" s="824">
        <v>9</v>
      </c>
      <c r="Y145" s="824">
        <v>3</v>
      </c>
      <c r="Z145" s="480" t="str">
        <f t="shared" si="2"/>
        <v/>
      </c>
    </row>
    <row r="146" spans="1:26">
      <c r="A146" s="825" t="s">
        <v>397</v>
      </c>
      <c r="B146" s="826">
        <v>141</v>
      </c>
      <c r="C146" s="827"/>
      <c r="D146" s="828">
        <v>11.929080000000001</v>
      </c>
      <c r="E146" s="828">
        <v>7.58066</v>
      </c>
      <c r="F146" s="828">
        <v>57.466360000000002</v>
      </c>
      <c r="G146" s="828">
        <v>29</v>
      </c>
      <c r="H146" s="828">
        <v>1</v>
      </c>
      <c r="I146" s="828">
        <v>5</v>
      </c>
      <c r="J146" s="828">
        <v>18</v>
      </c>
      <c r="K146" s="828">
        <v>10</v>
      </c>
      <c r="L146" s="828">
        <v>5</v>
      </c>
      <c r="N146" s="222" t="s">
        <v>397</v>
      </c>
      <c r="O146" s="222" t="s">
        <v>2002</v>
      </c>
      <c r="P146" s="824">
        <v>141</v>
      </c>
      <c r="Q146" s="824">
        <v>11.929080000000001</v>
      </c>
      <c r="R146" s="824">
        <v>57.466360000000002</v>
      </c>
      <c r="S146" s="824">
        <v>7.58066</v>
      </c>
      <c r="T146" s="824">
        <v>29</v>
      </c>
      <c r="U146" s="824">
        <v>1</v>
      </c>
      <c r="V146" s="824">
        <v>5</v>
      </c>
      <c r="W146" s="824">
        <v>18</v>
      </c>
      <c r="X146" s="824">
        <v>10</v>
      </c>
      <c r="Y146" s="824">
        <v>5</v>
      </c>
      <c r="Z146" s="480" t="str">
        <f t="shared" si="2"/>
        <v/>
      </c>
    </row>
    <row r="147" spans="1:26">
      <c r="A147" s="825" t="s">
        <v>398</v>
      </c>
      <c r="B147" s="826">
        <v>117</v>
      </c>
      <c r="C147" s="827"/>
      <c r="D147" s="828">
        <v>9.1453000000000007</v>
      </c>
      <c r="E147" s="828">
        <v>6.6270899999999999</v>
      </c>
      <c r="F147" s="828">
        <v>43.91836</v>
      </c>
      <c r="G147" s="828">
        <v>25</v>
      </c>
      <c r="H147" s="828">
        <v>1</v>
      </c>
      <c r="I147" s="828">
        <v>4</v>
      </c>
      <c r="J147" s="828">
        <v>12</v>
      </c>
      <c r="K147" s="828">
        <v>7</v>
      </c>
      <c r="L147" s="828">
        <v>4</v>
      </c>
      <c r="N147" s="222" t="s">
        <v>398</v>
      </c>
      <c r="O147" s="222" t="s">
        <v>399</v>
      </c>
      <c r="P147" s="824">
        <v>117</v>
      </c>
      <c r="Q147" s="824">
        <v>9.1453000000000007</v>
      </c>
      <c r="R147" s="824">
        <v>43.91836</v>
      </c>
      <c r="S147" s="824">
        <v>6.6270899999999999</v>
      </c>
      <c r="T147" s="824">
        <v>25</v>
      </c>
      <c r="U147" s="824">
        <v>1</v>
      </c>
      <c r="V147" s="824">
        <v>4</v>
      </c>
      <c r="W147" s="824">
        <v>12</v>
      </c>
      <c r="X147" s="824">
        <v>7</v>
      </c>
      <c r="Y147" s="824">
        <v>4</v>
      </c>
      <c r="Z147" s="480" t="str">
        <f t="shared" si="2"/>
        <v/>
      </c>
    </row>
    <row r="148" spans="1:26">
      <c r="A148" s="825" t="s">
        <v>400</v>
      </c>
      <c r="B148" s="826">
        <v>712</v>
      </c>
      <c r="C148" s="827"/>
      <c r="D148" s="828">
        <v>10.783709999999999</v>
      </c>
      <c r="E148" s="828">
        <v>6.6242000000000001</v>
      </c>
      <c r="F148" s="828">
        <v>43.880020000000002</v>
      </c>
      <c r="G148" s="828">
        <v>25</v>
      </c>
      <c r="H148" s="828">
        <v>1</v>
      </c>
      <c r="I148" s="828">
        <v>5</v>
      </c>
      <c r="J148" s="828">
        <v>15</v>
      </c>
      <c r="K148" s="828">
        <v>9</v>
      </c>
      <c r="L148" s="828">
        <v>6</v>
      </c>
      <c r="N148" s="222" t="s">
        <v>400</v>
      </c>
      <c r="O148" s="222" t="s">
        <v>2003</v>
      </c>
      <c r="P148" s="824">
        <v>712</v>
      </c>
      <c r="Q148" s="824">
        <v>10.783709999999999</v>
      </c>
      <c r="R148" s="824">
        <v>43.880020000000002</v>
      </c>
      <c r="S148" s="824">
        <v>6.6242000000000001</v>
      </c>
      <c r="T148" s="824">
        <v>25</v>
      </c>
      <c r="U148" s="824">
        <v>1</v>
      </c>
      <c r="V148" s="824">
        <v>5</v>
      </c>
      <c r="W148" s="824">
        <v>15</v>
      </c>
      <c r="X148" s="824">
        <v>9</v>
      </c>
      <c r="Y148" s="824">
        <v>6</v>
      </c>
      <c r="Z148" s="480" t="str">
        <f t="shared" si="2"/>
        <v/>
      </c>
    </row>
    <row r="149" spans="1:26">
      <c r="A149" s="825" t="s">
        <v>401</v>
      </c>
      <c r="B149" s="826">
        <v>2459</v>
      </c>
      <c r="C149" s="827"/>
      <c r="D149" s="828">
        <v>9.54819</v>
      </c>
      <c r="E149" s="828">
        <v>6.1269799999999996</v>
      </c>
      <c r="F149" s="828">
        <v>37.53989</v>
      </c>
      <c r="G149" s="828">
        <v>22</v>
      </c>
      <c r="H149" s="828">
        <v>1</v>
      </c>
      <c r="I149" s="828">
        <v>4</v>
      </c>
      <c r="J149" s="828">
        <v>14</v>
      </c>
      <c r="K149" s="828">
        <v>9</v>
      </c>
      <c r="L149" s="828">
        <v>3</v>
      </c>
      <c r="N149" s="222" t="s">
        <v>401</v>
      </c>
      <c r="O149" s="222" t="s">
        <v>402</v>
      </c>
      <c r="P149" s="824">
        <v>2459</v>
      </c>
      <c r="Q149" s="824">
        <v>9.54819</v>
      </c>
      <c r="R149" s="824">
        <v>37.53989</v>
      </c>
      <c r="S149" s="824">
        <v>6.1269799999999996</v>
      </c>
      <c r="T149" s="824">
        <v>22</v>
      </c>
      <c r="U149" s="824">
        <v>1</v>
      </c>
      <c r="V149" s="824">
        <v>4</v>
      </c>
      <c r="W149" s="824">
        <v>14</v>
      </c>
      <c r="X149" s="824">
        <v>9</v>
      </c>
      <c r="Y149" s="824">
        <v>3</v>
      </c>
      <c r="Z149" s="480" t="str">
        <f t="shared" si="2"/>
        <v/>
      </c>
    </row>
    <row r="150" spans="1:26">
      <c r="A150" s="825" t="s">
        <v>403</v>
      </c>
      <c r="B150" s="826">
        <v>1298</v>
      </c>
      <c r="C150" s="827"/>
      <c r="D150" s="828">
        <v>10.519259999999999</v>
      </c>
      <c r="E150" s="828">
        <v>5.8625999999999996</v>
      </c>
      <c r="F150" s="828">
        <v>34.370100000000001</v>
      </c>
      <c r="G150" s="828">
        <v>24</v>
      </c>
      <c r="H150" s="828">
        <v>1</v>
      </c>
      <c r="I150" s="828">
        <v>6</v>
      </c>
      <c r="J150" s="828">
        <v>15</v>
      </c>
      <c r="K150" s="828">
        <v>10</v>
      </c>
      <c r="L150" s="828">
        <v>7</v>
      </c>
      <c r="N150" s="222" t="s">
        <v>403</v>
      </c>
      <c r="O150" s="222" t="s">
        <v>404</v>
      </c>
      <c r="P150" s="824">
        <v>1298</v>
      </c>
      <c r="Q150" s="824">
        <v>10.519259999999999</v>
      </c>
      <c r="R150" s="824">
        <v>34.370100000000001</v>
      </c>
      <c r="S150" s="824">
        <v>5.8625999999999996</v>
      </c>
      <c r="T150" s="824">
        <v>24</v>
      </c>
      <c r="U150" s="824">
        <v>1</v>
      </c>
      <c r="V150" s="824">
        <v>6</v>
      </c>
      <c r="W150" s="824">
        <v>15</v>
      </c>
      <c r="X150" s="824">
        <v>10</v>
      </c>
      <c r="Y150" s="824">
        <v>7</v>
      </c>
      <c r="Z150" s="480" t="str">
        <f t="shared" si="2"/>
        <v/>
      </c>
    </row>
    <row r="151" spans="1:26">
      <c r="A151" s="825" t="s">
        <v>405</v>
      </c>
      <c r="B151" s="826">
        <v>3332</v>
      </c>
      <c r="C151" s="827"/>
      <c r="D151" s="828">
        <v>9.5309100000000004</v>
      </c>
      <c r="E151" s="828">
        <v>5.7620100000000001</v>
      </c>
      <c r="F151" s="828">
        <v>33.200789999999998</v>
      </c>
      <c r="G151" s="828">
        <v>22</v>
      </c>
      <c r="H151" s="828">
        <v>1</v>
      </c>
      <c r="I151" s="828">
        <v>5</v>
      </c>
      <c r="J151" s="828">
        <v>14</v>
      </c>
      <c r="K151" s="828">
        <v>9</v>
      </c>
      <c r="L151" s="828">
        <v>5</v>
      </c>
      <c r="N151" s="222" t="s">
        <v>405</v>
      </c>
      <c r="O151" s="222" t="s">
        <v>2004</v>
      </c>
      <c r="P151" s="824">
        <v>3332</v>
      </c>
      <c r="Q151" s="824">
        <v>9.5309100000000004</v>
      </c>
      <c r="R151" s="824">
        <v>33.200789999999998</v>
      </c>
      <c r="S151" s="824">
        <v>5.7620100000000001</v>
      </c>
      <c r="T151" s="824">
        <v>22</v>
      </c>
      <c r="U151" s="824">
        <v>1</v>
      </c>
      <c r="V151" s="824">
        <v>5</v>
      </c>
      <c r="W151" s="824">
        <v>14</v>
      </c>
      <c r="X151" s="824">
        <v>9</v>
      </c>
      <c r="Y151" s="824">
        <v>5</v>
      </c>
      <c r="Z151" s="480" t="str">
        <f t="shared" si="2"/>
        <v/>
      </c>
    </row>
    <row r="152" spans="1:26">
      <c r="A152" s="825" t="s">
        <v>406</v>
      </c>
      <c r="B152" s="826">
        <v>13248</v>
      </c>
      <c r="C152" s="827"/>
      <c r="D152" s="828">
        <v>11.32058</v>
      </c>
      <c r="E152" s="828">
        <v>6.5533599999999996</v>
      </c>
      <c r="F152" s="828">
        <v>42.94659</v>
      </c>
      <c r="G152" s="828">
        <v>25</v>
      </c>
      <c r="H152" s="828">
        <v>1</v>
      </c>
      <c r="I152" s="828">
        <v>6</v>
      </c>
      <c r="J152" s="828">
        <v>16</v>
      </c>
      <c r="K152" s="828">
        <v>11</v>
      </c>
      <c r="L152" s="828">
        <v>5</v>
      </c>
      <c r="N152" s="222" t="s">
        <v>406</v>
      </c>
      <c r="O152" s="222" t="s">
        <v>2005</v>
      </c>
      <c r="P152" s="824">
        <v>13248</v>
      </c>
      <c r="Q152" s="824">
        <v>11.32058</v>
      </c>
      <c r="R152" s="824">
        <v>42.94659</v>
      </c>
      <c r="S152" s="824">
        <v>6.5533599999999996</v>
      </c>
      <c r="T152" s="824">
        <v>25</v>
      </c>
      <c r="U152" s="824">
        <v>1</v>
      </c>
      <c r="V152" s="824">
        <v>6</v>
      </c>
      <c r="W152" s="824">
        <v>16</v>
      </c>
      <c r="X152" s="824">
        <v>11</v>
      </c>
      <c r="Y152" s="824">
        <v>5</v>
      </c>
      <c r="Z152" s="480" t="str">
        <f t="shared" si="2"/>
        <v/>
      </c>
    </row>
    <row r="153" spans="1:26">
      <c r="A153" s="825" t="s">
        <v>407</v>
      </c>
      <c r="B153" s="826">
        <v>3130</v>
      </c>
      <c r="C153" s="827"/>
      <c r="D153" s="828">
        <v>12.80767</v>
      </c>
      <c r="E153" s="828">
        <v>8.0420800000000003</v>
      </c>
      <c r="F153" s="828">
        <v>64.675049999999999</v>
      </c>
      <c r="G153" s="828">
        <v>31</v>
      </c>
      <c r="H153" s="828">
        <v>1</v>
      </c>
      <c r="I153" s="828">
        <v>6</v>
      </c>
      <c r="J153" s="828">
        <v>19</v>
      </c>
      <c r="K153" s="828">
        <v>11</v>
      </c>
      <c r="L153" s="828">
        <v>4</v>
      </c>
      <c r="N153" s="222" t="s">
        <v>407</v>
      </c>
      <c r="O153" s="222" t="s">
        <v>2006</v>
      </c>
      <c r="P153" s="824">
        <v>3130</v>
      </c>
      <c r="Q153" s="824">
        <v>12.80767</v>
      </c>
      <c r="R153" s="824">
        <v>64.675049999999999</v>
      </c>
      <c r="S153" s="824">
        <v>8.0420800000000003</v>
      </c>
      <c r="T153" s="824">
        <v>31</v>
      </c>
      <c r="U153" s="824">
        <v>1</v>
      </c>
      <c r="V153" s="824">
        <v>6</v>
      </c>
      <c r="W153" s="824">
        <v>19</v>
      </c>
      <c r="X153" s="824">
        <v>11</v>
      </c>
      <c r="Y153" s="824">
        <v>4</v>
      </c>
      <c r="Z153" s="480" t="str">
        <f t="shared" si="2"/>
        <v/>
      </c>
    </row>
    <row r="154" spans="1:26">
      <c r="A154" s="825" t="s">
        <v>408</v>
      </c>
      <c r="B154" s="826">
        <v>3811</v>
      </c>
      <c r="C154" s="827"/>
      <c r="D154" s="828">
        <v>10.87772</v>
      </c>
      <c r="E154" s="828">
        <v>6.84429</v>
      </c>
      <c r="F154" s="828">
        <v>46.844360000000002</v>
      </c>
      <c r="G154" s="828">
        <v>26</v>
      </c>
      <c r="H154" s="828">
        <v>1</v>
      </c>
      <c r="I154" s="828">
        <v>5</v>
      </c>
      <c r="J154" s="828">
        <v>16</v>
      </c>
      <c r="K154" s="828">
        <v>10</v>
      </c>
      <c r="L154" s="828">
        <v>4</v>
      </c>
      <c r="N154" s="222" t="s">
        <v>408</v>
      </c>
      <c r="O154" s="222" t="s">
        <v>2007</v>
      </c>
      <c r="P154" s="824">
        <v>3811</v>
      </c>
      <c r="Q154" s="824">
        <v>10.87772</v>
      </c>
      <c r="R154" s="824">
        <v>46.844360000000002</v>
      </c>
      <c r="S154" s="824">
        <v>6.84429</v>
      </c>
      <c r="T154" s="824">
        <v>26</v>
      </c>
      <c r="U154" s="824">
        <v>1</v>
      </c>
      <c r="V154" s="824">
        <v>5</v>
      </c>
      <c r="W154" s="824">
        <v>16</v>
      </c>
      <c r="X154" s="824">
        <v>10</v>
      </c>
      <c r="Y154" s="824">
        <v>4</v>
      </c>
      <c r="Z154" s="480" t="str">
        <f t="shared" si="2"/>
        <v/>
      </c>
    </row>
    <row r="155" spans="1:26">
      <c r="A155" s="825" t="s">
        <v>409</v>
      </c>
      <c r="B155" s="826">
        <v>8134</v>
      </c>
      <c r="C155" s="827"/>
      <c r="D155" s="828">
        <v>11.329969999999999</v>
      </c>
      <c r="E155" s="828">
        <v>6.8744399999999999</v>
      </c>
      <c r="F155" s="828">
        <v>47.25788</v>
      </c>
      <c r="G155" s="828">
        <v>26</v>
      </c>
      <c r="H155" s="828">
        <v>1</v>
      </c>
      <c r="I155" s="828">
        <v>5</v>
      </c>
      <c r="J155" s="828">
        <v>16</v>
      </c>
      <c r="K155" s="828">
        <v>10</v>
      </c>
      <c r="L155" s="828">
        <v>6</v>
      </c>
      <c r="N155" s="222" t="s">
        <v>409</v>
      </c>
      <c r="O155" s="222" t="s">
        <v>410</v>
      </c>
      <c r="P155" s="824">
        <v>8134</v>
      </c>
      <c r="Q155" s="824">
        <v>11.329969999999999</v>
      </c>
      <c r="R155" s="824">
        <v>47.25788</v>
      </c>
      <c r="S155" s="824">
        <v>6.8744399999999999</v>
      </c>
      <c r="T155" s="824">
        <v>26</v>
      </c>
      <c r="U155" s="824">
        <v>1</v>
      </c>
      <c r="V155" s="824">
        <v>5</v>
      </c>
      <c r="W155" s="824">
        <v>16</v>
      </c>
      <c r="X155" s="824">
        <v>10</v>
      </c>
      <c r="Y155" s="824">
        <v>6</v>
      </c>
      <c r="Z155" s="480" t="str">
        <f t="shared" si="2"/>
        <v/>
      </c>
    </row>
    <row r="156" spans="1:26">
      <c r="A156" s="825" t="s">
        <v>411</v>
      </c>
      <c r="B156" s="826">
        <v>109089</v>
      </c>
      <c r="C156" s="827"/>
      <c r="D156" s="828">
        <v>10.56419</v>
      </c>
      <c r="E156" s="828">
        <v>6.5902399999999997</v>
      </c>
      <c r="F156" s="828">
        <v>43.431310000000003</v>
      </c>
      <c r="G156" s="828">
        <v>25</v>
      </c>
      <c r="H156" s="828">
        <v>1</v>
      </c>
      <c r="I156" s="828">
        <v>5</v>
      </c>
      <c r="J156" s="828">
        <v>15</v>
      </c>
      <c r="K156" s="828">
        <v>10</v>
      </c>
      <c r="L156" s="828">
        <v>3</v>
      </c>
      <c r="N156" s="222" t="s">
        <v>411</v>
      </c>
      <c r="O156" s="222" t="s">
        <v>2008</v>
      </c>
      <c r="P156" s="824">
        <v>109089</v>
      </c>
      <c r="Q156" s="824">
        <v>10.56419</v>
      </c>
      <c r="R156" s="824">
        <v>43.431310000000003</v>
      </c>
      <c r="S156" s="824">
        <v>6.5902399999999997</v>
      </c>
      <c r="T156" s="824">
        <v>25</v>
      </c>
      <c r="U156" s="824">
        <v>1</v>
      </c>
      <c r="V156" s="824">
        <v>5</v>
      </c>
      <c r="W156" s="824">
        <v>15</v>
      </c>
      <c r="X156" s="824">
        <v>10</v>
      </c>
      <c r="Y156" s="824">
        <v>3</v>
      </c>
      <c r="Z156" s="480" t="str">
        <f t="shared" si="2"/>
        <v/>
      </c>
    </row>
    <row r="157" spans="1:26">
      <c r="A157" s="825" t="s">
        <v>412</v>
      </c>
      <c r="B157" s="826">
        <v>12570</v>
      </c>
      <c r="C157" s="827"/>
      <c r="D157" s="828">
        <v>10.61026</v>
      </c>
      <c r="E157" s="828">
        <v>6.4487899999999998</v>
      </c>
      <c r="F157" s="828">
        <v>41.586889999999997</v>
      </c>
      <c r="G157" s="828">
        <v>25</v>
      </c>
      <c r="H157" s="828">
        <v>1</v>
      </c>
      <c r="I157" s="828">
        <v>5</v>
      </c>
      <c r="J157" s="828">
        <v>15</v>
      </c>
      <c r="K157" s="828">
        <v>10</v>
      </c>
      <c r="L157" s="828">
        <v>3</v>
      </c>
      <c r="N157" s="222" t="s">
        <v>412</v>
      </c>
      <c r="O157" s="222" t="s">
        <v>2009</v>
      </c>
      <c r="P157" s="824">
        <v>12570</v>
      </c>
      <c r="Q157" s="824">
        <v>10.61026</v>
      </c>
      <c r="R157" s="824">
        <v>41.586889999999997</v>
      </c>
      <c r="S157" s="824">
        <v>6.4487899999999998</v>
      </c>
      <c r="T157" s="824">
        <v>25</v>
      </c>
      <c r="U157" s="824">
        <v>1</v>
      </c>
      <c r="V157" s="824">
        <v>5</v>
      </c>
      <c r="W157" s="824">
        <v>15</v>
      </c>
      <c r="X157" s="824">
        <v>10</v>
      </c>
      <c r="Y157" s="824">
        <v>3</v>
      </c>
      <c r="Z157" s="480" t="str">
        <f t="shared" si="2"/>
        <v/>
      </c>
    </row>
    <row r="158" spans="1:26">
      <c r="A158" s="825" t="s">
        <v>413</v>
      </c>
      <c r="B158" s="826">
        <v>7</v>
      </c>
      <c r="C158" s="827"/>
      <c r="D158" s="828">
        <v>5.2857099999999999</v>
      </c>
      <c r="E158" s="828">
        <v>2.49762</v>
      </c>
      <c r="F158" s="828">
        <v>6.2381000000000002</v>
      </c>
      <c r="G158" s="828">
        <v>8</v>
      </c>
      <c r="H158" s="828">
        <v>1</v>
      </c>
      <c r="I158" s="828">
        <v>3</v>
      </c>
      <c r="J158" s="828">
        <v>7</v>
      </c>
      <c r="K158" s="828">
        <v>6</v>
      </c>
      <c r="L158" s="828">
        <v>7</v>
      </c>
      <c r="N158" s="222" t="s">
        <v>413</v>
      </c>
      <c r="O158" s="222" t="s">
        <v>2010</v>
      </c>
      <c r="P158" s="824">
        <v>7</v>
      </c>
      <c r="Q158" s="824">
        <v>5.2857099999999999</v>
      </c>
      <c r="R158" s="824">
        <v>6.2381000000000002</v>
      </c>
      <c r="S158" s="824">
        <v>2.49762</v>
      </c>
      <c r="T158" s="824">
        <v>8</v>
      </c>
      <c r="U158" s="824">
        <v>1</v>
      </c>
      <c r="V158" s="824">
        <v>3</v>
      </c>
      <c r="W158" s="824">
        <v>7</v>
      </c>
      <c r="X158" s="824">
        <v>6</v>
      </c>
      <c r="Y158" s="824">
        <v>7</v>
      </c>
      <c r="Z158" s="480" t="str">
        <f t="shared" si="2"/>
        <v/>
      </c>
    </row>
    <row r="159" spans="1:26">
      <c r="A159" s="825" t="s">
        <v>414</v>
      </c>
      <c r="B159" s="826">
        <v>17</v>
      </c>
      <c r="C159" s="827"/>
      <c r="D159" s="828">
        <v>9.3529400000000003</v>
      </c>
      <c r="E159" s="828">
        <v>6.33385</v>
      </c>
      <c r="F159" s="828">
        <v>40.117649999999998</v>
      </c>
      <c r="G159" s="828">
        <v>20</v>
      </c>
      <c r="H159" s="828">
        <v>1</v>
      </c>
      <c r="I159" s="828">
        <v>4</v>
      </c>
      <c r="J159" s="828">
        <v>15</v>
      </c>
      <c r="K159" s="828">
        <v>8</v>
      </c>
      <c r="L159" s="828">
        <v>5</v>
      </c>
      <c r="N159" s="222" t="s">
        <v>414</v>
      </c>
      <c r="O159" s="222" t="s">
        <v>2011</v>
      </c>
      <c r="P159" s="824">
        <v>17</v>
      </c>
      <c r="Q159" s="824">
        <v>9.3529400000000003</v>
      </c>
      <c r="R159" s="824">
        <v>40.117649999999998</v>
      </c>
      <c r="S159" s="824">
        <v>6.33385</v>
      </c>
      <c r="T159" s="824">
        <v>20</v>
      </c>
      <c r="U159" s="824">
        <v>1</v>
      </c>
      <c r="V159" s="824">
        <v>4</v>
      </c>
      <c r="W159" s="824">
        <v>15</v>
      </c>
      <c r="X159" s="824">
        <v>8</v>
      </c>
      <c r="Y159" s="824">
        <v>5</v>
      </c>
      <c r="Z159" s="480" t="str">
        <f t="shared" si="2"/>
        <v/>
      </c>
    </row>
    <row r="160" spans="1:26">
      <c r="A160" s="825" t="s">
        <v>415</v>
      </c>
      <c r="B160" s="826">
        <v>10915</v>
      </c>
      <c r="C160" s="827"/>
      <c r="D160" s="828">
        <v>10.6721</v>
      </c>
      <c r="E160" s="828">
        <v>6.3731999999999998</v>
      </c>
      <c r="F160" s="828">
        <v>40.617690000000003</v>
      </c>
      <c r="G160" s="828">
        <v>24</v>
      </c>
      <c r="H160" s="828">
        <v>1</v>
      </c>
      <c r="I160" s="828">
        <v>5</v>
      </c>
      <c r="J160" s="828">
        <v>16</v>
      </c>
      <c r="K160" s="828">
        <v>10</v>
      </c>
      <c r="L160" s="828">
        <v>6</v>
      </c>
      <c r="N160" s="222" t="s">
        <v>415</v>
      </c>
      <c r="O160" s="222" t="s">
        <v>2012</v>
      </c>
      <c r="P160" s="824">
        <v>10915</v>
      </c>
      <c r="Q160" s="824">
        <v>10.6721</v>
      </c>
      <c r="R160" s="824">
        <v>40.617690000000003</v>
      </c>
      <c r="S160" s="824">
        <v>6.3731999999999998</v>
      </c>
      <c r="T160" s="824">
        <v>24</v>
      </c>
      <c r="U160" s="824">
        <v>1</v>
      </c>
      <c r="V160" s="824">
        <v>5</v>
      </c>
      <c r="W160" s="824">
        <v>16</v>
      </c>
      <c r="X160" s="824">
        <v>10</v>
      </c>
      <c r="Y160" s="824">
        <v>6</v>
      </c>
      <c r="Z160" s="480" t="str">
        <f t="shared" si="2"/>
        <v/>
      </c>
    </row>
    <row r="161" spans="1:26">
      <c r="A161" s="825" t="s">
        <v>416</v>
      </c>
      <c r="B161" s="826">
        <v>7351</v>
      </c>
      <c r="C161" s="827"/>
      <c r="D161" s="828">
        <v>12.454359999999999</v>
      </c>
      <c r="E161" s="828">
        <v>7.7455999999999996</v>
      </c>
      <c r="F161" s="828">
        <v>59.994349999999997</v>
      </c>
      <c r="G161" s="828">
        <v>29</v>
      </c>
      <c r="H161" s="828">
        <v>1</v>
      </c>
      <c r="I161" s="828">
        <v>6</v>
      </c>
      <c r="J161" s="828">
        <v>18</v>
      </c>
      <c r="K161" s="828">
        <v>11</v>
      </c>
      <c r="L161" s="828">
        <v>3</v>
      </c>
      <c r="N161" s="222" t="s">
        <v>416</v>
      </c>
      <c r="O161" s="222" t="s">
        <v>2013</v>
      </c>
      <c r="P161" s="824">
        <v>7351</v>
      </c>
      <c r="Q161" s="824">
        <v>12.454359999999999</v>
      </c>
      <c r="R161" s="824">
        <v>59.994349999999997</v>
      </c>
      <c r="S161" s="824">
        <v>7.7455999999999996</v>
      </c>
      <c r="T161" s="824">
        <v>29</v>
      </c>
      <c r="U161" s="824">
        <v>1</v>
      </c>
      <c r="V161" s="824">
        <v>6</v>
      </c>
      <c r="W161" s="824">
        <v>18</v>
      </c>
      <c r="X161" s="824">
        <v>11</v>
      </c>
      <c r="Y161" s="824">
        <v>3</v>
      </c>
      <c r="Z161" s="480" t="str">
        <f t="shared" si="2"/>
        <v/>
      </c>
    </row>
    <row r="162" spans="1:26">
      <c r="A162" s="825" t="s">
        <v>417</v>
      </c>
      <c r="B162" s="826">
        <v>742</v>
      </c>
      <c r="C162" s="827"/>
      <c r="D162" s="828">
        <v>15.54447</v>
      </c>
      <c r="E162" s="828">
        <v>9.1842799999999993</v>
      </c>
      <c r="F162" s="828">
        <v>84.350920000000002</v>
      </c>
      <c r="G162" s="828">
        <v>33</v>
      </c>
      <c r="H162" s="828">
        <v>1</v>
      </c>
      <c r="I162" s="828">
        <v>8</v>
      </c>
      <c r="J162" s="828">
        <v>22</v>
      </c>
      <c r="K162" s="828">
        <v>15</v>
      </c>
      <c r="L162" s="828">
        <v>4</v>
      </c>
      <c r="N162" s="222" t="s">
        <v>417</v>
      </c>
      <c r="O162" s="222" t="s">
        <v>2014</v>
      </c>
      <c r="P162" s="824">
        <v>742</v>
      </c>
      <c r="Q162" s="824">
        <v>15.54447</v>
      </c>
      <c r="R162" s="824">
        <v>84.350920000000002</v>
      </c>
      <c r="S162" s="824">
        <v>9.1842799999999993</v>
      </c>
      <c r="T162" s="824">
        <v>33</v>
      </c>
      <c r="U162" s="824">
        <v>1</v>
      </c>
      <c r="V162" s="824">
        <v>8</v>
      </c>
      <c r="W162" s="824">
        <v>22</v>
      </c>
      <c r="X162" s="824">
        <v>15</v>
      </c>
      <c r="Y162" s="824">
        <v>4</v>
      </c>
      <c r="Z162" s="480" t="str">
        <f t="shared" si="2"/>
        <v/>
      </c>
    </row>
    <row r="163" spans="1:26">
      <c r="A163" s="825" t="s">
        <v>418</v>
      </c>
      <c r="B163" s="826">
        <v>2076</v>
      </c>
      <c r="C163" s="829"/>
      <c r="D163" s="828">
        <v>11.002890000000001</v>
      </c>
      <c r="E163" s="828">
        <v>7.1825799999999997</v>
      </c>
      <c r="F163" s="828">
        <v>51.589390000000002</v>
      </c>
      <c r="G163" s="828">
        <v>27</v>
      </c>
      <c r="H163" s="828">
        <v>1</v>
      </c>
      <c r="I163" s="828">
        <v>5</v>
      </c>
      <c r="J163" s="828">
        <v>16</v>
      </c>
      <c r="K163" s="828">
        <v>9</v>
      </c>
      <c r="L163" s="828">
        <v>4</v>
      </c>
      <c r="N163" s="222" t="s">
        <v>418</v>
      </c>
      <c r="O163" s="222" t="s">
        <v>2015</v>
      </c>
      <c r="P163" s="824">
        <v>2076</v>
      </c>
      <c r="Q163" s="824">
        <v>11.002890000000001</v>
      </c>
      <c r="R163" s="824">
        <v>51.589390000000002</v>
      </c>
      <c r="S163" s="824">
        <v>7.1825799999999997</v>
      </c>
      <c r="T163" s="824">
        <v>27</v>
      </c>
      <c r="U163" s="824">
        <v>1</v>
      </c>
      <c r="V163" s="824">
        <v>5</v>
      </c>
      <c r="W163" s="824">
        <v>16</v>
      </c>
      <c r="X163" s="824">
        <v>9</v>
      </c>
      <c r="Y163" s="824">
        <v>4</v>
      </c>
      <c r="Z163" s="480" t="str">
        <f t="shared" si="2"/>
        <v/>
      </c>
    </row>
    <row r="164" spans="1:26">
      <c r="A164" s="825" t="s">
        <v>419</v>
      </c>
      <c r="B164" s="826">
        <v>5789</v>
      </c>
      <c r="C164" s="827"/>
      <c r="D164" s="828">
        <v>9.6574500000000008</v>
      </c>
      <c r="E164" s="828">
        <v>6.3931300000000002</v>
      </c>
      <c r="F164" s="828">
        <v>40.872100000000003</v>
      </c>
      <c r="G164" s="828">
        <v>24</v>
      </c>
      <c r="H164" s="828">
        <v>1</v>
      </c>
      <c r="I164" s="828">
        <v>4</v>
      </c>
      <c r="J164" s="828">
        <v>15</v>
      </c>
      <c r="K164" s="828">
        <v>8</v>
      </c>
      <c r="L164" s="828">
        <v>3</v>
      </c>
      <c r="N164" s="222" t="s">
        <v>419</v>
      </c>
      <c r="O164" s="222" t="s">
        <v>2016</v>
      </c>
      <c r="P164" s="824">
        <v>5789</v>
      </c>
      <c r="Q164" s="824">
        <v>9.6574500000000008</v>
      </c>
      <c r="R164" s="824">
        <v>40.872100000000003</v>
      </c>
      <c r="S164" s="824">
        <v>6.3931300000000002</v>
      </c>
      <c r="T164" s="824">
        <v>24</v>
      </c>
      <c r="U164" s="824">
        <v>1</v>
      </c>
      <c r="V164" s="824">
        <v>4</v>
      </c>
      <c r="W164" s="824">
        <v>15</v>
      </c>
      <c r="X164" s="824">
        <v>8</v>
      </c>
      <c r="Y164" s="824">
        <v>3</v>
      </c>
      <c r="Z164" s="480" t="str">
        <f t="shared" si="2"/>
        <v/>
      </c>
    </row>
    <row r="165" spans="1:26">
      <c r="A165" s="825" t="s">
        <v>420</v>
      </c>
      <c r="B165" s="826">
        <v>83018</v>
      </c>
      <c r="C165" s="827"/>
      <c r="D165" s="828">
        <v>10.221550000000001</v>
      </c>
      <c r="E165" s="828">
        <v>6.1767799999999999</v>
      </c>
      <c r="F165" s="828">
        <v>38.152569999999997</v>
      </c>
      <c r="G165" s="828">
        <v>24</v>
      </c>
      <c r="H165" s="828">
        <v>1</v>
      </c>
      <c r="I165" s="828">
        <v>5</v>
      </c>
      <c r="J165" s="828">
        <v>15</v>
      </c>
      <c r="K165" s="828">
        <v>9</v>
      </c>
      <c r="L165" s="828">
        <v>4</v>
      </c>
      <c r="N165" s="222" t="s">
        <v>420</v>
      </c>
      <c r="O165" s="222" t="s">
        <v>421</v>
      </c>
      <c r="P165" s="824">
        <v>83018</v>
      </c>
      <c r="Q165" s="824">
        <v>10.221550000000001</v>
      </c>
      <c r="R165" s="824">
        <v>38.152569999999997</v>
      </c>
      <c r="S165" s="824">
        <v>6.1767799999999999</v>
      </c>
      <c r="T165" s="824">
        <v>24</v>
      </c>
      <c r="U165" s="824">
        <v>1</v>
      </c>
      <c r="V165" s="824">
        <v>5</v>
      </c>
      <c r="W165" s="824">
        <v>15</v>
      </c>
      <c r="X165" s="824">
        <v>9</v>
      </c>
      <c r="Y165" s="824">
        <v>4</v>
      </c>
      <c r="Z165" s="480" t="str">
        <f t="shared" si="2"/>
        <v/>
      </c>
    </row>
    <row r="166" spans="1:26">
      <c r="A166" s="825" t="s">
        <v>422</v>
      </c>
      <c r="B166" s="826">
        <v>2165</v>
      </c>
      <c r="C166" s="827"/>
      <c r="D166" s="828">
        <v>8.2415699999999994</v>
      </c>
      <c r="E166" s="828">
        <v>6.1826999999999996</v>
      </c>
      <c r="F166" s="828">
        <v>38.225810000000003</v>
      </c>
      <c r="G166" s="828">
        <v>52</v>
      </c>
      <c r="H166" s="828">
        <v>1</v>
      </c>
      <c r="I166" s="828">
        <v>4</v>
      </c>
      <c r="J166" s="828">
        <v>11</v>
      </c>
      <c r="K166" s="828">
        <v>7</v>
      </c>
      <c r="L166" s="828">
        <v>5</v>
      </c>
      <c r="N166" s="222" t="s">
        <v>422</v>
      </c>
      <c r="O166" s="222" t="s">
        <v>423</v>
      </c>
      <c r="P166" s="824">
        <v>2165</v>
      </c>
      <c r="Q166" s="824">
        <v>8.2415699999999994</v>
      </c>
      <c r="R166" s="824">
        <v>38.225810000000003</v>
      </c>
      <c r="S166" s="824">
        <v>6.1826999999999996</v>
      </c>
      <c r="T166" s="824">
        <v>52</v>
      </c>
      <c r="U166" s="824">
        <v>1</v>
      </c>
      <c r="V166" s="824">
        <v>4</v>
      </c>
      <c r="W166" s="824">
        <v>11</v>
      </c>
      <c r="X166" s="824">
        <v>7</v>
      </c>
      <c r="Y166" s="824">
        <v>5</v>
      </c>
      <c r="Z166" s="480" t="str">
        <f t="shared" si="2"/>
        <v/>
      </c>
    </row>
    <row r="167" spans="1:26">
      <c r="A167" s="825" t="s">
        <v>424</v>
      </c>
      <c r="B167" s="826">
        <v>6887</v>
      </c>
      <c r="C167" s="827"/>
      <c r="D167" s="828">
        <v>9.8440499999999993</v>
      </c>
      <c r="E167" s="828">
        <v>8.5916499999999996</v>
      </c>
      <c r="F167" s="828">
        <v>73.816509999999994</v>
      </c>
      <c r="G167" s="828">
        <v>51</v>
      </c>
      <c r="H167" s="828">
        <v>1</v>
      </c>
      <c r="I167" s="828">
        <v>3</v>
      </c>
      <c r="J167" s="828">
        <v>14</v>
      </c>
      <c r="K167" s="828">
        <v>7</v>
      </c>
      <c r="L167" s="828">
        <v>2</v>
      </c>
      <c r="N167" s="222" t="s">
        <v>424</v>
      </c>
      <c r="O167" s="222" t="s">
        <v>2017</v>
      </c>
      <c r="P167" s="824">
        <v>6887</v>
      </c>
      <c r="Q167" s="824">
        <v>9.8440499999999993</v>
      </c>
      <c r="R167" s="824">
        <v>73.816509999999994</v>
      </c>
      <c r="S167" s="824">
        <v>8.5916499999999996</v>
      </c>
      <c r="T167" s="824">
        <v>51</v>
      </c>
      <c r="U167" s="824">
        <v>1</v>
      </c>
      <c r="V167" s="824">
        <v>3</v>
      </c>
      <c r="W167" s="824">
        <v>14</v>
      </c>
      <c r="X167" s="824">
        <v>7</v>
      </c>
      <c r="Y167" s="824">
        <v>2</v>
      </c>
      <c r="Z167" s="480" t="str">
        <f t="shared" si="2"/>
        <v/>
      </c>
    </row>
    <row r="168" spans="1:26">
      <c r="A168" s="825" t="s">
        <v>425</v>
      </c>
      <c r="B168" s="826">
        <v>70</v>
      </c>
      <c r="C168" s="827"/>
      <c r="D168" s="828">
        <v>8.0857100000000006</v>
      </c>
      <c r="E168" s="828">
        <v>6.5313999999999997</v>
      </c>
      <c r="F168" s="828">
        <v>42.659210000000002</v>
      </c>
      <c r="G168" s="828">
        <v>20</v>
      </c>
      <c r="H168" s="828">
        <v>1</v>
      </c>
      <c r="I168" s="828">
        <v>3</v>
      </c>
      <c r="J168" s="828">
        <v>14</v>
      </c>
      <c r="K168" s="828">
        <v>6</v>
      </c>
      <c r="L168" s="828">
        <v>3</v>
      </c>
      <c r="N168" s="222" t="s">
        <v>425</v>
      </c>
      <c r="O168" s="222" t="s">
        <v>2018</v>
      </c>
      <c r="P168" s="824">
        <v>70</v>
      </c>
      <c r="Q168" s="824">
        <v>8.0857100000000006</v>
      </c>
      <c r="R168" s="824">
        <v>42.659210000000002</v>
      </c>
      <c r="S168" s="824">
        <v>6.5313999999999997</v>
      </c>
      <c r="T168" s="824">
        <v>20</v>
      </c>
      <c r="U168" s="824">
        <v>1</v>
      </c>
      <c r="V168" s="824">
        <v>3</v>
      </c>
      <c r="W168" s="824">
        <v>14</v>
      </c>
      <c r="X168" s="824">
        <v>6</v>
      </c>
      <c r="Y168" s="824">
        <v>3</v>
      </c>
      <c r="Z168" s="480" t="str">
        <f t="shared" si="2"/>
        <v/>
      </c>
    </row>
    <row r="169" spans="1:26">
      <c r="A169" s="825" t="s">
        <v>426</v>
      </c>
      <c r="B169" s="826">
        <v>38014</v>
      </c>
      <c r="C169" s="827"/>
      <c r="D169" s="828">
        <v>8.6124100000000006</v>
      </c>
      <c r="E169" s="828">
        <v>5.2958999999999996</v>
      </c>
      <c r="F169" s="828">
        <v>28.046589999999998</v>
      </c>
      <c r="G169" s="828">
        <v>20</v>
      </c>
      <c r="H169" s="828">
        <v>1</v>
      </c>
      <c r="I169" s="828">
        <v>4</v>
      </c>
      <c r="J169" s="828">
        <v>13</v>
      </c>
      <c r="K169" s="828">
        <v>8</v>
      </c>
      <c r="L169" s="828">
        <v>3</v>
      </c>
      <c r="N169" s="222" t="s">
        <v>426</v>
      </c>
      <c r="O169" s="222" t="s">
        <v>2019</v>
      </c>
      <c r="P169" s="824">
        <v>38014</v>
      </c>
      <c r="Q169" s="824">
        <v>8.6124100000000006</v>
      </c>
      <c r="R169" s="824">
        <v>28.046589999999998</v>
      </c>
      <c r="S169" s="824">
        <v>5.2958999999999996</v>
      </c>
      <c r="T169" s="824">
        <v>20</v>
      </c>
      <c r="U169" s="824">
        <v>1</v>
      </c>
      <c r="V169" s="824">
        <v>4</v>
      </c>
      <c r="W169" s="824">
        <v>13</v>
      </c>
      <c r="X169" s="824">
        <v>8</v>
      </c>
      <c r="Y169" s="824">
        <v>3</v>
      </c>
      <c r="Z169" s="480" t="str">
        <f t="shared" si="2"/>
        <v/>
      </c>
    </row>
    <row r="170" spans="1:26">
      <c r="A170" s="825" t="s">
        <v>427</v>
      </c>
      <c r="B170" s="826">
        <v>29</v>
      </c>
      <c r="C170" s="829"/>
      <c r="D170" s="828">
        <v>12.758620000000001</v>
      </c>
      <c r="E170" s="828">
        <v>7.4673299999999996</v>
      </c>
      <c r="F170" s="828">
        <v>55.76108</v>
      </c>
      <c r="G170" s="828">
        <v>28</v>
      </c>
      <c r="H170" s="828">
        <v>2</v>
      </c>
      <c r="I170" s="828">
        <v>7</v>
      </c>
      <c r="J170" s="828">
        <v>18</v>
      </c>
      <c r="K170" s="828">
        <v>11</v>
      </c>
      <c r="L170" s="828">
        <v>11</v>
      </c>
      <c r="N170" s="222" t="s">
        <v>427</v>
      </c>
      <c r="O170" s="222" t="s">
        <v>2020</v>
      </c>
      <c r="P170" s="824">
        <v>29</v>
      </c>
      <c r="Q170" s="824">
        <v>12.758620000000001</v>
      </c>
      <c r="R170" s="824">
        <v>55.76108</v>
      </c>
      <c r="S170" s="824">
        <v>7.4673299999999996</v>
      </c>
      <c r="T170" s="824">
        <v>28</v>
      </c>
      <c r="U170" s="824">
        <v>2</v>
      </c>
      <c r="V170" s="824">
        <v>7</v>
      </c>
      <c r="W170" s="824">
        <v>18</v>
      </c>
      <c r="X170" s="824">
        <v>11</v>
      </c>
      <c r="Y170" s="824">
        <v>11</v>
      </c>
      <c r="Z170" s="480" t="str">
        <f t="shared" si="2"/>
        <v/>
      </c>
    </row>
    <row r="171" spans="1:26">
      <c r="A171" s="825" t="s">
        <v>428</v>
      </c>
      <c r="B171" s="826">
        <v>222475</v>
      </c>
      <c r="C171" s="827"/>
      <c r="D171" s="828">
        <v>8.4550400000000003</v>
      </c>
      <c r="E171" s="828">
        <v>6.6788400000000001</v>
      </c>
      <c r="F171" s="828">
        <v>44.606879999999997</v>
      </c>
      <c r="G171" s="828">
        <v>84</v>
      </c>
      <c r="H171" s="828">
        <v>1</v>
      </c>
      <c r="I171" s="828">
        <v>4</v>
      </c>
      <c r="J171" s="828">
        <v>11</v>
      </c>
      <c r="K171" s="828">
        <v>7</v>
      </c>
      <c r="L171" s="828">
        <v>3</v>
      </c>
      <c r="N171" s="222" t="s">
        <v>428</v>
      </c>
      <c r="O171" s="222" t="s">
        <v>2021</v>
      </c>
      <c r="P171" s="824">
        <v>222475</v>
      </c>
      <c r="Q171" s="824">
        <v>8.4550400000000003</v>
      </c>
      <c r="R171" s="824">
        <v>44.606879999999997</v>
      </c>
      <c r="S171" s="824">
        <v>6.6788400000000001</v>
      </c>
      <c r="T171" s="824">
        <v>84</v>
      </c>
      <c r="U171" s="824">
        <v>1</v>
      </c>
      <c r="V171" s="824">
        <v>4</v>
      </c>
      <c r="W171" s="824">
        <v>11</v>
      </c>
      <c r="X171" s="824">
        <v>7</v>
      </c>
      <c r="Y171" s="824">
        <v>3</v>
      </c>
      <c r="Z171" s="480" t="str">
        <f t="shared" si="2"/>
        <v/>
      </c>
    </row>
    <row r="172" spans="1:26">
      <c r="A172" s="825" t="s">
        <v>429</v>
      </c>
      <c r="B172" s="826">
        <v>2961</v>
      </c>
      <c r="C172" s="827"/>
      <c r="D172" s="828">
        <v>8.49071</v>
      </c>
      <c r="E172" s="828">
        <v>5.2201500000000003</v>
      </c>
      <c r="F172" s="828">
        <v>27.25</v>
      </c>
      <c r="G172" s="828">
        <v>20</v>
      </c>
      <c r="H172" s="828">
        <v>1</v>
      </c>
      <c r="I172" s="828">
        <v>4</v>
      </c>
      <c r="J172" s="828">
        <v>12</v>
      </c>
      <c r="K172" s="828">
        <v>7</v>
      </c>
      <c r="L172" s="828">
        <v>3</v>
      </c>
      <c r="N172" s="222" t="s">
        <v>429</v>
      </c>
      <c r="O172" s="222" t="s">
        <v>2022</v>
      </c>
      <c r="P172" s="824">
        <v>2961</v>
      </c>
      <c r="Q172" s="824">
        <v>8.49071</v>
      </c>
      <c r="R172" s="824">
        <v>27.25</v>
      </c>
      <c r="S172" s="824">
        <v>5.2201500000000003</v>
      </c>
      <c r="T172" s="824">
        <v>20</v>
      </c>
      <c r="U172" s="824">
        <v>1</v>
      </c>
      <c r="V172" s="824">
        <v>4</v>
      </c>
      <c r="W172" s="824">
        <v>12</v>
      </c>
      <c r="X172" s="824">
        <v>7</v>
      </c>
      <c r="Y172" s="824">
        <v>3</v>
      </c>
      <c r="Z172" s="480" t="str">
        <f t="shared" si="2"/>
        <v/>
      </c>
    </row>
    <row r="173" spans="1:26">
      <c r="A173" s="825" t="s">
        <v>430</v>
      </c>
      <c r="B173" s="826">
        <v>3245</v>
      </c>
      <c r="C173" s="829"/>
      <c r="D173" s="828">
        <v>10.83236</v>
      </c>
      <c r="E173" s="828">
        <v>9.0803799999999999</v>
      </c>
      <c r="F173" s="828">
        <v>82.453389999999999</v>
      </c>
      <c r="G173" s="828">
        <v>52</v>
      </c>
      <c r="H173" s="828">
        <v>1</v>
      </c>
      <c r="I173" s="828">
        <v>4</v>
      </c>
      <c r="J173" s="828">
        <v>15</v>
      </c>
      <c r="K173" s="828">
        <v>8</v>
      </c>
      <c r="L173" s="828">
        <v>3</v>
      </c>
      <c r="N173" s="222" t="s">
        <v>430</v>
      </c>
      <c r="O173" s="222" t="s">
        <v>431</v>
      </c>
      <c r="P173" s="824">
        <v>3245</v>
      </c>
      <c r="Q173" s="824">
        <v>10.83236</v>
      </c>
      <c r="R173" s="824">
        <v>82.453389999999999</v>
      </c>
      <c r="S173" s="824">
        <v>9.0803799999999999</v>
      </c>
      <c r="T173" s="824">
        <v>52</v>
      </c>
      <c r="U173" s="824">
        <v>1</v>
      </c>
      <c r="V173" s="824">
        <v>4</v>
      </c>
      <c r="W173" s="824">
        <v>15</v>
      </c>
      <c r="X173" s="824">
        <v>8</v>
      </c>
      <c r="Y173" s="824">
        <v>3</v>
      </c>
      <c r="Z173" s="480" t="str">
        <f t="shared" si="2"/>
        <v/>
      </c>
    </row>
    <row r="174" spans="1:26">
      <c r="A174" s="825" t="s">
        <v>432</v>
      </c>
      <c r="B174" s="826">
        <v>18043</v>
      </c>
      <c r="C174" s="827"/>
      <c r="D174" s="828">
        <v>9.7018199999999997</v>
      </c>
      <c r="E174" s="828">
        <v>7.6711200000000002</v>
      </c>
      <c r="F174" s="828">
        <v>58.846130000000002</v>
      </c>
      <c r="G174" s="828">
        <v>54</v>
      </c>
      <c r="H174" s="828">
        <v>1</v>
      </c>
      <c r="I174" s="828">
        <v>4</v>
      </c>
      <c r="J174" s="828">
        <v>14</v>
      </c>
      <c r="K174" s="828">
        <v>8</v>
      </c>
      <c r="L174" s="828">
        <v>3</v>
      </c>
      <c r="N174" s="222" t="s">
        <v>432</v>
      </c>
      <c r="O174" s="222" t="s">
        <v>2023</v>
      </c>
      <c r="P174" s="824">
        <v>18043</v>
      </c>
      <c r="Q174" s="824">
        <v>9.7018199999999997</v>
      </c>
      <c r="R174" s="824">
        <v>58.846130000000002</v>
      </c>
      <c r="S174" s="824">
        <v>7.6711200000000002</v>
      </c>
      <c r="T174" s="824">
        <v>54</v>
      </c>
      <c r="U174" s="824">
        <v>1</v>
      </c>
      <c r="V174" s="824">
        <v>4</v>
      </c>
      <c r="W174" s="824">
        <v>14</v>
      </c>
      <c r="X174" s="824">
        <v>8</v>
      </c>
      <c r="Y174" s="824">
        <v>3</v>
      </c>
      <c r="Z174" s="480" t="str">
        <f t="shared" si="2"/>
        <v/>
      </c>
    </row>
    <row r="175" spans="1:26">
      <c r="A175" s="825" t="s">
        <v>433</v>
      </c>
      <c r="B175" s="826">
        <v>3398</v>
      </c>
      <c r="C175" s="829"/>
      <c r="D175" s="828">
        <v>10.25132</v>
      </c>
      <c r="E175" s="828">
        <v>7.8910299999999998</v>
      </c>
      <c r="F175" s="828">
        <v>62.26829</v>
      </c>
      <c r="G175" s="828">
        <v>49</v>
      </c>
      <c r="H175" s="828">
        <v>1</v>
      </c>
      <c r="I175" s="828">
        <v>4</v>
      </c>
      <c r="J175" s="828">
        <v>14</v>
      </c>
      <c r="K175" s="828">
        <v>8</v>
      </c>
      <c r="L175" s="828">
        <v>3</v>
      </c>
      <c r="N175" s="222" t="s">
        <v>433</v>
      </c>
      <c r="O175" s="222" t="s">
        <v>434</v>
      </c>
      <c r="P175" s="824">
        <v>3398</v>
      </c>
      <c r="Q175" s="824">
        <v>10.25132</v>
      </c>
      <c r="R175" s="824">
        <v>62.26829</v>
      </c>
      <c r="S175" s="824">
        <v>7.8910299999999998</v>
      </c>
      <c r="T175" s="824">
        <v>49</v>
      </c>
      <c r="U175" s="824">
        <v>1</v>
      </c>
      <c r="V175" s="824">
        <v>4</v>
      </c>
      <c r="W175" s="824">
        <v>14</v>
      </c>
      <c r="X175" s="824">
        <v>8</v>
      </c>
      <c r="Y175" s="824">
        <v>3</v>
      </c>
      <c r="Z175" s="480" t="str">
        <f t="shared" si="2"/>
        <v/>
      </c>
    </row>
    <row r="176" spans="1:26">
      <c r="A176" s="825" t="s">
        <v>435</v>
      </c>
      <c r="B176" s="826">
        <v>1864</v>
      </c>
      <c r="C176" s="827"/>
      <c r="D176" s="828">
        <v>8.45547</v>
      </c>
      <c r="E176" s="828">
        <v>5.4949500000000002</v>
      </c>
      <c r="F176" s="828">
        <v>30.194469999999999</v>
      </c>
      <c r="G176" s="828">
        <v>20</v>
      </c>
      <c r="H176" s="828">
        <v>1</v>
      </c>
      <c r="I176" s="828">
        <v>4</v>
      </c>
      <c r="J176" s="828">
        <v>12</v>
      </c>
      <c r="K176" s="828">
        <v>7</v>
      </c>
      <c r="L176" s="828">
        <v>3</v>
      </c>
      <c r="N176" s="222" t="s">
        <v>435</v>
      </c>
      <c r="O176" s="222" t="s">
        <v>436</v>
      </c>
      <c r="P176" s="824">
        <v>1864</v>
      </c>
      <c r="Q176" s="824">
        <v>8.45547</v>
      </c>
      <c r="R176" s="824">
        <v>30.194469999999999</v>
      </c>
      <c r="S176" s="824">
        <v>5.4949500000000002</v>
      </c>
      <c r="T176" s="824">
        <v>20</v>
      </c>
      <c r="U176" s="824">
        <v>1</v>
      </c>
      <c r="V176" s="824">
        <v>4</v>
      </c>
      <c r="W176" s="824">
        <v>12</v>
      </c>
      <c r="X176" s="824">
        <v>7</v>
      </c>
      <c r="Y176" s="824">
        <v>3</v>
      </c>
      <c r="Z176" s="480" t="str">
        <f t="shared" si="2"/>
        <v/>
      </c>
    </row>
    <row r="177" spans="1:26">
      <c r="A177" s="825" t="s">
        <v>437</v>
      </c>
      <c r="B177" s="826">
        <v>4325</v>
      </c>
      <c r="C177" s="827"/>
      <c r="D177" s="828">
        <v>8.6425400000000003</v>
      </c>
      <c r="E177" s="828">
        <v>5.45322</v>
      </c>
      <c r="F177" s="828">
        <v>29.7376</v>
      </c>
      <c r="G177" s="828">
        <v>21</v>
      </c>
      <c r="H177" s="828">
        <v>1</v>
      </c>
      <c r="I177" s="828">
        <v>4</v>
      </c>
      <c r="J177" s="828">
        <v>13</v>
      </c>
      <c r="K177" s="828">
        <v>8</v>
      </c>
      <c r="L177" s="828">
        <v>3</v>
      </c>
      <c r="N177" s="222" t="s">
        <v>437</v>
      </c>
      <c r="O177" s="222" t="s">
        <v>438</v>
      </c>
      <c r="P177" s="824">
        <v>4325</v>
      </c>
      <c r="Q177" s="824">
        <v>8.6425400000000003</v>
      </c>
      <c r="R177" s="824">
        <v>29.7376</v>
      </c>
      <c r="S177" s="824">
        <v>5.45322</v>
      </c>
      <c r="T177" s="824">
        <v>21</v>
      </c>
      <c r="U177" s="824">
        <v>1</v>
      </c>
      <c r="V177" s="824">
        <v>4</v>
      </c>
      <c r="W177" s="824">
        <v>13</v>
      </c>
      <c r="X177" s="824">
        <v>8</v>
      </c>
      <c r="Y177" s="824">
        <v>3</v>
      </c>
      <c r="Z177" s="480" t="str">
        <f t="shared" si="2"/>
        <v/>
      </c>
    </row>
    <row r="178" spans="1:26">
      <c r="A178" s="825" t="s">
        <v>439</v>
      </c>
      <c r="B178" s="826">
        <v>20698</v>
      </c>
      <c r="C178" s="827"/>
      <c r="D178" s="828">
        <v>10.82288</v>
      </c>
      <c r="E178" s="828">
        <v>9.0080100000000005</v>
      </c>
      <c r="F178" s="828">
        <v>81.144260000000003</v>
      </c>
      <c r="G178" s="828">
        <v>111</v>
      </c>
      <c r="H178" s="828">
        <v>1</v>
      </c>
      <c r="I178" s="828">
        <v>4</v>
      </c>
      <c r="J178" s="828">
        <v>15</v>
      </c>
      <c r="K178" s="828">
        <v>8</v>
      </c>
      <c r="L178" s="828">
        <v>4</v>
      </c>
      <c r="N178" s="222" t="s">
        <v>439</v>
      </c>
      <c r="O178" s="222" t="s">
        <v>2024</v>
      </c>
      <c r="P178" s="824">
        <v>20698</v>
      </c>
      <c r="Q178" s="824">
        <v>10.82288</v>
      </c>
      <c r="R178" s="824">
        <v>81.144260000000003</v>
      </c>
      <c r="S178" s="824">
        <v>9.0080100000000005</v>
      </c>
      <c r="T178" s="824">
        <v>111</v>
      </c>
      <c r="U178" s="824">
        <v>1</v>
      </c>
      <c r="V178" s="824">
        <v>4</v>
      </c>
      <c r="W178" s="824">
        <v>15</v>
      </c>
      <c r="X178" s="824">
        <v>8</v>
      </c>
      <c r="Y178" s="824">
        <v>4</v>
      </c>
      <c r="Z178" s="480" t="str">
        <f t="shared" si="2"/>
        <v/>
      </c>
    </row>
    <row r="179" spans="1:26">
      <c r="A179" s="825" t="s">
        <v>440</v>
      </c>
      <c r="B179" s="826">
        <v>9748</v>
      </c>
      <c r="C179" s="827"/>
      <c r="D179" s="828">
        <v>9.2094799999999992</v>
      </c>
      <c r="E179" s="828">
        <v>5.8236800000000004</v>
      </c>
      <c r="F179" s="828">
        <v>33.915280000000003</v>
      </c>
      <c r="G179" s="828">
        <v>22</v>
      </c>
      <c r="H179" s="828">
        <v>1</v>
      </c>
      <c r="I179" s="828">
        <v>4</v>
      </c>
      <c r="J179" s="828">
        <v>14</v>
      </c>
      <c r="K179" s="828">
        <v>8</v>
      </c>
      <c r="L179" s="828">
        <v>3</v>
      </c>
      <c r="N179" s="222" t="s">
        <v>440</v>
      </c>
      <c r="O179" s="222" t="s">
        <v>441</v>
      </c>
      <c r="P179" s="824">
        <v>9748</v>
      </c>
      <c r="Q179" s="824">
        <v>9.2094799999999992</v>
      </c>
      <c r="R179" s="824">
        <v>33.915280000000003</v>
      </c>
      <c r="S179" s="824">
        <v>5.8236800000000004</v>
      </c>
      <c r="T179" s="824">
        <v>22</v>
      </c>
      <c r="U179" s="824">
        <v>1</v>
      </c>
      <c r="V179" s="824">
        <v>4</v>
      </c>
      <c r="W179" s="824">
        <v>14</v>
      </c>
      <c r="X179" s="824">
        <v>8</v>
      </c>
      <c r="Y179" s="824">
        <v>3</v>
      </c>
      <c r="Z179" s="480" t="str">
        <f t="shared" si="2"/>
        <v/>
      </c>
    </row>
    <row r="180" spans="1:26">
      <c r="A180" s="825" t="s">
        <v>442</v>
      </c>
      <c r="B180" s="826">
        <v>7971</v>
      </c>
      <c r="C180" s="827"/>
      <c r="D180" s="828">
        <v>10.229710000000001</v>
      </c>
      <c r="E180" s="828">
        <v>6.5711500000000003</v>
      </c>
      <c r="F180" s="828">
        <v>43.17998</v>
      </c>
      <c r="G180" s="828">
        <v>25</v>
      </c>
      <c r="H180" s="828">
        <v>1</v>
      </c>
      <c r="I180" s="828">
        <v>5</v>
      </c>
      <c r="J180" s="828">
        <v>15</v>
      </c>
      <c r="K180" s="828">
        <v>9</v>
      </c>
      <c r="L180" s="828">
        <v>3</v>
      </c>
      <c r="N180" s="222" t="s">
        <v>442</v>
      </c>
      <c r="O180" s="222" t="s">
        <v>2025</v>
      </c>
      <c r="P180" s="824">
        <v>7971</v>
      </c>
      <c r="Q180" s="824">
        <v>10.229710000000001</v>
      </c>
      <c r="R180" s="824">
        <v>43.17998</v>
      </c>
      <c r="S180" s="824">
        <v>6.5711500000000003</v>
      </c>
      <c r="T180" s="824">
        <v>25</v>
      </c>
      <c r="U180" s="824">
        <v>1</v>
      </c>
      <c r="V180" s="824">
        <v>5</v>
      </c>
      <c r="W180" s="824">
        <v>15</v>
      </c>
      <c r="X180" s="824">
        <v>9</v>
      </c>
      <c r="Y180" s="824">
        <v>3</v>
      </c>
      <c r="Z180" s="480" t="str">
        <f t="shared" si="2"/>
        <v/>
      </c>
    </row>
    <row r="181" spans="1:26">
      <c r="A181" s="825" t="s">
        <v>443</v>
      </c>
      <c r="B181" s="826">
        <v>5763</v>
      </c>
      <c r="C181" s="827"/>
      <c r="D181" s="828">
        <v>10.56967</v>
      </c>
      <c r="E181" s="828">
        <v>7.0298499999999997</v>
      </c>
      <c r="F181" s="828">
        <v>49.41874</v>
      </c>
      <c r="G181" s="828">
        <v>27</v>
      </c>
      <c r="H181" s="828">
        <v>1</v>
      </c>
      <c r="I181" s="828">
        <v>5</v>
      </c>
      <c r="J181" s="828">
        <v>15</v>
      </c>
      <c r="K181" s="828">
        <v>9</v>
      </c>
      <c r="L181" s="828">
        <v>3</v>
      </c>
      <c r="N181" s="222" t="s">
        <v>443</v>
      </c>
      <c r="O181" s="222" t="s">
        <v>444</v>
      </c>
      <c r="P181" s="824">
        <v>5763</v>
      </c>
      <c r="Q181" s="824">
        <v>10.56967</v>
      </c>
      <c r="R181" s="824">
        <v>49.41874</v>
      </c>
      <c r="S181" s="824">
        <v>7.0298499999999997</v>
      </c>
      <c r="T181" s="824">
        <v>27</v>
      </c>
      <c r="U181" s="824">
        <v>1</v>
      </c>
      <c r="V181" s="824">
        <v>5</v>
      </c>
      <c r="W181" s="824">
        <v>15</v>
      </c>
      <c r="X181" s="824">
        <v>9</v>
      </c>
      <c r="Y181" s="824">
        <v>3</v>
      </c>
      <c r="Z181" s="480" t="str">
        <f t="shared" si="2"/>
        <v/>
      </c>
    </row>
    <row r="182" spans="1:26">
      <c r="A182" s="825" t="s">
        <v>445</v>
      </c>
      <c r="B182" s="826">
        <v>3153</v>
      </c>
      <c r="C182" s="827"/>
      <c r="D182" s="828">
        <v>9.2385000000000002</v>
      </c>
      <c r="E182" s="828">
        <v>5.6160600000000001</v>
      </c>
      <c r="F182" s="828">
        <v>31.540179999999999</v>
      </c>
      <c r="G182" s="828">
        <v>22</v>
      </c>
      <c r="H182" s="828">
        <v>1</v>
      </c>
      <c r="I182" s="828">
        <v>5</v>
      </c>
      <c r="J182" s="828">
        <v>13</v>
      </c>
      <c r="K182" s="828">
        <v>8</v>
      </c>
      <c r="L182" s="828">
        <v>5</v>
      </c>
      <c r="N182" s="222" t="s">
        <v>445</v>
      </c>
      <c r="O182" s="222" t="s">
        <v>446</v>
      </c>
      <c r="P182" s="824">
        <v>3153</v>
      </c>
      <c r="Q182" s="824">
        <v>9.2385000000000002</v>
      </c>
      <c r="R182" s="824">
        <v>31.540179999999999</v>
      </c>
      <c r="S182" s="824">
        <v>5.6160600000000001</v>
      </c>
      <c r="T182" s="824">
        <v>22</v>
      </c>
      <c r="U182" s="824">
        <v>1</v>
      </c>
      <c r="V182" s="824">
        <v>5</v>
      </c>
      <c r="W182" s="824">
        <v>13</v>
      </c>
      <c r="X182" s="824">
        <v>8</v>
      </c>
      <c r="Y182" s="824">
        <v>5</v>
      </c>
      <c r="Z182" s="480" t="str">
        <f t="shared" si="2"/>
        <v/>
      </c>
    </row>
    <row r="183" spans="1:26">
      <c r="A183" s="825" t="s">
        <v>447</v>
      </c>
      <c r="B183" s="826">
        <v>765</v>
      </c>
      <c r="C183" s="827"/>
      <c r="D183" s="828">
        <v>9.4627499999999998</v>
      </c>
      <c r="E183" s="828">
        <v>5.51701</v>
      </c>
      <c r="F183" s="828">
        <v>30.437419999999999</v>
      </c>
      <c r="G183" s="828">
        <v>21</v>
      </c>
      <c r="H183" s="828">
        <v>1</v>
      </c>
      <c r="I183" s="828">
        <v>5</v>
      </c>
      <c r="J183" s="828">
        <v>14</v>
      </c>
      <c r="K183" s="828">
        <v>9</v>
      </c>
      <c r="L183" s="828">
        <v>5</v>
      </c>
      <c r="N183" s="222" t="s">
        <v>447</v>
      </c>
      <c r="O183" s="222" t="s">
        <v>2026</v>
      </c>
      <c r="P183" s="824">
        <v>765</v>
      </c>
      <c r="Q183" s="824">
        <v>9.4627499999999998</v>
      </c>
      <c r="R183" s="824">
        <v>30.437419999999999</v>
      </c>
      <c r="S183" s="824">
        <v>5.51701</v>
      </c>
      <c r="T183" s="824">
        <v>21</v>
      </c>
      <c r="U183" s="824">
        <v>1</v>
      </c>
      <c r="V183" s="824">
        <v>5</v>
      </c>
      <c r="W183" s="824">
        <v>14</v>
      </c>
      <c r="X183" s="824">
        <v>9</v>
      </c>
      <c r="Y183" s="824">
        <v>5</v>
      </c>
      <c r="Z183" s="480" t="str">
        <f t="shared" si="2"/>
        <v/>
      </c>
    </row>
    <row r="184" spans="1:26">
      <c r="A184" s="825" t="s">
        <v>448</v>
      </c>
      <c r="B184" s="826">
        <v>7253</v>
      </c>
      <c r="C184" s="827"/>
      <c r="D184" s="828">
        <v>9.3339300000000005</v>
      </c>
      <c r="E184" s="828">
        <v>5.6697499999999996</v>
      </c>
      <c r="F184" s="828">
        <v>32.146059999999999</v>
      </c>
      <c r="G184" s="828">
        <v>22</v>
      </c>
      <c r="H184" s="828">
        <v>1</v>
      </c>
      <c r="I184" s="828">
        <v>5</v>
      </c>
      <c r="J184" s="828">
        <v>14</v>
      </c>
      <c r="K184" s="828">
        <v>8</v>
      </c>
      <c r="L184" s="828">
        <v>4</v>
      </c>
      <c r="N184" s="222" t="s">
        <v>448</v>
      </c>
      <c r="O184" s="222" t="s">
        <v>2027</v>
      </c>
      <c r="P184" s="824">
        <v>7253</v>
      </c>
      <c r="Q184" s="824">
        <v>9.3339300000000005</v>
      </c>
      <c r="R184" s="824">
        <v>32.146059999999999</v>
      </c>
      <c r="S184" s="824">
        <v>5.6697499999999996</v>
      </c>
      <c r="T184" s="824">
        <v>22</v>
      </c>
      <c r="U184" s="824">
        <v>1</v>
      </c>
      <c r="V184" s="824">
        <v>5</v>
      </c>
      <c r="W184" s="824">
        <v>14</v>
      </c>
      <c r="X184" s="824">
        <v>8</v>
      </c>
      <c r="Y184" s="824">
        <v>4</v>
      </c>
      <c r="Z184" s="480" t="str">
        <f t="shared" si="2"/>
        <v/>
      </c>
    </row>
    <row r="185" spans="1:26">
      <c r="A185" s="825" t="s">
        <v>449</v>
      </c>
      <c r="B185" s="826">
        <v>3419</v>
      </c>
      <c r="C185" s="827"/>
      <c r="D185" s="828">
        <v>10.794090000000001</v>
      </c>
      <c r="E185" s="828">
        <v>6.85555</v>
      </c>
      <c r="F185" s="828">
        <v>46.998550000000002</v>
      </c>
      <c r="G185" s="828">
        <v>25</v>
      </c>
      <c r="H185" s="828">
        <v>1</v>
      </c>
      <c r="I185" s="828">
        <v>5</v>
      </c>
      <c r="J185" s="828">
        <v>16</v>
      </c>
      <c r="K185" s="828">
        <v>10</v>
      </c>
      <c r="L185" s="828">
        <v>2</v>
      </c>
      <c r="N185" s="222" t="s">
        <v>449</v>
      </c>
      <c r="O185" s="222" t="s">
        <v>2028</v>
      </c>
      <c r="P185" s="824">
        <v>3419</v>
      </c>
      <c r="Q185" s="824">
        <v>10.794090000000001</v>
      </c>
      <c r="R185" s="824">
        <v>46.998550000000002</v>
      </c>
      <c r="S185" s="824">
        <v>6.85555</v>
      </c>
      <c r="T185" s="824">
        <v>25</v>
      </c>
      <c r="U185" s="824">
        <v>1</v>
      </c>
      <c r="V185" s="824">
        <v>5</v>
      </c>
      <c r="W185" s="824">
        <v>16</v>
      </c>
      <c r="X185" s="824">
        <v>10</v>
      </c>
      <c r="Y185" s="824">
        <v>2</v>
      </c>
      <c r="Z185" s="480" t="str">
        <f t="shared" si="2"/>
        <v/>
      </c>
    </row>
    <row r="186" spans="1:26">
      <c r="A186" s="825" t="s">
        <v>450</v>
      </c>
      <c r="B186" s="826">
        <v>1259</v>
      </c>
      <c r="C186" s="827"/>
      <c r="D186" s="828">
        <v>9.3558400000000006</v>
      </c>
      <c r="E186" s="828">
        <v>5.4031900000000004</v>
      </c>
      <c r="F186" s="828">
        <v>29.194420000000001</v>
      </c>
      <c r="G186" s="828">
        <v>21</v>
      </c>
      <c r="H186" s="828">
        <v>1</v>
      </c>
      <c r="I186" s="828">
        <v>5</v>
      </c>
      <c r="J186" s="828">
        <v>14</v>
      </c>
      <c r="K186" s="828">
        <v>9</v>
      </c>
      <c r="L186" s="828">
        <v>3</v>
      </c>
      <c r="N186" s="222" t="s">
        <v>450</v>
      </c>
      <c r="O186" s="222" t="s">
        <v>451</v>
      </c>
      <c r="P186" s="824">
        <v>1259</v>
      </c>
      <c r="Q186" s="824">
        <v>9.3558400000000006</v>
      </c>
      <c r="R186" s="824">
        <v>29.194420000000001</v>
      </c>
      <c r="S186" s="824">
        <v>5.4031900000000004</v>
      </c>
      <c r="T186" s="824">
        <v>21</v>
      </c>
      <c r="U186" s="824">
        <v>1</v>
      </c>
      <c r="V186" s="824">
        <v>5</v>
      </c>
      <c r="W186" s="824">
        <v>14</v>
      </c>
      <c r="X186" s="824">
        <v>9</v>
      </c>
      <c r="Y186" s="824">
        <v>3</v>
      </c>
      <c r="Z186" s="480" t="str">
        <f t="shared" si="2"/>
        <v/>
      </c>
    </row>
    <row r="187" spans="1:26">
      <c r="A187" s="825" t="s">
        <v>452</v>
      </c>
      <c r="B187" s="826">
        <v>17248</v>
      </c>
      <c r="C187" s="827"/>
      <c r="D187" s="828">
        <v>10.24014</v>
      </c>
      <c r="E187" s="828">
        <v>6.8579699999999999</v>
      </c>
      <c r="F187" s="828">
        <v>47.031790000000001</v>
      </c>
      <c r="G187" s="828">
        <v>26</v>
      </c>
      <c r="H187" s="828">
        <v>1</v>
      </c>
      <c r="I187" s="828">
        <v>4</v>
      </c>
      <c r="J187" s="828">
        <v>15</v>
      </c>
      <c r="K187" s="828">
        <v>9</v>
      </c>
      <c r="L187" s="828">
        <v>3</v>
      </c>
      <c r="N187" s="222" t="s">
        <v>452</v>
      </c>
      <c r="O187" s="222" t="s">
        <v>2029</v>
      </c>
      <c r="P187" s="824">
        <v>17248</v>
      </c>
      <c r="Q187" s="824">
        <v>10.24014</v>
      </c>
      <c r="R187" s="824">
        <v>47.031790000000001</v>
      </c>
      <c r="S187" s="824">
        <v>6.8579699999999999</v>
      </c>
      <c r="T187" s="824">
        <v>26</v>
      </c>
      <c r="U187" s="824">
        <v>1</v>
      </c>
      <c r="V187" s="824">
        <v>4</v>
      </c>
      <c r="W187" s="824">
        <v>15</v>
      </c>
      <c r="X187" s="824">
        <v>9</v>
      </c>
      <c r="Y187" s="824">
        <v>3</v>
      </c>
      <c r="Z187" s="480" t="str">
        <f t="shared" si="2"/>
        <v/>
      </c>
    </row>
    <row r="188" spans="1:26">
      <c r="A188" s="825" t="s">
        <v>453</v>
      </c>
      <c r="B188" s="826">
        <v>22267</v>
      </c>
      <c r="C188" s="827"/>
      <c r="D188" s="828">
        <v>9.3350200000000001</v>
      </c>
      <c r="E188" s="828">
        <v>6.2418300000000002</v>
      </c>
      <c r="F188" s="828">
        <v>38.960419999999999</v>
      </c>
      <c r="G188" s="828">
        <v>24</v>
      </c>
      <c r="H188" s="828">
        <v>1</v>
      </c>
      <c r="I188" s="828">
        <v>4</v>
      </c>
      <c r="J188" s="828">
        <v>14</v>
      </c>
      <c r="K188" s="828">
        <v>8</v>
      </c>
      <c r="L188" s="828">
        <v>3</v>
      </c>
      <c r="N188" s="222" t="s">
        <v>453</v>
      </c>
      <c r="O188" s="222" t="s">
        <v>2030</v>
      </c>
      <c r="P188" s="824">
        <v>22267</v>
      </c>
      <c r="Q188" s="824">
        <v>9.3350200000000001</v>
      </c>
      <c r="R188" s="824">
        <v>38.960419999999999</v>
      </c>
      <c r="S188" s="824">
        <v>6.2418300000000002</v>
      </c>
      <c r="T188" s="824">
        <v>24</v>
      </c>
      <c r="U188" s="824">
        <v>1</v>
      </c>
      <c r="V188" s="824">
        <v>4</v>
      </c>
      <c r="W188" s="824">
        <v>14</v>
      </c>
      <c r="X188" s="824">
        <v>8</v>
      </c>
      <c r="Y188" s="824">
        <v>3</v>
      </c>
      <c r="Z188" s="480" t="str">
        <f t="shared" si="2"/>
        <v/>
      </c>
    </row>
    <row r="189" spans="1:26">
      <c r="A189" s="825" t="s">
        <v>454</v>
      </c>
      <c r="B189" s="826">
        <v>11903</v>
      </c>
      <c r="C189" s="827"/>
      <c r="D189" s="828">
        <v>10.503909999999999</v>
      </c>
      <c r="E189" s="828">
        <v>6.6808899999999998</v>
      </c>
      <c r="F189" s="828">
        <v>44.634309999999999</v>
      </c>
      <c r="G189" s="828">
        <v>25</v>
      </c>
      <c r="H189" s="828">
        <v>1</v>
      </c>
      <c r="I189" s="828">
        <v>5</v>
      </c>
      <c r="J189" s="828">
        <v>15</v>
      </c>
      <c r="K189" s="828">
        <v>9</v>
      </c>
      <c r="L189" s="828">
        <v>3</v>
      </c>
      <c r="N189" s="222" t="s">
        <v>454</v>
      </c>
      <c r="O189" s="222" t="s">
        <v>455</v>
      </c>
      <c r="P189" s="824">
        <v>11903</v>
      </c>
      <c r="Q189" s="824">
        <v>10.503909999999999</v>
      </c>
      <c r="R189" s="824">
        <v>44.634309999999999</v>
      </c>
      <c r="S189" s="824">
        <v>6.6808899999999998</v>
      </c>
      <c r="T189" s="824">
        <v>25</v>
      </c>
      <c r="U189" s="824">
        <v>1</v>
      </c>
      <c r="V189" s="824">
        <v>5</v>
      </c>
      <c r="W189" s="824">
        <v>15</v>
      </c>
      <c r="X189" s="824">
        <v>9</v>
      </c>
      <c r="Y189" s="824">
        <v>3</v>
      </c>
      <c r="Z189" s="480" t="str">
        <f t="shared" si="2"/>
        <v/>
      </c>
    </row>
    <row r="190" spans="1:26">
      <c r="A190" s="825" t="s">
        <v>456</v>
      </c>
      <c r="B190" s="826">
        <v>1411</v>
      </c>
      <c r="C190" s="827"/>
      <c r="D190" s="828">
        <v>11.357189999999999</v>
      </c>
      <c r="E190" s="828">
        <v>6.75488</v>
      </c>
      <c r="F190" s="828">
        <v>45.628349999999998</v>
      </c>
      <c r="G190" s="828">
        <v>26</v>
      </c>
      <c r="H190" s="828">
        <v>1</v>
      </c>
      <c r="I190" s="828">
        <v>6</v>
      </c>
      <c r="J190" s="828">
        <v>16</v>
      </c>
      <c r="K190" s="828">
        <v>10</v>
      </c>
      <c r="L190" s="828">
        <v>4</v>
      </c>
      <c r="N190" s="222" t="s">
        <v>456</v>
      </c>
      <c r="O190" s="222" t="s">
        <v>2031</v>
      </c>
      <c r="P190" s="824">
        <v>1411</v>
      </c>
      <c r="Q190" s="824">
        <v>11.357189999999999</v>
      </c>
      <c r="R190" s="824">
        <v>45.628349999999998</v>
      </c>
      <c r="S190" s="824">
        <v>6.75488</v>
      </c>
      <c r="T190" s="824">
        <v>26</v>
      </c>
      <c r="U190" s="824">
        <v>1</v>
      </c>
      <c r="V190" s="824">
        <v>6</v>
      </c>
      <c r="W190" s="824">
        <v>16</v>
      </c>
      <c r="X190" s="824">
        <v>10</v>
      </c>
      <c r="Y190" s="824">
        <v>4</v>
      </c>
      <c r="Z190" s="480" t="str">
        <f t="shared" si="2"/>
        <v/>
      </c>
    </row>
    <row r="191" spans="1:26">
      <c r="A191" s="825" t="s">
        <v>457</v>
      </c>
      <c r="B191" s="826">
        <v>38635</v>
      </c>
      <c r="C191" s="827"/>
      <c r="D191" s="828">
        <v>8.94</v>
      </c>
      <c r="E191" s="828">
        <v>6.1511399999999998</v>
      </c>
      <c r="F191" s="828">
        <v>37.836539999999999</v>
      </c>
      <c r="G191" s="828">
        <v>23</v>
      </c>
      <c r="H191" s="828">
        <v>1</v>
      </c>
      <c r="I191" s="828">
        <v>4</v>
      </c>
      <c r="J191" s="828">
        <v>13</v>
      </c>
      <c r="K191" s="828">
        <v>7</v>
      </c>
      <c r="L191" s="828">
        <v>2</v>
      </c>
      <c r="N191" s="222" t="s">
        <v>457</v>
      </c>
      <c r="O191" s="222" t="s">
        <v>458</v>
      </c>
      <c r="P191" s="824">
        <v>38635</v>
      </c>
      <c r="Q191" s="824">
        <v>8.94</v>
      </c>
      <c r="R191" s="824">
        <v>37.836539999999999</v>
      </c>
      <c r="S191" s="824">
        <v>6.1511399999999998</v>
      </c>
      <c r="T191" s="824">
        <v>23</v>
      </c>
      <c r="U191" s="824">
        <v>1</v>
      </c>
      <c r="V191" s="824">
        <v>4</v>
      </c>
      <c r="W191" s="824">
        <v>13</v>
      </c>
      <c r="X191" s="824">
        <v>7</v>
      </c>
      <c r="Y191" s="824">
        <v>2</v>
      </c>
      <c r="Z191" s="480" t="str">
        <f t="shared" si="2"/>
        <v/>
      </c>
    </row>
    <row r="192" spans="1:26">
      <c r="A192" s="825" t="s">
        <v>459</v>
      </c>
      <c r="B192" s="826">
        <v>20889</v>
      </c>
      <c r="C192" s="827"/>
      <c r="D192" s="828">
        <v>8.8351799999999994</v>
      </c>
      <c r="E192" s="828">
        <v>5.7389599999999996</v>
      </c>
      <c r="F192" s="828">
        <v>32.935630000000003</v>
      </c>
      <c r="G192" s="828">
        <v>22</v>
      </c>
      <c r="H192" s="828">
        <v>1</v>
      </c>
      <c r="I192" s="828">
        <v>4</v>
      </c>
      <c r="J192" s="828">
        <v>13</v>
      </c>
      <c r="K192" s="828">
        <v>8</v>
      </c>
      <c r="L192" s="828">
        <v>2</v>
      </c>
      <c r="N192" s="222" t="s">
        <v>459</v>
      </c>
      <c r="O192" s="222" t="s">
        <v>460</v>
      </c>
      <c r="P192" s="824">
        <v>20889</v>
      </c>
      <c r="Q192" s="824">
        <v>8.8351799999999994</v>
      </c>
      <c r="R192" s="824">
        <v>32.935630000000003</v>
      </c>
      <c r="S192" s="824">
        <v>5.7389599999999996</v>
      </c>
      <c r="T192" s="824">
        <v>22</v>
      </c>
      <c r="U192" s="824">
        <v>1</v>
      </c>
      <c r="V192" s="824">
        <v>4</v>
      </c>
      <c r="W192" s="824">
        <v>13</v>
      </c>
      <c r="X192" s="824">
        <v>8</v>
      </c>
      <c r="Y192" s="824">
        <v>2</v>
      </c>
      <c r="Z192" s="480" t="str">
        <f t="shared" si="2"/>
        <v/>
      </c>
    </row>
    <row r="193" spans="1:26">
      <c r="A193" s="825" t="s">
        <v>461</v>
      </c>
      <c r="B193" s="826">
        <v>51251</v>
      </c>
      <c r="C193" s="827"/>
      <c r="D193" s="828">
        <v>8.4860399999999991</v>
      </c>
      <c r="E193" s="828">
        <v>5.7012099999999997</v>
      </c>
      <c r="F193" s="828">
        <v>32.503819999999997</v>
      </c>
      <c r="G193" s="828">
        <v>22</v>
      </c>
      <c r="H193" s="828">
        <v>1</v>
      </c>
      <c r="I193" s="828">
        <v>4</v>
      </c>
      <c r="J193" s="828">
        <v>12</v>
      </c>
      <c r="K193" s="828">
        <v>7</v>
      </c>
      <c r="L193" s="828">
        <v>2</v>
      </c>
      <c r="N193" s="222" t="s">
        <v>461</v>
      </c>
      <c r="O193" s="222" t="s">
        <v>462</v>
      </c>
      <c r="P193" s="824">
        <v>51251</v>
      </c>
      <c r="Q193" s="824">
        <v>8.4860399999999991</v>
      </c>
      <c r="R193" s="824">
        <v>32.503819999999997</v>
      </c>
      <c r="S193" s="824">
        <v>5.7012099999999997</v>
      </c>
      <c r="T193" s="824">
        <v>22</v>
      </c>
      <c r="U193" s="824">
        <v>1</v>
      </c>
      <c r="V193" s="824">
        <v>4</v>
      </c>
      <c r="W193" s="824">
        <v>12</v>
      </c>
      <c r="X193" s="824">
        <v>7</v>
      </c>
      <c r="Y193" s="824">
        <v>2</v>
      </c>
      <c r="Z193" s="480" t="str">
        <f t="shared" si="2"/>
        <v/>
      </c>
    </row>
    <row r="194" spans="1:26">
      <c r="A194" s="825" t="s">
        <v>463</v>
      </c>
      <c r="B194" s="826">
        <v>77189</v>
      </c>
      <c r="C194" s="827"/>
      <c r="D194" s="828">
        <v>7.5811799999999998</v>
      </c>
      <c r="E194" s="828">
        <v>5.1477199999999996</v>
      </c>
      <c r="F194" s="828">
        <v>26.49905</v>
      </c>
      <c r="G194" s="828">
        <v>20</v>
      </c>
      <c r="H194" s="828">
        <v>1</v>
      </c>
      <c r="I194" s="828">
        <v>3</v>
      </c>
      <c r="J194" s="828">
        <v>11</v>
      </c>
      <c r="K194" s="828">
        <v>6</v>
      </c>
      <c r="L194" s="828">
        <v>2</v>
      </c>
      <c r="N194" s="222" t="s">
        <v>463</v>
      </c>
      <c r="O194" s="222" t="s">
        <v>2032</v>
      </c>
      <c r="P194" s="824">
        <v>77189</v>
      </c>
      <c r="Q194" s="824">
        <v>7.5811799999999998</v>
      </c>
      <c r="R194" s="824">
        <v>26.49905</v>
      </c>
      <c r="S194" s="824">
        <v>5.1477199999999996</v>
      </c>
      <c r="T194" s="824">
        <v>20</v>
      </c>
      <c r="U194" s="824">
        <v>1</v>
      </c>
      <c r="V194" s="824">
        <v>3</v>
      </c>
      <c r="W194" s="824">
        <v>11</v>
      </c>
      <c r="X194" s="824">
        <v>6</v>
      </c>
      <c r="Y194" s="824">
        <v>2</v>
      </c>
      <c r="Z194" s="480" t="str">
        <f t="shared" si="2"/>
        <v/>
      </c>
    </row>
    <row r="195" spans="1:26">
      <c r="A195" s="825" t="s">
        <v>464</v>
      </c>
      <c r="B195" s="826">
        <v>16666</v>
      </c>
      <c r="C195" s="827"/>
      <c r="D195" s="828">
        <v>8.26065</v>
      </c>
      <c r="E195" s="828">
        <v>5.4919399999999996</v>
      </c>
      <c r="F195" s="828">
        <v>30.1614</v>
      </c>
      <c r="G195" s="828">
        <v>21</v>
      </c>
      <c r="H195" s="828">
        <v>1</v>
      </c>
      <c r="I195" s="828">
        <v>4</v>
      </c>
      <c r="J195" s="828">
        <v>12</v>
      </c>
      <c r="K195" s="828">
        <v>7</v>
      </c>
      <c r="L195" s="828">
        <v>2</v>
      </c>
      <c r="N195" s="222" t="s">
        <v>464</v>
      </c>
      <c r="O195" s="222" t="s">
        <v>2033</v>
      </c>
      <c r="P195" s="824">
        <v>16666</v>
      </c>
      <c r="Q195" s="824">
        <v>8.26065</v>
      </c>
      <c r="R195" s="824">
        <v>30.1614</v>
      </c>
      <c r="S195" s="824">
        <v>5.4919399999999996</v>
      </c>
      <c r="T195" s="824">
        <v>21</v>
      </c>
      <c r="U195" s="824">
        <v>1</v>
      </c>
      <c r="V195" s="824">
        <v>4</v>
      </c>
      <c r="W195" s="824">
        <v>12</v>
      </c>
      <c r="X195" s="824">
        <v>7</v>
      </c>
      <c r="Y195" s="824">
        <v>2</v>
      </c>
      <c r="Z195" s="480" t="str">
        <f t="shared" si="2"/>
        <v/>
      </c>
    </row>
    <row r="196" spans="1:26">
      <c r="A196" s="825" t="s">
        <v>465</v>
      </c>
      <c r="B196" s="826">
        <v>720</v>
      </c>
      <c r="C196" s="827"/>
      <c r="D196" s="828">
        <v>12.60417</v>
      </c>
      <c r="E196" s="828">
        <v>7.8039399999999999</v>
      </c>
      <c r="F196" s="828">
        <v>60.901510000000002</v>
      </c>
      <c r="G196" s="828">
        <v>28</v>
      </c>
      <c r="H196" s="828">
        <v>1</v>
      </c>
      <c r="I196" s="828">
        <v>6</v>
      </c>
      <c r="J196" s="828">
        <v>19</v>
      </c>
      <c r="K196" s="828">
        <v>12</v>
      </c>
      <c r="L196" s="828">
        <v>2</v>
      </c>
      <c r="N196" s="222" t="s">
        <v>465</v>
      </c>
      <c r="O196" s="222" t="s">
        <v>466</v>
      </c>
      <c r="P196" s="824">
        <v>720</v>
      </c>
      <c r="Q196" s="824">
        <v>12.60417</v>
      </c>
      <c r="R196" s="824">
        <v>60.901510000000002</v>
      </c>
      <c r="S196" s="824">
        <v>7.8039399999999999</v>
      </c>
      <c r="T196" s="824">
        <v>28</v>
      </c>
      <c r="U196" s="824">
        <v>1</v>
      </c>
      <c r="V196" s="824">
        <v>6</v>
      </c>
      <c r="W196" s="824">
        <v>19</v>
      </c>
      <c r="X196" s="824">
        <v>12</v>
      </c>
      <c r="Y196" s="824">
        <v>2</v>
      </c>
      <c r="Z196" s="480" t="str">
        <f t="shared" ref="Z196:Z259" si="3">IF(AND(A196=N196,B196=P196,D196=Q196,E196=S196,F196=R196,G196=T196,H196=U196,I196=V196,J196=W196,K196,X196,L196=Y196),"","x")</f>
        <v/>
      </c>
    </row>
    <row r="197" spans="1:26">
      <c r="A197" s="825" t="s">
        <v>467</v>
      </c>
      <c r="B197" s="826">
        <v>52060</v>
      </c>
      <c r="C197" s="827"/>
      <c r="D197" s="828">
        <v>7.99214</v>
      </c>
      <c r="E197" s="828">
        <v>5.3839499999999996</v>
      </c>
      <c r="F197" s="828">
        <v>28.98695</v>
      </c>
      <c r="G197" s="828">
        <v>21</v>
      </c>
      <c r="H197" s="828">
        <v>1</v>
      </c>
      <c r="I197" s="828">
        <v>3</v>
      </c>
      <c r="J197" s="828">
        <v>12</v>
      </c>
      <c r="K197" s="828">
        <v>7</v>
      </c>
      <c r="L197" s="828">
        <v>2</v>
      </c>
      <c r="N197" s="222" t="s">
        <v>467</v>
      </c>
      <c r="O197" s="222" t="s">
        <v>468</v>
      </c>
      <c r="P197" s="824">
        <v>52060</v>
      </c>
      <c r="Q197" s="824">
        <v>7.99214</v>
      </c>
      <c r="R197" s="824">
        <v>28.98695</v>
      </c>
      <c r="S197" s="824">
        <v>5.3839499999999996</v>
      </c>
      <c r="T197" s="824">
        <v>21</v>
      </c>
      <c r="U197" s="824">
        <v>1</v>
      </c>
      <c r="V197" s="824">
        <v>3</v>
      </c>
      <c r="W197" s="824">
        <v>12</v>
      </c>
      <c r="X197" s="824">
        <v>7</v>
      </c>
      <c r="Y197" s="824">
        <v>2</v>
      </c>
      <c r="Z197" s="480" t="str">
        <f t="shared" si="3"/>
        <v/>
      </c>
    </row>
    <row r="198" spans="1:26">
      <c r="A198" s="825" t="s">
        <v>469</v>
      </c>
      <c r="B198" s="826">
        <v>42479</v>
      </c>
      <c r="C198" s="827"/>
      <c r="D198" s="828">
        <v>10.372909999999999</v>
      </c>
      <c r="E198" s="828">
        <v>6.7218099999999996</v>
      </c>
      <c r="F198" s="828">
        <v>45.182679999999998</v>
      </c>
      <c r="G198" s="828">
        <v>25</v>
      </c>
      <c r="H198" s="828">
        <v>1</v>
      </c>
      <c r="I198" s="828">
        <v>5</v>
      </c>
      <c r="J198" s="828">
        <v>15</v>
      </c>
      <c r="K198" s="828">
        <v>9</v>
      </c>
      <c r="L198" s="828">
        <v>2</v>
      </c>
      <c r="N198" s="222" t="s">
        <v>469</v>
      </c>
      <c r="O198" s="222" t="s">
        <v>470</v>
      </c>
      <c r="P198" s="824">
        <v>42479</v>
      </c>
      <c r="Q198" s="824">
        <v>10.372909999999999</v>
      </c>
      <c r="R198" s="824">
        <v>45.182679999999998</v>
      </c>
      <c r="S198" s="824">
        <v>6.7218099999999996</v>
      </c>
      <c r="T198" s="824">
        <v>25</v>
      </c>
      <c r="U198" s="824">
        <v>1</v>
      </c>
      <c r="V198" s="824">
        <v>5</v>
      </c>
      <c r="W198" s="824">
        <v>15</v>
      </c>
      <c r="X198" s="824">
        <v>9</v>
      </c>
      <c r="Y198" s="824">
        <v>2</v>
      </c>
      <c r="Z198" s="480" t="str">
        <f t="shared" si="3"/>
        <v/>
      </c>
    </row>
    <row r="199" spans="1:26">
      <c r="A199" s="825" t="s">
        <v>471</v>
      </c>
      <c r="B199" s="826">
        <v>40419</v>
      </c>
      <c r="C199" s="827"/>
      <c r="D199" s="828">
        <v>10.113810000000001</v>
      </c>
      <c r="E199" s="828">
        <v>8.5249299999999995</v>
      </c>
      <c r="F199" s="828">
        <v>72.674459999999996</v>
      </c>
      <c r="G199" s="828">
        <v>60</v>
      </c>
      <c r="H199" s="828">
        <v>1</v>
      </c>
      <c r="I199" s="828">
        <v>4</v>
      </c>
      <c r="J199" s="828">
        <v>14</v>
      </c>
      <c r="K199" s="828">
        <v>8</v>
      </c>
      <c r="L199" s="828">
        <v>2</v>
      </c>
      <c r="N199" s="222" t="s">
        <v>471</v>
      </c>
      <c r="O199" s="222" t="s">
        <v>2034</v>
      </c>
      <c r="P199" s="824">
        <v>40419</v>
      </c>
      <c r="Q199" s="824">
        <v>10.113810000000001</v>
      </c>
      <c r="R199" s="824">
        <v>72.674459999999996</v>
      </c>
      <c r="S199" s="824">
        <v>8.5249299999999995</v>
      </c>
      <c r="T199" s="824">
        <v>60</v>
      </c>
      <c r="U199" s="824">
        <v>1</v>
      </c>
      <c r="V199" s="824">
        <v>4</v>
      </c>
      <c r="W199" s="824">
        <v>14</v>
      </c>
      <c r="X199" s="824">
        <v>8</v>
      </c>
      <c r="Y199" s="824">
        <v>2</v>
      </c>
      <c r="Z199" s="480" t="str">
        <f t="shared" si="3"/>
        <v/>
      </c>
    </row>
    <row r="200" spans="1:26">
      <c r="A200" s="825" t="s">
        <v>472</v>
      </c>
      <c r="B200" s="826">
        <v>165727</v>
      </c>
      <c r="C200" s="827"/>
      <c r="D200" s="828">
        <v>7.5859800000000002</v>
      </c>
      <c r="E200" s="828">
        <v>5.1440200000000003</v>
      </c>
      <c r="F200" s="828">
        <v>26.460909999999998</v>
      </c>
      <c r="G200" s="828">
        <v>20</v>
      </c>
      <c r="H200" s="828">
        <v>1</v>
      </c>
      <c r="I200" s="828">
        <v>3</v>
      </c>
      <c r="J200" s="828">
        <v>11</v>
      </c>
      <c r="K200" s="828">
        <v>6</v>
      </c>
      <c r="L200" s="828">
        <v>2</v>
      </c>
      <c r="N200" s="222" t="s">
        <v>472</v>
      </c>
      <c r="O200" s="222" t="s">
        <v>473</v>
      </c>
      <c r="P200" s="824">
        <v>165727</v>
      </c>
      <c r="Q200" s="824">
        <v>7.5859800000000002</v>
      </c>
      <c r="R200" s="824">
        <v>26.460909999999998</v>
      </c>
      <c r="S200" s="824">
        <v>5.1440200000000003</v>
      </c>
      <c r="T200" s="824">
        <v>20</v>
      </c>
      <c r="U200" s="824">
        <v>1</v>
      </c>
      <c r="V200" s="824">
        <v>3</v>
      </c>
      <c r="W200" s="824">
        <v>11</v>
      </c>
      <c r="X200" s="824">
        <v>6</v>
      </c>
      <c r="Y200" s="824">
        <v>2</v>
      </c>
      <c r="Z200" s="480" t="str">
        <f t="shared" si="3"/>
        <v/>
      </c>
    </row>
    <row r="201" spans="1:26">
      <c r="A201" s="825" t="s">
        <v>474</v>
      </c>
      <c r="B201" s="826">
        <v>15013</v>
      </c>
      <c r="C201" s="827"/>
      <c r="D201" s="828">
        <v>11.027839999999999</v>
      </c>
      <c r="E201" s="828">
        <v>7.21631</v>
      </c>
      <c r="F201" s="828">
        <v>52.075159999999997</v>
      </c>
      <c r="G201" s="828">
        <v>27</v>
      </c>
      <c r="H201" s="828">
        <v>1</v>
      </c>
      <c r="I201" s="828">
        <v>5</v>
      </c>
      <c r="J201" s="828">
        <v>16</v>
      </c>
      <c r="K201" s="828">
        <v>10</v>
      </c>
      <c r="L201" s="828">
        <v>3</v>
      </c>
      <c r="N201" s="222" t="s">
        <v>474</v>
      </c>
      <c r="O201" s="222" t="s">
        <v>475</v>
      </c>
      <c r="P201" s="824">
        <v>15013</v>
      </c>
      <c r="Q201" s="824">
        <v>11.027839999999999</v>
      </c>
      <c r="R201" s="824">
        <v>52.075159999999997</v>
      </c>
      <c r="S201" s="824">
        <v>7.21631</v>
      </c>
      <c r="T201" s="824">
        <v>27</v>
      </c>
      <c r="U201" s="824">
        <v>1</v>
      </c>
      <c r="V201" s="824">
        <v>5</v>
      </c>
      <c r="W201" s="824">
        <v>16</v>
      </c>
      <c r="X201" s="824">
        <v>10</v>
      </c>
      <c r="Y201" s="824">
        <v>3</v>
      </c>
      <c r="Z201" s="480" t="str">
        <f t="shared" si="3"/>
        <v/>
      </c>
    </row>
    <row r="202" spans="1:26">
      <c r="A202" s="825" t="s">
        <v>476</v>
      </c>
      <c r="B202" s="826">
        <v>61194</v>
      </c>
      <c r="C202" s="827"/>
      <c r="D202" s="828">
        <v>10.66122</v>
      </c>
      <c r="E202" s="828">
        <v>9.1034100000000002</v>
      </c>
      <c r="F202" s="828">
        <v>82.872159999999994</v>
      </c>
      <c r="G202" s="828">
        <v>115</v>
      </c>
      <c r="H202" s="828">
        <v>1</v>
      </c>
      <c r="I202" s="828">
        <v>4</v>
      </c>
      <c r="J202" s="828">
        <v>15</v>
      </c>
      <c r="K202" s="828">
        <v>8</v>
      </c>
      <c r="L202" s="828">
        <v>2</v>
      </c>
      <c r="N202" s="222" t="s">
        <v>476</v>
      </c>
      <c r="O202" s="222" t="s">
        <v>2035</v>
      </c>
      <c r="P202" s="824">
        <v>61194</v>
      </c>
      <c r="Q202" s="824">
        <v>10.66122</v>
      </c>
      <c r="R202" s="824">
        <v>82.872159999999994</v>
      </c>
      <c r="S202" s="824">
        <v>9.1034100000000002</v>
      </c>
      <c r="T202" s="824">
        <v>115</v>
      </c>
      <c r="U202" s="824">
        <v>1</v>
      </c>
      <c r="V202" s="824">
        <v>4</v>
      </c>
      <c r="W202" s="824">
        <v>15</v>
      </c>
      <c r="X202" s="824">
        <v>8</v>
      </c>
      <c r="Y202" s="824">
        <v>2</v>
      </c>
      <c r="Z202" s="480" t="str">
        <f t="shared" si="3"/>
        <v/>
      </c>
    </row>
    <row r="203" spans="1:26">
      <c r="A203" s="825" t="s">
        <v>477</v>
      </c>
      <c r="B203" s="826">
        <v>1598</v>
      </c>
      <c r="C203" s="827"/>
      <c r="D203" s="828">
        <v>11.47622</v>
      </c>
      <c r="E203" s="828">
        <v>6.55159</v>
      </c>
      <c r="F203" s="828">
        <v>42.923349999999999</v>
      </c>
      <c r="G203" s="828">
        <v>25</v>
      </c>
      <c r="H203" s="828">
        <v>1</v>
      </c>
      <c r="I203" s="828">
        <v>6</v>
      </c>
      <c r="J203" s="828">
        <v>17</v>
      </c>
      <c r="K203" s="828">
        <v>11</v>
      </c>
      <c r="L203" s="828">
        <v>5</v>
      </c>
      <c r="N203" s="222" t="s">
        <v>477</v>
      </c>
      <c r="O203" s="222" t="s">
        <v>478</v>
      </c>
      <c r="P203" s="824">
        <v>1598</v>
      </c>
      <c r="Q203" s="824">
        <v>11.47622</v>
      </c>
      <c r="R203" s="824">
        <v>42.923349999999999</v>
      </c>
      <c r="S203" s="824">
        <v>6.55159</v>
      </c>
      <c r="T203" s="824">
        <v>25</v>
      </c>
      <c r="U203" s="824">
        <v>1</v>
      </c>
      <c r="V203" s="824">
        <v>6</v>
      </c>
      <c r="W203" s="824">
        <v>17</v>
      </c>
      <c r="X203" s="824">
        <v>11</v>
      </c>
      <c r="Y203" s="824">
        <v>5</v>
      </c>
      <c r="Z203" s="480" t="str">
        <f t="shared" si="3"/>
        <v/>
      </c>
    </row>
    <row r="204" spans="1:26">
      <c r="A204" s="825" t="s">
        <v>479</v>
      </c>
      <c r="B204" s="826">
        <v>22401</v>
      </c>
      <c r="C204" s="827"/>
      <c r="D204" s="828">
        <v>8.7749699999999997</v>
      </c>
      <c r="E204" s="828">
        <v>7.4671700000000003</v>
      </c>
      <c r="F204" s="828">
        <v>55.758690000000001</v>
      </c>
      <c r="G204" s="828">
        <v>97</v>
      </c>
      <c r="H204" s="828">
        <v>1</v>
      </c>
      <c r="I204" s="828">
        <v>3</v>
      </c>
      <c r="J204" s="828">
        <v>12</v>
      </c>
      <c r="K204" s="828">
        <v>7</v>
      </c>
      <c r="L204" s="828">
        <v>2</v>
      </c>
      <c r="N204" s="222" t="s">
        <v>479</v>
      </c>
      <c r="O204" s="222" t="s">
        <v>2036</v>
      </c>
      <c r="P204" s="824">
        <v>22401</v>
      </c>
      <c r="Q204" s="824">
        <v>8.7749699999999997</v>
      </c>
      <c r="R204" s="824">
        <v>55.758690000000001</v>
      </c>
      <c r="S204" s="824">
        <v>7.4671700000000003</v>
      </c>
      <c r="T204" s="824">
        <v>97</v>
      </c>
      <c r="U204" s="824">
        <v>1</v>
      </c>
      <c r="V204" s="824">
        <v>3</v>
      </c>
      <c r="W204" s="824">
        <v>12</v>
      </c>
      <c r="X204" s="824">
        <v>7</v>
      </c>
      <c r="Y204" s="824">
        <v>2</v>
      </c>
      <c r="Z204" s="480" t="str">
        <f t="shared" si="3"/>
        <v/>
      </c>
    </row>
    <row r="205" spans="1:26">
      <c r="A205" s="825" t="s">
        <v>480</v>
      </c>
      <c r="B205" s="826">
        <v>6088</v>
      </c>
      <c r="C205" s="827"/>
      <c r="D205" s="828">
        <v>10.968629999999999</v>
      </c>
      <c r="E205" s="828">
        <v>6.6815300000000004</v>
      </c>
      <c r="F205" s="828">
        <v>44.642850000000003</v>
      </c>
      <c r="G205" s="828">
        <v>25</v>
      </c>
      <c r="H205" s="828">
        <v>1</v>
      </c>
      <c r="I205" s="828">
        <v>5</v>
      </c>
      <c r="J205" s="828">
        <v>16</v>
      </c>
      <c r="K205" s="828">
        <v>10</v>
      </c>
      <c r="L205" s="828">
        <v>3</v>
      </c>
      <c r="N205" s="222" t="s">
        <v>480</v>
      </c>
      <c r="O205" s="222" t="s">
        <v>481</v>
      </c>
      <c r="P205" s="824">
        <v>6088</v>
      </c>
      <c r="Q205" s="824">
        <v>10.968629999999999</v>
      </c>
      <c r="R205" s="824">
        <v>44.642850000000003</v>
      </c>
      <c r="S205" s="824">
        <v>6.6815300000000004</v>
      </c>
      <c r="T205" s="824">
        <v>25</v>
      </c>
      <c r="U205" s="824">
        <v>1</v>
      </c>
      <c r="V205" s="824">
        <v>5</v>
      </c>
      <c r="W205" s="824">
        <v>16</v>
      </c>
      <c r="X205" s="824">
        <v>10</v>
      </c>
      <c r="Y205" s="824">
        <v>3</v>
      </c>
      <c r="Z205" s="480" t="str">
        <f t="shared" si="3"/>
        <v/>
      </c>
    </row>
    <row r="206" spans="1:26">
      <c r="A206" s="825" t="s">
        <v>482</v>
      </c>
      <c r="B206" s="826">
        <v>1625</v>
      </c>
      <c r="C206" s="827"/>
      <c r="D206" s="828">
        <v>10.08554</v>
      </c>
      <c r="E206" s="828">
        <v>6.4333</v>
      </c>
      <c r="F206" s="828">
        <v>41.38738</v>
      </c>
      <c r="G206" s="828">
        <v>25</v>
      </c>
      <c r="H206" s="828">
        <v>1</v>
      </c>
      <c r="I206" s="828">
        <v>5</v>
      </c>
      <c r="J206" s="828">
        <v>14</v>
      </c>
      <c r="K206" s="828">
        <v>9</v>
      </c>
      <c r="L206" s="828">
        <v>5</v>
      </c>
      <c r="N206" s="222" t="s">
        <v>482</v>
      </c>
      <c r="O206" s="222" t="s">
        <v>483</v>
      </c>
      <c r="P206" s="824">
        <v>1625</v>
      </c>
      <c r="Q206" s="824">
        <v>10.08554</v>
      </c>
      <c r="R206" s="824">
        <v>41.38738</v>
      </c>
      <c r="S206" s="824">
        <v>6.4333</v>
      </c>
      <c r="T206" s="824">
        <v>25</v>
      </c>
      <c r="U206" s="824">
        <v>1</v>
      </c>
      <c r="V206" s="824">
        <v>5</v>
      </c>
      <c r="W206" s="824">
        <v>14</v>
      </c>
      <c r="X206" s="824">
        <v>9</v>
      </c>
      <c r="Y206" s="824">
        <v>5</v>
      </c>
      <c r="Z206" s="480" t="str">
        <f t="shared" si="3"/>
        <v/>
      </c>
    </row>
    <row r="207" spans="1:26">
      <c r="A207" s="825" t="s">
        <v>484</v>
      </c>
      <c r="B207" s="826">
        <v>8979</v>
      </c>
      <c r="C207" s="827"/>
      <c r="D207" s="828">
        <v>11.22541</v>
      </c>
      <c r="E207" s="828">
        <v>6.9885000000000002</v>
      </c>
      <c r="F207" s="828">
        <v>48.83914</v>
      </c>
      <c r="G207" s="828">
        <v>26</v>
      </c>
      <c r="H207" s="828">
        <v>1</v>
      </c>
      <c r="I207" s="828">
        <v>5</v>
      </c>
      <c r="J207" s="828">
        <v>17</v>
      </c>
      <c r="K207" s="828">
        <v>10</v>
      </c>
      <c r="L207" s="828">
        <v>3</v>
      </c>
      <c r="N207" s="222" t="s">
        <v>484</v>
      </c>
      <c r="O207" s="222" t="s">
        <v>485</v>
      </c>
      <c r="P207" s="824">
        <v>8979</v>
      </c>
      <c r="Q207" s="824">
        <v>11.22541</v>
      </c>
      <c r="R207" s="824">
        <v>48.83914</v>
      </c>
      <c r="S207" s="824">
        <v>6.9885000000000002</v>
      </c>
      <c r="T207" s="824">
        <v>26</v>
      </c>
      <c r="U207" s="824">
        <v>1</v>
      </c>
      <c r="V207" s="824">
        <v>5</v>
      </c>
      <c r="W207" s="824">
        <v>17</v>
      </c>
      <c r="X207" s="824">
        <v>10</v>
      </c>
      <c r="Y207" s="824">
        <v>3</v>
      </c>
      <c r="Z207" s="480" t="str">
        <f t="shared" si="3"/>
        <v/>
      </c>
    </row>
    <row r="208" spans="1:26">
      <c r="A208" s="825" t="s">
        <v>486</v>
      </c>
      <c r="B208" s="826">
        <v>3871</v>
      </c>
      <c r="C208" s="827"/>
      <c r="D208" s="828">
        <v>10.626189999999999</v>
      </c>
      <c r="E208" s="828">
        <v>6.6423199999999998</v>
      </c>
      <c r="F208" s="828">
        <v>44.120440000000002</v>
      </c>
      <c r="G208" s="828">
        <v>25</v>
      </c>
      <c r="H208" s="828">
        <v>1</v>
      </c>
      <c r="I208" s="828">
        <v>5</v>
      </c>
      <c r="J208" s="828">
        <v>16</v>
      </c>
      <c r="K208" s="828">
        <v>10</v>
      </c>
      <c r="L208" s="828">
        <v>2</v>
      </c>
      <c r="N208" s="222" t="s">
        <v>486</v>
      </c>
      <c r="O208" s="222" t="s">
        <v>487</v>
      </c>
      <c r="P208" s="824">
        <v>3871</v>
      </c>
      <c r="Q208" s="824">
        <v>10.626189999999999</v>
      </c>
      <c r="R208" s="824">
        <v>44.120440000000002</v>
      </c>
      <c r="S208" s="824">
        <v>6.6423199999999998</v>
      </c>
      <c r="T208" s="824">
        <v>25</v>
      </c>
      <c r="U208" s="824">
        <v>1</v>
      </c>
      <c r="V208" s="824">
        <v>5</v>
      </c>
      <c r="W208" s="824">
        <v>16</v>
      </c>
      <c r="X208" s="824">
        <v>10</v>
      </c>
      <c r="Y208" s="824">
        <v>2</v>
      </c>
      <c r="Z208" s="480" t="str">
        <f t="shared" si="3"/>
        <v/>
      </c>
    </row>
    <row r="209" spans="1:26">
      <c r="A209" s="825" t="s">
        <v>488</v>
      </c>
      <c r="B209" s="826">
        <v>2448</v>
      </c>
      <c r="C209" s="827"/>
      <c r="D209" s="828">
        <v>11.59967</v>
      </c>
      <c r="E209" s="828">
        <v>7.4567699999999997</v>
      </c>
      <c r="F209" s="828">
        <v>55.603470000000002</v>
      </c>
      <c r="G209" s="828">
        <v>27</v>
      </c>
      <c r="H209" s="828">
        <v>1</v>
      </c>
      <c r="I209" s="828">
        <v>5</v>
      </c>
      <c r="J209" s="828">
        <v>18</v>
      </c>
      <c r="K209" s="828">
        <v>11</v>
      </c>
      <c r="L209" s="828">
        <v>2</v>
      </c>
      <c r="N209" s="222" t="s">
        <v>488</v>
      </c>
      <c r="O209" s="222" t="s">
        <v>489</v>
      </c>
      <c r="P209" s="824">
        <v>2448</v>
      </c>
      <c r="Q209" s="824">
        <v>11.59967</v>
      </c>
      <c r="R209" s="824">
        <v>55.603470000000002</v>
      </c>
      <c r="S209" s="824">
        <v>7.4567699999999997</v>
      </c>
      <c r="T209" s="824">
        <v>27</v>
      </c>
      <c r="U209" s="824">
        <v>1</v>
      </c>
      <c r="V209" s="824">
        <v>5</v>
      </c>
      <c r="W209" s="824">
        <v>18</v>
      </c>
      <c r="X209" s="824">
        <v>11</v>
      </c>
      <c r="Y209" s="824">
        <v>2</v>
      </c>
      <c r="Z209" s="480" t="str">
        <f t="shared" si="3"/>
        <v/>
      </c>
    </row>
    <row r="210" spans="1:26">
      <c r="A210" s="825" t="s">
        <v>490</v>
      </c>
      <c r="B210" s="826">
        <v>1098</v>
      </c>
      <c r="C210" s="827"/>
      <c r="D210" s="828">
        <v>11.20947</v>
      </c>
      <c r="E210" s="828">
        <v>6.9043400000000004</v>
      </c>
      <c r="F210" s="828">
        <v>47.669849999999997</v>
      </c>
      <c r="G210" s="828">
        <v>26</v>
      </c>
      <c r="H210" s="828">
        <v>1</v>
      </c>
      <c r="I210" s="828">
        <v>5</v>
      </c>
      <c r="J210" s="828">
        <v>17</v>
      </c>
      <c r="K210" s="828">
        <v>11</v>
      </c>
      <c r="L210" s="828">
        <v>2</v>
      </c>
      <c r="N210" s="222" t="s">
        <v>490</v>
      </c>
      <c r="O210" s="222" t="s">
        <v>2037</v>
      </c>
      <c r="P210" s="824">
        <v>1098</v>
      </c>
      <c r="Q210" s="824">
        <v>11.20947</v>
      </c>
      <c r="R210" s="824">
        <v>47.669849999999997</v>
      </c>
      <c r="S210" s="824">
        <v>6.9043400000000004</v>
      </c>
      <c r="T210" s="824">
        <v>26</v>
      </c>
      <c r="U210" s="824">
        <v>1</v>
      </c>
      <c r="V210" s="824">
        <v>5</v>
      </c>
      <c r="W210" s="824">
        <v>17</v>
      </c>
      <c r="X210" s="824">
        <v>11</v>
      </c>
      <c r="Y210" s="824">
        <v>2</v>
      </c>
      <c r="Z210" s="480" t="str">
        <f t="shared" si="3"/>
        <v/>
      </c>
    </row>
    <row r="211" spans="1:26">
      <c r="A211" s="825" t="s">
        <v>491</v>
      </c>
      <c r="B211" s="826">
        <v>345</v>
      </c>
      <c r="C211" s="827"/>
      <c r="D211" s="828">
        <v>11.3971</v>
      </c>
      <c r="E211" s="828">
        <v>6.9459299999999997</v>
      </c>
      <c r="F211" s="828">
        <v>48.245919999999998</v>
      </c>
      <c r="G211" s="828">
        <v>26</v>
      </c>
      <c r="H211" s="828">
        <v>1</v>
      </c>
      <c r="I211" s="828">
        <v>5</v>
      </c>
      <c r="J211" s="828">
        <v>17</v>
      </c>
      <c r="K211" s="828">
        <v>10</v>
      </c>
      <c r="L211" s="828">
        <v>4</v>
      </c>
      <c r="N211" s="222" t="s">
        <v>491</v>
      </c>
      <c r="O211" s="222" t="s">
        <v>492</v>
      </c>
      <c r="P211" s="824">
        <v>345</v>
      </c>
      <c r="Q211" s="824">
        <v>11.3971</v>
      </c>
      <c r="R211" s="824">
        <v>48.245919999999998</v>
      </c>
      <c r="S211" s="824">
        <v>6.9459299999999997</v>
      </c>
      <c r="T211" s="824">
        <v>26</v>
      </c>
      <c r="U211" s="824">
        <v>1</v>
      </c>
      <c r="V211" s="824">
        <v>5</v>
      </c>
      <c r="W211" s="824">
        <v>17</v>
      </c>
      <c r="X211" s="824">
        <v>10</v>
      </c>
      <c r="Y211" s="824">
        <v>4</v>
      </c>
      <c r="Z211" s="480" t="str">
        <f t="shared" si="3"/>
        <v/>
      </c>
    </row>
    <row r="212" spans="1:26">
      <c r="A212" s="825" t="s">
        <v>493</v>
      </c>
      <c r="B212" s="826">
        <v>1285</v>
      </c>
      <c r="C212" s="827"/>
      <c r="D212" s="828">
        <v>11.109730000000001</v>
      </c>
      <c r="E212" s="828">
        <v>7.5262500000000001</v>
      </c>
      <c r="F212" s="828">
        <v>56.644489999999998</v>
      </c>
      <c r="G212" s="828">
        <v>27</v>
      </c>
      <c r="H212" s="828">
        <v>1</v>
      </c>
      <c r="I212" s="828">
        <v>5</v>
      </c>
      <c r="J212" s="828">
        <v>17</v>
      </c>
      <c r="K212" s="828">
        <v>9</v>
      </c>
      <c r="L212" s="828">
        <v>2</v>
      </c>
      <c r="N212" s="222" t="s">
        <v>493</v>
      </c>
      <c r="O212" s="222" t="s">
        <v>494</v>
      </c>
      <c r="P212" s="824">
        <v>1285</v>
      </c>
      <c r="Q212" s="824">
        <v>11.109730000000001</v>
      </c>
      <c r="R212" s="824">
        <v>56.644489999999998</v>
      </c>
      <c r="S212" s="824">
        <v>7.5262500000000001</v>
      </c>
      <c r="T212" s="824">
        <v>27</v>
      </c>
      <c r="U212" s="824">
        <v>1</v>
      </c>
      <c r="V212" s="824">
        <v>5</v>
      </c>
      <c r="W212" s="824">
        <v>17</v>
      </c>
      <c r="X212" s="824">
        <v>9</v>
      </c>
      <c r="Y212" s="824">
        <v>2</v>
      </c>
      <c r="Z212" s="480" t="str">
        <f t="shared" si="3"/>
        <v/>
      </c>
    </row>
    <row r="213" spans="1:26">
      <c r="A213" s="825" t="s">
        <v>495</v>
      </c>
      <c r="B213" s="826">
        <v>5680</v>
      </c>
      <c r="C213" s="827"/>
      <c r="D213" s="828">
        <v>8.2239400000000007</v>
      </c>
      <c r="E213" s="828">
        <v>5.2100600000000004</v>
      </c>
      <c r="F213" s="828">
        <v>27.144770000000001</v>
      </c>
      <c r="G213" s="828">
        <v>20</v>
      </c>
      <c r="H213" s="828">
        <v>1</v>
      </c>
      <c r="I213" s="828">
        <v>4</v>
      </c>
      <c r="J213" s="828">
        <v>12</v>
      </c>
      <c r="K213" s="828">
        <v>7</v>
      </c>
      <c r="L213" s="828">
        <v>3</v>
      </c>
      <c r="N213" s="222" t="s">
        <v>495</v>
      </c>
      <c r="O213" s="222" t="s">
        <v>496</v>
      </c>
      <c r="P213" s="824">
        <v>5680</v>
      </c>
      <c r="Q213" s="824">
        <v>8.2239400000000007</v>
      </c>
      <c r="R213" s="824">
        <v>27.144770000000001</v>
      </c>
      <c r="S213" s="824">
        <v>5.2100600000000004</v>
      </c>
      <c r="T213" s="824">
        <v>20</v>
      </c>
      <c r="U213" s="824">
        <v>1</v>
      </c>
      <c r="V213" s="824">
        <v>4</v>
      </c>
      <c r="W213" s="824">
        <v>12</v>
      </c>
      <c r="X213" s="824">
        <v>7</v>
      </c>
      <c r="Y213" s="824">
        <v>3</v>
      </c>
      <c r="Z213" s="480" t="str">
        <f t="shared" si="3"/>
        <v/>
      </c>
    </row>
    <row r="214" spans="1:26">
      <c r="A214" s="825" t="s">
        <v>497</v>
      </c>
      <c r="B214" s="826">
        <v>34954</v>
      </c>
      <c r="C214" s="827"/>
      <c r="D214" s="828">
        <v>10.55954</v>
      </c>
      <c r="E214" s="828">
        <v>6.8940599999999996</v>
      </c>
      <c r="F214" s="828">
        <v>47.528010000000002</v>
      </c>
      <c r="G214" s="828">
        <v>26</v>
      </c>
      <c r="H214" s="828">
        <v>1</v>
      </c>
      <c r="I214" s="828">
        <v>5</v>
      </c>
      <c r="J214" s="828">
        <v>16</v>
      </c>
      <c r="K214" s="828">
        <v>9</v>
      </c>
      <c r="L214" s="828">
        <v>3</v>
      </c>
      <c r="N214" s="222" t="s">
        <v>497</v>
      </c>
      <c r="O214" s="222" t="s">
        <v>498</v>
      </c>
      <c r="P214" s="824">
        <v>34954</v>
      </c>
      <c r="Q214" s="824">
        <v>10.55954</v>
      </c>
      <c r="R214" s="824">
        <v>47.528010000000002</v>
      </c>
      <c r="S214" s="824">
        <v>6.8940599999999996</v>
      </c>
      <c r="T214" s="824">
        <v>26</v>
      </c>
      <c r="U214" s="824">
        <v>1</v>
      </c>
      <c r="V214" s="824">
        <v>5</v>
      </c>
      <c r="W214" s="824">
        <v>16</v>
      </c>
      <c r="X214" s="824">
        <v>9</v>
      </c>
      <c r="Y214" s="824">
        <v>3</v>
      </c>
      <c r="Z214" s="480" t="str">
        <f t="shared" si="3"/>
        <v/>
      </c>
    </row>
    <row r="215" spans="1:26">
      <c r="A215" s="825" t="s">
        <v>499</v>
      </c>
      <c r="B215" s="826">
        <v>316</v>
      </c>
      <c r="C215" s="827"/>
      <c r="D215" s="828">
        <v>12.047470000000001</v>
      </c>
      <c r="E215" s="828">
        <v>6.88645</v>
      </c>
      <c r="F215" s="828">
        <v>47.423139999999997</v>
      </c>
      <c r="G215" s="828">
        <v>26</v>
      </c>
      <c r="H215" s="828">
        <v>1</v>
      </c>
      <c r="I215" s="828">
        <v>6</v>
      </c>
      <c r="J215" s="828">
        <v>18</v>
      </c>
      <c r="K215" s="828">
        <v>11</v>
      </c>
      <c r="L215" s="828">
        <v>11</v>
      </c>
      <c r="N215" s="222" t="s">
        <v>499</v>
      </c>
      <c r="O215" s="222" t="s">
        <v>500</v>
      </c>
      <c r="P215" s="824">
        <v>316</v>
      </c>
      <c r="Q215" s="824">
        <v>12.047470000000001</v>
      </c>
      <c r="R215" s="824">
        <v>47.423139999999997</v>
      </c>
      <c r="S215" s="824">
        <v>6.88645</v>
      </c>
      <c r="T215" s="824">
        <v>26</v>
      </c>
      <c r="U215" s="824">
        <v>1</v>
      </c>
      <c r="V215" s="824">
        <v>6</v>
      </c>
      <c r="W215" s="824">
        <v>18</v>
      </c>
      <c r="X215" s="824">
        <v>11</v>
      </c>
      <c r="Y215" s="824">
        <v>11</v>
      </c>
      <c r="Z215" s="480" t="str">
        <f t="shared" si="3"/>
        <v/>
      </c>
    </row>
    <row r="216" spans="1:26">
      <c r="A216" s="825" t="s">
        <v>501</v>
      </c>
      <c r="B216" s="826">
        <v>105163</v>
      </c>
      <c r="C216" s="827"/>
      <c r="D216" s="828">
        <v>8.8330599999999997</v>
      </c>
      <c r="E216" s="828">
        <v>6.02956</v>
      </c>
      <c r="F216" s="828">
        <v>36.355620000000002</v>
      </c>
      <c r="G216" s="828">
        <v>23</v>
      </c>
      <c r="H216" s="828">
        <v>1</v>
      </c>
      <c r="I216" s="828">
        <v>4</v>
      </c>
      <c r="J216" s="828">
        <v>13</v>
      </c>
      <c r="K216" s="828">
        <v>7</v>
      </c>
      <c r="L216" s="828">
        <v>2</v>
      </c>
      <c r="N216" s="222" t="s">
        <v>501</v>
      </c>
      <c r="O216" s="222" t="s">
        <v>2038</v>
      </c>
      <c r="P216" s="824">
        <v>105163</v>
      </c>
      <c r="Q216" s="824">
        <v>8.8330599999999997</v>
      </c>
      <c r="R216" s="824">
        <v>36.355620000000002</v>
      </c>
      <c r="S216" s="824">
        <v>6.02956</v>
      </c>
      <c r="T216" s="824">
        <v>23</v>
      </c>
      <c r="U216" s="824">
        <v>1</v>
      </c>
      <c r="V216" s="824">
        <v>4</v>
      </c>
      <c r="W216" s="824">
        <v>13</v>
      </c>
      <c r="X216" s="824">
        <v>7</v>
      </c>
      <c r="Y216" s="824">
        <v>2</v>
      </c>
      <c r="Z216" s="480" t="str">
        <f t="shared" si="3"/>
        <v/>
      </c>
    </row>
    <row r="217" spans="1:26">
      <c r="A217" s="825" t="s">
        <v>502</v>
      </c>
      <c r="B217" s="826">
        <v>2635</v>
      </c>
      <c r="C217" s="827"/>
      <c r="D217" s="828">
        <v>11.247820000000001</v>
      </c>
      <c r="E217" s="828">
        <v>7.4324399999999997</v>
      </c>
      <c r="F217" s="828">
        <v>55.241140000000001</v>
      </c>
      <c r="G217" s="828">
        <v>27</v>
      </c>
      <c r="H217" s="828">
        <v>1</v>
      </c>
      <c r="I217" s="828">
        <v>5</v>
      </c>
      <c r="J217" s="828">
        <v>17</v>
      </c>
      <c r="K217" s="828">
        <v>10</v>
      </c>
      <c r="L217" s="828">
        <v>5</v>
      </c>
      <c r="N217" s="222" t="s">
        <v>502</v>
      </c>
      <c r="O217" s="222" t="s">
        <v>503</v>
      </c>
      <c r="P217" s="824">
        <v>2635</v>
      </c>
      <c r="Q217" s="824">
        <v>11.247820000000001</v>
      </c>
      <c r="R217" s="824">
        <v>55.241140000000001</v>
      </c>
      <c r="S217" s="824">
        <v>7.4324399999999997</v>
      </c>
      <c r="T217" s="824">
        <v>27</v>
      </c>
      <c r="U217" s="824">
        <v>1</v>
      </c>
      <c r="V217" s="824">
        <v>5</v>
      </c>
      <c r="W217" s="824">
        <v>17</v>
      </c>
      <c r="X217" s="824">
        <v>10</v>
      </c>
      <c r="Y217" s="824">
        <v>5</v>
      </c>
      <c r="Z217" s="480" t="str">
        <f t="shared" si="3"/>
        <v/>
      </c>
    </row>
    <row r="218" spans="1:26">
      <c r="A218" s="825" t="s">
        <v>504</v>
      </c>
      <c r="B218" s="826">
        <v>14274</v>
      </c>
      <c r="C218" s="827"/>
      <c r="D218" s="828">
        <v>9.0704100000000007</v>
      </c>
      <c r="E218" s="828">
        <v>5.8957699999999997</v>
      </c>
      <c r="F218" s="828">
        <v>34.76005</v>
      </c>
      <c r="G218" s="828">
        <v>22</v>
      </c>
      <c r="H218" s="828">
        <v>1</v>
      </c>
      <c r="I218" s="828">
        <v>4</v>
      </c>
      <c r="J218" s="828">
        <v>14</v>
      </c>
      <c r="K218" s="828">
        <v>8</v>
      </c>
      <c r="L218" s="828">
        <v>2</v>
      </c>
      <c r="N218" s="222" t="s">
        <v>504</v>
      </c>
      <c r="O218" s="222" t="s">
        <v>505</v>
      </c>
      <c r="P218" s="824">
        <v>14274</v>
      </c>
      <c r="Q218" s="824">
        <v>9.0704100000000007</v>
      </c>
      <c r="R218" s="824">
        <v>34.76005</v>
      </c>
      <c r="S218" s="824">
        <v>5.8957699999999997</v>
      </c>
      <c r="T218" s="824">
        <v>22</v>
      </c>
      <c r="U218" s="824">
        <v>1</v>
      </c>
      <c r="V218" s="824">
        <v>4</v>
      </c>
      <c r="W218" s="824">
        <v>14</v>
      </c>
      <c r="X218" s="824">
        <v>8</v>
      </c>
      <c r="Y218" s="824">
        <v>2</v>
      </c>
      <c r="Z218" s="480" t="str">
        <f t="shared" si="3"/>
        <v/>
      </c>
    </row>
    <row r="219" spans="1:26">
      <c r="A219" s="825" t="s">
        <v>506</v>
      </c>
      <c r="B219" s="826">
        <v>19573</v>
      </c>
      <c r="C219" s="827"/>
      <c r="D219" s="828">
        <v>8.8275199999999998</v>
      </c>
      <c r="E219" s="828">
        <v>6.0983900000000002</v>
      </c>
      <c r="F219" s="828">
        <v>37.190359999999998</v>
      </c>
      <c r="G219" s="828">
        <v>23</v>
      </c>
      <c r="H219" s="828">
        <v>1</v>
      </c>
      <c r="I219" s="828">
        <v>4</v>
      </c>
      <c r="J219" s="828">
        <v>13</v>
      </c>
      <c r="K219" s="828">
        <v>7</v>
      </c>
      <c r="L219" s="828">
        <v>2</v>
      </c>
      <c r="N219" s="222" t="s">
        <v>506</v>
      </c>
      <c r="O219" s="222" t="s">
        <v>507</v>
      </c>
      <c r="P219" s="824">
        <v>19573</v>
      </c>
      <c r="Q219" s="824">
        <v>8.8275199999999998</v>
      </c>
      <c r="R219" s="824">
        <v>37.190359999999998</v>
      </c>
      <c r="S219" s="824">
        <v>6.0983900000000002</v>
      </c>
      <c r="T219" s="824">
        <v>23</v>
      </c>
      <c r="U219" s="824">
        <v>1</v>
      </c>
      <c r="V219" s="824">
        <v>4</v>
      </c>
      <c r="W219" s="824">
        <v>13</v>
      </c>
      <c r="X219" s="824">
        <v>7</v>
      </c>
      <c r="Y219" s="824">
        <v>2</v>
      </c>
      <c r="Z219" s="480" t="str">
        <f t="shared" si="3"/>
        <v/>
      </c>
    </row>
    <row r="220" spans="1:26">
      <c r="A220" s="825" t="s">
        <v>508</v>
      </c>
      <c r="B220" s="826">
        <v>1737</v>
      </c>
      <c r="C220" s="827"/>
      <c r="D220" s="828">
        <v>8.6568799999999992</v>
      </c>
      <c r="E220" s="828">
        <v>5.9589400000000001</v>
      </c>
      <c r="F220" s="828">
        <v>35.508929999999999</v>
      </c>
      <c r="G220" s="828">
        <v>22</v>
      </c>
      <c r="H220" s="828">
        <v>1</v>
      </c>
      <c r="I220" s="828">
        <v>3</v>
      </c>
      <c r="J220" s="828">
        <v>13</v>
      </c>
      <c r="K220" s="828">
        <v>7</v>
      </c>
      <c r="L220" s="828">
        <v>3</v>
      </c>
      <c r="N220" s="222" t="s">
        <v>508</v>
      </c>
      <c r="O220" s="222" t="s">
        <v>509</v>
      </c>
      <c r="P220" s="824">
        <v>1737</v>
      </c>
      <c r="Q220" s="824">
        <v>8.6568799999999992</v>
      </c>
      <c r="R220" s="824">
        <v>35.508929999999999</v>
      </c>
      <c r="S220" s="824">
        <v>5.9589400000000001</v>
      </c>
      <c r="T220" s="824">
        <v>22</v>
      </c>
      <c r="U220" s="824">
        <v>1</v>
      </c>
      <c r="V220" s="824">
        <v>3</v>
      </c>
      <c r="W220" s="824">
        <v>13</v>
      </c>
      <c r="X220" s="824">
        <v>7</v>
      </c>
      <c r="Y220" s="824">
        <v>3</v>
      </c>
      <c r="Z220" s="480" t="str">
        <f t="shared" si="3"/>
        <v/>
      </c>
    </row>
    <row r="221" spans="1:26">
      <c r="A221" s="825" t="s">
        <v>510</v>
      </c>
      <c r="B221" s="826">
        <v>14529</v>
      </c>
      <c r="C221" s="827"/>
      <c r="D221" s="828">
        <v>9.1761300000000006</v>
      </c>
      <c r="E221" s="828">
        <v>6.0410000000000004</v>
      </c>
      <c r="F221" s="828">
        <v>36.493690000000001</v>
      </c>
      <c r="G221" s="828">
        <v>23</v>
      </c>
      <c r="H221" s="828">
        <v>1</v>
      </c>
      <c r="I221" s="828">
        <v>4</v>
      </c>
      <c r="J221" s="828">
        <v>14</v>
      </c>
      <c r="K221" s="828">
        <v>8</v>
      </c>
      <c r="L221" s="828">
        <v>3</v>
      </c>
      <c r="N221" s="222" t="s">
        <v>510</v>
      </c>
      <c r="O221" s="222" t="s">
        <v>511</v>
      </c>
      <c r="P221" s="824">
        <v>14529</v>
      </c>
      <c r="Q221" s="824">
        <v>9.1761300000000006</v>
      </c>
      <c r="R221" s="824">
        <v>36.493690000000001</v>
      </c>
      <c r="S221" s="824">
        <v>6.0410000000000004</v>
      </c>
      <c r="T221" s="824">
        <v>23</v>
      </c>
      <c r="U221" s="824">
        <v>1</v>
      </c>
      <c r="V221" s="824">
        <v>4</v>
      </c>
      <c r="W221" s="824">
        <v>14</v>
      </c>
      <c r="X221" s="824">
        <v>8</v>
      </c>
      <c r="Y221" s="824">
        <v>3</v>
      </c>
      <c r="Z221" s="480" t="str">
        <f t="shared" si="3"/>
        <v/>
      </c>
    </row>
    <row r="222" spans="1:26">
      <c r="A222" s="825" t="s">
        <v>512</v>
      </c>
      <c r="B222" s="826">
        <v>40360</v>
      </c>
      <c r="C222" s="827"/>
      <c r="D222" s="828">
        <v>11.51952</v>
      </c>
      <c r="E222" s="828">
        <v>7.2238899999999999</v>
      </c>
      <c r="F222" s="828">
        <v>52.184559999999998</v>
      </c>
      <c r="G222" s="828">
        <v>27</v>
      </c>
      <c r="H222" s="828">
        <v>1</v>
      </c>
      <c r="I222" s="828">
        <v>5</v>
      </c>
      <c r="J222" s="828">
        <v>17</v>
      </c>
      <c r="K222" s="828">
        <v>10</v>
      </c>
      <c r="L222" s="828">
        <v>3</v>
      </c>
      <c r="N222" s="222" t="s">
        <v>512</v>
      </c>
      <c r="O222" s="222" t="s">
        <v>2039</v>
      </c>
      <c r="P222" s="824">
        <v>40360</v>
      </c>
      <c r="Q222" s="824">
        <v>11.51952</v>
      </c>
      <c r="R222" s="824">
        <v>52.184559999999998</v>
      </c>
      <c r="S222" s="824">
        <v>7.2238899999999999</v>
      </c>
      <c r="T222" s="824">
        <v>27</v>
      </c>
      <c r="U222" s="824">
        <v>1</v>
      </c>
      <c r="V222" s="824">
        <v>5</v>
      </c>
      <c r="W222" s="824">
        <v>17</v>
      </c>
      <c r="X222" s="824">
        <v>10</v>
      </c>
      <c r="Y222" s="824">
        <v>3</v>
      </c>
      <c r="Z222" s="480" t="str">
        <f t="shared" si="3"/>
        <v/>
      </c>
    </row>
    <row r="223" spans="1:26">
      <c r="A223" s="825" t="s">
        <v>513</v>
      </c>
      <c r="B223" s="826">
        <v>9657</v>
      </c>
      <c r="C223" s="827"/>
      <c r="D223" s="828">
        <v>10.75976</v>
      </c>
      <c r="E223" s="828">
        <v>6.7484900000000003</v>
      </c>
      <c r="F223" s="828">
        <v>45.542110000000001</v>
      </c>
      <c r="G223" s="828">
        <v>25</v>
      </c>
      <c r="H223" s="828">
        <v>1</v>
      </c>
      <c r="I223" s="828">
        <v>5</v>
      </c>
      <c r="J223" s="828">
        <v>16</v>
      </c>
      <c r="K223" s="828">
        <v>10</v>
      </c>
      <c r="L223" s="828">
        <v>4</v>
      </c>
      <c r="N223" s="222" t="s">
        <v>513</v>
      </c>
      <c r="O223" s="222" t="s">
        <v>514</v>
      </c>
      <c r="P223" s="824">
        <v>9657</v>
      </c>
      <c r="Q223" s="824">
        <v>10.75976</v>
      </c>
      <c r="R223" s="824">
        <v>45.542110000000001</v>
      </c>
      <c r="S223" s="824">
        <v>6.7484900000000003</v>
      </c>
      <c r="T223" s="824">
        <v>25</v>
      </c>
      <c r="U223" s="824">
        <v>1</v>
      </c>
      <c r="V223" s="824">
        <v>5</v>
      </c>
      <c r="W223" s="824">
        <v>16</v>
      </c>
      <c r="X223" s="824">
        <v>10</v>
      </c>
      <c r="Y223" s="824">
        <v>4</v>
      </c>
      <c r="Z223" s="480" t="str">
        <f t="shared" si="3"/>
        <v/>
      </c>
    </row>
    <row r="224" spans="1:26">
      <c r="A224" s="825" t="s">
        <v>515</v>
      </c>
      <c r="B224" s="826">
        <v>2238</v>
      </c>
      <c r="C224" s="827"/>
      <c r="D224" s="828">
        <v>11.65103</v>
      </c>
      <c r="E224" s="828">
        <v>7.5098000000000003</v>
      </c>
      <c r="F224" s="828">
        <v>56.39716</v>
      </c>
      <c r="G224" s="828">
        <v>28</v>
      </c>
      <c r="H224" s="828">
        <v>1</v>
      </c>
      <c r="I224" s="828">
        <v>5</v>
      </c>
      <c r="J224" s="828">
        <v>17</v>
      </c>
      <c r="K224" s="828">
        <v>10</v>
      </c>
      <c r="L224" s="828">
        <v>2</v>
      </c>
      <c r="N224" s="222" t="s">
        <v>515</v>
      </c>
      <c r="O224" s="222" t="s">
        <v>516</v>
      </c>
      <c r="P224" s="824">
        <v>2238</v>
      </c>
      <c r="Q224" s="824">
        <v>11.65103</v>
      </c>
      <c r="R224" s="824">
        <v>56.39716</v>
      </c>
      <c r="S224" s="824">
        <v>7.5098000000000003</v>
      </c>
      <c r="T224" s="824">
        <v>28</v>
      </c>
      <c r="U224" s="824">
        <v>1</v>
      </c>
      <c r="V224" s="824">
        <v>5</v>
      </c>
      <c r="W224" s="824">
        <v>17</v>
      </c>
      <c r="X224" s="824">
        <v>10</v>
      </c>
      <c r="Y224" s="824">
        <v>2</v>
      </c>
      <c r="Z224" s="480" t="str">
        <f t="shared" si="3"/>
        <v/>
      </c>
    </row>
    <row r="225" spans="1:26">
      <c r="A225" s="825" t="s">
        <v>517</v>
      </c>
      <c r="B225" s="826">
        <v>20539</v>
      </c>
      <c r="C225" s="827"/>
      <c r="D225" s="828">
        <v>10.360189999999999</v>
      </c>
      <c r="E225" s="828">
        <v>6.7231199999999998</v>
      </c>
      <c r="F225" s="828">
        <v>45.200279999999999</v>
      </c>
      <c r="G225" s="828">
        <v>25</v>
      </c>
      <c r="H225" s="828">
        <v>1</v>
      </c>
      <c r="I225" s="828">
        <v>5</v>
      </c>
      <c r="J225" s="828">
        <v>15</v>
      </c>
      <c r="K225" s="828">
        <v>9</v>
      </c>
      <c r="L225" s="828">
        <v>3</v>
      </c>
      <c r="N225" s="222" t="s">
        <v>517</v>
      </c>
      <c r="O225" s="222" t="s">
        <v>518</v>
      </c>
      <c r="P225" s="824">
        <v>20539</v>
      </c>
      <c r="Q225" s="824">
        <v>10.360189999999999</v>
      </c>
      <c r="R225" s="824">
        <v>45.200279999999999</v>
      </c>
      <c r="S225" s="824">
        <v>6.7231199999999998</v>
      </c>
      <c r="T225" s="824">
        <v>25</v>
      </c>
      <c r="U225" s="824">
        <v>1</v>
      </c>
      <c r="V225" s="824">
        <v>5</v>
      </c>
      <c r="W225" s="824">
        <v>15</v>
      </c>
      <c r="X225" s="824">
        <v>9</v>
      </c>
      <c r="Y225" s="824">
        <v>3</v>
      </c>
      <c r="Z225" s="480" t="str">
        <f t="shared" si="3"/>
        <v/>
      </c>
    </row>
    <row r="226" spans="1:26">
      <c r="A226" s="825" t="s">
        <v>519</v>
      </c>
      <c r="B226" s="826">
        <v>477</v>
      </c>
      <c r="C226" s="827"/>
      <c r="D226" s="828">
        <v>9.8029399999999995</v>
      </c>
      <c r="E226" s="828">
        <v>6.3885899999999998</v>
      </c>
      <c r="F226" s="828">
        <v>40.814019999999999</v>
      </c>
      <c r="G226" s="828">
        <v>23</v>
      </c>
      <c r="H226" s="828">
        <v>1</v>
      </c>
      <c r="I226" s="828">
        <v>4</v>
      </c>
      <c r="J226" s="828">
        <v>15</v>
      </c>
      <c r="K226" s="828">
        <v>9</v>
      </c>
      <c r="L226" s="828">
        <v>4</v>
      </c>
      <c r="N226" s="222" t="s">
        <v>519</v>
      </c>
      <c r="O226" s="222" t="s">
        <v>520</v>
      </c>
      <c r="P226" s="824">
        <v>477</v>
      </c>
      <c r="Q226" s="824">
        <v>9.8029399999999995</v>
      </c>
      <c r="R226" s="824">
        <v>40.814019999999999</v>
      </c>
      <c r="S226" s="824">
        <v>6.3885899999999998</v>
      </c>
      <c r="T226" s="824">
        <v>23</v>
      </c>
      <c r="U226" s="824">
        <v>1</v>
      </c>
      <c r="V226" s="824">
        <v>4</v>
      </c>
      <c r="W226" s="824">
        <v>15</v>
      </c>
      <c r="X226" s="824">
        <v>9</v>
      </c>
      <c r="Y226" s="824">
        <v>4</v>
      </c>
      <c r="Z226" s="480" t="str">
        <f t="shared" si="3"/>
        <v/>
      </c>
    </row>
    <row r="227" spans="1:26">
      <c r="A227" s="825" t="s">
        <v>521</v>
      </c>
      <c r="B227" s="826">
        <v>2325</v>
      </c>
      <c r="C227" s="827"/>
      <c r="D227" s="828">
        <v>12.520860000000001</v>
      </c>
      <c r="E227" s="828">
        <v>8.26769</v>
      </c>
      <c r="F227" s="828">
        <v>68.354659999999996</v>
      </c>
      <c r="G227" s="828">
        <v>31</v>
      </c>
      <c r="H227" s="828">
        <v>1</v>
      </c>
      <c r="I227" s="828">
        <v>6</v>
      </c>
      <c r="J227" s="828">
        <v>18</v>
      </c>
      <c r="K227" s="828">
        <v>11</v>
      </c>
      <c r="L227" s="828">
        <v>6</v>
      </c>
      <c r="N227" s="222" t="s">
        <v>521</v>
      </c>
      <c r="O227" s="222" t="s">
        <v>522</v>
      </c>
      <c r="P227" s="824">
        <v>2325</v>
      </c>
      <c r="Q227" s="824">
        <v>12.520860000000001</v>
      </c>
      <c r="R227" s="824">
        <v>68.354659999999996</v>
      </c>
      <c r="S227" s="824">
        <v>8.26769</v>
      </c>
      <c r="T227" s="824">
        <v>31</v>
      </c>
      <c r="U227" s="824">
        <v>1</v>
      </c>
      <c r="V227" s="824">
        <v>6</v>
      </c>
      <c r="W227" s="824">
        <v>18</v>
      </c>
      <c r="X227" s="824">
        <v>11</v>
      </c>
      <c r="Y227" s="824">
        <v>6</v>
      </c>
      <c r="Z227" s="480" t="str">
        <f t="shared" si="3"/>
        <v/>
      </c>
    </row>
    <row r="228" spans="1:26">
      <c r="A228" s="825" t="s">
        <v>523</v>
      </c>
      <c r="B228" s="826">
        <v>48747</v>
      </c>
      <c r="C228" s="827"/>
      <c r="D228" s="828">
        <v>11.34408</v>
      </c>
      <c r="E228" s="828">
        <v>7.7811500000000002</v>
      </c>
      <c r="F228" s="828">
        <v>60.546300000000002</v>
      </c>
      <c r="G228" s="828">
        <v>29</v>
      </c>
      <c r="H228" s="828">
        <v>1</v>
      </c>
      <c r="I228" s="828">
        <v>5</v>
      </c>
      <c r="J228" s="828">
        <v>17</v>
      </c>
      <c r="K228" s="828">
        <v>10</v>
      </c>
      <c r="L228" s="828">
        <v>3</v>
      </c>
      <c r="N228" s="222" t="s">
        <v>523</v>
      </c>
      <c r="O228" s="222" t="s">
        <v>524</v>
      </c>
      <c r="P228" s="824">
        <v>48747</v>
      </c>
      <c r="Q228" s="824">
        <v>11.34408</v>
      </c>
      <c r="R228" s="824">
        <v>60.546300000000002</v>
      </c>
      <c r="S228" s="824">
        <v>7.7811500000000002</v>
      </c>
      <c r="T228" s="824">
        <v>29</v>
      </c>
      <c r="U228" s="824">
        <v>1</v>
      </c>
      <c r="V228" s="824">
        <v>5</v>
      </c>
      <c r="W228" s="824">
        <v>17</v>
      </c>
      <c r="X228" s="824">
        <v>10</v>
      </c>
      <c r="Y228" s="824">
        <v>3</v>
      </c>
      <c r="Z228" s="480" t="str">
        <f t="shared" si="3"/>
        <v/>
      </c>
    </row>
    <row r="229" spans="1:26">
      <c r="A229" s="825" t="s">
        <v>525</v>
      </c>
      <c r="B229" s="826">
        <v>28825</v>
      </c>
      <c r="C229" s="827"/>
      <c r="D229" s="828">
        <v>10.9404</v>
      </c>
      <c r="E229" s="828">
        <v>7.1418900000000001</v>
      </c>
      <c r="F229" s="828">
        <v>51.00665</v>
      </c>
      <c r="G229" s="828">
        <v>27</v>
      </c>
      <c r="H229" s="828">
        <v>1</v>
      </c>
      <c r="I229" s="828">
        <v>5</v>
      </c>
      <c r="J229" s="828">
        <v>16</v>
      </c>
      <c r="K229" s="828">
        <v>10</v>
      </c>
      <c r="L229" s="828">
        <v>3</v>
      </c>
      <c r="N229" s="222" t="s">
        <v>525</v>
      </c>
      <c r="O229" s="222" t="s">
        <v>2040</v>
      </c>
      <c r="P229" s="824">
        <v>28825</v>
      </c>
      <c r="Q229" s="824">
        <v>10.9404</v>
      </c>
      <c r="R229" s="824">
        <v>51.00665</v>
      </c>
      <c r="S229" s="824">
        <v>7.1418900000000001</v>
      </c>
      <c r="T229" s="824">
        <v>27</v>
      </c>
      <c r="U229" s="824">
        <v>1</v>
      </c>
      <c r="V229" s="824">
        <v>5</v>
      </c>
      <c r="W229" s="824">
        <v>16</v>
      </c>
      <c r="X229" s="824">
        <v>10</v>
      </c>
      <c r="Y229" s="824">
        <v>3</v>
      </c>
      <c r="Z229" s="480" t="str">
        <f t="shared" si="3"/>
        <v/>
      </c>
    </row>
    <row r="230" spans="1:26">
      <c r="A230" s="825" t="s">
        <v>526</v>
      </c>
      <c r="B230" s="826">
        <v>4739</v>
      </c>
      <c r="C230" s="827"/>
      <c r="D230" s="828">
        <v>10.602029999999999</v>
      </c>
      <c r="E230" s="828">
        <v>7.4092700000000002</v>
      </c>
      <c r="F230" s="828">
        <v>54.897300000000001</v>
      </c>
      <c r="G230" s="828">
        <v>27</v>
      </c>
      <c r="H230" s="828">
        <v>1</v>
      </c>
      <c r="I230" s="828">
        <v>4</v>
      </c>
      <c r="J230" s="828">
        <v>16</v>
      </c>
      <c r="K230" s="828">
        <v>9</v>
      </c>
      <c r="L230" s="828">
        <v>3</v>
      </c>
      <c r="N230" s="222" t="s">
        <v>526</v>
      </c>
      <c r="O230" s="222" t="s">
        <v>2041</v>
      </c>
      <c r="P230" s="824">
        <v>4739</v>
      </c>
      <c r="Q230" s="824">
        <v>10.602029999999999</v>
      </c>
      <c r="R230" s="824">
        <v>54.897300000000001</v>
      </c>
      <c r="S230" s="824">
        <v>7.4092700000000002</v>
      </c>
      <c r="T230" s="824">
        <v>27</v>
      </c>
      <c r="U230" s="824">
        <v>1</v>
      </c>
      <c r="V230" s="824">
        <v>4</v>
      </c>
      <c r="W230" s="824">
        <v>16</v>
      </c>
      <c r="X230" s="824">
        <v>9</v>
      </c>
      <c r="Y230" s="824">
        <v>3</v>
      </c>
      <c r="Z230" s="480" t="str">
        <f t="shared" si="3"/>
        <v/>
      </c>
    </row>
    <row r="231" spans="1:26">
      <c r="A231" s="825" t="s">
        <v>527</v>
      </c>
      <c r="B231" s="826">
        <v>14136</v>
      </c>
      <c r="C231" s="827"/>
      <c r="D231" s="828">
        <v>10.11234</v>
      </c>
      <c r="E231" s="828">
        <v>6.6419300000000003</v>
      </c>
      <c r="F231" s="828">
        <v>44.115290000000002</v>
      </c>
      <c r="G231" s="828">
        <v>25</v>
      </c>
      <c r="H231" s="828">
        <v>1</v>
      </c>
      <c r="I231" s="828">
        <v>4</v>
      </c>
      <c r="J231" s="828">
        <v>15</v>
      </c>
      <c r="K231" s="828">
        <v>9</v>
      </c>
      <c r="L231" s="828">
        <v>3</v>
      </c>
      <c r="N231" s="222" t="s">
        <v>527</v>
      </c>
      <c r="O231" s="222" t="s">
        <v>528</v>
      </c>
      <c r="P231" s="824">
        <v>14136</v>
      </c>
      <c r="Q231" s="824">
        <v>10.11234</v>
      </c>
      <c r="R231" s="824">
        <v>44.115290000000002</v>
      </c>
      <c r="S231" s="824">
        <v>6.6419300000000003</v>
      </c>
      <c r="T231" s="824">
        <v>25</v>
      </c>
      <c r="U231" s="824">
        <v>1</v>
      </c>
      <c r="V231" s="824">
        <v>4</v>
      </c>
      <c r="W231" s="824">
        <v>15</v>
      </c>
      <c r="X231" s="824">
        <v>9</v>
      </c>
      <c r="Y231" s="824">
        <v>3</v>
      </c>
      <c r="Z231" s="480" t="str">
        <f t="shared" si="3"/>
        <v/>
      </c>
    </row>
    <row r="232" spans="1:26">
      <c r="A232" s="825" t="s">
        <v>529</v>
      </c>
      <c r="B232" s="826">
        <v>83804</v>
      </c>
      <c r="C232" s="827"/>
      <c r="D232" s="828">
        <v>11.459910000000001</v>
      </c>
      <c r="E232" s="828">
        <v>6.9347500000000002</v>
      </c>
      <c r="F232" s="828">
        <v>48.090789999999998</v>
      </c>
      <c r="G232" s="828">
        <v>26</v>
      </c>
      <c r="H232" s="828">
        <v>1</v>
      </c>
      <c r="I232" s="828">
        <v>5</v>
      </c>
      <c r="J232" s="828">
        <v>17</v>
      </c>
      <c r="K232" s="828">
        <v>11</v>
      </c>
      <c r="L232" s="828">
        <v>3</v>
      </c>
      <c r="N232" s="222" t="s">
        <v>529</v>
      </c>
      <c r="O232" s="222" t="s">
        <v>2042</v>
      </c>
      <c r="P232" s="824">
        <v>83804</v>
      </c>
      <c r="Q232" s="824">
        <v>11.459910000000001</v>
      </c>
      <c r="R232" s="824">
        <v>48.090789999999998</v>
      </c>
      <c r="S232" s="824">
        <v>6.9347500000000002</v>
      </c>
      <c r="T232" s="824">
        <v>26</v>
      </c>
      <c r="U232" s="824">
        <v>1</v>
      </c>
      <c r="V232" s="824">
        <v>5</v>
      </c>
      <c r="W232" s="824">
        <v>17</v>
      </c>
      <c r="X232" s="824">
        <v>11</v>
      </c>
      <c r="Y232" s="824">
        <v>3</v>
      </c>
      <c r="Z232" s="480" t="str">
        <f t="shared" si="3"/>
        <v/>
      </c>
    </row>
    <row r="233" spans="1:26">
      <c r="A233" s="825" t="s">
        <v>530</v>
      </c>
      <c r="B233" s="826">
        <v>6874</v>
      </c>
      <c r="C233" s="827"/>
      <c r="D233" s="828">
        <v>8.6547900000000002</v>
      </c>
      <c r="E233" s="828">
        <v>5.2987000000000002</v>
      </c>
      <c r="F233" s="828">
        <v>28.07621</v>
      </c>
      <c r="G233" s="828">
        <v>20</v>
      </c>
      <c r="H233" s="828">
        <v>1</v>
      </c>
      <c r="I233" s="828">
        <v>4</v>
      </c>
      <c r="J233" s="828">
        <v>13</v>
      </c>
      <c r="K233" s="828">
        <v>8</v>
      </c>
      <c r="L233" s="828">
        <v>3</v>
      </c>
      <c r="N233" s="222" t="s">
        <v>530</v>
      </c>
      <c r="O233" s="222" t="s">
        <v>531</v>
      </c>
      <c r="P233" s="824">
        <v>6874</v>
      </c>
      <c r="Q233" s="824">
        <v>8.6547900000000002</v>
      </c>
      <c r="R233" s="824">
        <v>28.07621</v>
      </c>
      <c r="S233" s="824">
        <v>5.2987000000000002</v>
      </c>
      <c r="T233" s="824">
        <v>20</v>
      </c>
      <c r="U233" s="824">
        <v>1</v>
      </c>
      <c r="V233" s="824">
        <v>4</v>
      </c>
      <c r="W233" s="824">
        <v>13</v>
      </c>
      <c r="X233" s="824">
        <v>8</v>
      </c>
      <c r="Y233" s="824">
        <v>3</v>
      </c>
      <c r="Z233" s="480" t="str">
        <f t="shared" si="3"/>
        <v/>
      </c>
    </row>
    <row r="234" spans="1:26">
      <c r="A234" s="825" t="s">
        <v>532</v>
      </c>
      <c r="B234" s="826">
        <v>226037</v>
      </c>
      <c r="C234" s="827"/>
      <c r="D234" s="828">
        <v>11.89742</v>
      </c>
      <c r="E234" s="828">
        <v>7.4333</v>
      </c>
      <c r="F234" s="828">
        <v>55.253880000000002</v>
      </c>
      <c r="G234" s="828">
        <v>28</v>
      </c>
      <c r="H234" s="828">
        <v>1</v>
      </c>
      <c r="I234" s="828">
        <v>5</v>
      </c>
      <c r="J234" s="828">
        <v>17</v>
      </c>
      <c r="K234" s="828">
        <v>11</v>
      </c>
      <c r="L234" s="828">
        <v>3</v>
      </c>
      <c r="N234" s="222" t="s">
        <v>532</v>
      </c>
      <c r="O234" s="222" t="s">
        <v>533</v>
      </c>
      <c r="P234" s="824">
        <v>226037</v>
      </c>
      <c r="Q234" s="824">
        <v>11.89742</v>
      </c>
      <c r="R234" s="824">
        <v>55.253880000000002</v>
      </c>
      <c r="S234" s="824">
        <v>7.4333</v>
      </c>
      <c r="T234" s="824">
        <v>28</v>
      </c>
      <c r="U234" s="824">
        <v>1</v>
      </c>
      <c r="V234" s="824">
        <v>5</v>
      </c>
      <c r="W234" s="824">
        <v>17</v>
      </c>
      <c r="X234" s="824">
        <v>11</v>
      </c>
      <c r="Y234" s="824">
        <v>3</v>
      </c>
      <c r="Z234" s="480" t="str">
        <f t="shared" si="3"/>
        <v/>
      </c>
    </row>
    <row r="235" spans="1:26">
      <c r="A235" s="825" t="s">
        <v>534</v>
      </c>
      <c r="B235" s="826">
        <v>5357</v>
      </c>
      <c r="C235" s="827"/>
      <c r="D235" s="828">
        <v>10.27665</v>
      </c>
      <c r="E235" s="828">
        <v>6.3722300000000001</v>
      </c>
      <c r="F235" s="828">
        <v>40.6053</v>
      </c>
      <c r="G235" s="828">
        <v>24</v>
      </c>
      <c r="H235" s="828">
        <v>1</v>
      </c>
      <c r="I235" s="828">
        <v>5</v>
      </c>
      <c r="J235" s="828">
        <v>15</v>
      </c>
      <c r="K235" s="828">
        <v>9</v>
      </c>
      <c r="L235" s="828">
        <v>5</v>
      </c>
      <c r="N235" s="222" t="s">
        <v>534</v>
      </c>
      <c r="O235" s="222" t="s">
        <v>535</v>
      </c>
      <c r="P235" s="824">
        <v>5357</v>
      </c>
      <c r="Q235" s="824">
        <v>10.27665</v>
      </c>
      <c r="R235" s="824">
        <v>40.6053</v>
      </c>
      <c r="S235" s="824">
        <v>6.3722300000000001</v>
      </c>
      <c r="T235" s="824">
        <v>24</v>
      </c>
      <c r="U235" s="824">
        <v>1</v>
      </c>
      <c r="V235" s="824">
        <v>5</v>
      </c>
      <c r="W235" s="824">
        <v>15</v>
      </c>
      <c r="X235" s="824">
        <v>9</v>
      </c>
      <c r="Y235" s="824">
        <v>5</v>
      </c>
      <c r="Z235" s="480" t="str">
        <f t="shared" si="3"/>
        <v/>
      </c>
    </row>
    <row r="236" spans="1:26">
      <c r="A236" s="825" t="s">
        <v>536</v>
      </c>
      <c r="B236" s="826">
        <v>102931</v>
      </c>
      <c r="C236" s="827"/>
      <c r="D236" s="828">
        <v>10.940429999999999</v>
      </c>
      <c r="E236" s="828">
        <v>6.9189400000000001</v>
      </c>
      <c r="F236" s="828">
        <v>47.871690000000001</v>
      </c>
      <c r="G236" s="828">
        <v>26</v>
      </c>
      <c r="H236" s="828">
        <v>1</v>
      </c>
      <c r="I236" s="828">
        <v>5</v>
      </c>
      <c r="J236" s="828">
        <v>16</v>
      </c>
      <c r="K236" s="828">
        <v>10</v>
      </c>
      <c r="L236" s="828">
        <v>3</v>
      </c>
      <c r="N236" s="222" t="s">
        <v>536</v>
      </c>
      <c r="O236" s="222" t="s">
        <v>2043</v>
      </c>
      <c r="P236" s="824">
        <v>102931</v>
      </c>
      <c r="Q236" s="824">
        <v>10.940429999999999</v>
      </c>
      <c r="R236" s="824">
        <v>47.871690000000001</v>
      </c>
      <c r="S236" s="824">
        <v>6.9189400000000001</v>
      </c>
      <c r="T236" s="824">
        <v>26</v>
      </c>
      <c r="U236" s="824">
        <v>1</v>
      </c>
      <c r="V236" s="824">
        <v>5</v>
      </c>
      <c r="W236" s="824">
        <v>16</v>
      </c>
      <c r="X236" s="824">
        <v>10</v>
      </c>
      <c r="Y236" s="824">
        <v>3</v>
      </c>
      <c r="Z236" s="480" t="str">
        <f t="shared" si="3"/>
        <v/>
      </c>
    </row>
    <row r="237" spans="1:26">
      <c r="A237" s="825" t="s">
        <v>537</v>
      </c>
      <c r="B237" s="826">
        <v>91971</v>
      </c>
      <c r="C237" s="827"/>
      <c r="D237" s="828">
        <v>9.5708199999999994</v>
      </c>
      <c r="E237" s="828">
        <v>6.0785</v>
      </c>
      <c r="F237" s="828">
        <v>36.948149999999998</v>
      </c>
      <c r="G237" s="828">
        <v>23</v>
      </c>
      <c r="H237" s="828">
        <v>1</v>
      </c>
      <c r="I237" s="828">
        <v>4</v>
      </c>
      <c r="J237" s="828">
        <v>14</v>
      </c>
      <c r="K237" s="828">
        <v>9</v>
      </c>
      <c r="L237" s="828">
        <v>3</v>
      </c>
      <c r="N237" s="222" t="s">
        <v>537</v>
      </c>
      <c r="O237" s="222" t="s">
        <v>538</v>
      </c>
      <c r="P237" s="824">
        <v>91971</v>
      </c>
      <c r="Q237" s="824">
        <v>9.5708199999999994</v>
      </c>
      <c r="R237" s="824">
        <v>36.948149999999998</v>
      </c>
      <c r="S237" s="824">
        <v>6.0785</v>
      </c>
      <c r="T237" s="824">
        <v>23</v>
      </c>
      <c r="U237" s="824">
        <v>1</v>
      </c>
      <c r="V237" s="824">
        <v>4</v>
      </c>
      <c r="W237" s="824">
        <v>14</v>
      </c>
      <c r="X237" s="824">
        <v>9</v>
      </c>
      <c r="Y237" s="824">
        <v>3</v>
      </c>
      <c r="Z237" s="480" t="str">
        <f t="shared" si="3"/>
        <v/>
      </c>
    </row>
    <row r="238" spans="1:26">
      <c r="A238" s="825" t="s">
        <v>539</v>
      </c>
      <c r="B238" s="826">
        <v>19263</v>
      </c>
      <c r="C238" s="827"/>
      <c r="D238" s="828">
        <v>9.25183</v>
      </c>
      <c r="E238" s="828">
        <v>6.07369</v>
      </c>
      <c r="F238" s="828">
        <v>36.889699999999998</v>
      </c>
      <c r="G238" s="828">
        <v>23</v>
      </c>
      <c r="H238" s="828">
        <v>1</v>
      </c>
      <c r="I238" s="828">
        <v>4</v>
      </c>
      <c r="J238" s="828">
        <v>14</v>
      </c>
      <c r="K238" s="828">
        <v>8</v>
      </c>
      <c r="L238" s="828">
        <v>2</v>
      </c>
      <c r="N238" s="222" t="s">
        <v>539</v>
      </c>
      <c r="O238" s="222" t="s">
        <v>2044</v>
      </c>
      <c r="P238" s="824">
        <v>19263</v>
      </c>
      <c r="Q238" s="824">
        <v>9.25183</v>
      </c>
      <c r="R238" s="824">
        <v>36.889699999999998</v>
      </c>
      <c r="S238" s="824">
        <v>6.07369</v>
      </c>
      <c r="T238" s="824">
        <v>23</v>
      </c>
      <c r="U238" s="824">
        <v>1</v>
      </c>
      <c r="V238" s="824">
        <v>4</v>
      </c>
      <c r="W238" s="824">
        <v>14</v>
      </c>
      <c r="X238" s="824">
        <v>8</v>
      </c>
      <c r="Y238" s="824">
        <v>2</v>
      </c>
      <c r="Z238" s="480" t="str">
        <f t="shared" si="3"/>
        <v/>
      </c>
    </row>
    <row r="239" spans="1:26">
      <c r="A239" s="825" t="s">
        <v>540</v>
      </c>
      <c r="B239" s="826">
        <v>15961</v>
      </c>
      <c r="C239" s="827"/>
      <c r="D239" s="828">
        <v>12.706910000000001</v>
      </c>
      <c r="E239" s="828">
        <v>7.7914199999999996</v>
      </c>
      <c r="F239" s="828">
        <v>60.706200000000003</v>
      </c>
      <c r="G239" s="828">
        <v>29</v>
      </c>
      <c r="H239" s="828">
        <v>1</v>
      </c>
      <c r="I239" s="828">
        <v>6</v>
      </c>
      <c r="J239" s="828">
        <v>19</v>
      </c>
      <c r="K239" s="828">
        <v>12</v>
      </c>
      <c r="L239" s="828">
        <v>4</v>
      </c>
      <c r="N239" s="222" t="s">
        <v>540</v>
      </c>
      <c r="O239" s="222" t="s">
        <v>541</v>
      </c>
      <c r="P239" s="824">
        <v>15961</v>
      </c>
      <c r="Q239" s="824">
        <v>12.706910000000001</v>
      </c>
      <c r="R239" s="824">
        <v>60.706200000000003</v>
      </c>
      <c r="S239" s="824">
        <v>7.7914199999999996</v>
      </c>
      <c r="T239" s="824">
        <v>29</v>
      </c>
      <c r="U239" s="824">
        <v>1</v>
      </c>
      <c r="V239" s="824">
        <v>6</v>
      </c>
      <c r="W239" s="824">
        <v>19</v>
      </c>
      <c r="X239" s="824">
        <v>12</v>
      </c>
      <c r="Y239" s="824">
        <v>4</v>
      </c>
      <c r="Z239" s="480" t="str">
        <f t="shared" si="3"/>
        <v/>
      </c>
    </row>
    <row r="240" spans="1:26">
      <c r="A240" s="825" t="s">
        <v>542</v>
      </c>
      <c r="B240" s="826">
        <v>7594</v>
      </c>
      <c r="C240" s="827"/>
      <c r="D240" s="828">
        <v>11.87543</v>
      </c>
      <c r="E240" s="828">
        <v>7.8037599999999996</v>
      </c>
      <c r="F240" s="828">
        <v>60.898739999999997</v>
      </c>
      <c r="G240" s="828">
        <v>29</v>
      </c>
      <c r="H240" s="828">
        <v>1</v>
      </c>
      <c r="I240" s="828">
        <v>5</v>
      </c>
      <c r="J240" s="828">
        <v>18</v>
      </c>
      <c r="K240" s="828">
        <v>10</v>
      </c>
      <c r="L240" s="828">
        <v>5</v>
      </c>
      <c r="N240" s="222" t="s">
        <v>542</v>
      </c>
      <c r="O240" s="222" t="s">
        <v>2045</v>
      </c>
      <c r="P240" s="824">
        <v>7594</v>
      </c>
      <c r="Q240" s="824">
        <v>11.87543</v>
      </c>
      <c r="R240" s="824">
        <v>60.898739999999997</v>
      </c>
      <c r="S240" s="824">
        <v>7.8037599999999996</v>
      </c>
      <c r="T240" s="824">
        <v>29</v>
      </c>
      <c r="U240" s="824">
        <v>1</v>
      </c>
      <c r="V240" s="824">
        <v>5</v>
      </c>
      <c r="W240" s="824">
        <v>18</v>
      </c>
      <c r="X240" s="824">
        <v>10</v>
      </c>
      <c r="Y240" s="824">
        <v>5</v>
      </c>
      <c r="Z240" s="480" t="str">
        <f t="shared" si="3"/>
        <v/>
      </c>
    </row>
    <row r="241" spans="1:26">
      <c r="A241" s="825" t="s">
        <v>543</v>
      </c>
      <c r="B241" s="826">
        <v>14719</v>
      </c>
      <c r="C241" s="827"/>
      <c r="D241" s="828">
        <v>11.692030000000001</v>
      </c>
      <c r="E241" s="828">
        <v>7.2531800000000004</v>
      </c>
      <c r="F241" s="828">
        <v>52.60857</v>
      </c>
      <c r="G241" s="828">
        <v>27</v>
      </c>
      <c r="H241" s="828">
        <v>1</v>
      </c>
      <c r="I241" s="828">
        <v>5</v>
      </c>
      <c r="J241" s="828">
        <v>17</v>
      </c>
      <c r="K241" s="828">
        <v>11</v>
      </c>
      <c r="L241" s="828">
        <v>3</v>
      </c>
      <c r="N241" s="222" t="s">
        <v>543</v>
      </c>
      <c r="O241" s="222" t="s">
        <v>2046</v>
      </c>
      <c r="P241" s="824">
        <v>14719</v>
      </c>
      <c r="Q241" s="824">
        <v>11.692030000000001</v>
      </c>
      <c r="R241" s="824">
        <v>52.60857</v>
      </c>
      <c r="S241" s="824">
        <v>7.2531800000000004</v>
      </c>
      <c r="T241" s="824">
        <v>27</v>
      </c>
      <c r="U241" s="824">
        <v>1</v>
      </c>
      <c r="V241" s="824">
        <v>5</v>
      </c>
      <c r="W241" s="824">
        <v>17</v>
      </c>
      <c r="X241" s="824">
        <v>11</v>
      </c>
      <c r="Y241" s="824">
        <v>3</v>
      </c>
      <c r="Z241" s="480" t="str">
        <f t="shared" si="3"/>
        <v/>
      </c>
    </row>
    <row r="242" spans="1:26">
      <c r="A242" s="825" t="s">
        <v>544</v>
      </c>
      <c r="B242" s="826">
        <v>6365</v>
      </c>
      <c r="C242" s="827"/>
      <c r="D242" s="828">
        <v>11.746740000000001</v>
      </c>
      <c r="E242" s="828">
        <v>7.3051700000000004</v>
      </c>
      <c r="F242" s="828">
        <v>53.365450000000003</v>
      </c>
      <c r="G242" s="828">
        <v>27</v>
      </c>
      <c r="H242" s="828">
        <v>1</v>
      </c>
      <c r="I242" s="828">
        <v>5</v>
      </c>
      <c r="J242" s="828">
        <v>17</v>
      </c>
      <c r="K242" s="828">
        <v>11</v>
      </c>
      <c r="L242" s="828">
        <v>2</v>
      </c>
      <c r="N242" s="222" t="s">
        <v>544</v>
      </c>
      <c r="O242" s="222" t="s">
        <v>545</v>
      </c>
      <c r="P242" s="824">
        <v>6365</v>
      </c>
      <c r="Q242" s="824">
        <v>11.746740000000001</v>
      </c>
      <c r="R242" s="824">
        <v>53.365450000000003</v>
      </c>
      <c r="S242" s="824">
        <v>7.3051700000000004</v>
      </c>
      <c r="T242" s="824">
        <v>27</v>
      </c>
      <c r="U242" s="824">
        <v>1</v>
      </c>
      <c r="V242" s="824">
        <v>5</v>
      </c>
      <c r="W242" s="824">
        <v>17</v>
      </c>
      <c r="X242" s="824">
        <v>11</v>
      </c>
      <c r="Y242" s="824">
        <v>2</v>
      </c>
      <c r="Z242" s="480" t="str">
        <f t="shared" si="3"/>
        <v/>
      </c>
    </row>
    <row r="243" spans="1:26">
      <c r="A243" s="825" t="s">
        <v>546</v>
      </c>
      <c r="B243" s="826">
        <v>2858</v>
      </c>
      <c r="C243" s="827"/>
      <c r="D243" s="828">
        <v>10.977959999999999</v>
      </c>
      <c r="E243" s="828">
        <v>7.0361200000000004</v>
      </c>
      <c r="F243" s="828">
        <v>49.507040000000003</v>
      </c>
      <c r="G243" s="828">
        <v>26</v>
      </c>
      <c r="H243" s="828">
        <v>1</v>
      </c>
      <c r="I243" s="828">
        <v>5</v>
      </c>
      <c r="J243" s="828">
        <v>17</v>
      </c>
      <c r="K243" s="828">
        <v>10</v>
      </c>
      <c r="L243" s="828">
        <v>2</v>
      </c>
      <c r="N243" s="222" t="s">
        <v>546</v>
      </c>
      <c r="O243" s="222" t="s">
        <v>547</v>
      </c>
      <c r="P243" s="824">
        <v>2858</v>
      </c>
      <c r="Q243" s="824">
        <v>10.977959999999999</v>
      </c>
      <c r="R243" s="824">
        <v>49.507040000000003</v>
      </c>
      <c r="S243" s="824">
        <v>7.0361200000000004</v>
      </c>
      <c r="T243" s="824">
        <v>26</v>
      </c>
      <c r="U243" s="824">
        <v>1</v>
      </c>
      <c r="V243" s="824">
        <v>5</v>
      </c>
      <c r="W243" s="824">
        <v>17</v>
      </c>
      <c r="X243" s="824">
        <v>10</v>
      </c>
      <c r="Y243" s="824">
        <v>2</v>
      </c>
      <c r="Z243" s="480" t="str">
        <f t="shared" si="3"/>
        <v/>
      </c>
    </row>
    <row r="244" spans="1:26">
      <c r="A244" s="825" t="s">
        <v>548</v>
      </c>
      <c r="B244" s="826">
        <v>30284</v>
      </c>
      <c r="C244" s="827"/>
      <c r="D244" s="828">
        <v>12.82086</v>
      </c>
      <c r="E244" s="828">
        <v>8.2409800000000004</v>
      </c>
      <c r="F244" s="828">
        <v>67.913719999999998</v>
      </c>
      <c r="G244" s="828">
        <v>32</v>
      </c>
      <c r="H244" s="828">
        <v>1</v>
      </c>
      <c r="I244" s="828">
        <v>6</v>
      </c>
      <c r="J244" s="828">
        <v>19</v>
      </c>
      <c r="K244" s="828">
        <v>12</v>
      </c>
      <c r="L244" s="828">
        <v>3</v>
      </c>
      <c r="N244" s="222" t="s">
        <v>548</v>
      </c>
      <c r="O244" s="222" t="s">
        <v>549</v>
      </c>
      <c r="P244" s="824">
        <v>30284</v>
      </c>
      <c r="Q244" s="824">
        <v>12.82086</v>
      </c>
      <c r="R244" s="824">
        <v>67.913719999999998</v>
      </c>
      <c r="S244" s="824">
        <v>8.2409800000000004</v>
      </c>
      <c r="T244" s="824">
        <v>32</v>
      </c>
      <c r="U244" s="824">
        <v>1</v>
      </c>
      <c r="V244" s="824">
        <v>6</v>
      </c>
      <c r="W244" s="824">
        <v>19</v>
      </c>
      <c r="X244" s="824">
        <v>12</v>
      </c>
      <c r="Y244" s="824">
        <v>3</v>
      </c>
      <c r="Z244" s="480" t="str">
        <f t="shared" si="3"/>
        <v/>
      </c>
    </row>
    <row r="245" spans="1:26">
      <c r="A245" s="825" t="s">
        <v>550</v>
      </c>
      <c r="B245" s="826">
        <v>498</v>
      </c>
      <c r="C245" s="827"/>
      <c r="D245" s="828">
        <v>12.168670000000001</v>
      </c>
      <c r="E245" s="828">
        <v>7.4854399999999996</v>
      </c>
      <c r="F245" s="828">
        <v>56.031849999999999</v>
      </c>
      <c r="G245" s="828">
        <v>28</v>
      </c>
      <c r="H245" s="828">
        <v>1</v>
      </c>
      <c r="I245" s="828">
        <v>6</v>
      </c>
      <c r="J245" s="828">
        <v>18</v>
      </c>
      <c r="K245" s="828">
        <v>11</v>
      </c>
      <c r="L245" s="828">
        <v>2</v>
      </c>
      <c r="N245" s="222" t="s">
        <v>550</v>
      </c>
      <c r="O245" s="222" t="s">
        <v>551</v>
      </c>
      <c r="P245" s="824">
        <v>498</v>
      </c>
      <c r="Q245" s="824">
        <v>12.168670000000001</v>
      </c>
      <c r="R245" s="824">
        <v>56.031849999999999</v>
      </c>
      <c r="S245" s="824">
        <v>7.4854399999999996</v>
      </c>
      <c r="T245" s="824">
        <v>28</v>
      </c>
      <c r="U245" s="824">
        <v>1</v>
      </c>
      <c r="V245" s="824">
        <v>6</v>
      </c>
      <c r="W245" s="824">
        <v>18</v>
      </c>
      <c r="X245" s="824">
        <v>11</v>
      </c>
      <c r="Y245" s="824">
        <v>2</v>
      </c>
      <c r="Z245" s="480" t="str">
        <f t="shared" si="3"/>
        <v/>
      </c>
    </row>
    <row r="246" spans="1:26">
      <c r="A246" s="825" t="s">
        <v>552</v>
      </c>
      <c r="B246" s="826">
        <v>953</v>
      </c>
      <c r="C246" s="827"/>
      <c r="D246" s="828">
        <v>10.891920000000001</v>
      </c>
      <c r="E246" s="828">
        <v>6.6766500000000004</v>
      </c>
      <c r="F246" s="828">
        <v>44.577590000000001</v>
      </c>
      <c r="G246" s="828">
        <v>25</v>
      </c>
      <c r="H246" s="828">
        <v>1</v>
      </c>
      <c r="I246" s="828">
        <v>5</v>
      </c>
      <c r="J246" s="828">
        <v>16</v>
      </c>
      <c r="K246" s="828">
        <v>10</v>
      </c>
      <c r="L246" s="828">
        <v>4</v>
      </c>
      <c r="N246" s="222" t="s">
        <v>552</v>
      </c>
      <c r="O246" s="222" t="s">
        <v>553</v>
      </c>
      <c r="P246" s="824">
        <v>953</v>
      </c>
      <c r="Q246" s="824">
        <v>10.891920000000001</v>
      </c>
      <c r="R246" s="824">
        <v>44.577590000000001</v>
      </c>
      <c r="S246" s="824">
        <v>6.6766500000000004</v>
      </c>
      <c r="T246" s="824">
        <v>25</v>
      </c>
      <c r="U246" s="824">
        <v>1</v>
      </c>
      <c r="V246" s="824">
        <v>5</v>
      </c>
      <c r="W246" s="824">
        <v>16</v>
      </c>
      <c r="X246" s="824">
        <v>10</v>
      </c>
      <c r="Y246" s="824">
        <v>4</v>
      </c>
      <c r="Z246" s="480" t="str">
        <f t="shared" si="3"/>
        <v/>
      </c>
    </row>
    <row r="247" spans="1:26">
      <c r="A247" s="825" t="s">
        <v>554</v>
      </c>
      <c r="B247" s="826">
        <v>5</v>
      </c>
      <c r="C247" s="827"/>
      <c r="D247" s="828">
        <v>10.8</v>
      </c>
      <c r="E247" s="828">
        <v>9.1213999999999995</v>
      </c>
      <c r="F247" s="828">
        <v>83.2</v>
      </c>
      <c r="G247" s="828">
        <v>20</v>
      </c>
      <c r="H247" s="828">
        <v>1</v>
      </c>
      <c r="I247" s="828">
        <v>1</v>
      </c>
      <c r="J247" s="828">
        <v>17</v>
      </c>
      <c r="K247" s="828">
        <v>15</v>
      </c>
      <c r="L247" s="828">
        <v>1</v>
      </c>
      <c r="N247" s="222" t="s">
        <v>554</v>
      </c>
      <c r="O247" s="222" t="s">
        <v>2047</v>
      </c>
      <c r="P247" s="824">
        <v>5</v>
      </c>
      <c r="Q247" s="824">
        <v>10.8</v>
      </c>
      <c r="R247" s="824">
        <v>83.2</v>
      </c>
      <c r="S247" s="824">
        <v>9.1213999999999995</v>
      </c>
      <c r="T247" s="824">
        <v>20</v>
      </c>
      <c r="U247" s="824">
        <v>1</v>
      </c>
      <c r="V247" s="824">
        <v>1</v>
      </c>
      <c r="W247" s="824">
        <v>17</v>
      </c>
      <c r="X247" s="824">
        <v>15</v>
      </c>
      <c r="Y247" s="824">
        <v>1</v>
      </c>
      <c r="Z247" s="480" t="str">
        <f t="shared" si="3"/>
        <v/>
      </c>
    </row>
    <row r="248" spans="1:26">
      <c r="A248" s="825" t="s">
        <v>555</v>
      </c>
      <c r="B248" s="826">
        <v>1516</v>
      </c>
      <c r="C248" s="827"/>
      <c r="D248" s="828">
        <v>12.323880000000001</v>
      </c>
      <c r="E248" s="828">
        <v>7.1296299999999997</v>
      </c>
      <c r="F248" s="828">
        <v>50.831670000000003</v>
      </c>
      <c r="G248" s="828">
        <v>28</v>
      </c>
      <c r="H248" s="828">
        <v>1</v>
      </c>
      <c r="I248" s="828">
        <v>6</v>
      </c>
      <c r="J248" s="828">
        <v>18</v>
      </c>
      <c r="K248" s="828">
        <v>12</v>
      </c>
      <c r="L248" s="828">
        <v>5</v>
      </c>
      <c r="N248" s="222" t="s">
        <v>555</v>
      </c>
      <c r="O248" s="222" t="s">
        <v>556</v>
      </c>
      <c r="P248" s="824">
        <v>1516</v>
      </c>
      <c r="Q248" s="824">
        <v>12.323880000000001</v>
      </c>
      <c r="R248" s="824">
        <v>50.831670000000003</v>
      </c>
      <c r="S248" s="824">
        <v>7.1296299999999997</v>
      </c>
      <c r="T248" s="824">
        <v>28</v>
      </c>
      <c r="U248" s="824">
        <v>1</v>
      </c>
      <c r="V248" s="824">
        <v>6</v>
      </c>
      <c r="W248" s="824">
        <v>18</v>
      </c>
      <c r="X248" s="824">
        <v>12</v>
      </c>
      <c r="Y248" s="824">
        <v>5</v>
      </c>
      <c r="Z248" s="480" t="str">
        <f t="shared" si="3"/>
        <v/>
      </c>
    </row>
    <row r="249" spans="1:26">
      <c r="A249" s="825" t="s">
        <v>557</v>
      </c>
      <c r="B249" s="826">
        <v>7171</v>
      </c>
      <c r="C249" s="827"/>
      <c r="D249" s="828">
        <v>6.8122999999999996</v>
      </c>
      <c r="E249" s="828">
        <v>6.5322199999999997</v>
      </c>
      <c r="F249" s="828">
        <v>42.669919999999998</v>
      </c>
      <c r="G249" s="828">
        <v>53</v>
      </c>
      <c r="H249" s="828">
        <v>1</v>
      </c>
      <c r="I249" s="828">
        <v>2</v>
      </c>
      <c r="J249" s="828">
        <v>9</v>
      </c>
      <c r="K249" s="828">
        <v>5</v>
      </c>
      <c r="L249" s="828">
        <v>2</v>
      </c>
      <c r="N249" s="222" t="s">
        <v>557</v>
      </c>
      <c r="O249" s="222" t="s">
        <v>2048</v>
      </c>
      <c r="P249" s="824">
        <v>7171</v>
      </c>
      <c r="Q249" s="824">
        <v>6.8122999999999996</v>
      </c>
      <c r="R249" s="824">
        <v>42.669919999999998</v>
      </c>
      <c r="S249" s="824">
        <v>6.5322199999999997</v>
      </c>
      <c r="T249" s="824">
        <v>53</v>
      </c>
      <c r="U249" s="824">
        <v>1</v>
      </c>
      <c r="V249" s="824">
        <v>2</v>
      </c>
      <c r="W249" s="824">
        <v>9</v>
      </c>
      <c r="X249" s="824">
        <v>5</v>
      </c>
      <c r="Y249" s="824">
        <v>2</v>
      </c>
      <c r="Z249" s="480" t="str">
        <f t="shared" si="3"/>
        <v/>
      </c>
    </row>
    <row r="250" spans="1:26">
      <c r="A250" s="825" t="s">
        <v>558</v>
      </c>
      <c r="B250" s="826">
        <v>2223</v>
      </c>
      <c r="C250" s="827"/>
      <c r="D250" s="828">
        <v>7.7872199999999996</v>
      </c>
      <c r="E250" s="828">
        <v>7.2691100000000004</v>
      </c>
      <c r="F250" s="828">
        <v>52.839939999999999</v>
      </c>
      <c r="G250" s="828">
        <v>49</v>
      </c>
      <c r="H250" s="828">
        <v>1</v>
      </c>
      <c r="I250" s="828">
        <v>3</v>
      </c>
      <c r="J250" s="828">
        <v>10</v>
      </c>
      <c r="K250" s="828">
        <v>5</v>
      </c>
      <c r="L250" s="828">
        <v>2</v>
      </c>
      <c r="N250" s="222" t="s">
        <v>558</v>
      </c>
      <c r="O250" s="222" t="s">
        <v>2049</v>
      </c>
      <c r="P250" s="824">
        <v>2223</v>
      </c>
      <c r="Q250" s="824">
        <v>7.7872199999999996</v>
      </c>
      <c r="R250" s="824">
        <v>52.839939999999999</v>
      </c>
      <c r="S250" s="824">
        <v>7.2691100000000004</v>
      </c>
      <c r="T250" s="824">
        <v>49</v>
      </c>
      <c r="U250" s="824">
        <v>1</v>
      </c>
      <c r="V250" s="824">
        <v>3</v>
      </c>
      <c r="W250" s="824">
        <v>10</v>
      </c>
      <c r="X250" s="824">
        <v>5</v>
      </c>
      <c r="Y250" s="824">
        <v>2</v>
      </c>
      <c r="Z250" s="480" t="str">
        <f t="shared" si="3"/>
        <v/>
      </c>
    </row>
    <row r="251" spans="1:26">
      <c r="A251" s="825" t="s">
        <v>559</v>
      </c>
      <c r="B251" s="826">
        <v>1416</v>
      </c>
      <c r="C251" s="827"/>
      <c r="D251" s="828">
        <v>7.0458999999999996</v>
      </c>
      <c r="E251" s="828">
        <v>6.4919599999999997</v>
      </c>
      <c r="F251" s="828">
        <v>42.145589999999999</v>
      </c>
      <c r="G251" s="828">
        <v>45</v>
      </c>
      <c r="H251" s="828">
        <v>1</v>
      </c>
      <c r="I251" s="828">
        <v>3</v>
      </c>
      <c r="J251" s="828">
        <v>9</v>
      </c>
      <c r="K251" s="828">
        <v>5</v>
      </c>
      <c r="L251" s="828">
        <v>2</v>
      </c>
      <c r="N251" s="222" t="s">
        <v>559</v>
      </c>
      <c r="O251" s="222" t="s">
        <v>2050</v>
      </c>
      <c r="P251" s="824">
        <v>1416</v>
      </c>
      <c r="Q251" s="824">
        <v>7.0458999999999996</v>
      </c>
      <c r="R251" s="824">
        <v>42.145589999999999</v>
      </c>
      <c r="S251" s="824">
        <v>6.4919599999999997</v>
      </c>
      <c r="T251" s="824">
        <v>45</v>
      </c>
      <c r="U251" s="824">
        <v>1</v>
      </c>
      <c r="V251" s="824">
        <v>3</v>
      </c>
      <c r="W251" s="824">
        <v>9</v>
      </c>
      <c r="X251" s="824">
        <v>5</v>
      </c>
      <c r="Y251" s="824">
        <v>2</v>
      </c>
      <c r="Z251" s="480" t="str">
        <f t="shared" si="3"/>
        <v/>
      </c>
    </row>
    <row r="252" spans="1:26">
      <c r="A252" s="825" t="s">
        <v>560</v>
      </c>
      <c r="B252" s="826">
        <v>502</v>
      </c>
      <c r="C252" s="827"/>
      <c r="D252" s="828">
        <v>10.39044</v>
      </c>
      <c r="E252" s="828">
        <v>8.3581800000000008</v>
      </c>
      <c r="F252" s="828">
        <v>69.859229999999997</v>
      </c>
      <c r="G252" s="828">
        <v>54</v>
      </c>
      <c r="H252" s="828">
        <v>1</v>
      </c>
      <c r="I252" s="828">
        <v>4</v>
      </c>
      <c r="J252" s="828">
        <v>14</v>
      </c>
      <c r="K252" s="828">
        <v>8</v>
      </c>
      <c r="L252" s="828">
        <v>2</v>
      </c>
      <c r="N252" s="222" t="s">
        <v>560</v>
      </c>
      <c r="O252" s="222" t="s">
        <v>2051</v>
      </c>
      <c r="P252" s="824">
        <v>502</v>
      </c>
      <c r="Q252" s="824">
        <v>10.39044</v>
      </c>
      <c r="R252" s="824">
        <v>69.859229999999997</v>
      </c>
      <c r="S252" s="824">
        <v>8.3581800000000008</v>
      </c>
      <c r="T252" s="824">
        <v>54</v>
      </c>
      <c r="U252" s="824">
        <v>1</v>
      </c>
      <c r="V252" s="824">
        <v>4</v>
      </c>
      <c r="W252" s="824">
        <v>14</v>
      </c>
      <c r="X252" s="824">
        <v>8</v>
      </c>
      <c r="Y252" s="824">
        <v>2</v>
      </c>
      <c r="Z252" s="480" t="str">
        <f t="shared" si="3"/>
        <v/>
      </c>
    </row>
    <row r="253" spans="1:26">
      <c r="A253" s="825" t="s">
        <v>561</v>
      </c>
      <c r="B253" s="826">
        <v>32238</v>
      </c>
      <c r="C253" s="827"/>
      <c r="D253" s="828">
        <v>8.8750199999999992</v>
      </c>
      <c r="E253" s="828">
        <v>5.8045</v>
      </c>
      <c r="F253" s="828">
        <v>33.692259999999997</v>
      </c>
      <c r="G253" s="828">
        <v>22</v>
      </c>
      <c r="H253" s="828">
        <v>1</v>
      </c>
      <c r="I253" s="828">
        <v>4</v>
      </c>
      <c r="J253" s="828">
        <v>13</v>
      </c>
      <c r="K253" s="828">
        <v>8</v>
      </c>
      <c r="L253" s="828">
        <v>3</v>
      </c>
      <c r="N253" s="222" t="s">
        <v>561</v>
      </c>
      <c r="O253" s="222" t="s">
        <v>562</v>
      </c>
      <c r="P253" s="824">
        <v>32238</v>
      </c>
      <c r="Q253" s="824">
        <v>8.8750199999999992</v>
      </c>
      <c r="R253" s="824">
        <v>33.692259999999997</v>
      </c>
      <c r="S253" s="824">
        <v>5.8045</v>
      </c>
      <c r="T253" s="824">
        <v>22</v>
      </c>
      <c r="U253" s="824">
        <v>1</v>
      </c>
      <c r="V253" s="824">
        <v>4</v>
      </c>
      <c r="W253" s="824">
        <v>13</v>
      </c>
      <c r="X253" s="824">
        <v>8</v>
      </c>
      <c r="Y253" s="824">
        <v>3</v>
      </c>
      <c r="Z253" s="480" t="str">
        <f t="shared" si="3"/>
        <v/>
      </c>
    </row>
    <row r="254" spans="1:26">
      <c r="A254" s="825" t="s">
        <v>563</v>
      </c>
      <c r="B254" s="826">
        <v>995</v>
      </c>
      <c r="C254" s="827"/>
      <c r="D254" s="828">
        <v>10.53166</v>
      </c>
      <c r="E254" s="828">
        <v>6.8135399999999997</v>
      </c>
      <c r="F254" s="828">
        <v>46.424300000000002</v>
      </c>
      <c r="G254" s="828">
        <v>25</v>
      </c>
      <c r="H254" s="828">
        <v>1</v>
      </c>
      <c r="I254" s="828">
        <v>4</v>
      </c>
      <c r="J254" s="828">
        <v>16</v>
      </c>
      <c r="K254" s="828">
        <v>9</v>
      </c>
      <c r="L254" s="828">
        <v>3</v>
      </c>
      <c r="N254" s="222" t="s">
        <v>563</v>
      </c>
      <c r="O254" s="222" t="s">
        <v>2052</v>
      </c>
      <c r="P254" s="824">
        <v>995</v>
      </c>
      <c r="Q254" s="824">
        <v>10.53166</v>
      </c>
      <c r="R254" s="824">
        <v>46.424300000000002</v>
      </c>
      <c r="S254" s="824">
        <v>6.8135399999999997</v>
      </c>
      <c r="T254" s="824">
        <v>25</v>
      </c>
      <c r="U254" s="824">
        <v>1</v>
      </c>
      <c r="V254" s="824">
        <v>4</v>
      </c>
      <c r="W254" s="824">
        <v>16</v>
      </c>
      <c r="X254" s="824">
        <v>9</v>
      </c>
      <c r="Y254" s="824">
        <v>3</v>
      </c>
      <c r="Z254" s="480" t="str">
        <f t="shared" si="3"/>
        <v/>
      </c>
    </row>
    <row r="255" spans="1:26">
      <c r="A255" s="825" t="s">
        <v>564</v>
      </c>
      <c r="B255" s="826">
        <v>1655</v>
      </c>
      <c r="C255" s="827"/>
      <c r="D255" s="828">
        <v>10.38852</v>
      </c>
      <c r="E255" s="828">
        <v>6.5369900000000003</v>
      </c>
      <c r="F255" s="828">
        <v>42.73227</v>
      </c>
      <c r="G255" s="828">
        <v>24</v>
      </c>
      <c r="H255" s="828">
        <v>1</v>
      </c>
      <c r="I255" s="828">
        <v>5</v>
      </c>
      <c r="J255" s="828">
        <v>16</v>
      </c>
      <c r="K255" s="828">
        <v>10</v>
      </c>
      <c r="L255" s="828">
        <v>4</v>
      </c>
      <c r="N255" s="222" t="s">
        <v>564</v>
      </c>
      <c r="O255" s="222" t="s">
        <v>2053</v>
      </c>
      <c r="P255" s="824">
        <v>1655</v>
      </c>
      <c r="Q255" s="824">
        <v>10.38852</v>
      </c>
      <c r="R255" s="824">
        <v>42.73227</v>
      </c>
      <c r="S255" s="824">
        <v>6.5369900000000003</v>
      </c>
      <c r="T255" s="824">
        <v>24</v>
      </c>
      <c r="U255" s="824">
        <v>1</v>
      </c>
      <c r="V255" s="824">
        <v>5</v>
      </c>
      <c r="W255" s="824">
        <v>16</v>
      </c>
      <c r="X255" s="824">
        <v>10</v>
      </c>
      <c r="Y255" s="824">
        <v>4</v>
      </c>
      <c r="Z255" s="480" t="str">
        <f t="shared" si="3"/>
        <v/>
      </c>
    </row>
    <row r="256" spans="1:26">
      <c r="A256" s="825" t="s">
        <v>565</v>
      </c>
      <c r="B256" s="826">
        <v>3915</v>
      </c>
      <c r="C256" s="827"/>
      <c r="D256" s="828">
        <v>9.1627100000000006</v>
      </c>
      <c r="E256" s="828">
        <v>5.6128999999999998</v>
      </c>
      <c r="F256" s="828">
        <v>31.50469</v>
      </c>
      <c r="G256" s="828">
        <v>21</v>
      </c>
      <c r="H256" s="828">
        <v>1</v>
      </c>
      <c r="I256" s="828">
        <v>4</v>
      </c>
      <c r="J256" s="828">
        <v>13</v>
      </c>
      <c r="K256" s="828">
        <v>8</v>
      </c>
      <c r="L256" s="828">
        <v>3</v>
      </c>
      <c r="N256" s="222" t="s">
        <v>565</v>
      </c>
      <c r="O256" s="222" t="s">
        <v>2054</v>
      </c>
      <c r="P256" s="824">
        <v>3915</v>
      </c>
      <c r="Q256" s="824">
        <v>9.1627100000000006</v>
      </c>
      <c r="R256" s="824">
        <v>31.50469</v>
      </c>
      <c r="S256" s="824">
        <v>5.6128999999999998</v>
      </c>
      <c r="T256" s="824">
        <v>21</v>
      </c>
      <c r="U256" s="824">
        <v>1</v>
      </c>
      <c r="V256" s="824">
        <v>4</v>
      </c>
      <c r="W256" s="824">
        <v>13</v>
      </c>
      <c r="X256" s="824">
        <v>8</v>
      </c>
      <c r="Y256" s="824">
        <v>3</v>
      </c>
      <c r="Z256" s="480" t="str">
        <f t="shared" si="3"/>
        <v/>
      </c>
    </row>
    <row r="257" spans="1:26">
      <c r="A257" s="825" t="s">
        <v>566</v>
      </c>
      <c r="B257" s="826">
        <v>9039</v>
      </c>
      <c r="C257" s="827"/>
      <c r="D257" s="828">
        <v>8.0199099999999994</v>
      </c>
      <c r="E257" s="828">
        <v>5.2132699999999996</v>
      </c>
      <c r="F257" s="828">
        <v>27.178180000000001</v>
      </c>
      <c r="G257" s="828">
        <v>20</v>
      </c>
      <c r="H257" s="828">
        <v>1</v>
      </c>
      <c r="I257" s="828">
        <v>4</v>
      </c>
      <c r="J257" s="828">
        <v>12</v>
      </c>
      <c r="K257" s="828">
        <v>7</v>
      </c>
      <c r="L257" s="828">
        <v>3</v>
      </c>
      <c r="N257" s="222" t="s">
        <v>566</v>
      </c>
      <c r="O257" s="222" t="s">
        <v>2055</v>
      </c>
      <c r="P257" s="824">
        <v>9039</v>
      </c>
      <c r="Q257" s="824">
        <v>8.0199099999999994</v>
      </c>
      <c r="R257" s="824">
        <v>27.178180000000001</v>
      </c>
      <c r="S257" s="824">
        <v>5.2132699999999996</v>
      </c>
      <c r="T257" s="824">
        <v>20</v>
      </c>
      <c r="U257" s="824">
        <v>1</v>
      </c>
      <c r="V257" s="824">
        <v>4</v>
      </c>
      <c r="W257" s="824">
        <v>12</v>
      </c>
      <c r="X257" s="824">
        <v>7</v>
      </c>
      <c r="Y257" s="824">
        <v>3</v>
      </c>
      <c r="Z257" s="480" t="str">
        <f t="shared" si="3"/>
        <v/>
      </c>
    </row>
    <row r="258" spans="1:26">
      <c r="A258" s="825" t="s">
        <v>567</v>
      </c>
      <c r="B258" s="826">
        <v>37812</v>
      </c>
      <c r="C258" s="827"/>
      <c r="D258" s="828">
        <v>9.7242700000000006</v>
      </c>
      <c r="E258" s="828">
        <v>6.0386100000000003</v>
      </c>
      <c r="F258" s="828">
        <v>36.464820000000003</v>
      </c>
      <c r="G258" s="828">
        <v>23</v>
      </c>
      <c r="H258" s="828">
        <v>1</v>
      </c>
      <c r="I258" s="828">
        <v>5</v>
      </c>
      <c r="J258" s="828">
        <v>14</v>
      </c>
      <c r="K258" s="828">
        <v>9</v>
      </c>
      <c r="L258" s="828">
        <v>3</v>
      </c>
      <c r="N258" s="222" t="s">
        <v>567</v>
      </c>
      <c r="O258" s="222" t="s">
        <v>2056</v>
      </c>
      <c r="P258" s="824">
        <v>37812</v>
      </c>
      <c r="Q258" s="824">
        <v>9.7242700000000006</v>
      </c>
      <c r="R258" s="824">
        <v>36.464820000000003</v>
      </c>
      <c r="S258" s="824">
        <v>6.0386100000000003</v>
      </c>
      <c r="T258" s="824">
        <v>23</v>
      </c>
      <c r="U258" s="824">
        <v>1</v>
      </c>
      <c r="V258" s="824">
        <v>5</v>
      </c>
      <c r="W258" s="824">
        <v>14</v>
      </c>
      <c r="X258" s="824">
        <v>9</v>
      </c>
      <c r="Y258" s="824">
        <v>3</v>
      </c>
      <c r="Z258" s="480" t="str">
        <f t="shared" si="3"/>
        <v/>
      </c>
    </row>
    <row r="259" spans="1:26">
      <c r="A259" s="825" t="s">
        <v>568</v>
      </c>
      <c r="B259" s="826">
        <v>23895</v>
      </c>
      <c r="C259" s="827"/>
      <c r="D259" s="828">
        <v>10.23047</v>
      </c>
      <c r="E259" s="828">
        <v>6.5989000000000004</v>
      </c>
      <c r="F259" s="828">
        <v>43.545490000000001</v>
      </c>
      <c r="G259" s="828">
        <v>25</v>
      </c>
      <c r="H259" s="828">
        <v>1</v>
      </c>
      <c r="I259" s="828">
        <v>5</v>
      </c>
      <c r="J259" s="828">
        <v>15</v>
      </c>
      <c r="K259" s="828">
        <v>9</v>
      </c>
      <c r="L259" s="828">
        <v>3</v>
      </c>
      <c r="N259" s="222" t="s">
        <v>568</v>
      </c>
      <c r="O259" s="222" t="s">
        <v>569</v>
      </c>
      <c r="P259" s="824">
        <v>23895</v>
      </c>
      <c r="Q259" s="824">
        <v>10.23047</v>
      </c>
      <c r="R259" s="824">
        <v>43.545490000000001</v>
      </c>
      <c r="S259" s="824">
        <v>6.5989000000000004</v>
      </c>
      <c r="T259" s="824">
        <v>25</v>
      </c>
      <c r="U259" s="824">
        <v>1</v>
      </c>
      <c r="V259" s="824">
        <v>5</v>
      </c>
      <c r="W259" s="824">
        <v>15</v>
      </c>
      <c r="X259" s="824">
        <v>9</v>
      </c>
      <c r="Y259" s="824">
        <v>3</v>
      </c>
      <c r="Z259" s="480" t="str">
        <f t="shared" si="3"/>
        <v/>
      </c>
    </row>
    <row r="260" spans="1:26">
      <c r="A260" s="825" t="s">
        <v>570</v>
      </c>
      <c r="B260" s="826">
        <v>29213</v>
      </c>
      <c r="C260" s="827"/>
      <c r="D260" s="828">
        <v>10.750730000000001</v>
      </c>
      <c r="E260" s="828">
        <v>8.8347499999999997</v>
      </c>
      <c r="F260" s="828">
        <v>78.052750000000003</v>
      </c>
      <c r="G260" s="828">
        <v>56</v>
      </c>
      <c r="H260" s="828">
        <v>1</v>
      </c>
      <c r="I260" s="828">
        <v>4</v>
      </c>
      <c r="J260" s="828">
        <v>15</v>
      </c>
      <c r="K260" s="828">
        <v>8</v>
      </c>
      <c r="L260" s="828">
        <v>3</v>
      </c>
      <c r="N260" s="222" t="s">
        <v>570</v>
      </c>
      <c r="O260" s="222" t="s">
        <v>571</v>
      </c>
      <c r="P260" s="824">
        <v>29213</v>
      </c>
      <c r="Q260" s="824">
        <v>10.750730000000001</v>
      </c>
      <c r="R260" s="824">
        <v>78.052750000000003</v>
      </c>
      <c r="S260" s="824">
        <v>8.8347499999999997</v>
      </c>
      <c r="T260" s="824">
        <v>56</v>
      </c>
      <c r="U260" s="824">
        <v>1</v>
      </c>
      <c r="V260" s="824">
        <v>4</v>
      </c>
      <c r="W260" s="824">
        <v>15</v>
      </c>
      <c r="X260" s="824">
        <v>8</v>
      </c>
      <c r="Y260" s="824">
        <v>3</v>
      </c>
      <c r="Z260" s="480" t="str">
        <f t="shared" ref="Z260:Z323" si="4">IF(AND(A260=N260,B260=P260,D260=Q260,E260=S260,F260=R260,G260=T260,H260=U260,I260=V260,J260=W260,K260,X260,L260=Y260),"","x")</f>
        <v/>
      </c>
    </row>
    <row r="261" spans="1:26">
      <c r="A261" s="825" t="s">
        <v>572</v>
      </c>
      <c r="B261" s="826">
        <v>58522</v>
      </c>
      <c r="C261" s="827"/>
      <c r="D261" s="828">
        <v>10.897460000000001</v>
      </c>
      <c r="E261" s="828">
        <v>8.7422400000000007</v>
      </c>
      <c r="F261" s="828">
        <v>76.426680000000005</v>
      </c>
      <c r="G261" s="828">
        <v>55</v>
      </c>
      <c r="H261" s="828">
        <v>1</v>
      </c>
      <c r="I261" s="828">
        <v>4</v>
      </c>
      <c r="J261" s="828">
        <v>15</v>
      </c>
      <c r="K261" s="828">
        <v>8</v>
      </c>
      <c r="L261" s="828">
        <v>3</v>
      </c>
      <c r="N261" s="222" t="s">
        <v>572</v>
      </c>
      <c r="O261" s="222" t="s">
        <v>2057</v>
      </c>
      <c r="P261" s="824">
        <v>58522</v>
      </c>
      <c r="Q261" s="824">
        <v>10.897460000000001</v>
      </c>
      <c r="R261" s="824">
        <v>76.426680000000005</v>
      </c>
      <c r="S261" s="824">
        <v>8.7422400000000007</v>
      </c>
      <c r="T261" s="824">
        <v>55</v>
      </c>
      <c r="U261" s="824">
        <v>1</v>
      </c>
      <c r="V261" s="824">
        <v>4</v>
      </c>
      <c r="W261" s="824">
        <v>15</v>
      </c>
      <c r="X261" s="824">
        <v>8</v>
      </c>
      <c r="Y261" s="824">
        <v>3</v>
      </c>
      <c r="Z261" s="480" t="str">
        <f t="shared" si="4"/>
        <v/>
      </c>
    </row>
    <row r="262" spans="1:26">
      <c r="A262" s="825" t="s">
        <v>573</v>
      </c>
      <c r="B262" s="826">
        <v>395</v>
      </c>
      <c r="C262" s="827"/>
      <c r="D262" s="828">
        <v>10.4481</v>
      </c>
      <c r="E262" s="828">
        <v>6.6751500000000004</v>
      </c>
      <c r="F262" s="828">
        <v>44.557580000000002</v>
      </c>
      <c r="G262" s="828">
        <v>27</v>
      </c>
      <c r="H262" s="828">
        <v>1</v>
      </c>
      <c r="I262" s="828">
        <v>5</v>
      </c>
      <c r="J262" s="828">
        <v>15</v>
      </c>
      <c r="K262" s="828">
        <v>9</v>
      </c>
      <c r="L262" s="828">
        <v>5</v>
      </c>
      <c r="N262" s="222" t="s">
        <v>573</v>
      </c>
      <c r="O262" s="222" t="s">
        <v>574</v>
      </c>
      <c r="P262" s="824">
        <v>395</v>
      </c>
      <c r="Q262" s="824">
        <v>10.4481</v>
      </c>
      <c r="R262" s="824">
        <v>44.557580000000002</v>
      </c>
      <c r="S262" s="824">
        <v>6.6751500000000004</v>
      </c>
      <c r="T262" s="824">
        <v>27</v>
      </c>
      <c r="U262" s="824">
        <v>1</v>
      </c>
      <c r="V262" s="824">
        <v>5</v>
      </c>
      <c r="W262" s="824">
        <v>15</v>
      </c>
      <c r="X262" s="824">
        <v>9</v>
      </c>
      <c r="Y262" s="824">
        <v>5</v>
      </c>
      <c r="Z262" s="480" t="str">
        <f t="shared" si="4"/>
        <v/>
      </c>
    </row>
    <row r="263" spans="1:26">
      <c r="A263" s="825" t="s">
        <v>575</v>
      </c>
      <c r="B263" s="826">
        <v>819</v>
      </c>
      <c r="C263" s="827"/>
      <c r="D263" s="828">
        <v>10.78877</v>
      </c>
      <c r="E263" s="828">
        <v>6.8498099999999997</v>
      </c>
      <c r="F263" s="828">
        <v>46.919870000000003</v>
      </c>
      <c r="G263" s="828">
        <v>27</v>
      </c>
      <c r="H263" s="828">
        <v>1</v>
      </c>
      <c r="I263" s="828">
        <v>5</v>
      </c>
      <c r="J263" s="828">
        <v>16</v>
      </c>
      <c r="K263" s="828">
        <v>10</v>
      </c>
      <c r="L263" s="828">
        <v>4</v>
      </c>
      <c r="N263" s="222" t="s">
        <v>575</v>
      </c>
      <c r="O263" s="222" t="s">
        <v>576</v>
      </c>
      <c r="P263" s="824">
        <v>819</v>
      </c>
      <c r="Q263" s="824">
        <v>10.78877</v>
      </c>
      <c r="R263" s="824">
        <v>46.919870000000003</v>
      </c>
      <c r="S263" s="824">
        <v>6.8498099999999997</v>
      </c>
      <c r="T263" s="824">
        <v>27</v>
      </c>
      <c r="U263" s="824">
        <v>1</v>
      </c>
      <c r="V263" s="824">
        <v>5</v>
      </c>
      <c r="W263" s="824">
        <v>16</v>
      </c>
      <c r="X263" s="824">
        <v>10</v>
      </c>
      <c r="Y263" s="824">
        <v>4</v>
      </c>
      <c r="Z263" s="480" t="str">
        <f t="shared" si="4"/>
        <v/>
      </c>
    </row>
    <row r="264" spans="1:26">
      <c r="A264" s="825" t="s">
        <v>577</v>
      </c>
      <c r="B264" s="826">
        <v>473</v>
      </c>
      <c r="C264" s="827"/>
      <c r="D264" s="828">
        <v>12.25581</v>
      </c>
      <c r="E264" s="828">
        <v>8.1292600000000004</v>
      </c>
      <c r="F264" s="828">
        <v>66.08484</v>
      </c>
      <c r="G264" s="828">
        <v>30</v>
      </c>
      <c r="H264" s="828">
        <v>1</v>
      </c>
      <c r="I264" s="828">
        <v>5</v>
      </c>
      <c r="J264" s="828">
        <v>18</v>
      </c>
      <c r="K264" s="828">
        <v>11</v>
      </c>
      <c r="L264" s="828">
        <v>4</v>
      </c>
      <c r="N264" s="222" t="s">
        <v>577</v>
      </c>
      <c r="O264" s="222" t="s">
        <v>578</v>
      </c>
      <c r="P264" s="824">
        <v>473</v>
      </c>
      <c r="Q264" s="824">
        <v>12.25581</v>
      </c>
      <c r="R264" s="824">
        <v>66.08484</v>
      </c>
      <c r="S264" s="824">
        <v>8.1292600000000004</v>
      </c>
      <c r="T264" s="824">
        <v>30</v>
      </c>
      <c r="U264" s="824">
        <v>1</v>
      </c>
      <c r="V264" s="824">
        <v>5</v>
      </c>
      <c r="W264" s="824">
        <v>18</v>
      </c>
      <c r="X264" s="824">
        <v>11</v>
      </c>
      <c r="Y264" s="824">
        <v>4</v>
      </c>
      <c r="Z264" s="480" t="str">
        <f t="shared" si="4"/>
        <v/>
      </c>
    </row>
    <row r="265" spans="1:26">
      <c r="A265" s="825" t="s">
        <v>579</v>
      </c>
      <c r="B265" s="826">
        <v>939</v>
      </c>
      <c r="C265" s="827"/>
      <c r="D265" s="828">
        <v>10.89883</v>
      </c>
      <c r="E265" s="828">
        <v>6.9099700000000004</v>
      </c>
      <c r="F265" s="828">
        <v>47.747750000000003</v>
      </c>
      <c r="G265" s="828">
        <v>26</v>
      </c>
      <c r="H265" s="828">
        <v>1</v>
      </c>
      <c r="I265" s="828">
        <v>5</v>
      </c>
      <c r="J265" s="828">
        <v>16</v>
      </c>
      <c r="K265" s="828">
        <v>10</v>
      </c>
      <c r="L265" s="828">
        <v>4</v>
      </c>
      <c r="N265" s="222" t="s">
        <v>579</v>
      </c>
      <c r="O265" s="222" t="s">
        <v>580</v>
      </c>
      <c r="P265" s="824">
        <v>939</v>
      </c>
      <c r="Q265" s="824">
        <v>10.89883</v>
      </c>
      <c r="R265" s="824">
        <v>47.747750000000003</v>
      </c>
      <c r="S265" s="824">
        <v>6.9099700000000004</v>
      </c>
      <c r="T265" s="824">
        <v>26</v>
      </c>
      <c r="U265" s="824">
        <v>1</v>
      </c>
      <c r="V265" s="824">
        <v>5</v>
      </c>
      <c r="W265" s="824">
        <v>16</v>
      </c>
      <c r="X265" s="824">
        <v>10</v>
      </c>
      <c r="Y265" s="824">
        <v>4</v>
      </c>
      <c r="Z265" s="480" t="str">
        <f t="shared" si="4"/>
        <v/>
      </c>
    </row>
    <row r="266" spans="1:26">
      <c r="A266" s="825" t="s">
        <v>581</v>
      </c>
      <c r="B266" s="826">
        <v>453</v>
      </c>
      <c r="C266" s="827"/>
      <c r="D266" s="828">
        <v>10.646800000000001</v>
      </c>
      <c r="E266" s="828">
        <v>7.0040300000000002</v>
      </c>
      <c r="F266" s="828">
        <v>49.05639</v>
      </c>
      <c r="G266" s="828">
        <v>25</v>
      </c>
      <c r="H266" s="828">
        <v>1</v>
      </c>
      <c r="I266" s="828">
        <v>5</v>
      </c>
      <c r="J266" s="828">
        <v>16</v>
      </c>
      <c r="K266" s="828">
        <v>9</v>
      </c>
      <c r="L266" s="828">
        <v>6</v>
      </c>
      <c r="N266" s="222" t="s">
        <v>581</v>
      </c>
      <c r="O266" s="222" t="s">
        <v>582</v>
      </c>
      <c r="P266" s="824">
        <v>453</v>
      </c>
      <c r="Q266" s="824">
        <v>10.646800000000001</v>
      </c>
      <c r="R266" s="824">
        <v>49.05639</v>
      </c>
      <c r="S266" s="824">
        <v>7.0040300000000002</v>
      </c>
      <c r="T266" s="824">
        <v>25</v>
      </c>
      <c r="U266" s="824">
        <v>1</v>
      </c>
      <c r="V266" s="824">
        <v>5</v>
      </c>
      <c r="W266" s="824">
        <v>16</v>
      </c>
      <c r="X266" s="824">
        <v>9</v>
      </c>
      <c r="Y266" s="824">
        <v>6</v>
      </c>
      <c r="Z266" s="480" t="str">
        <f t="shared" si="4"/>
        <v/>
      </c>
    </row>
    <row r="267" spans="1:26">
      <c r="A267" s="825" t="s">
        <v>583</v>
      </c>
      <c r="B267" s="826">
        <v>9355</v>
      </c>
      <c r="C267" s="827"/>
      <c r="D267" s="828">
        <v>9.5424900000000008</v>
      </c>
      <c r="E267" s="828">
        <v>5.8468099999999996</v>
      </c>
      <c r="F267" s="828">
        <v>34.18515</v>
      </c>
      <c r="G267" s="828">
        <v>22</v>
      </c>
      <c r="H267" s="828">
        <v>1</v>
      </c>
      <c r="I267" s="828">
        <v>5</v>
      </c>
      <c r="J267" s="828">
        <v>14</v>
      </c>
      <c r="K267" s="828">
        <v>9</v>
      </c>
      <c r="L267" s="828">
        <v>3</v>
      </c>
      <c r="N267" s="222" t="s">
        <v>583</v>
      </c>
      <c r="O267" s="222" t="s">
        <v>2058</v>
      </c>
      <c r="P267" s="824">
        <v>9355</v>
      </c>
      <c r="Q267" s="824">
        <v>9.5424900000000008</v>
      </c>
      <c r="R267" s="824">
        <v>34.18515</v>
      </c>
      <c r="S267" s="824">
        <v>5.8468099999999996</v>
      </c>
      <c r="T267" s="824">
        <v>22</v>
      </c>
      <c r="U267" s="824">
        <v>1</v>
      </c>
      <c r="V267" s="824">
        <v>5</v>
      </c>
      <c r="W267" s="824">
        <v>14</v>
      </c>
      <c r="X267" s="824">
        <v>9</v>
      </c>
      <c r="Y267" s="824">
        <v>3</v>
      </c>
      <c r="Z267" s="480" t="str">
        <f t="shared" si="4"/>
        <v/>
      </c>
    </row>
    <row r="268" spans="1:26">
      <c r="A268" s="825" t="s">
        <v>584</v>
      </c>
      <c r="B268" s="826">
        <v>1521</v>
      </c>
      <c r="C268" s="827"/>
      <c r="D268" s="828">
        <v>10.3215</v>
      </c>
      <c r="E268" s="828">
        <v>6.3346299999999998</v>
      </c>
      <c r="F268" s="828">
        <v>40.127490000000002</v>
      </c>
      <c r="G268" s="828">
        <v>23</v>
      </c>
      <c r="H268" s="828">
        <v>1</v>
      </c>
      <c r="I268" s="828">
        <v>5</v>
      </c>
      <c r="J268" s="828">
        <v>15</v>
      </c>
      <c r="K268" s="828">
        <v>10</v>
      </c>
      <c r="L268" s="828">
        <v>4</v>
      </c>
      <c r="N268" s="222" t="s">
        <v>584</v>
      </c>
      <c r="O268" s="222" t="s">
        <v>2059</v>
      </c>
      <c r="P268" s="824">
        <v>1521</v>
      </c>
      <c r="Q268" s="824">
        <v>10.3215</v>
      </c>
      <c r="R268" s="824">
        <v>40.127490000000002</v>
      </c>
      <c r="S268" s="824">
        <v>6.3346299999999998</v>
      </c>
      <c r="T268" s="824">
        <v>23</v>
      </c>
      <c r="U268" s="824">
        <v>1</v>
      </c>
      <c r="V268" s="824">
        <v>5</v>
      </c>
      <c r="W268" s="824">
        <v>15</v>
      </c>
      <c r="X268" s="824">
        <v>10</v>
      </c>
      <c r="Y268" s="824">
        <v>4</v>
      </c>
      <c r="Z268" s="480" t="str">
        <f t="shared" si="4"/>
        <v/>
      </c>
    </row>
    <row r="269" spans="1:26">
      <c r="A269" s="825" t="s">
        <v>585</v>
      </c>
      <c r="B269" s="826">
        <v>1035</v>
      </c>
      <c r="C269" s="827"/>
      <c r="D269" s="828">
        <v>9.0251199999999994</v>
      </c>
      <c r="E269" s="828">
        <v>5.6707999999999998</v>
      </c>
      <c r="F269" s="828">
        <v>32.157980000000002</v>
      </c>
      <c r="G269" s="828">
        <v>21</v>
      </c>
      <c r="H269" s="828">
        <v>1</v>
      </c>
      <c r="I269" s="828">
        <v>4</v>
      </c>
      <c r="J269" s="828">
        <v>13</v>
      </c>
      <c r="K269" s="828">
        <v>8</v>
      </c>
      <c r="L269" s="828">
        <v>4</v>
      </c>
      <c r="N269" s="222" t="s">
        <v>585</v>
      </c>
      <c r="O269" s="222" t="s">
        <v>2060</v>
      </c>
      <c r="P269" s="824">
        <v>1035</v>
      </c>
      <c r="Q269" s="824">
        <v>9.0251199999999994</v>
      </c>
      <c r="R269" s="824">
        <v>32.157980000000002</v>
      </c>
      <c r="S269" s="824">
        <v>5.6707999999999998</v>
      </c>
      <c r="T269" s="824">
        <v>21</v>
      </c>
      <c r="U269" s="824">
        <v>1</v>
      </c>
      <c r="V269" s="824">
        <v>4</v>
      </c>
      <c r="W269" s="824">
        <v>13</v>
      </c>
      <c r="X269" s="824">
        <v>8</v>
      </c>
      <c r="Y269" s="824">
        <v>4</v>
      </c>
      <c r="Z269" s="480" t="str">
        <f t="shared" si="4"/>
        <v/>
      </c>
    </row>
    <row r="270" spans="1:26">
      <c r="A270" s="825" t="s">
        <v>586</v>
      </c>
      <c r="B270" s="826">
        <v>94</v>
      </c>
      <c r="C270" s="827"/>
      <c r="D270" s="828">
        <v>7.5957400000000002</v>
      </c>
      <c r="E270" s="828">
        <v>4.6032200000000003</v>
      </c>
      <c r="F270" s="828">
        <v>21.18966</v>
      </c>
      <c r="G270" s="828">
        <v>27</v>
      </c>
      <c r="H270" s="828">
        <v>1</v>
      </c>
      <c r="I270" s="828">
        <v>4</v>
      </c>
      <c r="J270" s="828">
        <v>10</v>
      </c>
      <c r="K270" s="828">
        <v>6</v>
      </c>
      <c r="L270" s="828">
        <v>4</v>
      </c>
      <c r="N270" s="222" t="s">
        <v>586</v>
      </c>
      <c r="O270" s="222" t="s">
        <v>587</v>
      </c>
      <c r="P270" s="824">
        <v>94</v>
      </c>
      <c r="Q270" s="824">
        <v>7.5957400000000002</v>
      </c>
      <c r="R270" s="824">
        <v>21.18966</v>
      </c>
      <c r="S270" s="824">
        <v>4.6032200000000003</v>
      </c>
      <c r="T270" s="824">
        <v>27</v>
      </c>
      <c r="U270" s="824">
        <v>1</v>
      </c>
      <c r="V270" s="824">
        <v>4</v>
      </c>
      <c r="W270" s="824">
        <v>10</v>
      </c>
      <c r="X270" s="824">
        <v>6</v>
      </c>
      <c r="Y270" s="824">
        <v>4</v>
      </c>
      <c r="Z270" s="480" t="str">
        <f t="shared" si="4"/>
        <v/>
      </c>
    </row>
    <row r="271" spans="1:26">
      <c r="A271" s="825" t="s">
        <v>588</v>
      </c>
      <c r="B271" s="826">
        <v>3936</v>
      </c>
      <c r="C271" s="827"/>
      <c r="D271" s="828">
        <v>10.8811</v>
      </c>
      <c r="E271" s="828">
        <v>8.9032400000000003</v>
      </c>
      <c r="F271" s="828">
        <v>79.267690000000002</v>
      </c>
      <c r="G271" s="828">
        <v>44</v>
      </c>
      <c r="H271" s="828">
        <v>1</v>
      </c>
      <c r="I271" s="828">
        <v>4</v>
      </c>
      <c r="J271" s="828">
        <v>16</v>
      </c>
      <c r="K271" s="828">
        <v>8</v>
      </c>
      <c r="L271" s="828">
        <v>2</v>
      </c>
      <c r="N271" s="222" t="s">
        <v>588</v>
      </c>
      <c r="O271" s="222" t="s">
        <v>589</v>
      </c>
      <c r="P271" s="824">
        <v>3936</v>
      </c>
      <c r="Q271" s="824">
        <v>10.8811</v>
      </c>
      <c r="R271" s="824">
        <v>79.267690000000002</v>
      </c>
      <c r="S271" s="824">
        <v>8.9032400000000003</v>
      </c>
      <c r="T271" s="824">
        <v>44</v>
      </c>
      <c r="U271" s="824">
        <v>1</v>
      </c>
      <c r="V271" s="824">
        <v>4</v>
      </c>
      <c r="W271" s="824">
        <v>16</v>
      </c>
      <c r="X271" s="824">
        <v>8</v>
      </c>
      <c r="Y271" s="824">
        <v>2</v>
      </c>
      <c r="Z271" s="480" t="str">
        <f t="shared" si="4"/>
        <v/>
      </c>
    </row>
    <row r="272" spans="1:26">
      <c r="A272" s="825" t="s">
        <v>590</v>
      </c>
      <c r="B272" s="826">
        <v>48866</v>
      </c>
      <c r="C272" s="827"/>
      <c r="D272" s="828">
        <v>8.7522199999999994</v>
      </c>
      <c r="E272" s="828">
        <v>5.8335699999999999</v>
      </c>
      <c r="F272" s="828">
        <v>34.030569999999997</v>
      </c>
      <c r="G272" s="828">
        <v>22</v>
      </c>
      <c r="H272" s="828">
        <v>1</v>
      </c>
      <c r="I272" s="828">
        <v>4</v>
      </c>
      <c r="J272" s="828">
        <v>13</v>
      </c>
      <c r="K272" s="828">
        <v>7</v>
      </c>
      <c r="L272" s="828">
        <v>2</v>
      </c>
      <c r="N272" s="222" t="s">
        <v>590</v>
      </c>
      <c r="O272" s="222" t="s">
        <v>591</v>
      </c>
      <c r="P272" s="824">
        <v>48866</v>
      </c>
      <c r="Q272" s="824">
        <v>8.7522199999999994</v>
      </c>
      <c r="R272" s="824">
        <v>34.030569999999997</v>
      </c>
      <c r="S272" s="824">
        <v>5.8335699999999999</v>
      </c>
      <c r="T272" s="824">
        <v>22</v>
      </c>
      <c r="U272" s="824">
        <v>1</v>
      </c>
      <c r="V272" s="824">
        <v>4</v>
      </c>
      <c r="W272" s="824">
        <v>13</v>
      </c>
      <c r="X272" s="824">
        <v>7</v>
      </c>
      <c r="Y272" s="824">
        <v>2</v>
      </c>
      <c r="Z272" s="480" t="str">
        <f t="shared" si="4"/>
        <v/>
      </c>
    </row>
    <row r="273" spans="1:26">
      <c r="A273" s="825" t="s">
        <v>592</v>
      </c>
      <c r="B273" s="826">
        <v>35654</v>
      </c>
      <c r="C273" s="827"/>
      <c r="D273" s="828">
        <v>9.7818199999999997</v>
      </c>
      <c r="E273" s="828">
        <v>9.3396600000000003</v>
      </c>
      <c r="F273" s="828">
        <v>87.229169999999996</v>
      </c>
      <c r="G273" s="828">
        <v>68</v>
      </c>
      <c r="H273" s="828">
        <v>1</v>
      </c>
      <c r="I273" s="828">
        <v>3</v>
      </c>
      <c r="J273" s="828">
        <v>13</v>
      </c>
      <c r="K273" s="828">
        <v>7</v>
      </c>
      <c r="L273" s="828">
        <v>2</v>
      </c>
      <c r="N273" s="222" t="s">
        <v>592</v>
      </c>
      <c r="O273" s="222" t="s">
        <v>2061</v>
      </c>
      <c r="P273" s="824">
        <v>35654</v>
      </c>
      <c r="Q273" s="824">
        <v>9.7818199999999997</v>
      </c>
      <c r="R273" s="824">
        <v>87.229169999999996</v>
      </c>
      <c r="S273" s="824">
        <v>9.3396600000000003</v>
      </c>
      <c r="T273" s="824">
        <v>68</v>
      </c>
      <c r="U273" s="824">
        <v>1</v>
      </c>
      <c r="V273" s="824">
        <v>3</v>
      </c>
      <c r="W273" s="824">
        <v>13</v>
      </c>
      <c r="X273" s="824">
        <v>7</v>
      </c>
      <c r="Y273" s="824">
        <v>2</v>
      </c>
      <c r="Z273" s="480" t="str">
        <f t="shared" si="4"/>
        <v/>
      </c>
    </row>
    <row r="274" spans="1:26">
      <c r="A274" s="825" t="s">
        <v>593</v>
      </c>
      <c r="B274" s="826">
        <v>18832</v>
      </c>
      <c r="C274" s="827"/>
      <c r="D274" s="828">
        <v>10.76423</v>
      </c>
      <c r="E274" s="828">
        <v>8.9943600000000004</v>
      </c>
      <c r="F274" s="828">
        <v>80.898480000000006</v>
      </c>
      <c r="G274" s="828">
        <v>56</v>
      </c>
      <c r="H274" s="828">
        <v>1</v>
      </c>
      <c r="I274" s="828">
        <v>4</v>
      </c>
      <c r="J274" s="828">
        <v>15</v>
      </c>
      <c r="K274" s="828">
        <v>8</v>
      </c>
      <c r="L274" s="828">
        <v>2</v>
      </c>
      <c r="N274" s="222" t="s">
        <v>593</v>
      </c>
      <c r="O274" s="222" t="s">
        <v>594</v>
      </c>
      <c r="P274" s="824">
        <v>18832</v>
      </c>
      <c r="Q274" s="824">
        <v>10.76423</v>
      </c>
      <c r="R274" s="824">
        <v>80.898480000000006</v>
      </c>
      <c r="S274" s="824">
        <v>8.9943600000000004</v>
      </c>
      <c r="T274" s="824">
        <v>56</v>
      </c>
      <c r="U274" s="824">
        <v>1</v>
      </c>
      <c r="V274" s="824">
        <v>4</v>
      </c>
      <c r="W274" s="824">
        <v>15</v>
      </c>
      <c r="X274" s="824">
        <v>8</v>
      </c>
      <c r="Y274" s="824">
        <v>2</v>
      </c>
      <c r="Z274" s="480" t="str">
        <f t="shared" si="4"/>
        <v/>
      </c>
    </row>
    <row r="275" spans="1:26">
      <c r="A275" s="825" t="s">
        <v>595</v>
      </c>
      <c r="B275" s="826">
        <v>537</v>
      </c>
      <c r="C275" s="827"/>
      <c r="D275" s="828">
        <v>13.17877</v>
      </c>
      <c r="E275" s="828">
        <v>8.2252399999999994</v>
      </c>
      <c r="F275" s="828">
        <v>67.65455</v>
      </c>
      <c r="G275" s="828">
        <v>30</v>
      </c>
      <c r="H275" s="828">
        <v>1</v>
      </c>
      <c r="I275" s="828">
        <v>6</v>
      </c>
      <c r="J275" s="828">
        <v>21</v>
      </c>
      <c r="K275" s="828">
        <v>13</v>
      </c>
      <c r="L275" s="828">
        <v>15</v>
      </c>
      <c r="N275" s="222" t="s">
        <v>595</v>
      </c>
      <c r="O275" s="222" t="s">
        <v>596</v>
      </c>
      <c r="P275" s="824">
        <v>537</v>
      </c>
      <c r="Q275" s="824">
        <v>13.17877</v>
      </c>
      <c r="R275" s="824">
        <v>67.65455</v>
      </c>
      <c r="S275" s="824">
        <v>8.2252399999999994</v>
      </c>
      <c r="T275" s="824">
        <v>30</v>
      </c>
      <c r="U275" s="824">
        <v>1</v>
      </c>
      <c r="V275" s="824">
        <v>6</v>
      </c>
      <c r="W275" s="824">
        <v>21</v>
      </c>
      <c r="X275" s="824">
        <v>13</v>
      </c>
      <c r="Y275" s="824">
        <v>15</v>
      </c>
      <c r="Z275" s="480" t="str">
        <f t="shared" si="4"/>
        <v/>
      </c>
    </row>
    <row r="276" spans="1:26">
      <c r="A276" s="825" t="s">
        <v>597</v>
      </c>
      <c r="B276" s="826">
        <v>14484</v>
      </c>
      <c r="C276" s="827"/>
      <c r="D276" s="828">
        <v>8.9194300000000002</v>
      </c>
      <c r="E276" s="828">
        <v>6.8564800000000004</v>
      </c>
      <c r="F276" s="828">
        <v>47.011319999999998</v>
      </c>
      <c r="G276" s="828">
        <v>54</v>
      </c>
      <c r="H276" s="828">
        <v>1</v>
      </c>
      <c r="I276" s="828">
        <v>4</v>
      </c>
      <c r="J276" s="828">
        <v>12</v>
      </c>
      <c r="K276" s="828">
        <v>7</v>
      </c>
      <c r="L276" s="828">
        <v>2</v>
      </c>
      <c r="N276" s="222" t="s">
        <v>597</v>
      </c>
      <c r="O276" s="222" t="s">
        <v>598</v>
      </c>
      <c r="P276" s="824">
        <v>14484</v>
      </c>
      <c r="Q276" s="824">
        <v>8.9194300000000002</v>
      </c>
      <c r="R276" s="824">
        <v>47.011319999999998</v>
      </c>
      <c r="S276" s="824">
        <v>6.8564800000000004</v>
      </c>
      <c r="T276" s="824">
        <v>54</v>
      </c>
      <c r="U276" s="824">
        <v>1</v>
      </c>
      <c r="V276" s="824">
        <v>4</v>
      </c>
      <c r="W276" s="824">
        <v>12</v>
      </c>
      <c r="X276" s="824">
        <v>7</v>
      </c>
      <c r="Y276" s="824">
        <v>2</v>
      </c>
      <c r="Z276" s="480" t="str">
        <f t="shared" si="4"/>
        <v/>
      </c>
    </row>
    <row r="277" spans="1:26">
      <c r="A277" s="825" t="s">
        <v>599</v>
      </c>
      <c r="B277" s="826">
        <v>2280</v>
      </c>
      <c r="C277" s="827"/>
      <c r="D277" s="828">
        <v>10.09079</v>
      </c>
      <c r="E277" s="828">
        <v>8.7447900000000001</v>
      </c>
      <c r="F277" s="828">
        <v>76.471350000000001</v>
      </c>
      <c r="G277" s="828">
        <v>51</v>
      </c>
      <c r="H277" s="828">
        <v>1</v>
      </c>
      <c r="I277" s="828">
        <v>4</v>
      </c>
      <c r="J277" s="828">
        <v>14</v>
      </c>
      <c r="K277" s="828">
        <v>7</v>
      </c>
      <c r="L277" s="828">
        <v>3</v>
      </c>
      <c r="N277" s="222" t="s">
        <v>599</v>
      </c>
      <c r="O277" s="222" t="s">
        <v>600</v>
      </c>
      <c r="P277" s="824">
        <v>2280</v>
      </c>
      <c r="Q277" s="824">
        <v>10.09079</v>
      </c>
      <c r="R277" s="824">
        <v>76.471350000000001</v>
      </c>
      <c r="S277" s="824">
        <v>8.7447900000000001</v>
      </c>
      <c r="T277" s="824">
        <v>51</v>
      </c>
      <c r="U277" s="824">
        <v>1</v>
      </c>
      <c r="V277" s="824">
        <v>4</v>
      </c>
      <c r="W277" s="824">
        <v>14</v>
      </c>
      <c r="X277" s="824">
        <v>7</v>
      </c>
      <c r="Y277" s="824">
        <v>3</v>
      </c>
      <c r="Z277" s="480" t="str">
        <f t="shared" si="4"/>
        <v/>
      </c>
    </row>
    <row r="278" spans="1:26">
      <c r="A278" s="825" t="s">
        <v>601</v>
      </c>
      <c r="B278" s="826">
        <v>12595</v>
      </c>
      <c r="C278" s="827"/>
      <c r="D278" s="828">
        <v>8.9743499999999994</v>
      </c>
      <c r="E278" s="828">
        <v>6.8714700000000004</v>
      </c>
      <c r="F278" s="828">
        <v>47.217140000000001</v>
      </c>
      <c r="G278" s="828">
        <v>51</v>
      </c>
      <c r="H278" s="828">
        <v>1</v>
      </c>
      <c r="I278" s="828">
        <v>4</v>
      </c>
      <c r="J278" s="828">
        <v>12</v>
      </c>
      <c r="K278" s="828">
        <v>7</v>
      </c>
      <c r="L278" s="828">
        <v>3</v>
      </c>
      <c r="N278" s="222" t="s">
        <v>601</v>
      </c>
      <c r="O278" s="222" t="s">
        <v>2062</v>
      </c>
      <c r="P278" s="824">
        <v>12595</v>
      </c>
      <c r="Q278" s="824">
        <v>8.9743499999999994</v>
      </c>
      <c r="R278" s="824">
        <v>47.217140000000001</v>
      </c>
      <c r="S278" s="824">
        <v>6.8714700000000004</v>
      </c>
      <c r="T278" s="824">
        <v>51</v>
      </c>
      <c r="U278" s="824">
        <v>1</v>
      </c>
      <c r="V278" s="824">
        <v>4</v>
      </c>
      <c r="W278" s="824">
        <v>12</v>
      </c>
      <c r="X278" s="824">
        <v>7</v>
      </c>
      <c r="Y278" s="824">
        <v>3</v>
      </c>
      <c r="Z278" s="480" t="str">
        <f t="shared" si="4"/>
        <v/>
      </c>
    </row>
    <row r="279" spans="1:26">
      <c r="A279" s="825" t="s">
        <v>602</v>
      </c>
      <c r="B279" s="826">
        <v>4440</v>
      </c>
      <c r="C279" s="827"/>
      <c r="D279" s="828">
        <v>9.1790500000000002</v>
      </c>
      <c r="E279" s="828">
        <v>5.6171800000000003</v>
      </c>
      <c r="F279" s="828">
        <v>31.55275</v>
      </c>
      <c r="G279" s="828">
        <v>21</v>
      </c>
      <c r="H279" s="828">
        <v>1</v>
      </c>
      <c r="I279" s="828">
        <v>4</v>
      </c>
      <c r="J279" s="828">
        <v>14</v>
      </c>
      <c r="K279" s="828">
        <v>8</v>
      </c>
      <c r="L279" s="828">
        <v>4</v>
      </c>
      <c r="N279" s="222" t="s">
        <v>602</v>
      </c>
      <c r="O279" s="222" t="s">
        <v>603</v>
      </c>
      <c r="P279" s="824">
        <v>4440</v>
      </c>
      <c r="Q279" s="824">
        <v>9.1790500000000002</v>
      </c>
      <c r="R279" s="824">
        <v>31.55275</v>
      </c>
      <c r="S279" s="824">
        <v>5.6171800000000003</v>
      </c>
      <c r="T279" s="824">
        <v>21</v>
      </c>
      <c r="U279" s="824">
        <v>1</v>
      </c>
      <c r="V279" s="824">
        <v>4</v>
      </c>
      <c r="W279" s="824">
        <v>14</v>
      </c>
      <c r="X279" s="824">
        <v>8</v>
      </c>
      <c r="Y279" s="824">
        <v>4</v>
      </c>
      <c r="Z279" s="480" t="str">
        <f t="shared" si="4"/>
        <v/>
      </c>
    </row>
    <row r="280" spans="1:26">
      <c r="A280" s="825" t="s">
        <v>604</v>
      </c>
      <c r="B280" s="826">
        <v>1766</v>
      </c>
      <c r="C280" s="827"/>
      <c r="D280" s="828">
        <v>9.5186899999999994</v>
      </c>
      <c r="E280" s="828">
        <v>5.8188399999999998</v>
      </c>
      <c r="F280" s="828">
        <v>33.85886</v>
      </c>
      <c r="G280" s="828">
        <v>22</v>
      </c>
      <c r="H280" s="828">
        <v>1</v>
      </c>
      <c r="I280" s="828">
        <v>5</v>
      </c>
      <c r="J280" s="828">
        <v>14</v>
      </c>
      <c r="K280" s="828">
        <v>8</v>
      </c>
      <c r="L280" s="828">
        <v>5</v>
      </c>
      <c r="N280" s="222" t="s">
        <v>604</v>
      </c>
      <c r="O280" s="222" t="s">
        <v>605</v>
      </c>
      <c r="P280" s="824">
        <v>1766</v>
      </c>
      <c r="Q280" s="824">
        <v>9.5186899999999994</v>
      </c>
      <c r="R280" s="824">
        <v>33.85886</v>
      </c>
      <c r="S280" s="824">
        <v>5.8188399999999998</v>
      </c>
      <c r="T280" s="824">
        <v>22</v>
      </c>
      <c r="U280" s="824">
        <v>1</v>
      </c>
      <c r="V280" s="824">
        <v>5</v>
      </c>
      <c r="W280" s="824">
        <v>14</v>
      </c>
      <c r="X280" s="824">
        <v>8</v>
      </c>
      <c r="Y280" s="824">
        <v>5</v>
      </c>
      <c r="Z280" s="480" t="str">
        <f t="shared" si="4"/>
        <v/>
      </c>
    </row>
    <row r="281" spans="1:26">
      <c r="A281" s="825" t="s">
        <v>606</v>
      </c>
      <c r="B281" s="826">
        <v>49734</v>
      </c>
      <c r="C281" s="827"/>
      <c r="D281" s="828">
        <v>8.2938200000000002</v>
      </c>
      <c r="E281" s="828">
        <v>5.1871499999999999</v>
      </c>
      <c r="F281" s="828">
        <v>26.906549999999999</v>
      </c>
      <c r="G281" s="828">
        <v>20</v>
      </c>
      <c r="H281" s="828">
        <v>1</v>
      </c>
      <c r="I281" s="828">
        <v>4</v>
      </c>
      <c r="J281" s="828">
        <v>12</v>
      </c>
      <c r="K281" s="828">
        <v>7</v>
      </c>
      <c r="L281" s="828">
        <v>3</v>
      </c>
      <c r="N281" s="222" t="s">
        <v>606</v>
      </c>
      <c r="O281" s="222" t="s">
        <v>2063</v>
      </c>
      <c r="P281" s="824">
        <v>49734</v>
      </c>
      <c r="Q281" s="824">
        <v>8.2938200000000002</v>
      </c>
      <c r="R281" s="824">
        <v>26.906549999999999</v>
      </c>
      <c r="S281" s="824">
        <v>5.1871499999999999</v>
      </c>
      <c r="T281" s="824">
        <v>20</v>
      </c>
      <c r="U281" s="824">
        <v>1</v>
      </c>
      <c r="V281" s="824">
        <v>4</v>
      </c>
      <c r="W281" s="824">
        <v>12</v>
      </c>
      <c r="X281" s="824">
        <v>7</v>
      </c>
      <c r="Y281" s="824">
        <v>3</v>
      </c>
      <c r="Z281" s="480" t="str">
        <f t="shared" si="4"/>
        <v/>
      </c>
    </row>
    <row r="282" spans="1:26">
      <c r="A282" s="825" t="s">
        <v>607</v>
      </c>
      <c r="B282" s="826">
        <v>68480</v>
      </c>
      <c r="C282" s="827"/>
      <c r="D282" s="828">
        <v>8.3455999999999992</v>
      </c>
      <c r="E282" s="828">
        <v>5.31433</v>
      </c>
      <c r="F282" s="828">
        <v>28.24211</v>
      </c>
      <c r="G282" s="828">
        <v>20</v>
      </c>
      <c r="H282" s="828">
        <v>1</v>
      </c>
      <c r="I282" s="828">
        <v>4</v>
      </c>
      <c r="J282" s="828">
        <v>12</v>
      </c>
      <c r="K282" s="828">
        <v>7</v>
      </c>
      <c r="L282" s="828">
        <v>3</v>
      </c>
      <c r="N282" s="222" t="s">
        <v>607</v>
      </c>
      <c r="O282" s="222" t="s">
        <v>2064</v>
      </c>
      <c r="P282" s="824">
        <v>68480</v>
      </c>
      <c r="Q282" s="824">
        <v>8.3455999999999992</v>
      </c>
      <c r="R282" s="824">
        <v>28.24211</v>
      </c>
      <c r="S282" s="824">
        <v>5.31433</v>
      </c>
      <c r="T282" s="824">
        <v>20</v>
      </c>
      <c r="U282" s="824">
        <v>1</v>
      </c>
      <c r="V282" s="824">
        <v>4</v>
      </c>
      <c r="W282" s="824">
        <v>12</v>
      </c>
      <c r="X282" s="824">
        <v>7</v>
      </c>
      <c r="Y282" s="824">
        <v>3</v>
      </c>
      <c r="Z282" s="480" t="str">
        <f t="shared" si="4"/>
        <v/>
      </c>
    </row>
    <row r="283" spans="1:26">
      <c r="A283" s="825" t="s">
        <v>608</v>
      </c>
      <c r="B283" s="826">
        <v>342</v>
      </c>
      <c r="C283" s="827"/>
      <c r="D283" s="828">
        <v>13.27778</v>
      </c>
      <c r="E283" s="828">
        <v>8.44937</v>
      </c>
      <c r="F283" s="828">
        <v>71.391819999999996</v>
      </c>
      <c r="G283" s="828">
        <v>30</v>
      </c>
      <c r="H283" s="828">
        <v>1</v>
      </c>
      <c r="I283" s="828">
        <v>6</v>
      </c>
      <c r="J283" s="828">
        <v>20</v>
      </c>
      <c r="K283" s="828">
        <v>12</v>
      </c>
      <c r="L283" s="828">
        <v>2</v>
      </c>
      <c r="N283" s="222" t="s">
        <v>608</v>
      </c>
      <c r="O283" s="222" t="s">
        <v>609</v>
      </c>
      <c r="P283" s="824">
        <v>342</v>
      </c>
      <c r="Q283" s="824">
        <v>13.27778</v>
      </c>
      <c r="R283" s="824">
        <v>71.391819999999996</v>
      </c>
      <c r="S283" s="824">
        <v>8.44937</v>
      </c>
      <c r="T283" s="824">
        <v>30</v>
      </c>
      <c r="U283" s="824">
        <v>1</v>
      </c>
      <c r="V283" s="824">
        <v>6</v>
      </c>
      <c r="W283" s="824">
        <v>20</v>
      </c>
      <c r="X283" s="824">
        <v>12</v>
      </c>
      <c r="Y283" s="824">
        <v>2</v>
      </c>
      <c r="Z283" s="480" t="str">
        <f t="shared" si="4"/>
        <v/>
      </c>
    </row>
    <row r="284" spans="1:26">
      <c r="A284" s="825" t="s">
        <v>610</v>
      </c>
      <c r="B284" s="826">
        <v>16675</v>
      </c>
      <c r="C284" s="827"/>
      <c r="D284" s="828">
        <v>8.3662399999999995</v>
      </c>
      <c r="E284" s="828">
        <v>5.2148199999999996</v>
      </c>
      <c r="F284" s="828">
        <v>27.19434</v>
      </c>
      <c r="G284" s="828">
        <v>20</v>
      </c>
      <c r="H284" s="828">
        <v>1</v>
      </c>
      <c r="I284" s="828">
        <v>4</v>
      </c>
      <c r="J284" s="828">
        <v>12</v>
      </c>
      <c r="K284" s="828">
        <v>8</v>
      </c>
      <c r="L284" s="828">
        <v>2</v>
      </c>
      <c r="N284" s="222" t="s">
        <v>610</v>
      </c>
      <c r="O284" s="222" t="s">
        <v>2065</v>
      </c>
      <c r="P284" s="824">
        <v>16675</v>
      </c>
      <c r="Q284" s="824">
        <v>8.3662399999999995</v>
      </c>
      <c r="R284" s="824">
        <v>27.19434</v>
      </c>
      <c r="S284" s="824">
        <v>5.2148199999999996</v>
      </c>
      <c r="T284" s="824">
        <v>20</v>
      </c>
      <c r="U284" s="824">
        <v>1</v>
      </c>
      <c r="V284" s="824">
        <v>4</v>
      </c>
      <c r="W284" s="824">
        <v>12</v>
      </c>
      <c r="X284" s="824">
        <v>8</v>
      </c>
      <c r="Y284" s="824">
        <v>2</v>
      </c>
      <c r="Z284" s="480" t="str">
        <f t="shared" si="4"/>
        <v/>
      </c>
    </row>
    <row r="285" spans="1:26">
      <c r="A285" s="825" t="s">
        <v>611</v>
      </c>
      <c r="B285" s="826">
        <v>21114</v>
      </c>
      <c r="C285" s="827"/>
      <c r="D285" s="828">
        <v>9.1673799999999996</v>
      </c>
      <c r="E285" s="828">
        <v>5.6837999999999997</v>
      </c>
      <c r="F285" s="828">
        <v>32.305619999999998</v>
      </c>
      <c r="G285" s="828">
        <v>22</v>
      </c>
      <c r="H285" s="828">
        <v>1</v>
      </c>
      <c r="I285" s="828">
        <v>4</v>
      </c>
      <c r="J285" s="828">
        <v>13</v>
      </c>
      <c r="K285" s="828">
        <v>8</v>
      </c>
      <c r="L285" s="828">
        <v>4</v>
      </c>
      <c r="N285" s="222" t="s">
        <v>611</v>
      </c>
      <c r="O285" s="222" t="s">
        <v>2066</v>
      </c>
      <c r="P285" s="824">
        <v>21114</v>
      </c>
      <c r="Q285" s="824">
        <v>9.1673799999999996</v>
      </c>
      <c r="R285" s="824">
        <v>32.305619999999998</v>
      </c>
      <c r="S285" s="824">
        <v>5.6837999999999997</v>
      </c>
      <c r="T285" s="824">
        <v>22</v>
      </c>
      <c r="U285" s="824">
        <v>1</v>
      </c>
      <c r="V285" s="824">
        <v>4</v>
      </c>
      <c r="W285" s="824">
        <v>13</v>
      </c>
      <c r="X285" s="824">
        <v>8</v>
      </c>
      <c r="Y285" s="824">
        <v>4</v>
      </c>
      <c r="Z285" s="480" t="str">
        <f t="shared" si="4"/>
        <v/>
      </c>
    </row>
    <row r="286" spans="1:26">
      <c r="A286" s="825" t="s">
        <v>612</v>
      </c>
      <c r="B286" s="826">
        <v>24602</v>
      </c>
      <c r="C286" s="827"/>
      <c r="D286" s="828">
        <v>9.6508000000000003</v>
      </c>
      <c r="E286" s="828">
        <v>5.94815</v>
      </c>
      <c r="F286" s="828">
        <v>35.380470000000003</v>
      </c>
      <c r="G286" s="828">
        <v>23</v>
      </c>
      <c r="H286" s="828">
        <v>1</v>
      </c>
      <c r="I286" s="828">
        <v>5</v>
      </c>
      <c r="J286" s="828">
        <v>14</v>
      </c>
      <c r="K286" s="828">
        <v>9</v>
      </c>
      <c r="L286" s="828">
        <v>3</v>
      </c>
      <c r="N286" s="222" t="s">
        <v>612</v>
      </c>
      <c r="O286" s="222" t="s">
        <v>2067</v>
      </c>
      <c r="P286" s="824">
        <v>24602</v>
      </c>
      <c r="Q286" s="824">
        <v>9.6508000000000003</v>
      </c>
      <c r="R286" s="824">
        <v>35.380470000000003</v>
      </c>
      <c r="S286" s="824">
        <v>5.94815</v>
      </c>
      <c r="T286" s="824">
        <v>23</v>
      </c>
      <c r="U286" s="824">
        <v>1</v>
      </c>
      <c r="V286" s="824">
        <v>5</v>
      </c>
      <c r="W286" s="824">
        <v>14</v>
      </c>
      <c r="X286" s="824">
        <v>9</v>
      </c>
      <c r="Y286" s="824">
        <v>3</v>
      </c>
      <c r="Z286" s="480" t="str">
        <f t="shared" si="4"/>
        <v/>
      </c>
    </row>
    <row r="287" spans="1:26">
      <c r="A287" s="825" t="s">
        <v>613</v>
      </c>
      <c r="B287" s="826">
        <v>16533</v>
      </c>
      <c r="C287" s="827"/>
      <c r="D287" s="828">
        <v>9.7702799999999996</v>
      </c>
      <c r="E287" s="828">
        <v>7.76213</v>
      </c>
      <c r="F287" s="828">
        <v>60.250639999999997</v>
      </c>
      <c r="G287" s="828">
        <v>56</v>
      </c>
      <c r="H287" s="828">
        <v>1</v>
      </c>
      <c r="I287" s="828">
        <v>4</v>
      </c>
      <c r="J287" s="828">
        <v>14</v>
      </c>
      <c r="K287" s="828">
        <v>8</v>
      </c>
      <c r="L287" s="828">
        <v>3</v>
      </c>
      <c r="N287" s="222" t="s">
        <v>613</v>
      </c>
      <c r="O287" s="222" t="s">
        <v>614</v>
      </c>
      <c r="P287" s="824">
        <v>16533</v>
      </c>
      <c r="Q287" s="824">
        <v>9.7702799999999996</v>
      </c>
      <c r="R287" s="824">
        <v>60.250639999999997</v>
      </c>
      <c r="S287" s="824">
        <v>7.76213</v>
      </c>
      <c r="T287" s="824">
        <v>56</v>
      </c>
      <c r="U287" s="824">
        <v>1</v>
      </c>
      <c r="V287" s="824">
        <v>4</v>
      </c>
      <c r="W287" s="824">
        <v>14</v>
      </c>
      <c r="X287" s="824">
        <v>8</v>
      </c>
      <c r="Y287" s="824">
        <v>3</v>
      </c>
      <c r="Z287" s="480" t="str">
        <f t="shared" si="4"/>
        <v/>
      </c>
    </row>
    <row r="288" spans="1:26">
      <c r="A288" s="825" t="s">
        <v>615</v>
      </c>
      <c r="B288" s="826">
        <v>3378</v>
      </c>
      <c r="C288" s="827"/>
      <c r="D288" s="828">
        <v>9.1222600000000007</v>
      </c>
      <c r="E288" s="828">
        <v>5.8130100000000002</v>
      </c>
      <c r="F288" s="828">
        <v>33.791089999999997</v>
      </c>
      <c r="G288" s="828">
        <v>22</v>
      </c>
      <c r="H288" s="828">
        <v>1</v>
      </c>
      <c r="I288" s="828">
        <v>4</v>
      </c>
      <c r="J288" s="828">
        <v>13</v>
      </c>
      <c r="K288" s="828">
        <v>8</v>
      </c>
      <c r="L288" s="828">
        <v>4</v>
      </c>
      <c r="N288" s="222" t="s">
        <v>615</v>
      </c>
      <c r="O288" s="222" t="s">
        <v>616</v>
      </c>
      <c r="P288" s="824">
        <v>3378</v>
      </c>
      <c r="Q288" s="824">
        <v>9.1222600000000007</v>
      </c>
      <c r="R288" s="824">
        <v>33.791089999999997</v>
      </c>
      <c r="S288" s="824">
        <v>5.8130100000000002</v>
      </c>
      <c r="T288" s="824">
        <v>22</v>
      </c>
      <c r="U288" s="824">
        <v>1</v>
      </c>
      <c r="V288" s="824">
        <v>4</v>
      </c>
      <c r="W288" s="824">
        <v>13</v>
      </c>
      <c r="X288" s="824">
        <v>8</v>
      </c>
      <c r="Y288" s="824">
        <v>4</v>
      </c>
      <c r="Z288" s="480" t="str">
        <f t="shared" si="4"/>
        <v/>
      </c>
    </row>
    <row r="289" spans="1:26">
      <c r="A289" s="825" t="s">
        <v>617</v>
      </c>
      <c r="B289" s="826">
        <v>23702</v>
      </c>
      <c r="C289" s="827"/>
      <c r="D289" s="828">
        <v>10.727740000000001</v>
      </c>
      <c r="E289" s="828">
        <v>8.8179599999999994</v>
      </c>
      <c r="F289" s="828">
        <v>77.756469999999993</v>
      </c>
      <c r="G289" s="828">
        <v>56</v>
      </c>
      <c r="H289" s="828">
        <v>1</v>
      </c>
      <c r="I289" s="828">
        <v>4</v>
      </c>
      <c r="J289" s="828">
        <v>15</v>
      </c>
      <c r="K289" s="828">
        <v>8</v>
      </c>
      <c r="L289" s="828">
        <v>3</v>
      </c>
      <c r="N289" s="222" t="s">
        <v>617</v>
      </c>
      <c r="O289" s="222" t="s">
        <v>2068</v>
      </c>
      <c r="P289" s="824">
        <v>23702</v>
      </c>
      <c r="Q289" s="824">
        <v>10.727740000000001</v>
      </c>
      <c r="R289" s="824">
        <v>77.756469999999993</v>
      </c>
      <c r="S289" s="824">
        <v>8.8179599999999994</v>
      </c>
      <c r="T289" s="824">
        <v>56</v>
      </c>
      <c r="U289" s="824">
        <v>1</v>
      </c>
      <c r="V289" s="824">
        <v>4</v>
      </c>
      <c r="W289" s="824">
        <v>15</v>
      </c>
      <c r="X289" s="824">
        <v>8</v>
      </c>
      <c r="Y289" s="824">
        <v>3</v>
      </c>
      <c r="Z289" s="480" t="str">
        <f t="shared" si="4"/>
        <v/>
      </c>
    </row>
    <row r="290" spans="1:26">
      <c r="A290" s="825" t="s">
        <v>618</v>
      </c>
      <c r="B290" s="826">
        <v>300</v>
      </c>
      <c r="C290" s="829"/>
      <c r="D290" s="828">
        <v>12.05667</v>
      </c>
      <c r="E290" s="828">
        <v>7.6219299999999999</v>
      </c>
      <c r="F290" s="828">
        <v>58.093769999999999</v>
      </c>
      <c r="G290" s="828">
        <v>29</v>
      </c>
      <c r="H290" s="828">
        <v>1</v>
      </c>
      <c r="I290" s="828">
        <v>5</v>
      </c>
      <c r="J290" s="828">
        <v>18</v>
      </c>
      <c r="K290" s="828">
        <v>11</v>
      </c>
      <c r="L290" s="828">
        <v>2</v>
      </c>
      <c r="N290" s="222" t="s">
        <v>618</v>
      </c>
      <c r="O290" s="222" t="s">
        <v>619</v>
      </c>
      <c r="P290" s="824">
        <v>300</v>
      </c>
      <c r="Q290" s="824">
        <v>12.05667</v>
      </c>
      <c r="R290" s="824">
        <v>58.093769999999999</v>
      </c>
      <c r="S290" s="824">
        <v>7.6219299999999999</v>
      </c>
      <c r="T290" s="824">
        <v>29</v>
      </c>
      <c r="U290" s="824">
        <v>1</v>
      </c>
      <c r="V290" s="824">
        <v>5</v>
      </c>
      <c r="W290" s="824">
        <v>18</v>
      </c>
      <c r="X290" s="824">
        <v>11</v>
      </c>
      <c r="Y290" s="824">
        <v>2</v>
      </c>
      <c r="Z290" s="480" t="str">
        <f t="shared" si="4"/>
        <v/>
      </c>
    </row>
    <row r="291" spans="1:26">
      <c r="A291" s="825" t="s">
        <v>620</v>
      </c>
      <c r="B291" s="826">
        <v>1982</v>
      </c>
      <c r="C291" s="827"/>
      <c r="D291" s="828">
        <v>9.2785100000000007</v>
      </c>
      <c r="E291" s="828">
        <v>7.76661</v>
      </c>
      <c r="F291" s="828">
        <v>60.320169999999997</v>
      </c>
      <c r="G291" s="828">
        <v>47</v>
      </c>
      <c r="H291" s="828">
        <v>1</v>
      </c>
      <c r="I291" s="828">
        <v>3</v>
      </c>
      <c r="J291" s="828">
        <v>13</v>
      </c>
      <c r="K291" s="828">
        <v>7</v>
      </c>
      <c r="L291" s="828">
        <v>2</v>
      </c>
      <c r="N291" s="222" t="s">
        <v>620</v>
      </c>
      <c r="O291" s="222" t="s">
        <v>621</v>
      </c>
      <c r="P291" s="824">
        <v>1982</v>
      </c>
      <c r="Q291" s="824">
        <v>9.2785100000000007</v>
      </c>
      <c r="R291" s="824">
        <v>60.320169999999997</v>
      </c>
      <c r="S291" s="824">
        <v>7.76661</v>
      </c>
      <c r="T291" s="824">
        <v>47</v>
      </c>
      <c r="U291" s="824">
        <v>1</v>
      </c>
      <c r="V291" s="824">
        <v>3</v>
      </c>
      <c r="W291" s="824">
        <v>13</v>
      </c>
      <c r="X291" s="824">
        <v>7</v>
      </c>
      <c r="Y291" s="824">
        <v>2</v>
      </c>
      <c r="Z291" s="480" t="str">
        <f t="shared" si="4"/>
        <v/>
      </c>
    </row>
    <row r="292" spans="1:26">
      <c r="A292" s="825" t="s">
        <v>622</v>
      </c>
      <c r="B292" s="826">
        <v>43</v>
      </c>
      <c r="C292" s="827"/>
      <c r="D292" s="828">
        <v>12.67442</v>
      </c>
      <c r="E292" s="828">
        <v>9.0256799999999995</v>
      </c>
      <c r="F292" s="828">
        <v>81.462900000000005</v>
      </c>
      <c r="G292" s="828">
        <v>29</v>
      </c>
      <c r="H292" s="828">
        <v>1</v>
      </c>
      <c r="I292" s="828">
        <v>4</v>
      </c>
      <c r="J292" s="828">
        <v>20</v>
      </c>
      <c r="K292" s="828">
        <v>12</v>
      </c>
      <c r="L292" s="828">
        <v>20</v>
      </c>
      <c r="N292" s="222" t="s">
        <v>622</v>
      </c>
      <c r="O292" s="222" t="s">
        <v>623</v>
      </c>
      <c r="P292" s="824">
        <v>43</v>
      </c>
      <c r="Q292" s="824">
        <v>12.67442</v>
      </c>
      <c r="R292" s="824">
        <v>81.462900000000005</v>
      </c>
      <c r="S292" s="824">
        <v>9.0256799999999995</v>
      </c>
      <c r="T292" s="824">
        <v>29</v>
      </c>
      <c r="U292" s="824">
        <v>1</v>
      </c>
      <c r="V292" s="824">
        <v>4</v>
      </c>
      <c r="W292" s="824">
        <v>20</v>
      </c>
      <c r="X292" s="824">
        <v>12</v>
      </c>
      <c r="Y292" s="824">
        <v>20</v>
      </c>
      <c r="Z292" s="480" t="str">
        <f t="shared" si="4"/>
        <v/>
      </c>
    </row>
    <row r="293" spans="1:26">
      <c r="A293" s="825" t="s">
        <v>624</v>
      </c>
      <c r="B293" s="826">
        <v>5347</v>
      </c>
      <c r="C293" s="827"/>
      <c r="D293" s="828">
        <v>9.6280199999999994</v>
      </c>
      <c r="E293" s="828">
        <v>6.0018599999999998</v>
      </c>
      <c r="F293" s="828">
        <v>36.022280000000002</v>
      </c>
      <c r="G293" s="828">
        <v>23</v>
      </c>
      <c r="H293" s="828">
        <v>1</v>
      </c>
      <c r="I293" s="828">
        <v>5</v>
      </c>
      <c r="J293" s="828">
        <v>14</v>
      </c>
      <c r="K293" s="828">
        <v>9</v>
      </c>
      <c r="L293" s="828">
        <v>5</v>
      </c>
      <c r="N293" s="222" t="s">
        <v>624</v>
      </c>
      <c r="O293" s="222" t="s">
        <v>2069</v>
      </c>
      <c r="P293" s="824">
        <v>5347</v>
      </c>
      <c r="Q293" s="824">
        <v>9.6280199999999994</v>
      </c>
      <c r="R293" s="824">
        <v>36.022280000000002</v>
      </c>
      <c r="S293" s="824">
        <v>6.0018599999999998</v>
      </c>
      <c r="T293" s="824">
        <v>23</v>
      </c>
      <c r="U293" s="824">
        <v>1</v>
      </c>
      <c r="V293" s="824">
        <v>5</v>
      </c>
      <c r="W293" s="824">
        <v>14</v>
      </c>
      <c r="X293" s="824">
        <v>9</v>
      </c>
      <c r="Y293" s="824">
        <v>5</v>
      </c>
      <c r="Z293" s="480" t="str">
        <f t="shared" si="4"/>
        <v/>
      </c>
    </row>
    <row r="294" spans="1:26">
      <c r="A294" s="825" t="s">
        <v>625</v>
      </c>
      <c r="B294" s="826">
        <v>46372</v>
      </c>
      <c r="C294" s="827"/>
      <c r="D294" s="828">
        <v>7.95702</v>
      </c>
      <c r="E294" s="828">
        <v>5.26532</v>
      </c>
      <c r="F294" s="828">
        <v>27.723559999999999</v>
      </c>
      <c r="G294" s="828">
        <v>20</v>
      </c>
      <c r="H294" s="828">
        <v>1</v>
      </c>
      <c r="I294" s="828">
        <v>3</v>
      </c>
      <c r="J294" s="828">
        <v>12</v>
      </c>
      <c r="K294" s="828">
        <v>7</v>
      </c>
      <c r="L294" s="828">
        <v>2</v>
      </c>
      <c r="N294" s="222" t="s">
        <v>625</v>
      </c>
      <c r="O294" s="222" t="s">
        <v>626</v>
      </c>
      <c r="P294" s="824">
        <v>46372</v>
      </c>
      <c r="Q294" s="824">
        <v>7.95702</v>
      </c>
      <c r="R294" s="824">
        <v>27.723559999999999</v>
      </c>
      <c r="S294" s="824">
        <v>5.26532</v>
      </c>
      <c r="T294" s="824">
        <v>20</v>
      </c>
      <c r="U294" s="824">
        <v>1</v>
      </c>
      <c r="V294" s="824">
        <v>3</v>
      </c>
      <c r="W294" s="824">
        <v>12</v>
      </c>
      <c r="X294" s="824">
        <v>7</v>
      </c>
      <c r="Y294" s="824">
        <v>2</v>
      </c>
      <c r="Z294" s="480" t="str">
        <f t="shared" si="4"/>
        <v/>
      </c>
    </row>
    <row r="295" spans="1:26">
      <c r="A295" s="825" t="s">
        <v>627</v>
      </c>
      <c r="B295" s="826">
        <v>6295</v>
      </c>
      <c r="C295" s="827"/>
      <c r="D295" s="828">
        <v>8.6953099999999992</v>
      </c>
      <c r="E295" s="828">
        <v>5.5811500000000001</v>
      </c>
      <c r="F295" s="828">
        <v>31.149290000000001</v>
      </c>
      <c r="G295" s="828">
        <v>21</v>
      </c>
      <c r="H295" s="828">
        <v>1</v>
      </c>
      <c r="I295" s="828">
        <v>4</v>
      </c>
      <c r="J295" s="828">
        <v>13</v>
      </c>
      <c r="K295" s="828">
        <v>7</v>
      </c>
      <c r="L295" s="828">
        <v>3</v>
      </c>
      <c r="N295" s="222" t="s">
        <v>627</v>
      </c>
      <c r="O295" s="222" t="s">
        <v>2070</v>
      </c>
      <c r="P295" s="824">
        <v>6295</v>
      </c>
      <c r="Q295" s="824">
        <v>8.6953099999999992</v>
      </c>
      <c r="R295" s="824">
        <v>31.149290000000001</v>
      </c>
      <c r="S295" s="824">
        <v>5.5811500000000001</v>
      </c>
      <c r="T295" s="824">
        <v>21</v>
      </c>
      <c r="U295" s="824">
        <v>1</v>
      </c>
      <c r="V295" s="824">
        <v>4</v>
      </c>
      <c r="W295" s="824">
        <v>13</v>
      </c>
      <c r="X295" s="824">
        <v>7</v>
      </c>
      <c r="Y295" s="824">
        <v>3</v>
      </c>
      <c r="Z295" s="480" t="str">
        <f t="shared" si="4"/>
        <v/>
      </c>
    </row>
    <row r="296" spans="1:26">
      <c r="A296" s="825" t="s">
        <v>628</v>
      </c>
      <c r="B296" s="826">
        <v>1969</v>
      </c>
      <c r="C296" s="829"/>
      <c r="D296" s="828">
        <v>8.5794800000000002</v>
      </c>
      <c r="E296" s="828">
        <v>5.2521699999999996</v>
      </c>
      <c r="F296" s="828">
        <v>27.585270000000001</v>
      </c>
      <c r="G296" s="828">
        <v>20</v>
      </c>
      <c r="H296" s="828">
        <v>1</v>
      </c>
      <c r="I296" s="828">
        <v>4</v>
      </c>
      <c r="J296" s="828">
        <v>12</v>
      </c>
      <c r="K296" s="828">
        <v>8</v>
      </c>
      <c r="L296" s="828">
        <v>3</v>
      </c>
      <c r="N296" s="222" t="s">
        <v>628</v>
      </c>
      <c r="O296" s="222" t="s">
        <v>629</v>
      </c>
      <c r="P296" s="824">
        <v>1969</v>
      </c>
      <c r="Q296" s="824">
        <v>8.5794800000000002</v>
      </c>
      <c r="R296" s="824">
        <v>27.585270000000001</v>
      </c>
      <c r="S296" s="824">
        <v>5.2521699999999996</v>
      </c>
      <c r="T296" s="824">
        <v>20</v>
      </c>
      <c r="U296" s="824">
        <v>1</v>
      </c>
      <c r="V296" s="824">
        <v>4</v>
      </c>
      <c r="W296" s="824">
        <v>12</v>
      </c>
      <c r="X296" s="824">
        <v>8</v>
      </c>
      <c r="Y296" s="824">
        <v>3</v>
      </c>
      <c r="Z296" s="480" t="str">
        <f t="shared" si="4"/>
        <v/>
      </c>
    </row>
    <row r="297" spans="1:26">
      <c r="A297" s="825" t="s">
        <v>630</v>
      </c>
      <c r="B297" s="826">
        <v>189</v>
      </c>
      <c r="C297" s="827"/>
      <c r="D297" s="828">
        <v>7.9947100000000004</v>
      </c>
      <c r="E297" s="828">
        <v>5.7837800000000001</v>
      </c>
      <c r="F297" s="828">
        <v>33.452100000000002</v>
      </c>
      <c r="G297" s="828">
        <v>30</v>
      </c>
      <c r="H297" s="828">
        <v>1</v>
      </c>
      <c r="I297" s="828">
        <v>4</v>
      </c>
      <c r="J297" s="828">
        <v>11</v>
      </c>
      <c r="K297" s="828">
        <v>6</v>
      </c>
      <c r="L297" s="828">
        <v>3</v>
      </c>
      <c r="N297" s="222" t="s">
        <v>630</v>
      </c>
      <c r="O297" s="222" t="s">
        <v>631</v>
      </c>
      <c r="P297" s="824">
        <v>189</v>
      </c>
      <c r="Q297" s="824">
        <v>7.9947100000000004</v>
      </c>
      <c r="R297" s="824">
        <v>33.452100000000002</v>
      </c>
      <c r="S297" s="824">
        <v>5.7837800000000001</v>
      </c>
      <c r="T297" s="824">
        <v>30</v>
      </c>
      <c r="U297" s="824">
        <v>1</v>
      </c>
      <c r="V297" s="824">
        <v>4</v>
      </c>
      <c r="W297" s="824">
        <v>11</v>
      </c>
      <c r="X297" s="824">
        <v>6</v>
      </c>
      <c r="Y297" s="824">
        <v>3</v>
      </c>
      <c r="Z297" s="480" t="str">
        <f t="shared" si="4"/>
        <v/>
      </c>
    </row>
    <row r="298" spans="1:26">
      <c r="A298" s="825" t="s">
        <v>632</v>
      </c>
      <c r="B298" s="826">
        <v>26396</v>
      </c>
      <c r="C298" s="827"/>
      <c r="D298" s="828">
        <v>8.81236</v>
      </c>
      <c r="E298" s="828">
        <v>5.5514700000000001</v>
      </c>
      <c r="F298" s="828">
        <v>30.81878</v>
      </c>
      <c r="G298" s="828">
        <v>21</v>
      </c>
      <c r="H298" s="828">
        <v>1</v>
      </c>
      <c r="I298" s="828">
        <v>4</v>
      </c>
      <c r="J298" s="828">
        <v>13</v>
      </c>
      <c r="K298" s="828">
        <v>8</v>
      </c>
      <c r="L298" s="828">
        <v>3</v>
      </c>
      <c r="N298" s="222" t="s">
        <v>632</v>
      </c>
      <c r="O298" s="222" t="s">
        <v>2071</v>
      </c>
      <c r="P298" s="824">
        <v>26396</v>
      </c>
      <c r="Q298" s="824">
        <v>8.81236</v>
      </c>
      <c r="R298" s="824">
        <v>30.81878</v>
      </c>
      <c r="S298" s="824">
        <v>5.5514700000000001</v>
      </c>
      <c r="T298" s="824">
        <v>21</v>
      </c>
      <c r="U298" s="824">
        <v>1</v>
      </c>
      <c r="V298" s="824">
        <v>4</v>
      </c>
      <c r="W298" s="824">
        <v>13</v>
      </c>
      <c r="X298" s="824">
        <v>8</v>
      </c>
      <c r="Y298" s="824">
        <v>3</v>
      </c>
      <c r="Z298" s="480" t="str">
        <f t="shared" si="4"/>
        <v/>
      </c>
    </row>
    <row r="299" spans="1:26">
      <c r="A299" s="825" t="s">
        <v>633</v>
      </c>
      <c r="B299" s="826">
        <v>9</v>
      </c>
      <c r="C299" s="827"/>
      <c r="D299" s="828">
        <v>17.44444</v>
      </c>
      <c r="E299" s="828">
        <v>9.2751199999999994</v>
      </c>
      <c r="F299" s="828">
        <v>86.027780000000007</v>
      </c>
      <c r="G299" s="828">
        <v>32</v>
      </c>
      <c r="H299" s="828">
        <v>3</v>
      </c>
      <c r="I299" s="828">
        <v>10</v>
      </c>
      <c r="J299" s="828">
        <v>24</v>
      </c>
      <c r="K299" s="828">
        <v>17</v>
      </c>
      <c r="L299" s="828">
        <v>17</v>
      </c>
      <c r="N299" s="222" t="s">
        <v>633</v>
      </c>
      <c r="O299" s="222" t="s">
        <v>2072</v>
      </c>
      <c r="P299" s="824">
        <v>9</v>
      </c>
      <c r="Q299" s="824">
        <v>17.44444</v>
      </c>
      <c r="R299" s="824">
        <v>86.027780000000007</v>
      </c>
      <c r="S299" s="824">
        <v>9.2751199999999994</v>
      </c>
      <c r="T299" s="824">
        <v>32</v>
      </c>
      <c r="U299" s="824">
        <v>3</v>
      </c>
      <c r="V299" s="824">
        <v>10</v>
      </c>
      <c r="W299" s="824">
        <v>24</v>
      </c>
      <c r="X299" s="824">
        <v>17</v>
      </c>
      <c r="Y299" s="824">
        <v>17</v>
      </c>
      <c r="Z299" s="480" t="str">
        <f t="shared" si="4"/>
        <v/>
      </c>
    </row>
    <row r="300" spans="1:26">
      <c r="A300" s="825" t="s">
        <v>634</v>
      </c>
      <c r="B300" s="826">
        <v>1166</v>
      </c>
      <c r="C300" s="827"/>
      <c r="D300" s="828">
        <v>12.455399999999999</v>
      </c>
      <c r="E300" s="828">
        <v>7.93283</v>
      </c>
      <c r="F300" s="828">
        <v>62.929769999999998</v>
      </c>
      <c r="G300" s="828">
        <v>28</v>
      </c>
      <c r="H300" s="828">
        <v>1</v>
      </c>
      <c r="I300" s="828">
        <v>5</v>
      </c>
      <c r="J300" s="828">
        <v>19</v>
      </c>
      <c r="K300" s="828">
        <v>11</v>
      </c>
      <c r="L300" s="828">
        <v>2</v>
      </c>
      <c r="N300" s="222" t="s">
        <v>634</v>
      </c>
      <c r="O300" s="222" t="s">
        <v>2073</v>
      </c>
      <c r="P300" s="824">
        <v>1166</v>
      </c>
      <c r="Q300" s="824">
        <v>12.455399999999999</v>
      </c>
      <c r="R300" s="824">
        <v>62.929769999999998</v>
      </c>
      <c r="S300" s="824">
        <v>7.93283</v>
      </c>
      <c r="T300" s="824">
        <v>28</v>
      </c>
      <c r="U300" s="824">
        <v>1</v>
      </c>
      <c r="V300" s="824">
        <v>5</v>
      </c>
      <c r="W300" s="824">
        <v>19</v>
      </c>
      <c r="X300" s="824">
        <v>11</v>
      </c>
      <c r="Y300" s="824">
        <v>2</v>
      </c>
      <c r="Z300" s="480" t="str">
        <f t="shared" si="4"/>
        <v/>
      </c>
    </row>
    <row r="301" spans="1:26">
      <c r="A301" s="825" t="s">
        <v>635</v>
      </c>
      <c r="B301" s="826">
        <v>265</v>
      </c>
      <c r="C301" s="827"/>
      <c r="D301" s="828">
        <v>9.1547199999999993</v>
      </c>
      <c r="E301" s="828">
        <v>6.0910599999999997</v>
      </c>
      <c r="F301" s="828">
        <v>37.100969999999997</v>
      </c>
      <c r="G301" s="828">
        <v>22</v>
      </c>
      <c r="H301" s="828">
        <v>1</v>
      </c>
      <c r="I301" s="828">
        <v>4</v>
      </c>
      <c r="J301" s="828">
        <v>14</v>
      </c>
      <c r="K301" s="828">
        <v>8</v>
      </c>
      <c r="L301" s="828">
        <v>2</v>
      </c>
      <c r="N301" s="222" t="s">
        <v>635</v>
      </c>
      <c r="O301" s="222" t="s">
        <v>636</v>
      </c>
      <c r="P301" s="824">
        <v>265</v>
      </c>
      <c r="Q301" s="824">
        <v>9.1547199999999993</v>
      </c>
      <c r="R301" s="824">
        <v>37.100969999999997</v>
      </c>
      <c r="S301" s="824">
        <v>6.0910599999999997</v>
      </c>
      <c r="T301" s="824">
        <v>22</v>
      </c>
      <c r="U301" s="824">
        <v>1</v>
      </c>
      <c r="V301" s="824">
        <v>4</v>
      </c>
      <c r="W301" s="824">
        <v>14</v>
      </c>
      <c r="X301" s="824">
        <v>8</v>
      </c>
      <c r="Y301" s="824">
        <v>2</v>
      </c>
      <c r="Z301" s="480" t="str">
        <f t="shared" si="4"/>
        <v/>
      </c>
    </row>
    <row r="302" spans="1:26">
      <c r="A302" s="825" t="s">
        <v>637</v>
      </c>
      <c r="B302" s="826">
        <v>9773</v>
      </c>
      <c r="C302" s="829"/>
      <c r="D302" s="828">
        <v>9.4351800000000008</v>
      </c>
      <c r="E302" s="828">
        <v>6.1180899999999996</v>
      </c>
      <c r="F302" s="828">
        <v>37.431049999999999</v>
      </c>
      <c r="G302" s="828">
        <v>23</v>
      </c>
      <c r="H302" s="828">
        <v>1</v>
      </c>
      <c r="I302" s="828">
        <v>4</v>
      </c>
      <c r="J302" s="828">
        <v>14</v>
      </c>
      <c r="K302" s="828">
        <v>8</v>
      </c>
      <c r="L302" s="828">
        <v>3</v>
      </c>
      <c r="N302" s="222" t="s">
        <v>637</v>
      </c>
      <c r="O302" s="222" t="s">
        <v>638</v>
      </c>
      <c r="P302" s="824">
        <v>9773</v>
      </c>
      <c r="Q302" s="824">
        <v>9.4351800000000008</v>
      </c>
      <c r="R302" s="824">
        <v>37.431049999999999</v>
      </c>
      <c r="S302" s="824">
        <v>6.1180899999999996</v>
      </c>
      <c r="T302" s="824">
        <v>23</v>
      </c>
      <c r="U302" s="824">
        <v>1</v>
      </c>
      <c r="V302" s="824">
        <v>4</v>
      </c>
      <c r="W302" s="824">
        <v>14</v>
      </c>
      <c r="X302" s="824">
        <v>8</v>
      </c>
      <c r="Y302" s="824">
        <v>3</v>
      </c>
      <c r="Z302" s="480" t="str">
        <f t="shared" si="4"/>
        <v/>
      </c>
    </row>
    <row r="303" spans="1:26">
      <c r="A303" s="825" t="s">
        <v>639</v>
      </c>
      <c r="B303" s="826">
        <v>10959</v>
      </c>
      <c r="C303" s="827"/>
      <c r="D303" s="828">
        <v>9.4222999999999999</v>
      </c>
      <c r="E303" s="828">
        <v>5.8916899999999996</v>
      </c>
      <c r="F303" s="828">
        <v>34.711950000000002</v>
      </c>
      <c r="G303" s="828">
        <v>22</v>
      </c>
      <c r="H303" s="828">
        <v>1</v>
      </c>
      <c r="I303" s="828">
        <v>4</v>
      </c>
      <c r="J303" s="828">
        <v>14</v>
      </c>
      <c r="K303" s="828">
        <v>9</v>
      </c>
      <c r="L303" s="828">
        <v>3</v>
      </c>
      <c r="N303" s="222" t="s">
        <v>639</v>
      </c>
      <c r="O303" s="222" t="s">
        <v>2074</v>
      </c>
      <c r="P303" s="824">
        <v>10959</v>
      </c>
      <c r="Q303" s="824">
        <v>9.4222999999999999</v>
      </c>
      <c r="R303" s="824">
        <v>34.711950000000002</v>
      </c>
      <c r="S303" s="824">
        <v>5.8916899999999996</v>
      </c>
      <c r="T303" s="824">
        <v>22</v>
      </c>
      <c r="U303" s="824">
        <v>1</v>
      </c>
      <c r="V303" s="824">
        <v>4</v>
      </c>
      <c r="W303" s="824">
        <v>14</v>
      </c>
      <c r="X303" s="824">
        <v>9</v>
      </c>
      <c r="Y303" s="824">
        <v>3</v>
      </c>
      <c r="Z303" s="480" t="str">
        <f t="shared" si="4"/>
        <v/>
      </c>
    </row>
    <row r="304" spans="1:26">
      <c r="A304" s="825" t="s">
        <v>640</v>
      </c>
      <c r="B304" s="826">
        <v>1567</v>
      </c>
      <c r="C304" s="827"/>
      <c r="D304" s="828">
        <v>8.6394400000000005</v>
      </c>
      <c r="E304" s="828">
        <v>5.4764799999999996</v>
      </c>
      <c r="F304" s="828">
        <v>29.991879999999998</v>
      </c>
      <c r="G304" s="828">
        <v>21</v>
      </c>
      <c r="H304" s="828">
        <v>1</v>
      </c>
      <c r="I304" s="828">
        <v>4</v>
      </c>
      <c r="J304" s="828">
        <v>13</v>
      </c>
      <c r="K304" s="828">
        <v>8</v>
      </c>
      <c r="L304" s="828">
        <v>4</v>
      </c>
      <c r="N304" s="222" t="s">
        <v>640</v>
      </c>
      <c r="O304" s="222" t="s">
        <v>641</v>
      </c>
      <c r="P304" s="824">
        <v>1567</v>
      </c>
      <c r="Q304" s="824">
        <v>8.6394400000000005</v>
      </c>
      <c r="R304" s="824">
        <v>29.991879999999998</v>
      </c>
      <c r="S304" s="824">
        <v>5.4764799999999996</v>
      </c>
      <c r="T304" s="824">
        <v>21</v>
      </c>
      <c r="U304" s="824">
        <v>1</v>
      </c>
      <c r="V304" s="824">
        <v>4</v>
      </c>
      <c r="W304" s="824">
        <v>13</v>
      </c>
      <c r="X304" s="824">
        <v>8</v>
      </c>
      <c r="Y304" s="824">
        <v>4</v>
      </c>
      <c r="Z304" s="480" t="str">
        <f t="shared" si="4"/>
        <v/>
      </c>
    </row>
    <row r="305" spans="1:26">
      <c r="A305" s="825" t="s">
        <v>642</v>
      </c>
      <c r="B305" s="826">
        <v>1003</v>
      </c>
      <c r="C305" s="827"/>
      <c r="D305" s="828">
        <v>10.041869999999999</v>
      </c>
      <c r="E305" s="828">
        <v>6.9695799999999997</v>
      </c>
      <c r="F305" s="828">
        <v>48.575090000000003</v>
      </c>
      <c r="G305" s="828">
        <v>25</v>
      </c>
      <c r="H305" s="828">
        <v>1</v>
      </c>
      <c r="I305" s="828">
        <v>4</v>
      </c>
      <c r="J305" s="828">
        <v>15</v>
      </c>
      <c r="K305" s="828">
        <v>8</v>
      </c>
      <c r="L305" s="828">
        <v>2</v>
      </c>
      <c r="N305" s="222" t="s">
        <v>642</v>
      </c>
      <c r="O305" s="222" t="s">
        <v>2075</v>
      </c>
      <c r="P305" s="824">
        <v>1003</v>
      </c>
      <c r="Q305" s="824">
        <v>10.041869999999999</v>
      </c>
      <c r="R305" s="824">
        <v>48.575090000000003</v>
      </c>
      <c r="S305" s="824">
        <v>6.9695799999999997</v>
      </c>
      <c r="T305" s="824">
        <v>25</v>
      </c>
      <c r="U305" s="824">
        <v>1</v>
      </c>
      <c r="V305" s="824">
        <v>4</v>
      </c>
      <c r="W305" s="824">
        <v>15</v>
      </c>
      <c r="X305" s="824">
        <v>8</v>
      </c>
      <c r="Y305" s="824">
        <v>2</v>
      </c>
      <c r="Z305" s="480" t="str">
        <f t="shared" si="4"/>
        <v/>
      </c>
    </row>
    <row r="306" spans="1:26">
      <c r="A306" s="825" t="s">
        <v>643</v>
      </c>
      <c r="B306" s="826">
        <v>53728</v>
      </c>
      <c r="C306" s="827"/>
      <c r="D306" s="828">
        <v>10.41803</v>
      </c>
      <c r="E306" s="828">
        <v>7.9636399999999998</v>
      </c>
      <c r="F306" s="828">
        <v>63.41957</v>
      </c>
      <c r="G306" s="828">
        <v>55</v>
      </c>
      <c r="H306" s="828">
        <v>1</v>
      </c>
      <c r="I306" s="828">
        <v>4</v>
      </c>
      <c r="J306" s="828">
        <v>15</v>
      </c>
      <c r="K306" s="828">
        <v>8</v>
      </c>
      <c r="L306" s="828">
        <v>3</v>
      </c>
      <c r="N306" s="222" t="s">
        <v>643</v>
      </c>
      <c r="O306" s="222" t="s">
        <v>644</v>
      </c>
      <c r="P306" s="824">
        <v>53728</v>
      </c>
      <c r="Q306" s="824">
        <v>10.41803</v>
      </c>
      <c r="R306" s="824">
        <v>63.41957</v>
      </c>
      <c r="S306" s="824">
        <v>7.9636399999999998</v>
      </c>
      <c r="T306" s="824">
        <v>55</v>
      </c>
      <c r="U306" s="824">
        <v>1</v>
      </c>
      <c r="V306" s="824">
        <v>4</v>
      </c>
      <c r="W306" s="824">
        <v>15</v>
      </c>
      <c r="X306" s="824">
        <v>8</v>
      </c>
      <c r="Y306" s="824">
        <v>3</v>
      </c>
      <c r="Z306" s="480" t="str">
        <f t="shared" si="4"/>
        <v/>
      </c>
    </row>
    <row r="307" spans="1:26">
      <c r="A307" s="825" t="s">
        <v>645</v>
      </c>
      <c r="B307" s="826">
        <v>737</v>
      </c>
      <c r="C307" s="827"/>
      <c r="D307" s="828">
        <v>11.16689</v>
      </c>
      <c r="E307" s="828">
        <v>6.6263300000000003</v>
      </c>
      <c r="F307" s="828">
        <v>43.908250000000002</v>
      </c>
      <c r="G307" s="828">
        <v>26</v>
      </c>
      <c r="H307" s="828">
        <v>1</v>
      </c>
      <c r="I307" s="828">
        <v>6</v>
      </c>
      <c r="J307" s="828">
        <v>16</v>
      </c>
      <c r="K307" s="828">
        <v>11</v>
      </c>
      <c r="L307" s="828">
        <v>11</v>
      </c>
      <c r="N307" s="222" t="s">
        <v>645</v>
      </c>
      <c r="O307" s="222" t="s">
        <v>646</v>
      </c>
      <c r="P307" s="824">
        <v>737</v>
      </c>
      <c r="Q307" s="824">
        <v>11.16689</v>
      </c>
      <c r="R307" s="824">
        <v>43.908250000000002</v>
      </c>
      <c r="S307" s="824">
        <v>6.6263300000000003</v>
      </c>
      <c r="T307" s="824">
        <v>26</v>
      </c>
      <c r="U307" s="824">
        <v>1</v>
      </c>
      <c r="V307" s="824">
        <v>6</v>
      </c>
      <c r="W307" s="824">
        <v>16</v>
      </c>
      <c r="X307" s="824">
        <v>11</v>
      </c>
      <c r="Y307" s="824">
        <v>11</v>
      </c>
      <c r="Z307" s="480" t="str">
        <f t="shared" si="4"/>
        <v/>
      </c>
    </row>
    <row r="308" spans="1:26">
      <c r="A308" s="825" t="s">
        <v>647</v>
      </c>
      <c r="B308" s="826">
        <v>34</v>
      </c>
      <c r="C308" s="827"/>
      <c r="D308" s="828">
        <v>10.764709999999999</v>
      </c>
      <c r="E308" s="828">
        <v>7.3156499999999998</v>
      </c>
      <c r="F308" s="828">
        <v>53.518720000000002</v>
      </c>
      <c r="G308" s="828">
        <v>26</v>
      </c>
      <c r="H308" s="828">
        <v>1</v>
      </c>
      <c r="I308" s="828">
        <v>4</v>
      </c>
      <c r="J308" s="828">
        <v>17</v>
      </c>
      <c r="K308" s="828">
        <v>10</v>
      </c>
      <c r="L308" s="828">
        <v>1</v>
      </c>
      <c r="N308" s="222" t="s">
        <v>647</v>
      </c>
      <c r="O308" s="222" t="s">
        <v>648</v>
      </c>
      <c r="P308" s="824">
        <v>34</v>
      </c>
      <c r="Q308" s="824">
        <v>10.764709999999999</v>
      </c>
      <c r="R308" s="824">
        <v>53.518720000000002</v>
      </c>
      <c r="S308" s="824">
        <v>7.3156499999999998</v>
      </c>
      <c r="T308" s="824">
        <v>26</v>
      </c>
      <c r="U308" s="824">
        <v>1</v>
      </c>
      <c r="V308" s="824">
        <v>4</v>
      </c>
      <c r="W308" s="824">
        <v>17</v>
      </c>
      <c r="X308" s="824">
        <v>10</v>
      </c>
      <c r="Y308" s="824">
        <v>1</v>
      </c>
      <c r="Z308" s="480" t="str">
        <f t="shared" si="4"/>
        <v/>
      </c>
    </row>
    <row r="309" spans="1:26">
      <c r="A309" s="825" t="s">
        <v>649</v>
      </c>
      <c r="B309" s="826">
        <v>569</v>
      </c>
      <c r="C309" s="827"/>
      <c r="D309" s="828">
        <v>9.1405999999999992</v>
      </c>
      <c r="E309" s="828">
        <v>5.7056199999999997</v>
      </c>
      <c r="F309" s="828">
        <v>32.554139999999997</v>
      </c>
      <c r="G309" s="828">
        <v>22</v>
      </c>
      <c r="H309" s="828">
        <v>1</v>
      </c>
      <c r="I309" s="828">
        <v>4</v>
      </c>
      <c r="J309" s="828">
        <v>13</v>
      </c>
      <c r="K309" s="828">
        <v>8</v>
      </c>
      <c r="L309" s="828">
        <v>6</v>
      </c>
      <c r="N309" s="222" t="s">
        <v>649</v>
      </c>
      <c r="O309" s="222" t="s">
        <v>650</v>
      </c>
      <c r="P309" s="824">
        <v>569</v>
      </c>
      <c r="Q309" s="824">
        <v>9.1405999999999992</v>
      </c>
      <c r="R309" s="824">
        <v>32.554139999999997</v>
      </c>
      <c r="S309" s="824">
        <v>5.7056199999999997</v>
      </c>
      <c r="T309" s="824">
        <v>22</v>
      </c>
      <c r="U309" s="824">
        <v>1</v>
      </c>
      <c r="V309" s="824">
        <v>4</v>
      </c>
      <c r="W309" s="824">
        <v>13</v>
      </c>
      <c r="X309" s="824">
        <v>8</v>
      </c>
      <c r="Y309" s="824">
        <v>6</v>
      </c>
      <c r="Z309" s="480" t="str">
        <f t="shared" si="4"/>
        <v/>
      </c>
    </row>
    <row r="310" spans="1:26">
      <c r="A310" s="825" t="s">
        <v>651</v>
      </c>
      <c r="B310" s="826">
        <v>223</v>
      </c>
      <c r="C310" s="827"/>
      <c r="D310" s="828">
        <v>10.255610000000001</v>
      </c>
      <c r="E310" s="828">
        <v>5.2899799999999999</v>
      </c>
      <c r="F310" s="828">
        <v>27.983920000000001</v>
      </c>
      <c r="G310" s="828">
        <v>20</v>
      </c>
      <c r="H310" s="828">
        <v>1</v>
      </c>
      <c r="I310" s="828">
        <v>6</v>
      </c>
      <c r="J310" s="828">
        <v>15</v>
      </c>
      <c r="K310" s="828">
        <v>10</v>
      </c>
      <c r="L310" s="828">
        <v>3</v>
      </c>
      <c r="N310" s="222" t="s">
        <v>651</v>
      </c>
      <c r="O310" s="222" t="s">
        <v>652</v>
      </c>
      <c r="P310" s="824">
        <v>223</v>
      </c>
      <c r="Q310" s="824">
        <v>10.255610000000001</v>
      </c>
      <c r="R310" s="824">
        <v>27.983920000000001</v>
      </c>
      <c r="S310" s="824">
        <v>5.2899799999999999</v>
      </c>
      <c r="T310" s="824">
        <v>20</v>
      </c>
      <c r="U310" s="824">
        <v>1</v>
      </c>
      <c r="V310" s="824">
        <v>6</v>
      </c>
      <c r="W310" s="824">
        <v>15</v>
      </c>
      <c r="X310" s="824">
        <v>10</v>
      </c>
      <c r="Y310" s="824">
        <v>3</v>
      </c>
      <c r="Z310" s="480" t="str">
        <f t="shared" si="4"/>
        <v/>
      </c>
    </row>
    <row r="311" spans="1:26">
      <c r="A311" s="825" t="s">
        <v>653</v>
      </c>
      <c r="B311" s="826">
        <v>48</v>
      </c>
      <c r="C311" s="829"/>
      <c r="D311" s="828">
        <v>8.6458300000000001</v>
      </c>
      <c r="E311" s="828">
        <v>5.5753599999999999</v>
      </c>
      <c r="F311" s="828">
        <v>31.08466</v>
      </c>
      <c r="G311" s="828">
        <v>21</v>
      </c>
      <c r="H311" s="828">
        <v>1</v>
      </c>
      <c r="I311" s="828">
        <v>4</v>
      </c>
      <c r="J311" s="828">
        <v>13</v>
      </c>
      <c r="K311" s="828">
        <v>8</v>
      </c>
      <c r="L311" s="828">
        <v>4</v>
      </c>
      <c r="N311" s="222" t="s">
        <v>653</v>
      </c>
      <c r="O311" s="222" t="s">
        <v>654</v>
      </c>
      <c r="P311" s="824">
        <v>48</v>
      </c>
      <c r="Q311" s="824">
        <v>8.6458300000000001</v>
      </c>
      <c r="R311" s="824">
        <v>31.08466</v>
      </c>
      <c r="S311" s="824">
        <v>5.5753599999999999</v>
      </c>
      <c r="T311" s="824">
        <v>21</v>
      </c>
      <c r="U311" s="824">
        <v>1</v>
      </c>
      <c r="V311" s="824">
        <v>4</v>
      </c>
      <c r="W311" s="824">
        <v>13</v>
      </c>
      <c r="X311" s="824">
        <v>8</v>
      </c>
      <c r="Y311" s="824">
        <v>4</v>
      </c>
      <c r="Z311" s="480" t="str">
        <f t="shared" si="4"/>
        <v/>
      </c>
    </row>
    <row r="312" spans="1:26">
      <c r="A312" s="825" t="s">
        <v>655</v>
      </c>
      <c r="B312" s="826">
        <v>8541</v>
      </c>
      <c r="C312" s="827"/>
      <c r="D312" s="828">
        <v>10.02271</v>
      </c>
      <c r="E312" s="828">
        <v>5.5503600000000004</v>
      </c>
      <c r="F312" s="828">
        <v>30.806509999999999</v>
      </c>
      <c r="G312" s="828">
        <v>22</v>
      </c>
      <c r="H312" s="828">
        <v>1</v>
      </c>
      <c r="I312" s="828">
        <v>5</v>
      </c>
      <c r="J312" s="828">
        <v>14</v>
      </c>
      <c r="K312" s="828">
        <v>9</v>
      </c>
      <c r="L312" s="828">
        <v>7</v>
      </c>
      <c r="N312" s="222" t="s">
        <v>655</v>
      </c>
      <c r="O312" s="222" t="s">
        <v>2076</v>
      </c>
      <c r="P312" s="824">
        <v>8541</v>
      </c>
      <c r="Q312" s="824">
        <v>10.02271</v>
      </c>
      <c r="R312" s="824">
        <v>30.806509999999999</v>
      </c>
      <c r="S312" s="824">
        <v>5.5503600000000004</v>
      </c>
      <c r="T312" s="824">
        <v>22</v>
      </c>
      <c r="U312" s="824">
        <v>1</v>
      </c>
      <c r="V312" s="824">
        <v>5</v>
      </c>
      <c r="W312" s="824">
        <v>14</v>
      </c>
      <c r="X312" s="824">
        <v>9</v>
      </c>
      <c r="Y312" s="824">
        <v>7</v>
      </c>
      <c r="Z312" s="480" t="str">
        <f t="shared" si="4"/>
        <v/>
      </c>
    </row>
    <row r="313" spans="1:26">
      <c r="A313" s="825" t="s">
        <v>656</v>
      </c>
      <c r="B313" s="826">
        <v>29158</v>
      </c>
      <c r="C313" s="827"/>
      <c r="D313" s="828">
        <v>8.3154199999999996</v>
      </c>
      <c r="E313" s="828">
        <v>6.4913299999999996</v>
      </c>
      <c r="F313" s="828">
        <v>42.1374</v>
      </c>
      <c r="G313" s="828">
        <v>56</v>
      </c>
      <c r="H313" s="828">
        <v>1</v>
      </c>
      <c r="I313" s="828">
        <v>4</v>
      </c>
      <c r="J313" s="828">
        <v>11</v>
      </c>
      <c r="K313" s="828">
        <v>7</v>
      </c>
      <c r="L313" s="828">
        <v>3</v>
      </c>
      <c r="N313" s="222" t="s">
        <v>656</v>
      </c>
      <c r="O313" s="222" t="s">
        <v>2077</v>
      </c>
      <c r="P313" s="824">
        <v>29158</v>
      </c>
      <c r="Q313" s="824">
        <v>8.3154199999999996</v>
      </c>
      <c r="R313" s="824">
        <v>42.1374</v>
      </c>
      <c r="S313" s="824">
        <v>6.4913299999999996</v>
      </c>
      <c r="T313" s="824">
        <v>56</v>
      </c>
      <c r="U313" s="824">
        <v>1</v>
      </c>
      <c r="V313" s="824">
        <v>4</v>
      </c>
      <c r="W313" s="824">
        <v>11</v>
      </c>
      <c r="X313" s="824">
        <v>7</v>
      </c>
      <c r="Y313" s="824">
        <v>3</v>
      </c>
      <c r="Z313" s="480" t="str">
        <f t="shared" si="4"/>
        <v/>
      </c>
    </row>
    <row r="314" spans="1:26">
      <c r="A314" s="825" t="s">
        <v>657</v>
      </c>
      <c r="B314" s="826">
        <v>8137</v>
      </c>
      <c r="C314" s="827"/>
      <c r="D314" s="828">
        <v>10.2963</v>
      </c>
      <c r="E314" s="828">
        <v>8.3859700000000004</v>
      </c>
      <c r="F314" s="828">
        <v>70.324560000000005</v>
      </c>
      <c r="G314" s="828">
        <v>53</v>
      </c>
      <c r="H314" s="828">
        <v>1</v>
      </c>
      <c r="I314" s="828">
        <v>4</v>
      </c>
      <c r="J314" s="828">
        <v>14</v>
      </c>
      <c r="K314" s="828">
        <v>8</v>
      </c>
      <c r="L314" s="828">
        <v>3</v>
      </c>
      <c r="N314" s="222" t="s">
        <v>657</v>
      </c>
      <c r="O314" s="222" t="s">
        <v>2078</v>
      </c>
      <c r="P314" s="824">
        <v>8137</v>
      </c>
      <c r="Q314" s="824">
        <v>10.2963</v>
      </c>
      <c r="R314" s="824">
        <v>70.324560000000005</v>
      </c>
      <c r="S314" s="824">
        <v>8.3859700000000004</v>
      </c>
      <c r="T314" s="824">
        <v>53</v>
      </c>
      <c r="U314" s="824">
        <v>1</v>
      </c>
      <c r="V314" s="824">
        <v>4</v>
      </c>
      <c r="W314" s="824">
        <v>14</v>
      </c>
      <c r="X314" s="824">
        <v>8</v>
      </c>
      <c r="Y314" s="824">
        <v>3</v>
      </c>
      <c r="Z314" s="480" t="str">
        <f t="shared" si="4"/>
        <v/>
      </c>
    </row>
    <row r="315" spans="1:26">
      <c r="A315" s="825" t="s">
        <v>658</v>
      </c>
      <c r="B315" s="826">
        <v>21927</v>
      </c>
      <c r="C315" s="827"/>
      <c r="D315" s="828">
        <v>9.4940499999999997</v>
      </c>
      <c r="E315" s="828">
        <v>6.6367700000000003</v>
      </c>
      <c r="F315" s="828">
        <v>44.046660000000003</v>
      </c>
      <c r="G315" s="828">
        <v>54</v>
      </c>
      <c r="H315" s="828">
        <v>1</v>
      </c>
      <c r="I315" s="828">
        <v>4</v>
      </c>
      <c r="J315" s="828">
        <v>13</v>
      </c>
      <c r="K315" s="828">
        <v>8</v>
      </c>
      <c r="L315" s="828">
        <v>4</v>
      </c>
      <c r="N315" s="222" t="s">
        <v>658</v>
      </c>
      <c r="O315" s="222" t="s">
        <v>2079</v>
      </c>
      <c r="P315" s="824">
        <v>21927</v>
      </c>
      <c r="Q315" s="824">
        <v>9.4940499999999997</v>
      </c>
      <c r="R315" s="824">
        <v>44.046660000000003</v>
      </c>
      <c r="S315" s="824">
        <v>6.6367700000000003</v>
      </c>
      <c r="T315" s="824">
        <v>54</v>
      </c>
      <c r="U315" s="824">
        <v>1</v>
      </c>
      <c r="V315" s="824">
        <v>4</v>
      </c>
      <c r="W315" s="824">
        <v>13</v>
      </c>
      <c r="X315" s="824">
        <v>8</v>
      </c>
      <c r="Y315" s="824">
        <v>4</v>
      </c>
      <c r="Z315" s="480" t="str">
        <f t="shared" si="4"/>
        <v/>
      </c>
    </row>
    <row r="316" spans="1:26">
      <c r="A316" s="825" t="s">
        <v>659</v>
      </c>
      <c r="B316" s="826">
        <v>2</v>
      </c>
      <c r="C316" s="827"/>
      <c r="D316" s="828">
        <v>13</v>
      </c>
      <c r="E316" s="828">
        <v>5.6568500000000004</v>
      </c>
      <c r="F316" s="828">
        <v>32</v>
      </c>
      <c r="G316" s="828">
        <v>17</v>
      </c>
      <c r="H316" s="828">
        <v>9</v>
      </c>
      <c r="I316" s="828">
        <v>9</v>
      </c>
      <c r="J316" s="828">
        <v>17</v>
      </c>
      <c r="K316" s="828">
        <v>13</v>
      </c>
      <c r="L316" s="830" t="s">
        <v>2228</v>
      </c>
      <c r="N316" s="222" t="s">
        <v>659</v>
      </c>
      <c r="O316" s="222" t="s">
        <v>2080</v>
      </c>
      <c r="P316" s="824">
        <v>2</v>
      </c>
      <c r="Q316" s="824">
        <v>13</v>
      </c>
      <c r="R316" s="824">
        <v>32</v>
      </c>
      <c r="S316" s="824">
        <v>5.6568500000000004</v>
      </c>
      <c r="T316" s="824">
        <v>17</v>
      </c>
      <c r="U316" s="824">
        <v>9</v>
      </c>
      <c r="V316" s="824">
        <v>9</v>
      </c>
      <c r="W316" s="824">
        <v>17</v>
      </c>
      <c r="X316" s="824">
        <v>13</v>
      </c>
      <c r="Y316" s="222" t="s">
        <v>2228</v>
      </c>
      <c r="Z316" s="480" t="str">
        <f t="shared" si="4"/>
        <v/>
      </c>
    </row>
    <row r="317" spans="1:26">
      <c r="A317" s="825" t="s">
        <v>1147</v>
      </c>
      <c r="B317" s="826">
        <v>128</v>
      </c>
      <c r="C317" s="827"/>
      <c r="D317" s="828">
        <v>9.6328099999999992</v>
      </c>
      <c r="E317" s="828">
        <v>7.7600499999999997</v>
      </c>
      <c r="F317" s="828">
        <v>60.218440000000001</v>
      </c>
      <c r="G317" s="828">
        <v>39</v>
      </c>
      <c r="H317" s="828">
        <v>1</v>
      </c>
      <c r="I317" s="828">
        <v>4</v>
      </c>
      <c r="J317" s="828">
        <v>13</v>
      </c>
      <c r="K317" s="828">
        <v>7</v>
      </c>
      <c r="L317" s="828">
        <v>4</v>
      </c>
      <c r="N317" s="222" t="s">
        <v>1147</v>
      </c>
      <c r="O317" s="222" t="s">
        <v>2081</v>
      </c>
      <c r="P317" s="824">
        <v>128</v>
      </c>
      <c r="Q317" s="824">
        <v>9.6328099999999992</v>
      </c>
      <c r="R317" s="824">
        <v>60.218440000000001</v>
      </c>
      <c r="S317" s="824">
        <v>7.7600499999999997</v>
      </c>
      <c r="T317" s="824">
        <v>39</v>
      </c>
      <c r="U317" s="824">
        <v>1</v>
      </c>
      <c r="V317" s="824">
        <v>4</v>
      </c>
      <c r="W317" s="824">
        <v>13</v>
      </c>
      <c r="X317" s="824">
        <v>7</v>
      </c>
      <c r="Y317" s="824">
        <v>4</v>
      </c>
      <c r="Z317" s="480" t="str">
        <f t="shared" si="4"/>
        <v/>
      </c>
    </row>
    <row r="318" spans="1:26">
      <c r="A318" s="825" t="s">
        <v>660</v>
      </c>
      <c r="B318" s="826">
        <v>846</v>
      </c>
      <c r="C318" s="829"/>
      <c r="D318" s="828">
        <v>8.8687900000000006</v>
      </c>
      <c r="E318" s="828">
        <v>5.6460100000000004</v>
      </c>
      <c r="F318" s="828">
        <v>31.87744</v>
      </c>
      <c r="G318" s="828">
        <v>21</v>
      </c>
      <c r="H318" s="828">
        <v>1</v>
      </c>
      <c r="I318" s="828">
        <v>4</v>
      </c>
      <c r="J318" s="828">
        <v>14</v>
      </c>
      <c r="K318" s="828">
        <v>7</v>
      </c>
      <c r="L318" s="828">
        <v>3</v>
      </c>
      <c r="N318" s="222" t="s">
        <v>660</v>
      </c>
      <c r="O318" s="222" t="s">
        <v>2082</v>
      </c>
      <c r="P318" s="824">
        <v>846</v>
      </c>
      <c r="Q318" s="824">
        <v>8.8687900000000006</v>
      </c>
      <c r="R318" s="824">
        <v>31.87744</v>
      </c>
      <c r="S318" s="824">
        <v>5.6460100000000004</v>
      </c>
      <c r="T318" s="824">
        <v>21</v>
      </c>
      <c r="U318" s="824">
        <v>1</v>
      </c>
      <c r="V318" s="824">
        <v>4</v>
      </c>
      <c r="W318" s="824">
        <v>14</v>
      </c>
      <c r="X318" s="824">
        <v>7</v>
      </c>
      <c r="Y318" s="824">
        <v>3</v>
      </c>
      <c r="Z318" s="480" t="str">
        <f t="shared" si="4"/>
        <v/>
      </c>
    </row>
    <row r="319" spans="1:26">
      <c r="A319" s="825" t="s">
        <v>661</v>
      </c>
      <c r="B319" s="826">
        <v>651</v>
      </c>
      <c r="C319" s="829"/>
      <c r="D319" s="828">
        <v>9.6559100000000004</v>
      </c>
      <c r="E319" s="828">
        <v>5.6927700000000003</v>
      </c>
      <c r="F319" s="828">
        <v>32.407580000000003</v>
      </c>
      <c r="G319" s="828">
        <v>21</v>
      </c>
      <c r="H319" s="828">
        <v>1</v>
      </c>
      <c r="I319" s="828">
        <v>5</v>
      </c>
      <c r="J319" s="828">
        <v>14</v>
      </c>
      <c r="K319" s="828">
        <v>9</v>
      </c>
      <c r="L319" s="828">
        <v>5</v>
      </c>
      <c r="N319" s="222" t="s">
        <v>661</v>
      </c>
      <c r="O319" s="222" t="s">
        <v>662</v>
      </c>
      <c r="P319" s="824">
        <v>651</v>
      </c>
      <c r="Q319" s="824">
        <v>9.6559100000000004</v>
      </c>
      <c r="R319" s="824">
        <v>32.407580000000003</v>
      </c>
      <c r="S319" s="824">
        <v>5.6927700000000003</v>
      </c>
      <c r="T319" s="824">
        <v>21</v>
      </c>
      <c r="U319" s="824">
        <v>1</v>
      </c>
      <c r="V319" s="824">
        <v>5</v>
      </c>
      <c r="W319" s="824">
        <v>14</v>
      </c>
      <c r="X319" s="824">
        <v>9</v>
      </c>
      <c r="Y319" s="824">
        <v>5</v>
      </c>
      <c r="Z319" s="480" t="str">
        <f t="shared" si="4"/>
        <v/>
      </c>
    </row>
    <row r="320" spans="1:26">
      <c r="A320" s="825" t="s">
        <v>663</v>
      </c>
      <c r="B320" s="826">
        <v>324</v>
      </c>
      <c r="C320" s="827"/>
      <c r="D320" s="828">
        <v>12.080249999999999</v>
      </c>
      <c r="E320" s="828">
        <v>7.2628500000000003</v>
      </c>
      <c r="F320" s="828">
        <v>52.748959999999997</v>
      </c>
      <c r="G320" s="828">
        <v>26</v>
      </c>
      <c r="H320" s="828">
        <v>1</v>
      </c>
      <c r="I320" s="828">
        <v>6</v>
      </c>
      <c r="J320" s="828">
        <v>19</v>
      </c>
      <c r="K320" s="828">
        <v>11</v>
      </c>
      <c r="L320" s="828">
        <v>2</v>
      </c>
      <c r="N320" s="222" t="s">
        <v>663</v>
      </c>
      <c r="O320" s="222" t="s">
        <v>664</v>
      </c>
      <c r="P320" s="824">
        <v>324</v>
      </c>
      <c r="Q320" s="824">
        <v>12.080249999999999</v>
      </c>
      <c r="R320" s="824">
        <v>52.748959999999997</v>
      </c>
      <c r="S320" s="824">
        <v>7.2628500000000003</v>
      </c>
      <c r="T320" s="824">
        <v>26</v>
      </c>
      <c r="U320" s="824">
        <v>1</v>
      </c>
      <c r="V320" s="824">
        <v>6</v>
      </c>
      <c r="W320" s="824">
        <v>19</v>
      </c>
      <c r="X320" s="824">
        <v>11</v>
      </c>
      <c r="Y320" s="824">
        <v>2</v>
      </c>
      <c r="Z320" s="480" t="str">
        <f t="shared" si="4"/>
        <v/>
      </c>
    </row>
    <row r="321" spans="1:26">
      <c r="A321" s="825" t="s">
        <v>665</v>
      </c>
      <c r="B321" s="826">
        <v>703</v>
      </c>
      <c r="C321" s="827"/>
      <c r="D321" s="828">
        <v>9.4523499999999991</v>
      </c>
      <c r="E321" s="828">
        <v>5.7577100000000003</v>
      </c>
      <c r="F321" s="828">
        <v>33.151220000000002</v>
      </c>
      <c r="G321" s="828">
        <v>22</v>
      </c>
      <c r="H321" s="828">
        <v>1</v>
      </c>
      <c r="I321" s="828">
        <v>5</v>
      </c>
      <c r="J321" s="828">
        <v>14</v>
      </c>
      <c r="K321" s="828">
        <v>8</v>
      </c>
      <c r="L321" s="828">
        <v>7</v>
      </c>
      <c r="N321" s="222" t="s">
        <v>665</v>
      </c>
      <c r="O321" s="222" t="s">
        <v>2083</v>
      </c>
      <c r="P321" s="824">
        <v>703</v>
      </c>
      <c r="Q321" s="824">
        <v>9.4523499999999991</v>
      </c>
      <c r="R321" s="824">
        <v>33.151220000000002</v>
      </c>
      <c r="S321" s="824">
        <v>5.7577100000000003</v>
      </c>
      <c r="T321" s="824">
        <v>22</v>
      </c>
      <c r="U321" s="824">
        <v>1</v>
      </c>
      <c r="V321" s="824">
        <v>5</v>
      </c>
      <c r="W321" s="824">
        <v>14</v>
      </c>
      <c r="X321" s="824">
        <v>8</v>
      </c>
      <c r="Y321" s="824">
        <v>7</v>
      </c>
      <c r="Z321" s="480" t="str">
        <f t="shared" si="4"/>
        <v/>
      </c>
    </row>
    <row r="322" spans="1:26">
      <c r="A322" s="825" t="s">
        <v>666</v>
      </c>
      <c r="B322" s="826">
        <v>3002</v>
      </c>
      <c r="C322" s="827"/>
      <c r="D322" s="828">
        <v>9.3187899999999999</v>
      </c>
      <c r="E322" s="828">
        <v>6.0823999999999998</v>
      </c>
      <c r="F322" s="828">
        <v>36.995640000000002</v>
      </c>
      <c r="G322" s="828">
        <v>23</v>
      </c>
      <c r="H322" s="828">
        <v>1</v>
      </c>
      <c r="I322" s="828">
        <v>4</v>
      </c>
      <c r="J322" s="828">
        <v>14</v>
      </c>
      <c r="K322" s="828">
        <v>8</v>
      </c>
      <c r="L322" s="828">
        <v>3</v>
      </c>
      <c r="N322" s="222" t="s">
        <v>666</v>
      </c>
      <c r="O322" s="222" t="s">
        <v>2084</v>
      </c>
      <c r="P322" s="824">
        <v>3002</v>
      </c>
      <c r="Q322" s="824">
        <v>9.3187899999999999</v>
      </c>
      <c r="R322" s="824">
        <v>36.995640000000002</v>
      </c>
      <c r="S322" s="824">
        <v>6.0823999999999998</v>
      </c>
      <c r="T322" s="824">
        <v>23</v>
      </c>
      <c r="U322" s="824">
        <v>1</v>
      </c>
      <c r="V322" s="824">
        <v>4</v>
      </c>
      <c r="W322" s="824">
        <v>14</v>
      </c>
      <c r="X322" s="824">
        <v>8</v>
      </c>
      <c r="Y322" s="824">
        <v>3</v>
      </c>
      <c r="Z322" s="480" t="str">
        <f t="shared" si="4"/>
        <v/>
      </c>
    </row>
    <row r="323" spans="1:26">
      <c r="A323" s="825" t="s">
        <v>667</v>
      </c>
      <c r="B323" s="826">
        <v>5158</v>
      </c>
      <c r="C323" s="827"/>
      <c r="D323" s="828">
        <v>10.872629999999999</v>
      </c>
      <c r="E323" s="828">
        <v>8.5789600000000004</v>
      </c>
      <c r="F323" s="828">
        <v>73.598470000000006</v>
      </c>
      <c r="G323" s="828">
        <v>56</v>
      </c>
      <c r="H323" s="828">
        <v>1</v>
      </c>
      <c r="I323" s="828">
        <v>4</v>
      </c>
      <c r="J323" s="828">
        <v>15</v>
      </c>
      <c r="K323" s="828">
        <v>9</v>
      </c>
      <c r="L323" s="828">
        <v>3</v>
      </c>
      <c r="N323" s="222" t="s">
        <v>667</v>
      </c>
      <c r="O323" s="222" t="s">
        <v>2085</v>
      </c>
      <c r="P323" s="824">
        <v>5158</v>
      </c>
      <c r="Q323" s="824">
        <v>10.872629999999999</v>
      </c>
      <c r="R323" s="824">
        <v>73.598470000000006</v>
      </c>
      <c r="S323" s="824">
        <v>8.5789600000000004</v>
      </c>
      <c r="T323" s="824">
        <v>56</v>
      </c>
      <c r="U323" s="824">
        <v>1</v>
      </c>
      <c r="V323" s="824">
        <v>4</v>
      </c>
      <c r="W323" s="824">
        <v>15</v>
      </c>
      <c r="X323" s="824">
        <v>9</v>
      </c>
      <c r="Y323" s="824">
        <v>3</v>
      </c>
      <c r="Z323" s="480" t="str">
        <f t="shared" si="4"/>
        <v/>
      </c>
    </row>
    <row r="324" spans="1:26">
      <c r="A324" s="825" t="s">
        <v>668</v>
      </c>
      <c r="B324" s="826">
        <v>9492</v>
      </c>
      <c r="C324" s="827"/>
      <c r="D324" s="828">
        <v>8.6020900000000005</v>
      </c>
      <c r="E324" s="828">
        <v>5.3020300000000002</v>
      </c>
      <c r="F324" s="828">
        <v>28.11148</v>
      </c>
      <c r="G324" s="828">
        <v>20</v>
      </c>
      <c r="H324" s="828">
        <v>1</v>
      </c>
      <c r="I324" s="828">
        <v>4</v>
      </c>
      <c r="J324" s="828">
        <v>13</v>
      </c>
      <c r="K324" s="828">
        <v>8</v>
      </c>
      <c r="L324" s="828">
        <v>3</v>
      </c>
      <c r="N324" s="222" t="s">
        <v>668</v>
      </c>
      <c r="O324" s="222" t="s">
        <v>669</v>
      </c>
      <c r="P324" s="824">
        <v>9492</v>
      </c>
      <c r="Q324" s="824">
        <v>8.6020900000000005</v>
      </c>
      <c r="R324" s="824">
        <v>28.11148</v>
      </c>
      <c r="S324" s="824">
        <v>5.3020300000000002</v>
      </c>
      <c r="T324" s="824">
        <v>20</v>
      </c>
      <c r="U324" s="824">
        <v>1</v>
      </c>
      <c r="V324" s="824">
        <v>4</v>
      </c>
      <c r="W324" s="824">
        <v>13</v>
      </c>
      <c r="X324" s="824">
        <v>8</v>
      </c>
      <c r="Y324" s="824">
        <v>3</v>
      </c>
      <c r="Z324" s="480" t="str">
        <f t="shared" ref="Z324:Z387" si="5">IF(AND(A324=N324,B324=P324,D324=Q324,E324=S324,F324=R324,G324=T324,H324=U324,I324=V324,J324=W324,K324,X324,L324=Y324),"","x")</f>
        <v/>
      </c>
    </row>
    <row r="325" spans="1:26">
      <c r="A325" s="825" t="s">
        <v>670</v>
      </c>
      <c r="B325" s="826">
        <v>7019</v>
      </c>
      <c r="C325" s="827"/>
      <c r="D325" s="828">
        <v>9.2818100000000001</v>
      </c>
      <c r="E325" s="828">
        <v>5.9702999999999999</v>
      </c>
      <c r="F325" s="828">
        <v>35.64443</v>
      </c>
      <c r="G325" s="828">
        <v>23</v>
      </c>
      <c r="H325" s="828">
        <v>1</v>
      </c>
      <c r="I325" s="828">
        <v>4</v>
      </c>
      <c r="J325" s="828">
        <v>14</v>
      </c>
      <c r="K325" s="828">
        <v>8</v>
      </c>
      <c r="L325" s="828">
        <v>5</v>
      </c>
      <c r="N325" s="222" t="s">
        <v>670</v>
      </c>
      <c r="O325" s="222" t="s">
        <v>671</v>
      </c>
      <c r="P325" s="824">
        <v>7019</v>
      </c>
      <c r="Q325" s="824">
        <v>9.2818100000000001</v>
      </c>
      <c r="R325" s="824">
        <v>35.64443</v>
      </c>
      <c r="S325" s="824">
        <v>5.9702999999999999</v>
      </c>
      <c r="T325" s="824">
        <v>23</v>
      </c>
      <c r="U325" s="824">
        <v>1</v>
      </c>
      <c r="V325" s="824">
        <v>4</v>
      </c>
      <c r="W325" s="824">
        <v>14</v>
      </c>
      <c r="X325" s="824">
        <v>8</v>
      </c>
      <c r="Y325" s="824">
        <v>5</v>
      </c>
      <c r="Z325" s="480" t="str">
        <f t="shared" si="5"/>
        <v/>
      </c>
    </row>
    <row r="326" spans="1:26">
      <c r="A326" s="825" t="s">
        <v>672</v>
      </c>
      <c r="B326" s="826">
        <v>23432</v>
      </c>
      <c r="C326" s="827"/>
      <c r="D326" s="828">
        <v>10.891</v>
      </c>
      <c r="E326" s="828">
        <v>8.8285400000000003</v>
      </c>
      <c r="F326" s="828">
        <v>77.94314</v>
      </c>
      <c r="G326" s="828">
        <v>56</v>
      </c>
      <c r="H326" s="828">
        <v>1</v>
      </c>
      <c r="I326" s="828">
        <v>4</v>
      </c>
      <c r="J326" s="828">
        <v>15</v>
      </c>
      <c r="K326" s="828">
        <v>8</v>
      </c>
      <c r="L326" s="828">
        <v>3</v>
      </c>
      <c r="N326" s="222" t="s">
        <v>672</v>
      </c>
      <c r="O326" s="222" t="s">
        <v>673</v>
      </c>
      <c r="P326" s="824">
        <v>23432</v>
      </c>
      <c r="Q326" s="824">
        <v>10.891</v>
      </c>
      <c r="R326" s="824">
        <v>77.94314</v>
      </c>
      <c r="S326" s="824">
        <v>8.8285400000000003</v>
      </c>
      <c r="T326" s="824">
        <v>56</v>
      </c>
      <c r="U326" s="824">
        <v>1</v>
      </c>
      <c r="V326" s="824">
        <v>4</v>
      </c>
      <c r="W326" s="824">
        <v>15</v>
      </c>
      <c r="X326" s="824">
        <v>8</v>
      </c>
      <c r="Y326" s="824">
        <v>3</v>
      </c>
      <c r="Z326" s="480" t="str">
        <f t="shared" si="5"/>
        <v/>
      </c>
    </row>
    <row r="327" spans="1:26">
      <c r="A327" s="825" t="s">
        <v>674</v>
      </c>
      <c r="B327" s="826">
        <v>2385</v>
      </c>
      <c r="C327" s="827"/>
      <c r="D327" s="828">
        <v>8.86205</v>
      </c>
      <c r="E327" s="828">
        <v>5.3736100000000002</v>
      </c>
      <c r="F327" s="828">
        <v>28.875679999999999</v>
      </c>
      <c r="G327" s="828">
        <v>21</v>
      </c>
      <c r="H327" s="828">
        <v>1</v>
      </c>
      <c r="I327" s="828">
        <v>4</v>
      </c>
      <c r="J327" s="828">
        <v>13</v>
      </c>
      <c r="K327" s="828">
        <v>8</v>
      </c>
      <c r="L327" s="828">
        <v>4</v>
      </c>
      <c r="N327" s="222" t="s">
        <v>674</v>
      </c>
      <c r="O327" s="222" t="s">
        <v>675</v>
      </c>
      <c r="P327" s="824">
        <v>2385</v>
      </c>
      <c r="Q327" s="824">
        <v>8.86205</v>
      </c>
      <c r="R327" s="824">
        <v>28.875679999999999</v>
      </c>
      <c r="S327" s="824">
        <v>5.3736100000000002</v>
      </c>
      <c r="T327" s="824">
        <v>21</v>
      </c>
      <c r="U327" s="824">
        <v>1</v>
      </c>
      <c r="V327" s="824">
        <v>4</v>
      </c>
      <c r="W327" s="824">
        <v>13</v>
      </c>
      <c r="X327" s="824">
        <v>8</v>
      </c>
      <c r="Y327" s="824">
        <v>4</v>
      </c>
      <c r="Z327" s="480" t="str">
        <f t="shared" si="5"/>
        <v/>
      </c>
    </row>
    <row r="328" spans="1:26">
      <c r="A328" s="825" t="s">
        <v>676</v>
      </c>
      <c r="B328" s="826">
        <v>89494</v>
      </c>
      <c r="C328" s="827"/>
      <c r="D328" s="828">
        <v>10.63336</v>
      </c>
      <c r="E328" s="828">
        <v>8.1367799999999999</v>
      </c>
      <c r="F328" s="828">
        <v>66.207250000000002</v>
      </c>
      <c r="G328" s="828">
        <v>66</v>
      </c>
      <c r="H328" s="828">
        <v>1</v>
      </c>
      <c r="I328" s="828">
        <v>4</v>
      </c>
      <c r="J328" s="828">
        <v>15</v>
      </c>
      <c r="K328" s="828">
        <v>9</v>
      </c>
      <c r="L328" s="828">
        <v>3</v>
      </c>
      <c r="N328" s="222" t="s">
        <v>676</v>
      </c>
      <c r="O328" s="222" t="s">
        <v>2086</v>
      </c>
      <c r="P328" s="824">
        <v>89494</v>
      </c>
      <c r="Q328" s="824">
        <v>10.63336</v>
      </c>
      <c r="R328" s="824">
        <v>66.207250000000002</v>
      </c>
      <c r="S328" s="824">
        <v>8.1367799999999999</v>
      </c>
      <c r="T328" s="824">
        <v>66</v>
      </c>
      <c r="U328" s="824">
        <v>1</v>
      </c>
      <c r="V328" s="824">
        <v>4</v>
      </c>
      <c r="W328" s="824">
        <v>15</v>
      </c>
      <c r="X328" s="824">
        <v>9</v>
      </c>
      <c r="Y328" s="824">
        <v>3</v>
      </c>
      <c r="Z328" s="480" t="str">
        <f t="shared" si="5"/>
        <v/>
      </c>
    </row>
    <row r="329" spans="1:26">
      <c r="A329" s="825" t="s">
        <v>677</v>
      </c>
      <c r="B329" s="826">
        <v>79</v>
      </c>
      <c r="C329" s="827"/>
      <c r="D329" s="828">
        <v>9.1772200000000002</v>
      </c>
      <c r="E329" s="828">
        <v>5.9133899999999997</v>
      </c>
      <c r="F329" s="828">
        <v>34.96819</v>
      </c>
      <c r="G329" s="828">
        <v>22</v>
      </c>
      <c r="H329" s="828">
        <v>1</v>
      </c>
      <c r="I329" s="828">
        <v>4</v>
      </c>
      <c r="J329" s="828">
        <v>13</v>
      </c>
      <c r="K329" s="828">
        <v>8</v>
      </c>
      <c r="L329" s="828">
        <v>4</v>
      </c>
      <c r="N329" s="222" t="s">
        <v>677</v>
      </c>
      <c r="O329" s="222" t="s">
        <v>678</v>
      </c>
      <c r="P329" s="824">
        <v>79</v>
      </c>
      <c r="Q329" s="824">
        <v>9.1772200000000002</v>
      </c>
      <c r="R329" s="824">
        <v>34.96819</v>
      </c>
      <c r="S329" s="824">
        <v>5.9133899999999997</v>
      </c>
      <c r="T329" s="824">
        <v>22</v>
      </c>
      <c r="U329" s="824">
        <v>1</v>
      </c>
      <c r="V329" s="824">
        <v>4</v>
      </c>
      <c r="W329" s="824">
        <v>13</v>
      </c>
      <c r="X329" s="824">
        <v>8</v>
      </c>
      <c r="Y329" s="824">
        <v>4</v>
      </c>
      <c r="Z329" s="480" t="str">
        <f t="shared" si="5"/>
        <v/>
      </c>
    </row>
    <row r="330" spans="1:26">
      <c r="A330" s="825" t="s">
        <v>679</v>
      </c>
      <c r="B330" s="826">
        <v>13520</v>
      </c>
      <c r="C330" s="827"/>
      <c r="D330" s="828">
        <v>10.87337</v>
      </c>
      <c r="E330" s="828">
        <v>8.3465699999999998</v>
      </c>
      <c r="F330" s="828">
        <v>69.665300000000002</v>
      </c>
      <c r="G330" s="828">
        <v>55</v>
      </c>
      <c r="H330" s="828">
        <v>1</v>
      </c>
      <c r="I330" s="828">
        <v>4</v>
      </c>
      <c r="J330" s="828">
        <v>15</v>
      </c>
      <c r="K330" s="828">
        <v>9</v>
      </c>
      <c r="L330" s="828">
        <v>3</v>
      </c>
      <c r="N330" s="222" t="s">
        <v>679</v>
      </c>
      <c r="O330" s="222" t="s">
        <v>2087</v>
      </c>
      <c r="P330" s="824">
        <v>13520</v>
      </c>
      <c r="Q330" s="824">
        <v>10.87337</v>
      </c>
      <c r="R330" s="824">
        <v>69.665300000000002</v>
      </c>
      <c r="S330" s="824">
        <v>8.3465699999999998</v>
      </c>
      <c r="T330" s="824">
        <v>55</v>
      </c>
      <c r="U330" s="824">
        <v>1</v>
      </c>
      <c r="V330" s="824">
        <v>4</v>
      </c>
      <c r="W330" s="824">
        <v>15</v>
      </c>
      <c r="X330" s="824">
        <v>9</v>
      </c>
      <c r="Y330" s="824">
        <v>3</v>
      </c>
      <c r="Z330" s="480" t="str">
        <f t="shared" si="5"/>
        <v/>
      </c>
    </row>
    <row r="331" spans="1:26">
      <c r="A331" s="825" t="s">
        <v>680</v>
      </c>
      <c r="B331" s="826">
        <v>2122</v>
      </c>
      <c r="C331" s="829"/>
      <c r="D331" s="828">
        <v>9.4490999999999996</v>
      </c>
      <c r="E331" s="828">
        <v>5.4954000000000001</v>
      </c>
      <c r="F331" s="828">
        <v>30.199439999999999</v>
      </c>
      <c r="G331" s="828">
        <v>21</v>
      </c>
      <c r="H331" s="828">
        <v>1</v>
      </c>
      <c r="I331" s="828">
        <v>5</v>
      </c>
      <c r="J331" s="828">
        <v>14</v>
      </c>
      <c r="K331" s="828">
        <v>9</v>
      </c>
      <c r="L331" s="828">
        <v>4</v>
      </c>
      <c r="N331" s="222" t="s">
        <v>680</v>
      </c>
      <c r="O331" s="222" t="s">
        <v>681</v>
      </c>
      <c r="P331" s="824">
        <v>2122</v>
      </c>
      <c r="Q331" s="824">
        <v>9.4490999999999996</v>
      </c>
      <c r="R331" s="824">
        <v>30.199439999999999</v>
      </c>
      <c r="S331" s="824">
        <v>5.4954000000000001</v>
      </c>
      <c r="T331" s="824">
        <v>21</v>
      </c>
      <c r="U331" s="824">
        <v>1</v>
      </c>
      <c r="V331" s="824">
        <v>5</v>
      </c>
      <c r="W331" s="824">
        <v>14</v>
      </c>
      <c r="X331" s="824">
        <v>9</v>
      </c>
      <c r="Y331" s="824">
        <v>4</v>
      </c>
      <c r="Z331" s="480" t="str">
        <f t="shared" si="5"/>
        <v/>
      </c>
    </row>
    <row r="332" spans="1:26">
      <c r="A332" s="825" t="s">
        <v>682</v>
      </c>
      <c r="B332" s="826">
        <v>15969</v>
      </c>
      <c r="C332" s="827"/>
      <c r="D332" s="828">
        <v>10.40954</v>
      </c>
      <c r="E332" s="828">
        <v>8.7746600000000008</v>
      </c>
      <c r="F332" s="828">
        <v>76.994709999999998</v>
      </c>
      <c r="G332" s="828">
        <v>54</v>
      </c>
      <c r="H332" s="828">
        <v>1</v>
      </c>
      <c r="I332" s="828">
        <v>4</v>
      </c>
      <c r="J332" s="828">
        <v>14</v>
      </c>
      <c r="K332" s="828">
        <v>8</v>
      </c>
      <c r="L332" s="828">
        <v>3</v>
      </c>
      <c r="N332" s="222" t="s">
        <v>682</v>
      </c>
      <c r="O332" s="222" t="s">
        <v>2088</v>
      </c>
      <c r="P332" s="824">
        <v>15969</v>
      </c>
      <c r="Q332" s="824">
        <v>10.40954</v>
      </c>
      <c r="R332" s="824">
        <v>76.994709999999998</v>
      </c>
      <c r="S332" s="824">
        <v>8.7746600000000008</v>
      </c>
      <c r="T332" s="824">
        <v>54</v>
      </c>
      <c r="U332" s="824">
        <v>1</v>
      </c>
      <c r="V332" s="824">
        <v>4</v>
      </c>
      <c r="W332" s="824">
        <v>14</v>
      </c>
      <c r="X332" s="824">
        <v>8</v>
      </c>
      <c r="Y332" s="824">
        <v>3</v>
      </c>
      <c r="Z332" s="480" t="str">
        <f t="shared" si="5"/>
        <v/>
      </c>
    </row>
    <row r="333" spans="1:26">
      <c r="A333" s="825" t="s">
        <v>683</v>
      </c>
      <c r="B333" s="826">
        <v>4932</v>
      </c>
      <c r="C333" s="827"/>
      <c r="D333" s="828">
        <v>8.7729099999999995</v>
      </c>
      <c r="E333" s="828">
        <v>5.5128000000000004</v>
      </c>
      <c r="F333" s="828">
        <v>30.390930000000001</v>
      </c>
      <c r="G333" s="828">
        <v>21</v>
      </c>
      <c r="H333" s="828">
        <v>1</v>
      </c>
      <c r="I333" s="828">
        <v>4</v>
      </c>
      <c r="J333" s="828">
        <v>13</v>
      </c>
      <c r="K333" s="828">
        <v>8</v>
      </c>
      <c r="L333" s="828">
        <v>3</v>
      </c>
      <c r="N333" s="222" t="s">
        <v>683</v>
      </c>
      <c r="O333" s="222" t="s">
        <v>2089</v>
      </c>
      <c r="P333" s="824">
        <v>4932</v>
      </c>
      <c r="Q333" s="824">
        <v>8.7729099999999995</v>
      </c>
      <c r="R333" s="824">
        <v>30.390930000000001</v>
      </c>
      <c r="S333" s="824">
        <v>5.5128000000000004</v>
      </c>
      <c r="T333" s="824">
        <v>21</v>
      </c>
      <c r="U333" s="824">
        <v>1</v>
      </c>
      <c r="V333" s="824">
        <v>4</v>
      </c>
      <c r="W333" s="824">
        <v>13</v>
      </c>
      <c r="X333" s="824">
        <v>8</v>
      </c>
      <c r="Y333" s="824">
        <v>3</v>
      </c>
      <c r="Z333" s="480" t="str">
        <f t="shared" si="5"/>
        <v/>
      </c>
    </row>
    <row r="334" spans="1:26">
      <c r="A334" s="825" t="s">
        <v>684</v>
      </c>
      <c r="B334" s="826">
        <v>16225</v>
      </c>
      <c r="C334" s="827"/>
      <c r="D334" s="828">
        <v>8.6745099999999997</v>
      </c>
      <c r="E334" s="828">
        <v>5.5477800000000004</v>
      </c>
      <c r="F334" s="828">
        <v>30.77787</v>
      </c>
      <c r="G334" s="828">
        <v>21</v>
      </c>
      <c r="H334" s="828">
        <v>1</v>
      </c>
      <c r="I334" s="828">
        <v>4</v>
      </c>
      <c r="J334" s="828">
        <v>13</v>
      </c>
      <c r="K334" s="828">
        <v>8</v>
      </c>
      <c r="L334" s="828">
        <v>3</v>
      </c>
      <c r="N334" s="222" t="s">
        <v>684</v>
      </c>
      <c r="O334" s="222" t="s">
        <v>2090</v>
      </c>
      <c r="P334" s="824">
        <v>16225</v>
      </c>
      <c r="Q334" s="824">
        <v>8.6745099999999997</v>
      </c>
      <c r="R334" s="824">
        <v>30.77787</v>
      </c>
      <c r="S334" s="824">
        <v>5.5477800000000004</v>
      </c>
      <c r="T334" s="824">
        <v>21</v>
      </c>
      <c r="U334" s="824">
        <v>1</v>
      </c>
      <c r="V334" s="824">
        <v>4</v>
      </c>
      <c r="W334" s="824">
        <v>13</v>
      </c>
      <c r="X334" s="824">
        <v>8</v>
      </c>
      <c r="Y334" s="824">
        <v>3</v>
      </c>
      <c r="Z334" s="480" t="str">
        <f t="shared" si="5"/>
        <v/>
      </c>
    </row>
    <row r="335" spans="1:26">
      <c r="A335" s="825" t="s">
        <v>685</v>
      </c>
      <c r="B335" s="826">
        <v>1655</v>
      </c>
      <c r="C335" s="827"/>
      <c r="D335" s="828">
        <v>8.7323299999999993</v>
      </c>
      <c r="E335" s="828">
        <v>5.2016400000000003</v>
      </c>
      <c r="F335" s="828">
        <v>27.057089999999999</v>
      </c>
      <c r="G335" s="828">
        <v>20</v>
      </c>
      <c r="H335" s="828">
        <v>1</v>
      </c>
      <c r="I335" s="828">
        <v>4</v>
      </c>
      <c r="J335" s="828">
        <v>12</v>
      </c>
      <c r="K335" s="828">
        <v>8</v>
      </c>
      <c r="L335" s="828">
        <v>3</v>
      </c>
      <c r="N335" s="222" t="s">
        <v>685</v>
      </c>
      <c r="O335" s="222" t="s">
        <v>2091</v>
      </c>
      <c r="P335" s="824">
        <v>1655</v>
      </c>
      <c r="Q335" s="824">
        <v>8.7323299999999993</v>
      </c>
      <c r="R335" s="824">
        <v>27.057089999999999</v>
      </c>
      <c r="S335" s="824">
        <v>5.2016400000000003</v>
      </c>
      <c r="T335" s="824">
        <v>20</v>
      </c>
      <c r="U335" s="824">
        <v>1</v>
      </c>
      <c r="V335" s="824">
        <v>4</v>
      </c>
      <c r="W335" s="824">
        <v>12</v>
      </c>
      <c r="X335" s="824">
        <v>8</v>
      </c>
      <c r="Y335" s="824">
        <v>3</v>
      </c>
      <c r="Z335" s="480" t="str">
        <f t="shared" si="5"/>
        <v/>
      </c>
    </row>
    <row r="336" spans="1:26">
      <c r="A336" s="825" t="s">
        <v>686</v>
      </c>
      <c r="B336" s="826">
        <v>15549</v>
      </c>
      <c r="C336" s="827"/>
      <c r="D336" s="828">
        <v>9.6107099999999992</v>
      </c>
      <c r="E336" s="828">
        <v>8.4543400000000002</v>
      </c>
      <c r="F336" s="828">
        <v>71.475859999999997</v>
      </c>
      <c r="G336" s="828">
        <v>56</v>
      </c>
      <c r="H336" s="828">
        <v>1</v>
      </c>
      <c r="I336" s="828">
        <v>4</v>
      </c>
      <c r="J336" s="828">
        <v>13</v>
      </c>
      <c r="K336" s="828">
        <v>7</v>
      </c>
      <c r="L336" s="828">
        <v>2</v>
      </c>
      <c r="N336" s="222" t="s">
        <v>686</v>
      </c>
      <c r="O336" s="222" t="s">
        <v>2092</v>
      </c>
      <c r="P336" s="824">
        <v>15549</v>
      </c>
      <c r="Q336" s="824">
        <v>9.6107099999999992</v>
      </c>
      <c r="R336" s="824">
        <v>71.475859999999997</v>
      </c>
      <c r="S336" s="824">
        <v>8.4543400000000002</v>
      </c>
      <c r="T336" s="824">
        <v>56</v>
      </c>
      <c r="U336" s="824">
        <v>1</v>
      </c>
      <c r="V336" s="824">
        <v>4</v>
      </c>
      <c r="W336" s="824">
        <v>13</v>
      </c>
      <c r="X336" s="824">
        <v>7</v>
      </c>
      <c r="Y336" s="824">
        <v>2</v>
      </c>
      <c r="Z336" s="480" t="str">
        <f t="shared" si="5"/>
        <v/>
      </c>
    </row>
    <row r="337" spans="1:26">
      <c r="A337" s="825" t="s">
        <v>687</v>
      </c>
      <c r="B337" s="826">
        <v>1110</v>
      </c>
      <c r="C337" s="827"/>
      <c r="D337" s="828">
        <v>10.20811</v>
      </c>
      <c r="E337" s="828">
        <v>6.62066</v>
      </c>
      <c r="F337" s="828">
        <v>43.833120000000001</v>
      </c>
      <c r="G337" s="828">
        <v>44</v>
      </c>
      <c r="H337" s="828">
        <v>1</v>
      </c>
      <c r="I337" s="828">
        <v>5</v>
      </c>
      <c r="J337" s="828">
        <v>13</v>
      </c>
      <c r="K337" s="828">
        <v>9</v>
      </c>
      <c r="L337" s="828">
        <v>7</v>
      </c>
      <c r="N337" s="222" t="s">
        <v>687</v>
      </c>
      <c r="O337" s="222" t="s">
        <v>2093</v>
      </c>
      <c r="P337" s="824">
        <v>1110</v>
      </c>
      <c r="Q337" s="824">
        <v>10.20811</v>
      </c>
      <c r="R337" s="824">
        <v>43.833120000000001</v>
      </c>
      <c r="S337" s="824">
        <v>6.62066</v>
      </c>
      <c r="T337" s="824">
        <v>44</v>
      </c>
      <c r="U337" s="824">
        <v>1</v>
      </c>
      <c r="V337" s="824">
        <v>5</v>
      </c>
      <c r="W337" s="824">
        <v>13</v>
      </c>
      <c r="X337" s="824">
        <v>9</v>
      </c>
      <c r="Y337" s="824">
        <v>7</v>
      </c>
      <c r="Z337" s="480" t="str">
        <f t="shared" si="5"/>
        <v/>
      </c>
    </row>
    <row r="338" spans="1:26">
      <c r="A338" s="825" t="s">
        <v>688</v>
      </c>
      <c r="B338" s="826">
        <v>587</v>
      </c>
      <c r="C338" s="827"/>
      <c r="D338" s="828">
        <v>10.70528</v>
      </c>
      <c r="E338" s="828">
        <v>6.3579299999999996</v>
      </c>
      <c r="F338" s="828">
        <v>40.423229999999997</v>
      </c>
      <c r="G338" s="828">
        <v>23</v>
      </c>
      <c r="H338" s="828">
        <v>1</v>
      </c>
      <c r="I338" s="828">
        <v>5</v>
      </c>
      <c r="J338" s="828">
        <v>16</v>
      </c>
      <c r="K338" s="828">
        <v>10</v>
      </c>
      <c r="L338" s="828">
        <v>5</v>
      </c>
      <c r="N338" s="222" t="s">
        <v>688</v>
      </c>
      <c r="O338" s="222" t="s">
        <v>689</v>
      </c>
      <c r="P338" s="824">
        <v>587</v>
      </c>
      <c r="Q338" s="824">
        <v>10.70528</v>
      </c>
      <c r="R338" s="824">
        <v>40.423229999999997</v>
      </c>
      <c r="S338" s="824">
        <v>6.3579299999999996</v>
      </c>
      <c r="T338" s="824">
        <v>23</v>
      </c>
      <c r="U338" s="824">
        <v>1</v>
      </c>
      <c r="V338" s="824">
        <v>5</v>
      </c>
      <c r="W338" s="824">
        <v>16</v>
      </c>
      <c r="X338" s="824">
        <v>10</v>
      </c>
      <c r="Y338" s="824">
        <v>5</v>
      </c>
      <c r="Z338" s="480" t="str">
        <f t="shared" si="5"/>
        <v/>
      </c>
    </row>
    <row r="339" spans="1:26">
      <c r="A339" s="825" t="s">
        <v>690</v>
      </c>
      <c r="B339" s="826">
        <v>146</v>
      </c>
      <c r="C339" s="827"/>
      <c r="D339" s="828">
        <v>9.1164400000000008</v>
      </c>
      <c r="E339" s="828">
        <v>5.14682</v>
      </c>
      <c r="F339" s="828">
        <v>26.489799999999999</v>
      </c>
      <c r="G339" s="828">
        <v>22</v>
      </c>
      <c r="H339" s="828">
        <v>1</v>
      </c>
      <c r="I339" s="828">
        <v>5</v>
      </c>
      <c r="J339" s="828">
        <v>11</v>
      </c>
      <c r="K339" s="828">
        <v>9</v>
      </c>
      <c r="L339" s="828">
        <v>9</v>
      </c>
      <c r="N339" s="222" t="s">
        <v>690</v>
      </c>
      <c r="O339" s="222" t="s">
        <v>2094</v>
      </c>
      <c r="P339" s="824">
        <v>146</v>
      </c>
      <c r="Q339" s="824">
        <v>9.1164400000000008</v>
      </c>
      <c r="R339" s="824">
        <v>26.489799999999999</v>
      </c>
      <c r="S339" s="824">
        <v>5.14682</v>
      </c>
      <c r="T339" s="824">
        <v>22</v>
      </c>
      <c r="U339" s="824">
        <v>1</v>
      </c>
      <c r="V339" s="824">
        <v>5</v>
      </c>
      <c r="W339" s="824">
        <v>11</v>
      </c>
      <c r="X339" s="824">
        <v>9</v>
      </c>
      <c r="Y339" s="824">
        <v>9</v>
      </c>
      <c r="Z339" s="480" t="str">
        <f t="shared" si="5"/>
        <v/>
      </c>
    </row>
    <row r="340" spans="1:26">
      <c r="A340" s="825" t="s">
        <v>691</v>
      </c>
      <c r="B340" s="826">
        <v>5946</v>
      </c>
      <c r="C340" s="827"/>
      <c r="D340" s="828">
        <v>10.144970000000001</v>
      </c>
      <c r="E340" s="828">
        <v>6.0569600000000001</v>
      </c>
      <c r="F340" s="828">
        <v>36.686799999999998</v>
      </c>
      <c r="G340" s="828">
        <v>23</v>
      </c>
      <c r="H340" s="828">
        <v>1</v>
      </c>
      <c r="I340" s="828">
        <v>5</v>
      </c>
      <c r="J340" s="828">
        <v>15</v>
      </c>
      <c r="K340" s="828">
        <v>9</v>
      </c>
      <c r="L340" s="828">
        <v>7</v>
      </c>
      <c r="N340" s="222" t="s">
        <v>691</v>
      </c>
      <c r="O340" s="222" t="s">
        <v>2095</v>
      </c>
      <c r="P340" s="824">
        <v>5946</v>
      </c>
      <c r="Q340" s="824">
        <v>10.144970000000001</v>
      </c>
      <c r="R340" s="824">
        <v>36.686799999999998</v>
      </c>
      <c r="S340" s="824">
        <v>6.0569600000000001</v>
      </c>
      <c r="T340" s="824">
        <v>23</v>
      </c>
      <c r="U340" s="824">
        <v>1</v>
      </c>
      <c r="V340" s="824">
        <v>5</v>
      </c>
      <c r="W340" s="824">
        <v>15</v>
      </c>
      <c r="X340" s="824">
        <v>9</v>
      </c>
      <c r="Y340" s="824">
        <v>7</v>
      </c>
      <c r="Z340" s="480" t="str">
        <f t="shared" si="5"/>
        <v/>
      </c>
    </row>
    <row r="341" spans="1:26">
      <c r="A341" s="825" t="s">
        <v>692</v>
      </c>
      <c r="B341" s="826">
        <v>6793</v>
      </c>
      <c r="C341" s="827"/>
      <c r="D341" s="828">
        <v>10.725160000000001</v>
      </c>
      <c r="E341" s="828">
        <v>8.4845900000000007</v>
      </c>
      <c r="F341" s="828">
        <v>71.988200000000006</v>
      </c>
      <c r="G341" s="828">
        <v>57</v>
      </c>
      <c r="H341" s="828">
        <v>1</v>
      </c>
      <c r="I341" s="828">
        <v>4</v>
      </c>
      <c r="J341" s="828">
        <v>15</v>
      </c>
      <c r="K341" s="828">
        <v>8</v>
      </c>
      <c r="L341" s="828">
        <v>3</v>
      </c>
      <c r="N341" s="222" t="s">
        <v>692</v>
      </c>
      <c r="O341" s="222" t="s">
        <v>693</v>
      </c>
      <c r="P341" s="824">
        <v>6793</v>
      </c>
      <c r="Q341" s="824">
        <v>10.725160000000001</v>
      </c>
      <c r="R341" s="824">
        <v>71.988200000000006</v>
      </c>
      <c r="S341" s="824">
        <v>8.4845900000000007</v>
      </c>
      <c r="T341" s="824">
        <v>57</v>
      </c>
      <c r="U341" s="824">
        <v>1</v>
      </c>
      <c r="V341" s="824">
        <v>4</v>
      </c>
      <c r="W341" s="824">
        <v>15</v>
      </c>
      <c r="X341" s="824">
        <v>8</v>
      </c>
      <c r="Y341" s="824">
        <v>3</v>
      </c>
      <c r="Z341" s="480" t="str">
        <f t="shared" si="5"/>
        <v/>
      </c>
    </row>
    <row r="342" spans="1:26">
      <c r="A342" s="825" t="s">
        <v>694</v>
      </c>
      <c r="B342" s="826">
        <v>5068</v>
      </c>
      <c r="C342" s="827"/>
      <c r="D342" s="828">
        <v>8.6612100000000005</v>
      </c>
      <c r="E342" s="828">
        <v>5.5029199999999996</v>
      </c>
      <c r="F342" s="828">
        <v>30.282080000000001</v>
      </c>
      <c r="G342" s="828">
        <v>21</v>
      </c>
      <c r="H342" s="828">
        <v>1</v>
      </c>
      <c r="I342" s="828">
        <v>4</v>
      </c>
      <c r="J342" s="828">
        <v>13</v>
      </c>
      <c r="K342" s="828">
        <v>8</v>
      </c>
      <c r="L342" s="828">
        <v>3</v>
      </c>
      <c r="N342" s="222" t="s">
        <v>694</v>
      </c>
      <c r="O342" s="222" t="s">
        <v>695</v>
      </c>
      <c r="P342" s="824">
        <v>5068</v>
      </c>
      <c r="Q342" s="824">
        <v>8.6612100000000005</v>
      </c>
      <c r="R342" s="824">
        <v>30.282080000000001</v>
      </c>
      <c r="S342" s="824">
        <v>5.5029199999999996</v>
      </c>
      <c r="T342" s="824">
        <v>21</v>
      </c>
      <c r="U342" s="824">
        <v>1</v>
      </c>
      <c r="V342" s="824">
        <v>4</v>
      </c>
      <c r="W342" s="824">
        <v>13</v>
      </c>
      <c r="X342" s="824">
        <v>8</v>
      </c>
      <c r="Y342" s="824">
        <v>3</v>
      </c>
      <c r="Z342" s="480" t="str">
        <f t="shared" si="5"/>
        <v/>
      </c>
    </row>
    <row r="343" spans="1:26">
      <c r="A343" s="825" t="s">
        <v>696</v>
      </c>
      <c r="B343" s="826">
        <v>12624</v>
      </c>
      <c r="C343" s="827"/>
      <c r="D343" s="828">
        <v>10.760540000000001</v>
      </c>
      <c r="E343" s="828">
        <v>8.6337600000000005</v>
      </c>
      <c r="F343" s="828">
        <v>74.541799999999995</v>
      </c>
      <c r="G343" s="828">
        <v>54</v>
      </c>
      <c r="H343" s="828">
        <v>1</v>
      </c>
      <c r="I343" s="828">
        <v>4</v>
      </c>
      <c r="J343" s="828">
        <v>16</v>
      </c>
      <c r="K343" s="828">
        <v>8</v>
      </c>
      <c r="L343" s="828">
        <v>2</v>
      </c>
      <c r="N343" s="222" t="s">
        <v>696</v>
      </c>
      <c r="O343" s="222" t="s">
        <v>697</v>
      </c>
      <c r="P343" s="824">
        <v>12624</v>
      </c>
      <c r="Q343" s="824">
        <v>10.760540000000001</v>
      </c>
      <c r="R343" s="824">
        <v>74.541799999999995</v>
      </c>
      <c r="S343" s="824">
        <v>8.6337600000000005</v>
      </c>
      <c r="T343" s="824">
        <v>54</v>
      </c>
      <c r="U343" s="824">
        <v>1</v>
      </c>
      <c r="V343" s="824">
        <v>4</v>
      </c>
      <c r="W343" s="824">
        <v>16</v>
      </c>
      <c r="X343" s="824">
        <v>8</v>
      </c>
      <c r="Y343" s="824">
        <v>2</v>
      </c>
      <c r="Z343" s="480" t="str">
        <f t="shared" si="5"/>
        <v/>
      </c>
    </row>
    <row r="344" spans="1:26">
      <c r="A344" s="825" t="s">
        <v>698</v>
      </c>
      <c r="B344" s="826">
        <v>8172</v>
      </c>
      <c r="C344" s="827"/>
      <c r="D344" s="828">
        <v>9.7662800000000001</v>
      </c>
      <c r="E344" s="828">
        <v>6.0935199999999998</v>
      </c>
      <c r="F344" s="828">
        <v>37.131019999999999</v>
      </c>
      <c r="G344" s="828">
        <v>23</v>
      </c>
      <c r="H344" s="828">
        <v>1</v>
      </c>
      <c r="I344" s="828">
        <v>5</v>
      </c>
      <c r="J344" s="828">
        <v>14</v>
      </c>
      <c r="K344" s="828">
        <v>9</v>
      </c>
      <c r="L344" s="828">
        <v>3</v>
      </c>
      <c r="N344" s="222" t="s">
        <v>698</v>
      </c>
      <c r="O344" s="222" t="s">
        <v>699</v>
      </c>
      <c r="P344" s="824">
        <v>8172</v>
      </c>
      <c r="Q344" s="824">
        <v>9.7662800000000001</v>
      </c>
      <c r="R344" s="824">
        <v>37.131019999999999</v>
      </c>
      <c r="S344" s="824">
        <v>6.0935199999999998</v>
      </c>
      <c r="T344" s="824">
        <v>23</v>
      </c>
      <c r="U344" s="824">
        <v>1</v>
      </c>
      <c r="V344" s="824">
        <v>5</v>
      </c>
      <c r="W344" s="824">
        <v>14</v>
      </c>
      <c r="X344" s="824">
        <v>9</v>
      </c>
      <c r="Y344" s="824">
        <v>3</v>
      </c>
      <c r="Z344" s="480" t="str">
        <f t="shared" si="5"/>
        <v/>
      </c>
    </row>
    <row r="345" spans="1:26">
      <c r="A345" s="825" t="s">
        <v>700</v>
      </c>
      <c r="B345" s="826">
        <v>364</v>
      </c>
      <c r="C345" s="827"/>
      <c r="D345" s="828">
        <v>10.601649999999999</v>
      </c>
      <c r="E345" s="828">
        <v>6.6600299999999999</v>
      </c>
      <c r="F345" s="828">
        <v>44.356029999999997</v>
      </c>
      <c r="G345" s="828">
        <v>25</v>
      </c>
      <c r="H345" s="828">
        <v>1</v>
      </c>
      <c r="I345" s="828">
        <v>5</v>
      </c>
      <c r="J345" s="828">
        <v>16</v>
      </c>
      <c r="K345" s="828">
        <v>10</v>
      </c>
      <c r="L345" s="828">
        <v>5</v>
      </c>
      <c r="N345" s="222" t="s">
        <v>700</v>
      </c>
      <c r="O345" s="222" t="s">
        <v>701</v>
      </c>
      <c r="P345" s="824">
        <v>364</v>
      </c>
      <c r="Q345" s="824">
        <v>10.601649999999999</v>
      </c>
      <c r="R345" s="824">
        <v>44.356029999999997</v>
      </c>
      <c r="S345" s="824">
        <v>6.6600299999999999</v>
      </c>
      <c r="T345" s="824">
        <v>25</v>
      </c>
      <c r="U345" s="824">
        <v>1</v>
      </c>
      <c r="V345" s="824">
        <v>5</v>
      </c>
      <c r="W345" s="824">
        <v>16</v>
      </c>
      <c r="X345" s="824">
        <v>10</v>
      </c>
      <c r="Y345" s="824">
        <v>5</v>
      </c>
      <c r="Z345" s="480" t="str">
        <f t="shared" si="5"/>
        <v/>
      </c>
    </row>
    <row r="346" spans="1:26">
      <c r="A346" s="825" t="s">
        <v>702</v>
      </c>
      <c r="B346" s="826">
        <v>1477</v>
      </c>
      <c r="C346" s="827"/>
      <c r="D346" s="828">
        <v>12.464449999999999</v>
      </c>
      <c r="E346" s="828">
        <v>7.7996299999999996</v>
      </c>
      <c r="F346" s="828">
        <v>60.834269999999997</v>
      </c>
      <c r="G346" s="828">
        <v>29</v>
      </c>
      <c r="H346" s="828">
        <v>1</v>
      </c>
      <c r="I346" s="828">
        <v>6</v>
      </c>
      <c r="J346" s="828">
        <v>19</v>
      </c>
      <c r="K346" s="828">
        <v>11</v>
      </c>
      <c r="L346" s="828">
        <v>3</v>
      </c>
      <c r="N346" s="222" t="s">
        <v>702</v>
      </c>
      <c r="O346" s="222" t="s">
        <v>703</v>
      </c>
      <c r="P346" s="824">
        <v>1477</v>
      </c>
      <c r="Q346" s="824">
        <v>12.464449999999999</v>
      </c>
      <c r="R346" s="824">
        <v>60.834269999999997</v>
      </c>
      <c r="S346" s="824">
        <v>7.7996299999999996</v>
      </c>
      <c r="T346" s="824">
        <v>29</v>
      </c>
      <c r="U346" s="824">
        <v>1</v>
      </c>
      <c r="V346" s="824">
        <v>6</v>
      </c>
      <c r="W346" s="824">
        <v>19</v>
      </c>
      <c r="X346" s="824">
        <v>11</v>
      </c>
      <c r="Y346" s="824">
        <v>3</v>
      </c>
      <c r="Z346" s="480" t="str">
        <f t="shared" si="5"/>
        <v/>
      </c>
    </row>
    <row r="347" spans="1:26">
      <c r="A347" s="825" t="s">
        <v>704</v>
      </c>
      <c r="B347" s="826">
        <v>2279</v>
      </c>
      <c r="C347" s="827"/>
      <c r="D347" s="828">
        <v>9.2632700000000003</v>
      </c>
      <c r="E347" s="828">
        <v>6.0931499999999996</v>
      </c>
      <c r="F347" s="828">
        <v>37.126440000000002</v>
      </c>
      <c r="G347" s="828">
        <v>23</v>
      </c>
      <c r="H347" s="828">
        <v>1</v>
      </c>
      <c r="I347" s="828">
        <v>4</v>
      </c>
      <c r="J347" s="828">
        <v>14</v>
      </c>
      <c r="K347" s="828">
        <v>8</v>
      </c>
      <c r="L347" s="828">
        <v>4</v>
      </c>
      <c r="N347" s="222" t="s">
        <v>704</v>
      </c>
      <c r="O347" s="222" t="s">
        <v>705</v>
      </c>
      <c r="P347" s="824">
        <v>2279</v>
      </c>
      <c r="Q347" s="824">
        <v>9.2632700000000003</v>
      </c>
      <c r="R347" s="824">
        <v>37.126440000000002</v>
      </c>
      <c r="S347" s="824">
        <v>6.0931499999999996</v>
      </c>
      <c r="T347" s="824">
        <v>23</v>
      </c>
      <c r="U347" s="824">
        <v>1</v>
      </c>
      <c r="V347" s="824">
        <v>4</v>
      </c>
      <c r="W347" s="824">
        <v>14</v>
      </c>
      <c r="X347" s="824">
        <v>8</v>
      </c>
      <c r="Y347" s="824">
        <v>4</v>
      </c>
      <c r="Z347" s="480" t="str">
        <f t="shared" si="5"/>
        <v/>
      </c>
    </row>
    <row r="348" spans="1:26">
      <c r="A348" s="825" t="s">
        <v>706</v>
      </c>
      <c r="B348" s="826">
        <v>8678</v>
      </c>
      <c r="C348" s="827"/>
      <c r="D348" s="828">
        <v>9.9036600000000004</v>
      </c>
      <c r="E348" s="828">
        <v>6.6623200000000002</v>
      </c>
      <c r="F348" s="828">
        <v>44.386479999999999</v>
      </c>
      <c r="G348" s="828">
        <v>25</v>
      </c>
      <c r="H348" s="828">
        <v>1</v>
      </c>
      <c r="I348" s="828">
        <v>4</v>
      </c>
      <c r="J348" s="828">
        <v>15</v>
      </c>
      <c r="K348" s="828">
        <v>9</v>
      </c>
      <c r="L348" s="828">
        <v>3</v>
      </c>
      <c r="N348" s="222" t="s">
        <v>706</v>
      </c>
      <c r="O348" s="222" t="s">
        <v>707</v>
      </c>
      <c r="P348" s="824">
        <v>8678</v>
      </c>
      <c r="Q348" s="824">
        <v>9.9036600000000004</v>
      </c>
      <c r="R348" s="824">
        <v>44.386479999999999</v>
      </c>
      <c r="S348" s="824">
        <v>6.6623200000000002</v>
      </c>
      <c r="T348" s="824">
        <v>25</v>
      </c>
      <c r="U348" s="824">
        <v>1</v>
      </c>
      <c r="V348" s="824">
        <v>4</v>
      </c>
      <c r="W348" s="824">
        <v>15</v>
      </c>
      <c r="X348" s="824">
        <v>9</v>
      </c>
      <c r="Y348" s="824">
        <v>3</v>
      </c>
      <c r="Z348" s="480" t="str">
        <f t="shared" si="5"/>
        <v/>
      </c>
    </row>
    <row r="349" spans="1:26">
      <c r="A349" s="825" t="s">
        <v>708</v>
      </c>
      <c r="B349" s="826">
        <v>849</v>
      </c>
      <c r="C349" s="827"/>
      <c r="D349" s="828">
        <v>10.37927</v>
      </c>
      <c r="E349" s="828">
        <v>6.851</v>
      </c>
      <c r="F349" s="828">
        <v>46.936169999999997</v>
      </c>
      <c r="G349" s="828">
        <v>25</v>
      </c>
      <c r="H349" s="828">
        <v>1</v>
      </c>
      <c r="I349" s="828">
        <v>4</v>
      </c>
      <c r="J349" s="828">
        <v>16</v>
      </c>
      <c r="K349" s="828">
        <v>9</v>
      </c>
      <c r="L349" s="828">
        <v>2</v>
      </c>
      <c r="N349" s="222" t="s">
        <v>708</v>
      </c>
      <c r="O349" s="222" t="s">
        <v>709</v>
      </c>
      <c r="P349" s="824">
        <v>849</v>
      </c>
      <c r="Q349" s="824">
        <v>10.37927</v>
      </c>
      <c r="R349" s="824">
        <v>46.936169999999997</v>
      </c>
      <c r="S349" s="824">
        <v>6.851</v>
      </c>
      <c r="T349" s="824">
        <v>25</v>
      </c>
      <c r="U349" s="824">
        <v>1</v>
      </c>
      <c r="V349" s="824">
        <v>4</v>
      </c>
      <c r="W349" s="824">
        <v>16</v>
      </c>
      <c r="X349" s="824">
        <v>9</v>
      </c>
      <c r="Y349" s="824">
        <v>2</v>
      </c>
      <c r="Z349" s="480" t="str">
        <f t="shared" si="5"/>
        <v/>
      </c>
    </row>
    <row r="350" spans="1:26">
      <c r="A350" s="825" t="s">
        <v>710</v>
      </c>
      <c r="B350" s="826">
        <v>10140</v>
      </c>
      <c r="C350" s="827"/>
      <c r="D350" s="828">
        <v>9.7377699999999994</v>
      </c>
      <c r="E350" s="828">
        <v>6.4103500000000002</v>
      </c>
      <c r="F350" s="828">
        <v>41.092590000000001</v>
      </c>
      <c r="G350" s="828">
        <v>24</v>
      </c>
      <c r="H350" s="828">
        <v>1</v>
      </c>
      <c r="I350" s="828">
        <v>4</v>
      </c>
      <c r="J350" s="828">
        <v>14</v>
      </c>
      <c r="K350" s="828">
        <v>9</v>
      </c>
      <c r="L350" s="828">
        <v>3</v>
      </c>
      <c r="N350" s="222" t="s">
        <v>710</v>
      </c>
      <c r="O350" s="222" t="s">
        <v>711</v>
      </c>
      <c r="P350" s="824">
        <v>10140</v>
      </c>
      <c r="Q350" s="824">
        <v>9.7377699999999994</v>
      </c>
      <c r="R350" s="824">
        <v>41.092590000000001</v>
      </c>
      <c r="S350" s="824">
        <v>6.4103500000000002</v>
      </c>
      <c r="T350" s="824">
        <v>24</v>
      </c>
      <c r="U350" s="824">
        <v>1</v>
      </c>
      <c r="V350" s="824">
        <v>4</v>
      </c>
      <c r="W350" s="824">
        <v>14</v>
      </c>
      <c r="X350" s="824">
        <v>9</v>
      </c>
      <c r="Y350" s="824">
        <v>3</v>
      </c>
      <c r="Z350" s="480" t="str">
        <f t="shared" si="5"/>
        <v/>
      </c>
    </row>
    <row r="351" spans="1:26">
      <c r="A351" s="825" t="s">
        <v>712</v>
      </c>
      <c r="B351" s="826">
        <v>3307</v>
      </c>
      <c r="C351" s="827"/>
      <c r="D351" s="828">
        <v>8.61355</v>
      </c>
      <c r="E351" s="828">
        <v>5.4468800000000002</v>
      </c>
      <c r="F351" s="828">
        <v>29.668520000000001</v>
      </c>
      <c r="G351" s="828">
        <v>22</v>
      </c>
      <c r="H351" s="828">
        <v>1</v>
      </c>
      <c r="I351" s="828">
        <v>4</v>
      </c>
      <c r="J351" s="828">
        <v>12</v>
      </c>
      <c r="K351" s="828">
        <v>7</v>
      </c>
      <c r="L351" s="828">
        <v>5</v>
      </c>
      <c r="N351" s="222" t="s">
        <v>712</v>
      </c>
      <c r="O351" s="222" t="s">
        <v>713</v>
      </c>
      <c r="P351" s="824">
        <v>3307</v>
      </c>
      <c r="Q351" s="824">
        <v>8.61355</v>
      </c>
      <c r="R351" s="824">
        <v>29.668520000000001</v>
      </c>
      <c r="S351" s="824">
        <v>5.4468800000000002</v>
      </c>
      <c r="T351" s="824">
        <v>22</v>
      </c>
      <c r="U351" s="824">
        <v>1</v>
      </c>
      <c r="V351" s="824">
        <v>4</v>
      </c>
      <c r="W351" s="824">
        <v>12</v>
      </c>
      <c r="X351" s="824">
        <v>7</v>
      </c>
      <c r="Y351" s="824">
        <v>5</v>
      </c>
      <c r="Z351" s="480" t="str">
        <f t="shared" si="5"/>
        <v/>
      </c>
    </row>
    <row r="352" spans="1:26">
      <c r="A352" s="825" t="s">
        <v>714</v>
      </c>
      <c r="B352" s="826">
        <v>727</v>
      </c>
      <c r="C352" s="827"/>
      <c r="D352" s="828">
        <v>10.45392</v>
      </c>
      <c r="E352" s="828">
        <v>6.69754</v>
      </c>
      <c r="F352" s="828">
        <v>44.857030000000002</v>
      </c>
      <c r="G352" s="828">
        <v>25</v>
      </c>
      <c r="H352" s="828">
        <v>1</v>
      </c>
      <c r="I352" s="828">
        <v>5</v>
      </c>
      <c r="J352" s="828">
        <v>15</v>
      </c>
      <c r="K352" s="828">
        <v>9</v>
      </c>
      <c r="L352" s="828">
        <v>3</v>
      </c>
      <c r="N352" s="222" t="s">
        <v>714</v>
      </c>
      <c r="O352" s="222" t="s">
        <v>715</v>
      </c>
      <c r="P352" s="824">
        <v>727</v>
      </c>
      <c r="Q352" s="824">
        <v>10.45392</v>
      </c>
      <c r="R352" s="824">
        <v>44.857030000000002</v>
      </c>
      <c r="S352" s="824">
        <v>6.69754</v>
      </c>
      <c r="T352" s="824">
        <v>25</v>
      </c>
      <c r="U352" s="824">
        <v>1</v>
      </c>
      <c r="V352" s="824">
        <v>5</v>
      </c>
      <c r="W352" s="824">
        <v>15</v>
      </c>
      <c r="X352" s="824">
        <v>9</v>
      </c>
      <c r="Y352" s="824">
        <v>3</v>
      </c>
      <c r="Z352" s="480" t="str">
        <f t="shared" si="5"/>
        <v/>
      </c>
    </row>
    <row r="353" spans="1:26">
      <c r="A353" s="825" t="s">
        <v>716</v>
      </c>
      <c r="B353" s="826">
        <v>131</v>
      </c>
      <c r="C353" s="827"/>
      <c r="D353" s="828">
        <v>7.5419799999999997</v>
      </c>
      <c r="E353" s="828">
        <v>5.3683699999999996</v>
      </c>
      <c r="F353" s="828">
        <v>28.819379999999999</v>
      </c>
      <c r="G353" s="828">
        <v>20</v>
      </c>
      <c r="H353" s="828">
        <v>1</v>
      </c>
      <c r="I353" s="828">
        <v>3</v>
      </c>
      <c r="J353" s="828">
        <v>12</v>
      </c>
      <c r="K353" s="828">
        <v>6</v>
      </c>
      <c r="L353" s="828">
        <v>4</v>
      </c>
      <c r="N353" s="222" t="s">
        <v>716</v>
      </c>
      <c r="O353" s="222" t="s">
        <v>717</v>
      </c>
      <c r="P353" s="824">
        <v>131</v>
      </c>
      <c r="Q353" s="824">
        <v>7.5419799999999997</v>
      </c>
      <c r="R353" s="824">
        <v>28.819379999999999</v>
      </c>
      <c r="S353" s="824">
        <v>5.3683699999999996</v>
      </c>
      <c r="T353" s="824">
        <v>20</v>
      </c>
      <c r="U353" s="824">
        <v>1</v>
      </c>
      <c r="V353" s="824">
        <v>3</v>
      </c>
      <c r="W353" s="824">
        <v>12</v>
      </c>
      <c r="X353" s="824">
        <v>6</v>
      </c>
      <c r="Y353" s="824">
        <v>4</v>
      </c>
      <c r="Z353" s="480" t="str">
        <f t="shared" si="5"/>
        <v/>
      </c>
    </row>
    <row r="354" spans="1:26">
      <c r="A354" s="825" t="s">
        <v>718</v>
      </c>
      <c r="B354" s="826">
        <v>4440</v>
      </c>
      <c r="C354" s="827"/>
      <c r="D354" s="828">
        <v>10.527699999999999</v>
      </c>
      <c r="E354" s="828">
        <v>6.3708799999999997</v>
      </c>
      <c r="F354" s="828">
        <v>40.588099999999997</v>
      </c>
      <c r="G354" s="828">
        <v>25</v>
      </c>
      <c r="H354" s="828">
        <v>1</v>
      </c>
      <c r="I354" s="828">
        <v>5</v>
      </c>
      <c r="J354" s="828">
        <v>15</v>
      </c>
      <c r="K354" s="828">
        <v>10</v>
      </c>
      <c r="L354" s="828">
        <v>6</v>
      </c>
      <c r="N354" s="222" t="s">
        <v>718</v>
      </c>
      <c r="O354" s="222" t="s">
        <v>719</v>
      </c>
      <c r="P354" s="824">
        <v>4440</v>
      </c>
      <c r="Q354" s="824">
        <v>10.527699999999999</v>
      </c>
      <c r="R354" s="824">
        <v>40.588099999999997</v>
      </c>
      <c r="S354" s="824">
        <v>6.3708799999999997</v>
      </c>
      <c r="T354" s="824">
        <v>25</v>
      </c>
      <c r="U354" s="824">
        <v>1</v>
      </c>
      <c r="V354" s="824">
        <v>5</v>
      </c>
      <c r="W354" s="824">
        <v>15</v>
      </c>
      <c r="X354" s="824">
        <v>10</v>
      </c>
      <c r="Y354" s="824">
        <v>6</v>
      </c>
      <c r="Z354" s="480" t="str">
        <f t="shared" si="5"/>
        <v/>
      </c>
    </row>
    <row r="355" spans="1:26">
      <c r="A355" s="825" t="s">
        <v>720</v>
      </c>
      <c r="B355" s="826">
        <v>17517</v>
      </c>
      <c r="C355" s="827"/>
      <c r="D355" s="828">
        <v>8.7345400000000009</v>
      </c>
      <c r="E355" s="828">
        <v>5.8525700000000001</v>
      </c>
      <c r="F355" s="828">
        <v>34.252549999999999</v>
      </c>
      <c r="G355" s="828">
        <v>22</v>
      </c>
      <c r="H355" s="828">
        <v>1</v>
      </c>
      <c r="I355" s="828">
        <v>4</v>
      </c>
      <c r="J355" s="828">
        <v>13</v>
      </c>
      <c r="K355" s="828">
        <v>7</v>
      </c>
      <c r="L355" s="828">
        <v>3</v>
      </c>
      <c r="N355" s="222" t="s">
        <v>720</v>
      </c>
      <c r="O355" s="222" t="s">
        <v>721</v>
      </c>
      <c r="P355" s="824">
        <v>17517</v>
      </c>
      <c r="Q355" s="824">
        <v>8.7345400000000009</v>
      </c>
      <c r="R355" s="824">
        <v>34.252549999999999</v>
      </c>
      <c r="S355" s="824">
        <v>5.8525700000000001</v>
      </c>
      <c r="T355" s="824">
        <v>22</v>
      </c>
      <c r="U355" s="824">
        <v>1</v>
      </c>
      <c r="V355" s="824">
        <v>4</v>
      </c>
      <c r="W355" s="824">
        <v>13</v>
      </c>
      <c r="X355" s="824">
        <v>7</v>
      </c>
      <c r="Y355" s="824">
        <v>3</v>
      </c>
      <c r="Z355" s="480" t="str">
        <f t="shared" si="5"/>
        <v/>
      </c>
    </row>
    <row r="356" spans="1:26">
      <c r="A356" s="825" t="s">
        <v>722</v>
      </c>
      <c r="B356" s="826">
        <v>3609</v>
      </c>
      <c r="C356" s="827"/>
      <c r="D356" s="828">
        <v>9.50319</v>
      </c>
      <c r="E356" s="828">
        <v>5.9372699999999998</v>
      </c>
      <c r="F356" s="828">
        <v>35.251170000000002</v>
      </c>
      <c r="G356" s="828">
        <v>22</v>
      </c>
      <c r="H356" s="828">
        <v>1</v>
      </c>
      <c r="I356" s="828">
        <v>4</v>
      </c>
      <c r="J356" s="828">
        <v>14</v>
      </c>
      <c r="K356" s="828">
        <v>9</v>
      </c>
      <c r="L356" s="828">
        <v>2</v>
      </c>
      <c r="N356" s="222" t="s">
        <v>722</v>
      </c>
      <c r="O356" s="222" t="s">
        <v>723</v>
      </c>
      <c r="P356" s="824">
        <v>3609</v>
      </c>
      <c r="Q356" s="824">
        <v>9.50319</v>
      </c>
      <c r="R356" s="824">
        <v>35.251170000000002</v>
      </c>
      <c r="S356" s="824">
        <v>5.9372699999999998</v>
      </c>
      <c r="T356" s="824">
        <v>22</v>
      </c>
      <c r="U356" s="824">
        <v>1</v>
      </c>
      <c r="V356" s="824">
        <v>4</v>
      </c>
      <c r="W356" s="824">
        <v>14</v>
      </c>
      <c r="X356" s="824">
        <v>9</v>
      </c>
      <c r="Y356" s="824">
        <v>2</v>
      </c>
      <c r="Z356" s="480" t="str">
        <f t="shared" si="5"/>
        <v/>
      </c>
    </row>
    <row r="357" spans="1:26">
      <c r="A357" s="825" t="s">
        <v>724</v>
      </c>
      <c r="B357" s="826">
        <v>5037</v>
      </c>
      <c r="C357" s="827"/>
      <c r="D357" s="828">
        <v>10.02323</v>
      </c>
      <c r="E357" s="828">
        <v>6.0132899999999996</v>
      </c>
      <c r="F357" s="828">
        <v>36.159709999999997</v>
      </c>
      <c r="G357" s="828">
        <v>23</v>
      </c>
      <c r="H357" s="828">
        <v>1</v>
      </c>
      <c r="I357" s="828">
        <v>5</v>
      </c>
      <c r="J357" s="828">
        <v>15</v>
      </c>
      <c r="K357" s="828">
        <v>9</v>
      </c>
      <c r="L357" s="828">
        <v>4</v>
      </c>
      <c r="N357" s="222" t="s">
        <v>724</v>
      </c>
      <c r="O357" s="222" t="s">
        <v>725</v>
      </c>
      <c r="P357" s="824">
        <v>5037</v>
      </c>
      <c r="Q357" s="824">
        <v>10.02323</v>
      </c>
      <c r="R357" s="824">
        <v>36.159709999999997</v>
      </c>
      <c r="S357" s="824">
        <v>6.0132899999999996</v>
      </c>
      <c r="T357" s="824">
        <v>23</v>
      </c>
      <c r="U357" s="824">
        <v>1</v>
      </c>
      <c r="V357" s="824">
        <v>5</v>
      </c>
      <c r="W357" s="824">
        <v>15</v>
      </c>
      <c r="X357" s="824">
        <v>9</v>
      </c>
      <c r="Y357" s="824">
        <v>4</v>
      </c>
      <c r="Z357" s="480" t="str">
        <f t="shared" si="5"/>
        <v/>
      </c>
    </row>
    <row r="358" spans="1:26">
      <c r="A358" s="825" t="s">
        <v>726</v>
      </c>
      <c r="B358" s="826">
        <v>2603</v>
      </c>
      <c r="C358" s="827"/>
      <c r="D358" s="828">
        <v>12.17019</v>
      </c>
      <c r="E358" s="828">
        <v>7.34992</v>
      </c>
      <c r="F358" s="828">
        <v>54.021369999999997</v>
      </c>
      <c r="G358" s="828">
        <v>27</v>
      </c>
      <c r="H358" s="828">
        <v>1</v>
      </c>
      <c r="I358" s="828">
        <v>6</v>
      </c>
      <c r="J358" s="828">
        <v>18</v>
      </c>
      <c r="K358" s="828">
        <v>11</v>
      </c>
      <c r="L358" s="828">
        <v>4</v>
      </c>
      <c r="N358" s="222" t="s">
        <v>726</v>
      </c>
      <c r="O358" s="222" t="s">
        <v>727</v>
      </c>
      <c r="P358" s="824">
        <v>2603</v>
      </c>
      <c r="Q358" s="824">
        <v>12.17019</v>
      </c>
      <c r="R358" s="824">
        <v>54.021369999999997</v>
      </c>
      <c r="S358" s="824">
        <v>7.34992</v>
      </c>
      <c r="T358" s="824">
        <v>27</v>
      </c>
      <c r="U358" s="824">
        <v>1</v>
      </c>
      <c r="V358" s="824">
        <v>6</v>
      </c>
      <c r="W358" s="824">
        <v>18</v>
      </c>
      <c r="X358" s="824">
        <v>11</v>
      </c>
      <c r="Y358" s="824">
        <v>4</v>
      </c>
      <c r="Z358" s="480" t="str">
        <f t="shared" si="5"/>
        <v/>
      </c>
    </row>
    <row r="359" spans="1:26">
      <c r="A359" s="825" t="s">
        <v>728</v>
      </c>
      <c r="B359" s="826">
        <v>21069</v>
      </c>
      <c r="C359" s="827"/>
      <c r="D359" s="828">
        <v>11.55836</v>
      </c>
      <c r="E359" s="828">
        <v>7.4517499999999997</v>
      </c>
      <c r="F359" s="828">
        <v>55.528550000000003</v>
      </c>
      <c r="G359" s="828">
        <v>28</v>
      </c>
      <c r="H359" s="828">
        <v>1</v>
      </c>
      <c r="I359" s="828">
        <v>5</v>
      </c>
      <c r="J359" s="828">
        <v>17</v>
      </c>
      <c r="K359" s="828">
        <v>10</v>
      </c>
      <c r="L359" s="828">
        <v>3</v>
      </c>
      <c r="N359" s="222" t="s">
        <v>728</v>
      </c>
      <c r="O359" s="222" t="s">
        <v>729</v>
      </c>
      <c r="P359" s="824">
        <v>21069</v>
      </c>
      <c r="Q359" s="824">
        <v>11.55836</v>
      </c>
      <c r="R359" s="824">
        <v>55.528550000000003</v>
      </c>
      <c r="S359" s="824">
        <v>7.4517499999999997</v>
      </c>
      <c r="T359" s="824">
        <v>28</v>
      </c>
      <c r="U359" s="824">
        <v>1</v>
      </c>
      <c r="V359" s="824">
        <v>5</v>
      </c>
      <c r="W359" s="824">
        <v>17</v>
      </c>
      <c r="X359" s="824">
        <v>10</v>
      </c>
      <c r="Y359" s="824">
        <v>3</v>
      </c>
      <c r="Z359" s="480" t="str">
        <f t="shared" si="5"/>
        <v/>
      </c>
    </row>
    <row r="360" spans="1:26">
      <c r="A360" s="825" t="s">
        <v>730</v>
      </c>
      <c r="B360" s="826">
        <v>127</v>
      </c>
      <c r="C360" s="827"/>
      <c r="D360" s="828">
        <v>8.5511800000000004</v>
      </c>
      <c r="E360" s="828">
        <v>5.4317000000000002</v>
      </c>
      <c r="F360" s="828">
        <v>29.503309999999999</v>
      </c>
      <c r="G360" s="828">
        <v>21</v>
      </c>
      <c r="H360" s="828">
        <v>1</v>
      </c>
      <c r="I360" s="828">
        <v>5</v>
      </c>
      <c r="J360" s="828">
        <v>13</v>
      </c>
      <c r="K360" s="828">
        <v>7</v>
      </c>
      <c r="L360" s="828">
        <v>5</v>
      </c>
      <c r="N360" s="222" t="s">
        <v>730</v>
      </c>
      <c r="O360" s="222" t="s">
        <v>731</v>
      </c>
      <c r="P360" s="824">
        <v>127</v>
      </c>
      <c r="Q360" s="824">
        <v>8.5511800000000004</v>
      </c>
      <c r="R360" s="824">
        <v>29.503309999999999</v>
      </c>
      <c r="S360" s="824">
        <v>5.4317000000000002</v>
      </c>
      <c r="T360" s="824">
        <v>21</v>
      </c>
      <c r="U360" s="824">
        <v>1</v>
      </c>
      <c r="V360" s="824">
        <v>5</v>
      </c>
      <c r="W360" s="824">
        <v>13</v>
      </c>
      <c r="X360" s="824">
        <v>7</v>
      </c>
      <c r="Y360" s="824">
        <v>5</v>
      </c>
      <c r="Z360" s="480" t="str">
        <f t="shared" si="5"/>
        <v/>
      </c>
    </row>
    <row r="361" spans="1:26">
      <c r="A361" s="825" t="s">
        <v>732</v>
      </c>
      <c r="B361" s="826">
        <v>762</v>
      </c>
      <c r="C361" s="827"/>
      <c r="D361" s="828">
        <v>10.643039999999999</v>
      </c>
      <c r="E361" s="828">
        <v>6.8795599999999997</v>
      </c>
      <c r="F361" s="828">
        <v>47.328389999999999</v>
      </c>
      <c r="G361" s="828">
        <v>26</v>
      </c>
      <c r="H361" s="828">
        <v>1</v>
      </c>
      <c r="I361" s="828">
        <v>5</v>
      </c>
      <c r="J361" s="828">
        <v>16</v>
      </c>
      <c r="K361" s="828">
        <v>9</v>
      </c>
      <c r="L361" s="828">
        <v>7</v>
      </c>
      <c r="N361" s="222" t="s">
        <v>732</v>
      </c>
      <c r="O361" s="222" t="s">
        <v>733</v>
      </c>
      <c r="P361" s="824">
        <v>762</v>
      </c>
      <c r="Q361" s="824">
        <v>10.643039999999999</v>
      </c>
      <c r="R361" s="824">
        <v>47.328389999999999</v>
      </c>
      <c r="S361" s="824">
        <v>6.8795599999999997</v>
      </c>
      <c r="T361" s="824">
        <v>26</v>
      </c>
      <c r="U361" s="824">
        <v>1</v>
      </c>
      <c r="V361" s="824">
        <v>5</v>
      </c>
      <c r="W361" s="824">
        <v>16</v>
      </c>
      <c r="X361" s="824">
        <v>9</v>
      </c>
      <c r="Y361" s="824">
        <v>7</v>
      </c>
      <c r="Z361" s="480" t="str">
        <f t="shared" si="5"/>
        <v/>
      </c>
    </row>
    <row r="362" spans="1:26">
      <c r="A362" s="825" t="s">
        <v>734</v>
      </c>
      <c r="B362" s="826">
        <v>76</v>
      </c>
      <c r="C362" s="827"/>
      <c r="D362" s="828">
        <v>11.802630000000001</v>
      </c>
      <c r="E362" s="828">
        <v>7.4099399999999997</v>
      </c>
      <c r="F362" s="828">
        <v>54.90719</v>
      </c>
      <c r="G362" s="828">
        <v>25</v>
      </c>
      <c r="H362" s="828">
        <v>1</v>
      </c>
      <c r="I362" s="828">
        <v>5</v>
      </c>
      <c r="J362" s="828">
        <v>18</v>
      </c>
      <c r="K362" s="828">
        <v>12</v>
      </c>
      <c r="L362" s="828">
        <v>4</v>
      </c>
      <c r="N362" s="222" t="s">
        <v>734</v>
      </c>
      <c r="O362" s="222" t="s">
        <v>2096</v>
      </c>
      <c r="P362" s="824">
        <v>76</v>
      </c>
      <c r="Q362" s="824">
        <v>11.802630000000001</v>
      </c>
      <c r="R362" s="824">
        <v>54.90719</v>
      </c>
      <c r="S362" s="824">
        <v>7.4099399999999997</v>
      </c>
      <c r="T362" s="824">
        <v>25</v>
      </c>
      <c r="U362" s="824">
        <v>1</v>
      </c>
      <c r="V362" s="824">
        <v>5</v>
      </c>
      <c r="W362" s="824">
        <v>18</v>
      </c>
      <c r="X362" s="824">
        <v>12</v>
      </c>
      <c r="Y362" s="824">
        <v>4</v>
      </c>
      <c r="Z362" s="480" t="str">
        <f t="shared" si="5"/>
        <v/>
      </c>
    </row>
    <row r="363" spans="1:26">
      <c r="A363" s="825" t="s">
        <v>735</v>
      </c>
      <c r="B363" s="826">
        <v>1759</v>
      </c>
      <c r="C363" s="827"/>
      <c r="D363" s="828">
        <v>10.547470000000001</v>
      </c>
      <c r="E363" s="828">
        <v>8.7856500000000004</v>
      </c>
      <c r="F363" s="828">
        <v>77.18759</v>
      </c>
      <c r="G363" s="828">
        <v>52</v>
      </c>
      <c r="H363" s="828">
        <v>1</v>
      </c>
      <c r="I363" s="828">
        <v>4</v>
      </c>
      <c r="J363" s="828">
        <v>15</v>
      </c>
      <c r="K363" s="828">
        <v>8</v>
      </c>
      <c r="L363" s="828">
        <v>4</v>
      </c>
      <c r="N363" s="222" t="s">
        <v>735</v>
      </c>
      <c r="O363" s="222" t="s">
        <v>2097</v>
      </c>
      <c r="P363" s="824">
        <v>1759</v>
      </c>
      <c r="Q363" s="824">
        <v>10.547470000000001</v>
      </c>
      <c r="R363" s="824">
        <v>77.18759</v>
      </c>
      <c r="S363" s="824">
        <v>8.7856500000000004</v>
      </c>
      <c r="T363" s="824">
        <v>52</v>
      </c>
      <c r="U363" s="824">
        <v>1</v>
      </c>
      <c r="V363" s="824">
        <v>4</v>
      </c>
      <c r="W363" s="824">
        <v>15</v>
      </c>
      <c r="X363" s="824">
        <v>8</v>
      </c>
      <c r="Y363" s="824">
        <v>4</v>
      </c>
      <c r="Z363" s="480" t="str">
        <f t="shared" si="5"/>
        <v/>
      </c>
    </row>
    <row r="364" spans="1:26">
      <c r="A364" s="825" t="s">
        <v>736</v>
      </c>
      <c r="B364" s="826">
        <v>5599</v>
      </c>
      <c r="C364" s="827"/>
      <c r="D364" s="828">
        <v>10.673870000000001</v>
      </c>
      <c r="E364" s="828">
        <v>8.1795299999999997</v>
      </c>
      <c r="F364" s="828">
        <v>66.904700000000005</v>
      </c>
      <c r="G364" s="828">
        <v>50</v>
      </c>
      <c r="H364" s="828">
        <v>1</v>
      </c>
      <c r="I364" s="828">
        <v>4</v>
      </c>
      <c r="J364" s="828">
        <v>15</v>
      </c>
      <c r="K364" s="828">
        <v>9</v>
      </c>
      <c r="L364" s="828">
        <v>4</v>
      </c>
      <c r="N364" s="222" t="s">
        <v>736</v>
      </c>
      <c r="O364" s="222" t="s">
        <v>2098</v>
      </c>
      <c r="P364" s="824">
        <v>5599</v>
      </c>
      <c r="Q364" s="824">
        <v>10.673870000000001</v>
      </c>
      <c r="R364" s="824">
        <v>66.904700000000005</v>
      </c>
      <c r="S364" s="824">
        <v>8.1795299999999997</v>
      </c>
      <c r="T364" s="824">
        <v>50</v>
      </c>
      <c r="U364" s="824">
        <v>1</v>
      </c>
      <c r="V364" s="824">
        <v>4</v>
      </c>
      <c r="W364" s="824">
        <v>15</v>
      </c>
      <c r="X364" s="824">
        <v>9</v>
      </c>
      <c r="Y364" s="824">
        <v>4</v>
      </c>
      <c r="Z364" s="480" t="str">
        <f t="shared" si="5"/>
        <v/>
      </c>
    </row>
    <row r="365" spans="1:26">
      <c r="A365" s="825" t="s">
        <v>737</v>
      </c>
      <c r="B365" s="826">
        <v>851</v>
      </c>
      <c r="C365" s="827"/>
      <c r="D365" s="828">
        <v>10.15629</v>
      </c>
      <c r="E365" s="828">
        <v>5.9624499999999996</v>
      </c>
      <c r="F365" s="828">
        <v>35.550840000000001</v>
      </c>
      <c r="G365" s="828">
        <v>23</v>
      </c>
      <c r="H365" s="828">
        <v>1</v>
      </c>
      <c r="I365" s="828">
        <v>5</v>
      </c>
      <c r="J365" s="828">
        <v>15</v>
      </c>
      <c r="K365" s="828">
        <v>9</v>
      </c>
      <c r="L365" s="828">
        <v>5</v>
      </c>
      <c r="N365" s="222" t="s">
        <v>737</v>
      </c>
      <c r="O365" s="222" t="s">
        <v>2099</v>
      </c>
      <c r="P365" s="824">
        <v>851</v>
      </c>
      <c r="Q365" s="824">
        <v>10.15629</v>
      </c>
      <c r="R365" s="824">
        <v>35.550840000000001</v>
      </c>
      <c r="S365" s="824">
        <v>5.9624499999999996</v>
      </c>
      <c r="T365" s="824">
        <v>23</v>
      </c>
      <c r="U365" s="824">
        <v>1</v>
      </c>
      <c r="V365" s="824">
        <v>5</v>
      </c>
      <c r="W365" s="824">
        <v>15</v>
      </c>
      <c r="X365" s="824">
        <v>9</v>
      </c>
      <c r="Y365" s="824">
        <v>5</v>
      </c>
      <c r="Z365" s="480" t="str">
        <f t="shared" si="5"/>
        <v/>
      </c>
    </row>
    <row r="366" spans="1:26">
      <c r="A366" s="825" t="s">
        <v>738</v>
      </c>
      <c r="B366" s="826">
        <v>1549</v>
      </c>
      <c r="C366" s="827"/>
      <c r="D366" s="828">
        <v>8.3260199999999998</v>
      </c>
      <c r="E366" s="828">
        <v>5.3642700000000003</v>
      </c>
      <c r="F366" s="828">
        <v>28.77543</v>
      </c>
      <c r="G366" s="828">
        <v>21</v>
      </c>
      <c r="H366" s="828">
        <v>1</v>
      </c>
      <c r="I366" s="828">
        <v>4</v>
      </c>
      <c r="J366" s="828">
        <v>12</v>
      </c>
      <c r="K366" s="828">
        <v>7</v>
      </c>
      <c r="L366" s="828">
        <v>4</v>
      </c>
      <c r="N366" s="222" t="s">
        <v>738</v>
      </c>
      <c r="O366" s="222" t="s">
        <v>739</v>
      </c>
      <c r="P366" s="824">
        <v>1549</v>
      </c>
      <c r="Q366" s="824">
        <v>8.3260199999999998</v>
      </c>
      <c r="R366" s="824">
        <v>28.77543</v>
      </c>
      <c r="S366" s="824">
        <v>5.3642700000000003</v>
      </c>
      <c r="T366" s="824">
        <v>21</v>
      </c>
      <c r="U366" s="824">
        <v>1</v>
      </c>
      <c r="V366" s="824">
        <v>4</v>
      </c>
      <c r="W366" s="824">
        <v>12</v>
      </c>
      <c r="X366" s="824">
        <v>7</v>
      </c>
      <c r="Y366" s="824">
        <v>4</v>
      </c>
      <c r="Z366" s="480" t="str">
        <f t="shared" si="5"/>
        <v/>
      </c>
    </row>
    <row r="367" spans="1:26">
      <c r="A367" s="825" t="s">
        <v>740</v>
      </c>
      <c r="B367" s="826">
        <v>113</v>
      </c>
      <c r="C367" s="827"/>
      <c r="D367" s="828">
        <v>8.8495600000000003</v>
      </c>
      <c r="E367" s="828">
        <v>5.5133299999999998</v>
      </c>
      <c r="F367" s="828">
        <v>30.396809999999999</v>
      </c>
      <c r="G367" s="828">
        <v>22</v>
      </c>
      <c r="H367" s="828">
        <v>1</v>
      </c>
      <c r="I367" s="828">
        <v>4</v>
      </c>
      <c r="J367" s="828">
        <v>13</v>
      </c>
      <c r="K367" s="828">
        <v>8</v>
      </c>
      <c r="L367" s="828">
        <v>4</v>
      </c>
      <c r="N367" s="222" t="s">
        <v>740</v>
      </c>
      <c r="O367" s="222" t="s">
        <v>741</v>
      </c>
      <c r="P367" s="824">
        <v>113</v>
      </c>
      <c r="Q367" s="824">
        <v>8.8495600000000003</v>
      </c>
      <c r="R367" s="824">
        <v>30.396809999999999</v>
      </c>
      <c r="S367" s="824">
        <v>5.5133299999999998</v>
      </c>
      <c r="T367" s="824">
        <v>22</v>
      </c>
      <c r="U367" s="824">
        <v>1</v>
      </c>
      <c r="V367" s="824">
        <v>4</v>
      </c>
      <c r="W367" s="824">
        <v>13</v>
      </c>
      <c r="X367" s="824">
        <v>8</v>
      </c>
      <c r="Y367" s="824">
        <v>4</v>
      </c>
      <c r="Z367" s="480" t="str">
        <f t="shared" si="5"/>
        <v/>
      </c>
    </row>
    <row r="368" spans="1:26">
      <c r="A368" s="825" t="s">
        <v>742</v>
      </c>
      <c r="B368" s="826">
        <v>1386</v>
      </c>
      <c r="C368" s="827"/>
      <c r="D368" s="828">
        <v>11.00794</v>
      </c>
      <c r="E368" s="828">
        <v>6.7010899999999998</v>
      </c>
      <c r="F368" s="828">
        <v>44.904629999999997</v>
      </c>
      <c r="G368" s="828">
        <v>25</v>
      </c>
      <c r="H368" s="828">
        <v>1</v>
      </c>
      <c r="I368" s="828">
        <v>5</v>
      </c>
      <c r="J368" s="828">
        <v>16</v>
      </c>
      <c r="K368" s="828">
        <v>10</v>
      </c>
      <c r="L368" s="828">
        <v>3</v>
      </c>
      <c r="N368" s="222" t="s">
        <v>742</v>
      </c>
      <c r="O368" s="222" t="s">
        <v>743</v>
      </c>
      <c r="P368" s="824">
        <v>1386</v>
      </c>
      <c r="Q368" s="824">
        <v>11.00794</v>
      </c>
      <c r="R368" s="824">
        <v>44.904629999999997</v>
      </c>
      <c r="S368" s="824">
        <v>6.7010899999999998</v>
      </c>
      <c r="T368" s="824">
        <v>25</v>
      </c>
      <c r="U368" s="824">
        <v>1</v>
      </c>
      <c r="V368" s="824">
        <v>5</v>
      </c>
      <c r="W368" s="824">
        <v>16</v>
      </c>
      <c r="X368" s="824">
        <v>10</v>
      </c>
      <c r="Y368" s="824">
        <v>3</v>
      </c>
      <c r="Z368" s="480" t="str">
        <f t="shared" si="5"/>
        <v/>
      </c>
    </row>
    <row r="369" spans="1:26">
      <c r="A369" s="825" t="s">
        <v>744</v>
      </c>
      <c r="B369" s="826">
        <v>1214</v>
      </c>
      <c r="C369" s="827"/>
      <c r="D369" s="828">
        <v>10.37974</v>
      </c>
      <c r="E369" s="828">
        <v>6.4966200000000001</v>
      </c>
      <c r="F369" s="828">
        <v>42.206049999999998</v>
      </c>
      <c r="G369" s="828">
        <v>24</v>
      </c>
      <c r="H369" s="828">
        <v>1</v>
      </c>
      <c r="I369" s="828">
        <v>5</v>
      </c>
      <c r="J369" s="828">
        <v>15</v>
      </c>
      <c r="K369" s="828">
        <v>9</v>
      </c>
      <c r="L369" s="828">
        <v>4</v>
      </c>
      <c r="N369" s="222" t="s">
        <v>744</v>
      </c>
      <c r="O369" s="222" t="s">
        <v>745</v>
      </c>
      <c r="P369" s="824">
        <v>1214</v>
      </c>
      <c r="Q369" s="824">
        <v>10.37974</v>
      </c>
      <c r="R369" s="824">
        <v>42.206049999999998</v>
      </c>
      <c r="S369" s="824">
        <v>6.4966200000000001</v>
      </c>
      <c r="T369" s="824">
        <v>24</v>
      </c>
      <c r="U369" s="824">
        <v>1</v>
      </c>
      <c r="V369" s="824">
        <v>5</v>
      </c>
      <c r="W369" s="824">
        <v>15</v>
      </c>
      <c r="X369" s="824">
        <v>9</v>
      </c>
      <c r="Y369" s="824">
        <v>4</v>
      </c>
      <c r="Z369" s="480" t="str">
        <f t="shared" si="5"/>
        <v/>
      </c>
    </row>
    <row r="370" spans="1:26">
      <c r="A370" s="825" t="s">
        <v>746</v>
      </c>
      <c r="B370" s="826">
        <v>4447</v>
      </c>
      <c r="C370" s="827"/>
      <c r="D370" s="828">
        <v>10.252980000000001</v>
      </c>
      <c r="E370" s="828">
        <v>6.1992000000000003</v>
      </c>
      <c r="F370" s="828">
        <v>38.430140000000002</v>
      </c>
      <c r="G370" s="828">
        <v>24</v>
      </c>
      <c r="H370" s="828">
        <v>1</v>
      </c>
      <c r="I370" s="828">
        <v>5</v>
      </c>
      <c r="J370" s="828">
        <v>15</v>
      </c>
      <c r="K370" s="828">
        <v>9</v>
      </c>
      <c r="L370" s="828">
        <v>5</v>
      </c>
      <c r="N370" s="222" t="s">
        <v>746</v>
      </c>
      <c r="O370" s="222" t="s">
        <v>747</v>
      </c>
      <c r="P370" s="824">
        <v>4447</v>
      </c>
      <c r="Q370" s="824">
        <v>10.252980000000001</v>
      </c>
      <c r="R370" s="824">
        <v>38.430140000000002</v>
      </c>
      <c r="S370" s="824">
        <v>6.1992000000000003</v>
      </c>
      <c r="T370" s="824">
        <v>24</v>
      </c>
      <c r="U370" s="824">
        <v>1</v>
      </c>
      <c r="V370" s="824">
        <v>5</v>
      </c>
      <c r="W370" s="824">
        <v>15</v>
      </c>
      <c r="X370" s="824">
        <v>9</v>
      </c>
      <c r="Y370" s="824">
        <v>5</v>
      </c>
      <c r="Z370" s="480" t="str">
        <f t="shared" si="5"/>
        <v/>
      </c>
    </row>
    <row r="371" spans="1:26">
      <c r="A371" s="825" t="s">
        <v>748</v>
      </c>
      <c r="B371" s="826">
        <v>888</v>
      </c>
      <c r="C371" s="827"/>
      <c r="D371" s="828">
        <v>9.7128399999999999</v>
      </c>
      <c r="E371" s="828">
        <v>6.04528</v>
      </c>
      <c r="F371" s="828">
        <v>36.545400000000001</v>
      </c>
      <c r="G371" s="828">
        <v>23</v>
      </c>
      <c r="H371" s="828">
        <v>1</v>
      </c>
      <c r="I371" s="828">
        <v>5</v>
      </c>
      <c r="J371" s="828">
        <v>14</v>
      </c>
      <c r="K371" s="828">
        <v>9</v>
      </c>
      <c r="L371" s="828">
        <v>4</v>
      </c>
      <c r="N371" s="222" t="s">
        <v>748</v>
      </c>
      <c r="O371" s="222" t="s">
        <v>2100</v>
      </c>
      <c r="P371" s="824">
        <v>888</v>
      </c>
      <c r="Q371" s="824">
        <v>9.7128399999999999</v>
      </c>
      <c r="R371" s="824">
        <v>36.545400000000001</v>
      </c>
      <c r="S371" s="824">
        <v>6.04528</v>
      </c>
      <c r="T371" s="824">
        <v>23</v>
      </c>
      <c r="U371" s="824">
        <v>1</v>
      </c>
      <c r="V371" s="824">
        <v>5</v>
      </c>
      <c r="W371" s="824">
        <v>14</v>
      </c>
      <c r="X371" s="824">
        <v>9</v>
      </c>
      <c r="Y371" s="824">
        <v>4</v>
      </c>
      <c r="Z371" s="480" t="str">
        <f t="shared" si="5"/>
        <v/>
      </c>
    </row>
    <row r="372" spans="1:26">
      <c r="A372" s="825" t="s">
        <v>749</v>
      </c>
      <c r="B372" s="826">
        <v>14643</v>
      </c>
      <c r="C372" s="827"/>
      <c r="D372" s="828">
        <v>8.9784199999999998</v>
      </c>
      <c r="E372" s="828">
        <v>5.8478199999999996</v>
      </c>
      <c r="F372" s="828">
        <v>34.197049999999997</v>
      </c>
      <c r="G372" s="828">
        <v>22</v>
      </c>
      <c r="H372" s="828">
        <v>1</v>
      </c>
      <c r="I372" s="828">
        <v>4</v>
      </c>
      <c r="J372" s="828">
        <v>13</v>
      </c>
      <c r="K372" s="828">
        <v>8</v>
      </c>
      <c r="L372" s="828">
        <v>3</v>
      </c>
      <c r="N372" s="222" t="s">
        <v>749</v>
      </c>
      <c r="O372" s="222" t="s">
        <v>750</v>
      </c>
      <c r="P372" s="824">
        <v>14643</v>
      </c>
      <c r="Q372" s="824">
        <v>8.9784199999999998</v>
      </c>
      <c r="R372" s="824">
        <v>34.197049999999997</v>
      </c>
      <c r="S372" s="824">
        <v>5.8478199999999996</v>
      </c>
      <c r="T372" s="824">
        <v>22</v>
      </c>
      <c r="U372" s="824">
        <v>1</v>
      </c>
      <c r="V372" s="824">
        <v>4</v>
      </c>
      <c r="W372" s="824">
        <v>13</v>
      </c>
      <c r="X372" s="824">
        <v>8</v>
      </c>
      <c r="Y372" s="824">
        <v>3</v>
      </c>
      <c r="Z372" s="480" t="str">
        <f t="shared" si="5"/>
        <v/>
      </c>
    </row>
    <row r="373" spans="1:26">
      <c r="A373" s="825" t="s">
        <v>751</v>
      </c>
      <c r="B373" s="826">
        <v>2272</v>
      </c>
      <c r="C373" s="827"/>
      <c r="D373" s="828">
        <v>8.9146099999999997</v>
      </c>
      <c r="E373" s="828">
        <v>5.9029100000000003</v>
      </c>
      <c r="F373" s="828">
        <v>34.84431</v>
      </c>
      <c r="G373" s="828">
        <v>22</v>
      </c>
      <c r="H373" s="828">
        <v>1</v>
      </c>
      <c r="I373" s="828">
        <v>4</v>
      </c>
      <c r="J373" s="828">
        <v>13</v>
      </c>
      <c r="K373" s="828">
        <v>8</v>
      </c>
      <c r="L373" s="828">
        <v>3</v>
      </c>
      <c r="N373" s="222" t="s">
        <v>751</v>
      </c>
      <c r="O373" s="222" t="s">
        <v>752</v>
      </c>
      <c r="P373" s="824">
        <v>2272</v>
      </c>
      <c r="Q373" s="824">
        <v>8.9146099999999997</v>
      </c>
      <c r="R373" s="824">
        <v>34.84431</v>
      </c>
      <c r="S373" s="824">
        <v>5.9029100000000003</v>
      </c>
      <c r="T373" s="824">
        <v>22</v>
      </c>
      <c r="U373" s="824">
        <v>1</v>
      </c>
      <c r="V373" s="824">
        <v>4</v>
      </c>
      <c r="W373" s="824">
        <v>13</v>
      </c>
      <c r="X373" s="824">
        <v>8</v>
      </c>
      <c r="Y373" s="824">
        <v>3</v>
      </c>
      <c r="Z373" s="480" t="str">
        <f t="shared" si="5"/>
        <v/>
      </c>
    </row>
    <row r="374" spans="1:26">
      <c r="A374" s="825" t="s">
        <v>753</v>
      </c>
      <c r="B374" s="826">
        <v>9702</v>
      </c>
      <c r="C374" s="827"/>
      <c r="D374" s="828">
        <v>9.8712599999999995</v>
      </c>
      <c r="E374" s="828">
        <v>6.2026599999999998</v>
      </c>
      <c r="F374" s="828">
        <v>38.47296</v>
      </c>
      <c r="G374" s="828">
        <v>24</v>
      </c>
      <c r="H374" s="828">
        <v>1</v>
      </c>
      <c r="I374" s="828">
        <v>5</v>
      </c>
      <c r="J374" s="828">
        <v>14</v>
      </c>
      <c r="K374" s="828">
        <v>9</v>
      </c>
      <c r="L374" s="828">
        <v>3</v>
      </c>
      <c r="N374" s="222" t="s">
        <v>753</v>
      </c>
      <c r="O374" s="222" t="s">
        <v>2101</v>
      </c>
      <c r="P374" s="824">
        <v>9702</v>
      </c>
      <c r="Q374" s="824">
        <v>9.8712599999999995</v>
      </c>
      <c r="R374" s="824">
        <v>38.47296</v>
      </c>
      <c r="S374" s="824">
        <v>6.2026599999999998</v>
      </c>
      <c r="T374" s="824">
        <v>24</v>
      </c>
      <c r="U374" s="824">
        <v>1</v>
      </c>
      <c r="V374" s="824">
        <v>5</v>
      </c>
      <c r="W374" s="824">
        <v>14</v>
      </c>
      <c r="X374" s="824">
        <v>9</v>
      </c>
      <c r="Y374" s="824">
        <v>3</v>
      </c>
      <c r="Z374" s="480" t="str">
        <f t="shared" si="5"/>
        <v/>
      </c>
    </row>
    <row r="375" spans="1:26">
      <c r="A375" s="825" t="s">
        <v>754</v>
      </c>
      <c r="B375" s="826">
        <v>254</v>
      </c>
      <c r="C375" s="829"/>
      <c r="D375" s="828">
        <v>11.37402</v>
      </c>
      <c r="E375" s="828">
        <v>8.0314300000000003</v>
      </c>
      <c r="F375" s="828">
        <v>64.503829999999994</v>
      </c>
      <c r="G375" s="828">
        <v>30</v>
      </c>
      <c r="H375" s="828">
        <v>1</v>
      </c>
      <c r="I375" s="828">
        <v>5</v>
      </c>
      <c r="J375" s="828">
        <v>16</v>
      </c>
      <c r="K375" s="828">
        <v>10</v>
      </c>
      <c r="L375" s="828">
        <v>5</v>
      </c>
      <c r="N375" s="222" t="s">
        <v>754</v>
      </c>
      <c r="O375" s="222" t="s">
        <v>755</v>
      </c>
      <c r="P375" s="824">
        <v>254</v>
      </c>
      <c r="Q375" s="824">
        <v>11.37402</v>
      </c>
      <c r="R375" s="824">
        <v>64.503829999999994</v>
      </c>
      <c r="S375" s="824">
        <v>8.0314300000000003</v>
      </c>
      <c r="T375" s="824">
        <v>30</v>
      </c>
      <c r="U375" s="824">
        <v>1</v>
      </c>
      <c r="V375" s="824">
        <v>5</v>
      </c>
      <c r="W375" s="824">
        <v>16</v>
      </c>
      <c r="X375" s="824">
        <v>10</v>
      </c>
      <c r="Y375" s="824">
        <v>5</v>
      </c>
      <c r="Z375" s="480" t="str">
        <f t="shared" si="5"/>
        <v/>
      </c>
    </row>
    <row r="376" spans="1:26">
      <c r="A376" s="825" t="s">
        <v>756</v>
      </c>
      <c r="B376" s="826">
        <v>8059</v>
      </c>
      <c r="C376" s="827"/>
      <c r="D376" s="828">
        <v>10.51384</v>
      </c>
      <c r="E376" s="828">
        <v>6.3155900000000003</v>
      </c>
      <c r="F376" s="828">
        <v>39.886719999999997</v>
      </c>
      <c r="G376" s="828">
        <v>24</v>
      </c>
      <c r="H376" s="828">
        <v>1</v>
      </c>
      <c r="I376" s="828">
        <v>5</v>
      </c>
      <c r="J376" s="828">
        <v>15</v>
      </c>
      <c r="K376" s="828">
        <v>10</v>
      </c>
      <c r="L376" s="828">
        <v>3</v>
      </c>
      <c r="N376" s="222" t="s">
        <v>756</v>
      </c>
      <c r="O376" s="222" t="s">
        <v>2102</v>
      </c>
      <c r="P376" s="824">
        <v>8059</v>
      </c>
      <c r="Q376" s="824">
        <v>10.51384</v>
      </c>
      <c r="R376" s="824">
        <v>39.886719999999997</v>
      </c>
      <c r="S376" s="824">
        <v>6.3155900000000003</v>
      </c>
      <c r="T376" s="824">
        <v>24</v>
      </c>
      <c r="U376" s="824">
        <v>1</v>
      </c>
      <c r="V376" s="824">
        <v>5</v>
      </c>
      <c r="W376" s="824">
        <v>15</v>
      </c>
      <c r="X376" s="824">
        <v>10</v>
      </c>
      <c r="Y376" s="824">
        <v>3</v>
      </c>
      <c r="Z376" s="480" t="str">
        <f t="shared" si="5"/>
        <v/>
      </c>
    </row>
    <row r="377" spans="1:26">
      <c r="A377" s="825" t="s">
        <v>757</v>
      </c>
      <c r="B377" s="826">
        <v>21982</v>
      </c>
      <c r="C377" s="827"/>
      <c r="D377" s="828">
        <v>11.069879999999999</v>
      </c>
      <c r="E377" s="828">
        <v>6.9307499999999997</v>
      </c>
      <c r="F377" s="828">
        <v>48.035240000000002</v>
      </c>
      <c r="G377" s="828">
        <v>26</v>
      </c>
      <c r="H377" s="828">
        <v>1</v>
      </c>
      <c r="I377" s="828">
        <v>5</v>
      </c>
      <c r="J377" s="828">
        <v>16</v>
      </c>
      <c r="K377" s="828">
        <v>10</v>
      </c>
      <c r="L377" s="828">
        <v>3</v>
      </c>
      <c r="N377" s="222" t="s">
        <v>757</v>
      </c>
      <c r="O377" s="222" t="s">
        <v>758</v>
      </c>
      <c r="P377" s="824">
        <v>21982</v>
      </c>
      <c r="Q377" s="824">
        <v>11.069879999999999</v>
      </c>
      <c r="R377" s="824">
        <v>48.035240000000002</v>
      </c>
      <c r="S377" s="824">
        <v>6.9307499999999997</v>
      </c>
      <c r="T377" s="824">
        <v>26</v>
      </c>
      <c r="U377" s="824">
        <v>1</v>
      </c>
      <c r="V377" s="824">
        <v>5</v>
      </c>
      <c r="W377" s="824">
        <v>16</v>
      </c>
      <c r="X377" s="824">
        <v>10</v>
      </c>
      <c r="Y377" s="824">
        <v>3</v>
      </c>
      <c r="Z377" s="480" t="str">
        <f t="shared" si="5"/>
        <v/>
      </c>
    </row>
    <row r="378" spans="1:26">
      <c r="A378" s="825" t="s">
        <v>759</v>
      </c>
      <c r="B378" s="826">
        <v>6553</v>
      </c>
      <c r="C378" s="827"/>
      <c r="D378" s="828">
        <v>11.031280000000001</v>
      </c>
      <c r="E378" s="828">
        <v>7.0878300000000003</v>
      </c>
      <c r="F378" s="828">
        <v>50.237270000000002</v>
      </c>
      <c r="G378" s="828">
        <v>27</v>
      </c>
      <c r="H378" s="828">
        <v>1</v>
      </c>
      <c r="I378" s="828">
        <v>5</v>
      </c>
      <c r="J378" s="828">
        <v>16</v>
      </c>
      <c r="K378" s="828">
        <v>10</v>
      </c>
      <c r="L378" s="828">
        <v>4</v>
      </c>
      <c r="N378" s="222" t="s">
        <v>759</v>
      </c>
      <c r="O378" s="222" t="s">
        <v>2103</v>
      </c>
      <c r="P378" s="824">
        <v>6553</v>
      </c>
      <c r="Q378" s="824">
        <v>11.031280000000001</v>
      </c>
      <c r="R378" s="824">
        <v>50.237270000000002</v>
      </c>
      <c r="S378" s="824">
        <v>7.0878300000000003</v>
      </c>
      <c r="T378" s="824">
        <v>27</v>
      </c>
      <c r="U378" s="824">
        <v>1</v>
      </c>
      <c r="V378" s="824">
        <v>5</v>
      </c>
      <c r="W378" s="824">
        <v>16</v>
      </c>
      <c r="X378" s="824">
        <v>10</v>
      </c>
      <c r="Y378" s="824">
        <v>4</v>
      </c>
      <c r="Z378" s="480" t="str">
        <f t="shared" si="5"/>
        <v/>
      </c>
    </row>
    <row r="379" spans="1:26">
      <c r="A379" s="825" t="s">
        <v>760</v>
      </c>
      <c r="B379" s="826">
        <v>11090</v>
      </c>
      <c r="C379" s="827"/>
      <c r="D379" s="828">
        <v>10.13796</v>
      </c>
      <c r="E379" s="828">
        <v>6.4647699999999997</v>
      </c>
      <c r="F379" s="828">
        <v>41.793210000000002</v>
      </c>
      <c r="G379" s="828">
        <v>24</v>
      </c>
      <c r="H379" s="828">
        <v>1</v>
      </c>
      <c r="I379" s="828">
        <v>5</v>
      </c>
      <c r="J379" s="828">
        <v>15</v>
      </c>
      <c r="K379" s="828">
        <v>9</v>
      </c>
      <c r="L379" s="828">
        <v>3</v>
      </c>
      <c r="N379" s="222" t="s">
        <v>760</v>
      </c>
      <c r="O379" s="222" t="s">
        <v>2104</v>
      </c>
      <c r="P379" s="824">
        <v>11090</v>
      </c>
      <c r="Q379" s="824">
        <v>10.13796</v>
      </c>
      <c r="R379" s="824">
        <v>41.793210000000002</v>
      </c>
      <c r="S379" s="824">
        <v>6.4647699999999997</v>
      </c>
      <c r="T379" s="824">
        <v>24</v>
      </c>
      <c r="U379" s="824">
        <v>1</v>
      </c>
      <c r="V379" s="824">
        <v>5</v>
      </c>
      <c r="W379" s="824">
        <v>15</v>
      </c>
      <c r="X379" s="824">
        <v>9</v>
      </c>
      <c r="Y379" s="824">
        <v>3</v>
      </c>
      <c r="Z379" s="480" t="str">
        <f t="shared" si="5"/>
        <v/>
      </c>
    </row>
    <row r="380" spans="1:26">
      <c r="A380" s="825" t="s">
        <v>761</v>
      </c>
      <c r="B380" s="826">
        <v>9806</v>
      </c>
      <c r="C380" s="827"/>
      <c r="D380" s="828">
        <v>12.416679999999999</v>
      </c>
      <c r="E380" s="828">
        <v>7.8362299999999996</v>
      </c>
      <c r="F380" s="828">
        <v>61.406570000000002</v>
      </c>
      <c r="G380" s="828">
        <v>29</v>
      </c>
      <c r="H380" s="828">
        <v>1</v>
      </c>
      <c r="I380" s="828">
        <v>6</v>
      </c>
      <c r="J380" s="828">
        <v>18</v>
      </c>
      <c r="K380" s="828">
        <v>11</v>
      </c>
      <c r="L380" s="828">
        <v>3</v>
      </c>
      <c r="N380" s="222" t="s">
        <v>761</v>
      </c>
      <c r="O380" s="222" t="s">
        <v>2105</v>
      </c>
      <c r="P380" s="824">
        <v>9806</v>
      </c>
      <c r="Q380" s="824">
        <v>12.416679999999999</v>
      </c>
      <c r="R380" s="824">
        <v>61.406570000000002</v>
      </c>
      <c r="S380" s="824">
        <v>7.8362299999999996</v>
      </c>
      <c r="T380" s="824">
        <v>29</v>
      </c>
      <c r="U380" s="824">
        <v>1</v>
      </c>
      <c r="V380" s="824">
        <v>6</v>
      </c>
      <c r="W380" s="824">
        <v>18</v>
      </c>
      <c r="X380" s="824">
        <v>11</v>
      </c>
      <c r="Y380" s="824">
        <v>3</v>
      </c>
      <c r="Z380" s="480" t="str">
        <f t="shared" si="5"/>
        <v/>
      </c>
    </row>
    <row r="381" spans="1:26">
      <c r="A381" s="825" t="s">
        <v>762</v>
      </c>
      <c r="B381" s="826">
        <v>13680</v>
      </c>
      <c r="C381" s="827"/>
      <c r="D381" s="828">
        <v>11.58385</v>
      </c>
      <c r="E381" s="828">
        <v>7.1848999999999998</v>
      </c>
      <c r="F381" s="828">
        <v>51.622770000000003</v>
      </c>
      <c r="G381" s="828">
        <v>27</v>
      </c>
      <c r="H381" s="828">
        <v>1</v>
      </c>
      <c r="I381" s="828">
        <v>5</v>
      </c>
      <c r="J381" s="828">
        <v>17</v>
      </c>
      <c r="K381" s="828">
        <v>11</v>
      </c>
      <c r="L381" s="828">
        <v>3</v>
      </c>
      <c r="N381" s="222" t="s">
        <v>762</v>
      </c>
      <c r="O381" s="222" t="s">
        <v>2106</v>
      </c>
      <c r="P381" s="824">
        <v>13680</v>
      </c>
      <c r="Q381" s="824">
        <v>11.58385</v>
      </c>
      <c r="R381" s="824">
        <v>51.622770000000003</v>
      </c>
      <c r="S381" s="824">
        <v>7.1848999999999998</v>
      </c>
      <c r="T381" s="824">
        <v>27</v>
      </c>
      <c r="U381" s="824">
        <v>1</v>
      </c>
      <c r="V381" s="824">
        <v>5</v>
      </c>
      <c r="W381" s="824">
        <v>17</v>
      </c>
      <c r="X381" s="824">
        <v>11</v>
      </c>
      <c r="Y381" s="824">
        <v>3</v>
      </c>
      <c r="Z381" s="480" t="str">
        <f t="shared" si="5"/>
        <v/>
      </c>
    </row>
    <row r="382" spans="1:26">
      <c r="A382" s="825" t="s">
        <v>763</v>
      </c>
      <c r="B382" s="826">
        <v>99</v>
      </c>
      <c r="C382" s="827"/>
      <c r="D382" s="828">
        <v>13.77778</v>
      </c>
      <c r="E382" s="828">
        <v>9.1054499999999994</v>
      </c>
      <c r="F382" s="828">
        <v>82.909300000000002</v>
      </c>
      <c r="G382" s="828">
        <v>31</v>
      </c>
      <c r="H382" s="828">
        <v>1</v>
      </c>
      <c r="I382" s="828">
        <v>5</v>
      </c>
      <c r="J382" s="828">
        <v>22</v>
      </c>
      <c r="K382" s="828">
        <v>13</v>
      </c>
      <c r="L382" s="828">
        <v>3</v>
      </c>
      <c r="N382" s="222" t="s">
        <v>763</v>
      </c>
      <c r="O382" s="222" t="s">
        <v>764</v>
      </c>
      <c r="P382" s="824">
        <v>99</v>
      </c>
      <c r="Q382" s="824">
        <v>13.77778</v>
      </c>
      <c r="R382" s="824">
        <v>82.909300000000002</v>
      </c>
      <c r="S382" s="824">
        <v>9.1054499999999994</v>
      </c>
      <c r="T382" s="824">
        <v>31</v>
      </c>
      <c r="U382" s="824">
        <v>1</v>
      </c>
      <c r="V382" s="824">
        <v>5</v>
      </c>
      <c r="W382" s="824">
        <v>22</v>
      </c>
      <c r="X382" s="824">
        <v>13</v>
      </c>
      <c r="Y382" s="824">
        <v>3</v>
      </c>
      <c r="Z382" s="480" t="str">
        <f t="shared" si="5"/>
        <v/>
      </c>
    </row>
    <row r="383" spans="1:26">
      <c r="A383" s="825" t="s">
        <v>765</v>
      </c>
      <c r="B383" s="826">
        <v>26302</v>
      </c>
      <c r="C383" s="827"/>
      <c r="D383" s="828">
        <v>11.00863</v>
      </c>
      <c r="E383" s="828">
        <v>6.80654</v>
      </c>
      <c r="F383" s="828">
        <v>46.328919999999997</v>
      </c>
      <c r="G383" s="828">
        <v>26</v>
      </c>
      <c r="H383" s="828">
        <v>1</v>
      </c>
      <c r="I383" s="828">
        <v>5</v>
      </c>
      <c r="J383" s="828">
        <v>16</v>
      </c>
      <c r="K383" s="828">
        <v>10</v>
      </c>
      <c r="L383" s="828">
        <v>3</v>
      </c>
      <c r="N383" s="222" t="s">
        <v>765</v>
      </c>
      <c r="O383" s="222" t="s">
        <v>2107</v>
      </c>
      <c r="P383" s="824">
        <v>26302</v>
      </c>
      <c r="Q383" s="824">
        <v>11.00863</v>
      </c>
      <c r="R383" s="824">
        <v>46.328919999999997</v>
      </c>
      <c r="S383" s="824">
        <v>6.80654</v>
      </c>
      <c r="T383" s="824">
        <v>26</v>
      </c>
      <c r="U383" s="824">
        <v>1</v>
      </c>
      <c r="V383" s="824">
        <v>5</v>
      </c>
      <c r="W383" s="824">
        <v>16</v>
      </c>
      <c r="X383" s="824">
        <v>10</v>
      </c>
      <c r="Y383" s="824">
        <v>3</v>
      </c>
      <c r="Z383" s="480" t="str">
        <f t="shared" si="5"/>
        <v/>
      </c>
    </row>
    <row r="384" spans="1:26">
      <c r="A384" s="825" t="s">
        <v>766</v>
      </c>
      <c r="B384" s="826">
        <v>21166</v>
      </c>
      <c r="C384" s="827"/>
      <c r="D384" s="828">
        <v>10.23302</v>
      </c>
      <c r="E384" s="828">
        <v>6.5995499999999998</v>
      </c>
      <c r="F384" s="828">
        <v>43.554020000000001</v>
      </c>
      <c r="G384" s="828">
        <v>25</v>
      </c>
      <c r="H384" s="828">
        <v>1</v>
      </c>
      <c r="I384" s="828">
        <v>5</v>
      </c>
      <c r="J384" s="828">
        <v>15</v>
      </c>
      <c r="K384" s="828">
        <v>9</v>
      </c>
      <c r="L384" s="828">
        <v>3</v>
      </c>
      <c r="N384" s="222" t="s">
        <v>766</v>
      </c>
      <c r="O384" s="222" t="s">
        <v>2108</v>
      </c>
      <c r="P384" s="824">
        <v>21166</v>
      </c>
      <c r="Q384" s="824">
        <v>10.23302</v>
      </c>
      <c r="R384" s="824">
        <v>43.554020000000001</v>
      </c>
      <c r="S384" s="824">
        <v>6.5995499999999998</v>
      </c>
      <c r="T384" s="824">
        <v>25</v>
      </c>
      <c r="U384" s="824">
        <v>1</v>
      </c>
      <c r="V384" s="824">
        <v>5</v>
      </c>
      <c r="W384" s="824">
        <v>15</v>
      </c>
      <c r="X384" s="824">
        <v>9</v>
      </c>
      <c r="Y384" s="824">
        <v>3</v>
      </c>
      <c r="Z384" s="480" t="str">
        <f t="shared" si="5"/>
        <v/>
      </c>
    </row>
    <row r="385" spans="1:26">
      <c r="A385" s="825" t="s">
        <v>767</v>
      </c>
      <c r="B385" s="826">
        <v>2999</v>
      </c>
      <c r="C385" s="827"/>
      <c r="D385" s="828">
        <v>12.58986</v>
      </c>
      <c r="E385" s="828">
        <v>7.7238300000000004</v>
      </c>
      <c r="F385" s="828">
        <v>59.657620000000001</v>
      </c>
      <c r="G385" s="828">
        <v>29</v>
      </c>
      <c r="H385" s="828">
        <v>1</v>
      </c>
      <c r="I385" s="828">
        <v>6</v>
      </c>
      <c r="J385" s="828">
        <v>18</v>
      </c>
      <c r="K385" s="828">
        <v>12</v>
      </c>
      <c r="L385" s="828">
        <v>5</v>
      </c>
      <c r="N385" s="222" t="s">
        <v>767</v>
      </c>
      <c r="O385" s="222" t="s">
        <v>2109</v>
      </c>
      <c r="P385" s="824">
        <v>2999</v>
      </c>
      <c r="Q385" s="824">
        <v>12.58986</v>
      </c>
      <c r="R385" s="824">
        <v>59.657620000000001</v>
      </c>
      <c r="S385" s="824">
        <v>7.7238300000000004</v>
      </c>
      <c r="T385" s="824">
        <v>29</v>
      </c>
      <c r="U385" s="824">
        <v>1</v>
      </c>
      <c r="V385" s="824">
        <v>6</v>
      </c>
      <c r="W385" s="824">
        <v>18</v>
      </c>
      <c r="X385" s="824">
        <v>12</v>
      </c>
      <c r="Y385" s="824">
        <v>5</v>
      </c>
      <c r="Z385" s="480" t="str">
        <f t="shared" si="5"/>
        <v/>
      </c>
    </row>
    <row r="386" spans="1:26">
      <c r="A386" s="825" t="s">
        <v>768</v>
      </c>
      <c r="B386" s="826">
        <v>6448</v>
      </c>
      <c r="C386" s="827"/>
      <c r="D386" s="828">
        <v>12.08328</v>
      </c>
      <c r="E386" s="828">
        <v>7.6792600000000002</v>
      </c>
      <c r="F386" s="828">
        <v>58.971040000000002</v>
      </c>
      <c r="G386" s="828">
        <v>29</v>
      </c>
      <c r="H386" s="828">
        <v>1</v>
      </c>
      <c r="I386" s="828">
        <v>6</v>
      </c>
      <c r="J386" s="828">
        <v>18</v>
      </c>
      <c r="K386" s="828">
        <v>11</v>
      </c>
      <c r="L386" s="828">
        <v>3</v>
      </c>
      <c r="N386" s="222" t="s">
        <v>768</v>
      </c>
      <c r="O386" s="222" t="s">
        <v>2110</v>
      </c>
      <c r="P386" s="824">
        <v>6448</v>
      </c>
      <c r="Q386" s="824">
        <v>12.08328</v>
      </c>
      <c r="R386" s="824">
        <v>58.971040000000002</v>
      </c>
      <c r="S386" s="824">
        <v>7.6792600000000002</v>
      </c>
      <c r="T386" s="824">
        <v>29</v>
      </c>
      <c r="U386" s="824">
        <v>1</v>
      </c>
      <c r="V386" s="824">
        <v>6</v>
      </c>
      <c r="W386" s="824">
        <v>18</v>
      </c>
      <c r="X386" s="824">
        <v>11</v>
      </c>
      <c r="Y386" s="824">
        <v>3</v>
      </c>
      <c r="Z386" s="480" t="str">
        <f t="shared" si="5"/>
        <v/>
      </c>
    </row>
    <row r="387" spans="1:26">
      <c r="A387" s="825" t="s">
        <v>769</v>
      </c>
      <c r="B387" s="826">
        <v>9867</v>
      </c>
      <c r="C387" s="827"/>
      <c r="D387" s="828">
        <v>11.09496</v>
      </c>
      <c r="E387" s="828">
        <v>6.8320299999999996</v>
      </c>
      <c r="F387" s="828">
        <v>46.676670000000001</v>
      </c>
      <c r="G387" s="828">
        <v>26</v>
      </c>
      <c r="H387" s="828">
        <v>1</v>
      </c>
      <c r="I387" s="828">
        <v>5</v>
      </c>
      <c r="J387" s="828">
        <v>16</v>
      </c>
      <c r="K387" s="828">
        <v>10</v>
      </c>
      <c r="L387" s="828">
        <v>3</v>
      </c>
      <c r="N387" s="222" t="s">
        <v>769</v>
      </c>
      <c r="O387" s="222" t="s">
        <v>2111</v>
      </c>
      <c r="P387" s="824">
        <v>9867</v>
      </c>
      <c r="Q387" s="824">
        <v>11.09496</v>
      </c>
      <c r="R387" s="824">
        <v>46.676670000000001</v>
      </c>
      <c r="S387" s="824">
        <v>6.8320299999999996</v>
      </c>
      <c r="T387" s="824">
        <v>26</v>
      </c>
      <c r="U387" s="824">
        <v>1</v>
      </c>
      <c r="V387" s="824">
        <v>5</v>
      </c>
      <c r="W387" s="824">
        <v>16</v>
      </c>
      <c r="X387" s="824">
        <v>10</v>
      </c>
      <c r="Y387" s="824">
        <v>3</v>
      </c>
      <c r="Z387" s="480" t="str">
        <f t="shared" si="5"/>
        <v/>
      </c>
    </row>
    <row r="388" spans="1:26">
      <c r="A388" s="825" t="s">
        <v>770</v>
      </c>
      <c r="B388" s="826">
        <v>4837</v>
      </c>
      <c r="C388" s="827"/>
      <c r="D388" s="828">
        <v>10.88278</v>
      </c>
      <c r="E388" s="828">
        <v>6.9930300000000001</v>
      </c>
      <c r="F388" s="828">
        <v>48.902509999999999</v>
      </c>
      <c r="G388" s="828">
        <v>27</v>
      </c>
      <c r="H388" s="828">
        <v>1</v>
      </c>
      <c r="I388" s="828">
        <v>5</v>
      </c>
      <c r="J388" s="828">
        <v>16</v>
      </c>
      <c r="K388" s="828">
        <v>10</v>
      </c>
      <c r="L388" s="828">
        <v>2</v>
      </c>
      <c r="N388" s="222" t="s">
        <v>770</v>
      </c>
      <c r="O388" s="222" t="s">
        <v>2112</v>
      </c>
      <c r="P388" s="824">
        <v>4837</v>
      </c>
      <c r="Q388" s="824">
        <v>10.88278</v>
      </c>
      <c r="R388" s="824">
        <v>48.902509999999999</v>
      </c>
      <c r="S388" s="824">
        <v>6.9930300000000001</v>
      </c>
      <c r="T388" s="824">
        <v>27</v>
      </c>
      <c r="U388" s="824">
        <v>1</v>
      </c>
      <c r="V388" s="824">
        <v>5</v>
      </c>
      <c r="W388" s="824">
        <v>16</v>
      </c>
      <c r="X388" s="824">
        <v>10</v>
      </c>
      <c r="Y388" s="824">
        <v>2</v>
      </c>
      <c r="Z388" s="480" t="str">
        <f t="shared" ref="Z388:Z451" si="6">IF(AND(A388=N388,B388=P388,D388=Q388,E388=S388,F388=R388,G388=T388,H388=U388,I388=V388,J388=W388,K388,X388,L388=Y388),"","x")</f>
        <v/>
      </c>
    </row>
    <row r="389" spans="1:26">
      <c r="A389" s="825" t="s">
        <v>771</v>
      </c>
      <c r="B389" s="826">
        <v>81888</v>
      </c>
      <c r="C389" s="827"/>
      <c r="D389" s="828">
        <v>12.3268</v>
      </c>
      <c r="E389" s="828">
        <v>7.6609100000000003</v>
      </c>
      <c r="F389" s="828">
        <v>58.689480000000003</v>
      </c>
      <c r="G389" s="828">
        <v>29</v>
      </c>
      <c r="H389" s="828">
        <v>1</v>
      </c>
      <c r="I389" s="828">
        <v>6</v>
      </c>
      <c r="J389" s="828">
        <v>18</v>
      </c>
      <c r="K389" s="828">
        <v>11</v>
      </c>
      <c r="L389" s="828">
        <v>3</v>
      </c>
      <c r="N389" s="222" t="s">
        <v>771</v>
      </c>
      <c r="O389" s="222" t="s">
        <v>2113</v>
      </c>
      <c r="P389" s="824">
        <v>81888</v>
      </c>
      <c r="Q389" s="824">
        <v>12.3268</v>
      </c>
      <c r="R389" s="824">
        <v>58.689480000000003</v>
      </c>
      <c r="S389" s="824">
        <v>7.6609100000000003</v>
      </c>
      <c r="T389" s="824">
        <v>29</v>
      </c>
      <c r="U389" s="824">
        <v>1</v>
      </c>
      <c r="V389" s="824">
        <v>6</v>
      </c>
      <c r="W389" s="824">
        <v>18</v>
      </c>
      <c r="X389" s="824">
        <v>11</v>
      </c>
      <c r="Y389" s="824">
        <v>3</v>
      </c>
      <c r="Z389" s="480" t="str">
        <f t="shared" si="6"/>
        <v/>
      </c>
    </row>
    <row r="390" spans="1:26">
      <c r="A390" s="825" t="s">
        <v>772</v>
      </c>
      <c r="B390" s="826">
        <v>24262</v>
      </c>
      <c r="C390" s="827"/>
      <c r="D390" s="828">
        <v>12.95994</v>
      </c>
      <c r="E390" s="828">
        <v>7.8448599999999997</v>
      </c>
      <c r="F390" s="828">
        <v>61.541780000000003</v>
      </c>
      <c r="G390" s="828">
        <v>30</v>
      </c>
      <c r="H390" s="828">
        <v>1</v>
      </c>
      <c r="I390" s="828">
        <v>6</v>
      </c>
      <c r="J390" s="828">
        <v>19</v>
      </c>
      <c r="K390" s="828">
        <v>12</v>
      </c>
      <c r="L390" s="828">
        <v>4</v>
      </c>
      <c r="N390" s="222" t="s">
        <v>772</v>
      </c>
      <c r="O390" s="222" t="s">
        <v>2114</v>
      </c>
      <c r="P390" s="824">
        <v>24262</v>
      </c>
      <c r="Q390" s="824">
        <v>12.95994</v>
      </c>
      <c r="R390" s="824">
        <v>61.541780000000003</v>
      </c>
      <c r="S390" s="824">
        <v>7.8448599999999997</v>
      </c>
      <c r="T390" s="824">
        <v>30</v>
      </c>
      <c r="U390" s="824">
        <v>1</v>
      </c>
      <c r="V390" s="824">
        <v>6</v>
      </c>
      <c r="W390" s="824">
        <v>19</v>
      </c>
      <c r="X390" s="824">
        <v>12</v>
      </c>
      <c r="Y390" s="824">
        <v>4</v>
      </c>
      <c r="Z390" s="480" t="str">
        <f t="shared" si="6"/>
        <v/>
      </c>
    </row>
    <row r="391" spans="1:26">
      <c r="A391" s="825" t="s">
        <v>773</v>
      </c>
      <c r="B391" s="826">
        <v>26308</v>
      </c>
      <c r="C391" s="827"/>
      <c r="D391" s="828">
        <v>11.49475</v>
      </c>
      <c r="E391" s="828">
        <v>7.4075899999999999</v>
      </c>
      <c r="F391" s="828">
        <v>54.872329999999998</v>
      </c>
      <c r="G391" s="828">
        <v>28</v>
      </c>
      <c r="H391" s="828">
        <v>1</v>
      </c>
      <c r="I391" s="828">
        <v>5</v>
      </c>
      <c r="J391" s="828">
        <v>17</v>
      </c>
      <c r="K391" s="828">
        <v>10</v>
      </c>
      <c r="L391" s="828">
        <v>2</v>
      </c>
      <c r="N391" s="222" t="s">
        <v>773</v>
      </c>
      <c r="O391" s="222" t="s">
        <v>2115</v>
      </c>
      <c r="P391" s="824">
        <v>26308</v>
      </c>
      <c r="Q391" s="824">
        <v>11.49475</v>
      </c>
      <c r="R391" s="824">
        <v>54.872329999999998</v>
      </c>
      <c r="S391" s="824">
        <v>7.4075899999999999</v>
      </c>
      <c r="T391" s="824">
        <v>28</v>
      </c>
      <c r="U391" s="824">
        <v>1</v>
      </c>
      <c r="V391" s="824">
        <v>5</v>
      </c>
      <c r="W391" s="824">
        <v>17</v>
      </c>
      <c r="X391" s="824">
        <v>10</v>
      </c>
      <c r="Y391" s="824">
        <v>2</v>
      </c>
      <c r="Z391" s="480" t="str">
        <f t="shared" si="6"/>
        <v/>
      </c>
    </row>
    <row r="392" spans="1:26">
      <c r="A392" s="825" t="s">
        <v>774</v>
      </c>
      <c r="B392" s="826">
        <v>25595</v>
      </c>
      <c r="C392" s="827"/>
      <c r="D392" s="828">
        <v>11.28654</v>
      </c>
      <c r="E392" s="828">
        <v>6.7777399999999997</v>
      </c>
      <c r="F392" s="828">
        <v>45.937739999999998</v>
      </c>
      <c r="G392" s="828">
        <v>27</v>
      </c>
      <c r="H392" s="828">
        <v>1</v>
      </c>
      <c r="I392" s="828">
        <v>6</v>
      </c>
      <c r="J392" s="828">
        <v>16</v>
      </c>
      <c r="K392" s="828">
        <v>11</v>
      </c>
      <c r="L392" s="828">
        <v>3</v>
      </c>
      <c r="N392" s="222" t="s">
        <v>774</v>
      </c>
      <c r="O392" s="222" t="s">
        <v>2116</v>
      </c>
      <c r="P392" s="824">
        <v>25595</v>
      </c>
      <c r="Q392" s="824">
        <v>11.28654</v>
      </c>
      <c r="R392" s="824">
        <v>45.937739999999998</v>
      </c>
      <c r="S392" s="824">
        <v>6.7777399999999997</v>
      </c>
      <c r="T392" s="824">
        <v>27</v>
      </c>
      <c r="U392" s="824">
        <v>1</v>
      </c>
      <c r="V392" s="824">
        <v>6</v>
      </c>
      <c r="W392" s="824">
        <v>16</v>
      </c>
      <c r="X392" s="824">
        <v>11</v>
      </c>
      <c r="Y392" s="824">
        <v>3</v>
      </c>
      <c r="Z392" s="480" t="str">
        <f t="shared" si="6"/>
        <v/>
      </c>
    </row>
    <row r="393" spans="1:26">
      <c r="A393" s="825" t="s">
        <v>775</v>
      </c>
      <c r="B393" s="826">
        <v>18569</v>
      </c>
      <c r="C393" s="827"/>
      <c r="D393" s="828">
        <v>12.15461</v>
      </c>
      <c r="E393" s="828">
        <v>7.72689</v>
      </c>
      <c r="F393" s="828">
        <v>59.704819999999998</v>
      </c>
      <c r="G393" s="828">
        <v>29</v>
      </c>
      <c r="H393" s="828">
        <v>1</v>
      </c>
      <c r="I393" s="828">
        <v>6</v>
      </c>
      <c r="J393" s="828">
        <v>18</v>
      </c>
      <c r="K393" s="828">
        <v>11</v>
      </c>
      <c r="L393" s="828">
        <v>3</v>
      </c>
      <c r="N393" s="222" t="s">
        <v>775</v>
      </c>
      <c r="O393" s="222" t="s">
        <v>2117</v>
      </c>
      <c r="P393" s="824">
        <v>18569</v>
      </c>
      <c r="Q393" s="824">
        <v>12.15461</v>
      </c>
      <c r="R393" s="824">
        <v>59.704819999999998</v>
      </c>
      <c r="S393" s="824">
        <v>7.72689</v>
      </c>
      <c r="T393" s="824">
        <v>29</v>
      </c>
      <c r="U393" s="824">
        <v>1</v>
      </c>
      <c r="V393" s="824">
        <v>6</v>
      </c>
      <c r="W393" s="824">
        <v>18</v>
      </c>
      <c r="X393" s="824">
        <v>11</v>
      </c>
      <c r="Y393" s="824">
        <v>3</v>
      </c>
      <c r="Z393" s="480" t="str">
        <f t="shared" si="6"/>
        <v/>
      </c>
    </row>
    <row r="394" spans="1:26">
      <c r="A394" s="825" t="s">
        <v>776</v>
      </c>
      <c r="B394" s="826">
        <v>42333</v>
      </c>
      <c r="C394" s="827"/>
      <c r="D394" s="828">
        <v>12.33676</v>
      </c>
      <c r="E394" s="828">
        <v>7.66615</v>
      </c>
      <c r="F394" s="828">
        <v>58.769889999999997</v>
      </c>
      <c r="G394" s="828">
        <v>29</v>
      </c>
      <c r="H394" s="828">
        <v>1</v>
      </c>
      <c r="I394" s="828">
        <v>6</v>
      </c>
      <c r="J394" s="828">
        <v>18</v>
      </c>
      <c r="K394" s="828">
        <v>11</v>
      </c>
      <c r="L394" s="828">
        <v>4</v>
      </c>
      <c r="N394" s="222" t="s">
        <v>776</v>
      </c>
      <c r="O394" s="222" t="s">
        <v>2118</v>
      </c>
      <c r="P394" s="824">
        <v>42333</v>
      </c>
      <c r="Q394" s="824">
        <v>12.33676</v>
      </c>
      <c r="R394" s="824">
        <v>58.769889999999997</v>
      </c>
      <c r="S394" s="824">
        <v>7.66615</v>
      </c>
      <c r="T394" s="824">
        <v>29</v>
      </c>
      <c r="U394" s="824">
        <v>1</v>
      </c>
      <c r="V394" s="824">
        <v>6</v>
      </c>
      <c r="W394" s="824">
        <v>18</v>
      </c>
      <c r="X394" s="824">
        <v>11</v>
      </c>
      <c r="Y394" s="824">
        <v>4</v>
      </c>
      <c r="Z394" s="480" t="str">
        <f t="shared" si="6"/>
        <v/>
      </c>
    </row>
    <row r="395" spans="1:26">
      <c r="A395" s="825" t="s">
        <v>777</v>
      </c>
      <c r="B395" s="826">
        <v>42715</v>
      </c>
      <c r="C395" s="827"/>
      <c r="D395" s="828">
        <v>10.26972</v>
      </c>
      <c r="E395" s="828">
        <v>6.8175299999999996</v>
      </c>
      <c r="F395" s="828">
        <v>46.47871</v>
      </c>
      <c r="G395" s="828">
        <v>26</v>
      </c>
      <c r="H395" s="828">
        <v>1</v>
      </c>
      <c r="I395" s="828">
        <v>4</v>
      </c>
      <c r="J395" s="828">
        <v>15</v>
      </c>
      <c r="K395" s="828">
        <v>9</v>
      </c>
      <c r="L395" s="828">
        <v>3</v>
      </c>
      <c r="N395" s="222" t="s">
        <v>777</v>
      </c>
      <c r="O395" s="222" t="s">
        <v>778</v>
      </c>
      <c r="P395" s="824">
        <v>42715</v>
      </c>
      <c r="Q395" s="824">
        <v>10.26972</v>
      </c>
      <c r="R395" s="824">
        <v>46.47871</v>
      </c>
      <c r="S395" s="824">
        <v>6.8175299999999996</v>
      </c>
      <c r="T395" s="824">
        <v>26</v>
      </c>
      <c r="U395" s="824">
        <v>1</v>
      </c>
      <c r="V395" s="824">
        <v>4</v>
      </c>
      <c r="W395" s="824">
        <v>15</v>
      </c>
      <c r="X395" s="824">
        <v>9</v>
      </c>
      <c r="Y395" s="824">
        <v>3</v>
      </c>
      <c r="Z395" s="480" t="str">
        <f t="shared" si="6"/>
        <v/>
      </c>
    </row>
    <row r="396" spans="1:26">
      <c r="A396" s="825" t="s">
        <v>779</v>
      </c>
      <c r="B396" s="826">
        <v>15089</v>
      </c>
      <c r="C396" s="827"/>
      <c r="D396" s="828">
        <v>12.544969999999999</v>
      </c>
      <c r="E396" s="828">
        <v>7.6735100000000003</v>
      </c>
      <c r="F396" s="828">
        <v>58.882800000000003</v>
      </c>
      <c r="G396" s="828">
        <v>30</v>
      </c>
      <c r="H396" s="828">
        <v>1</v>
      </c>
      <c r="I396" s="828">
        <v>6</v>
      </c>
      <c r="J396" s="828">
        <v>18</v>
      </c>
      <c r="K396" s="828">
        <v>11</v>
      </c>
      <c r="L396" s="828">
        <v>6</v>
      </c>
      <c r="N396" s="222" t="s">
        <v>779</v>
      </c>
      <c r="O396" s="222" t="s">
        <v>2119</v>
      </c>
      <c r="P396" s="824">
        <v>15089</v>
      </c>
      <c r="Q396" s="824">
        <v>12.544969999999999</v>
      </c>
      <c r="R396" s="824">
        <v>58.882800000000003</v>
      </c>
      <c r="S396" s="824">
        <v>7.6735100000000003</v>
      </c>
      <c r="T396" s="824">
        <v>30</v>
      </c>
      <c r="U396" s="824">
        <v>1</v>
      </c>
      <c r="V396" s="824">
        <v>6</v>
      </c>
      <c r="W396" s="824">
        <v>18</v>
      </c>
      <c r="X396" s="824">
        <v>11</v>
      </c>
      <c r="Y396" s="824">
        <v>6</v>
      </c>
      <c r="Z396" s="480" t="str">
        <f t="shared" si="6"/>
        <v/>
      </c>
    </row>
    <row r="397" spans="1:26">
      <c r="A397" s="825" t="s">
        <v>780</v>
      </c>
      <c r="B397" s="826">
        <v>18396</v>
      </c>
      <c r="C397" s="827"/>
      <c r="D397" s="828">
        <v>10.806319999999999</v>
      </c>
      <c r="E397" s="828">
        <v>7.6150900000000004</v>
      </c>
      <c r="F397" s="828">
        <v>57.989609999999999</v>
      </c>
      <c r="G397" s="828">
        <v>29</v>
      </c>
      <c r="H397" s="828">
        <v>1</v>
      </c>
      <c r="I397" s="828">
        <v>4</v>
      </c>
      <c r="J397" s="828">
        <v>16</v>
      </c>
      <c r="K397" s="828">
        <v>9</v>
      </c>
      <c r="L397" s="828">
        <v>2</v>
      </c>
      <c r="N397" s="222" t="s">
        <v>780</v>
      </c>
      <c r="O397" s="222" t="s">
        <v>781</v>
      </c>
      <c r="P397" s="824">
        <v>18396</v>
      </c>
      <c r="Q397" s="824">
        <v>10.806319999999999</v>
      </c>
      <c r="R397" s="824">
        <v>57.989609999999999</v>
      </c>
      <c r="S397" s="824">
        <v>7.6150900000000004</v>
      </c>
      <c r="T397" s="824">
        <v>29</v>
      </c>
      <c r="U397" s="824">
        <v>1</v>
      </c>
      <c r="V397" s="824">
        <v>4</v>
      </c>
      <c r="W397" s="824">
        <v>16</v>
      </c>
      <c r="X397" s="824">
        <v>9</v>
      </c>
      <c r="Y397" s="824">
        <v>2</v>
      </c>
      <c r="Z397" s="480" t="str">
        <f t="shared" si="6"/>
        <v/>
      </c>
    </row>
    <row r="398" spans="1:26">
      <c r="A398" s="825" t="s">
        <v>782</v>
      </c>
      <c r="B398" s="826">
        <v>13881</v>
      </c>
      <c r="C398" s="827"/>
      <c r="D398" s="828">
        <v>10.33938</v>
      </c>
      <c r="E398" s="828">
        <v>6.9016299999999999</v>
      </c>
      <c r="F398" s="828">
        <v>47.632429999999999</v>
      </c>
      <c r="G398" s="828">
        <v>26</v>
      </c>
      <c r="H398" s="828">
        <v>1</v>
      </c>
      <c r="I398" s="828">
        <v>4</v>
      </c>
      <c r="J398" s="828">
        <v>15</v>
      </c>
      <c r="K398" s="828">
        <v>9</v>
      </c>
      <c r="L398" s="828">
        <v>3</v>
      </c>
      <c r="N398" s="222" t="s">
        <v>782</v>
      </c>
      <c r="O398" s="222" t="s">
        <v>2120</v>
      </c>
      <c r="P398" s="824">
        <v>13881</v>
      </c>
      <c r="Q398" s="824">
        <v>10.33938</v>
      </c>
      <c r="R398" s="824">
        <v>47.632429999999999</v>
      </c>
      <c r="S398" s="824">
        <v>6.9016299999999999</v>
      </c>
      <c r="T398" s="824">
        <v>26</v>
      </c>
      <c r="U398" s="824">
        <v>1</v>
      </c>
      <c r="V398" s="824">
        <v>4</v>
      </c>
      <c r="W398" s="824">
        <v>15</v>
      </c>
      <c r="X398" s="824">
        <v>9</v>
      </c>
      <c r="Y398" s="824">
        <v>3</v>
      </c>
      <c r="Z398" s="480" t="str">
        <f t="shared" si="6"/>
        <v/>
      </c>
    </row>
    <row r="399" spans="1:26">
      <c r="A399" s="825" t="s">
        <v>783</v>
      </c>
      <c r="B399" s="826">
        <v>1883</v>
      </c>
      <c r="C399" s="827"/>
      <c r="D399" s="828">
        <v>11.557090000000001</v>
      </c>
      <c r="E399" s="828">
        <v>6.8485399999999998</v>
      </c>
      <c r="F399" s="828">
        <v>46.902560000000001</v>
      </c>
      <c r="G399" s="828">
        <v>26</v>
      </c>
      <c r="H399" s="828">
        <v>1</v>
      </c>
      <c r="I399" s="828">
        <v>6</v>
      </c>
      <c r="J399" s="828">
        <v>17</v>
      </c>
      <c r="K399" s="828">
        <v>11</v>
      </c>
      <c r="L399" s="828">
        <v>4</v>
      </c>
      <c r="N399" s="222" t="s">
        <v>783</v>
      </c>
      <c r="O399" s="222" t="s">
        <v>2121</v>
      </c>
      <c r="P399" s="824">
        <v>1883</v>
      </c>
      <c r="Q399" s="824">
        <v>11.557090000000001</v>
      </c>
      <c r="R399" s="824">
        <v>46.902560000000001</v>
      </c>
      <c r="S399" s="824">
        <v>6.8485399999999998</v>
      </c>
      <c r="T399" s="824">
        <v>26</v>
      </c>
      <c r="U399" s="824">
        <v>1</v>
      </c>
      <c r="V399" s="824">
        <v>6</v>
      </c>
      <c r="W399" s="824">
        <v>17</v>
      </c>
      <c r="X399" s="824">
        <v>11</v>
      </c>
      <c r="Y399" s="824">
        <v>4</v>
      </c>
      <c r="Z399" s="480" t="str">
        <f t="shared" si="6"/>
        <v/>
      </c>
    </row>
    <row r="400" spans="1:26">
      <c r="A400" s="825" t="s">
        <v>784</v>
      </c>
      <c r="B400" s="826">
        <v>42141</v>
      </c>
      <c r="C400" s="827"/>
      <c r="D400" s="828">
        <v>11.21561</v>
      </c>
      <c r="E400" s="828">
        <v>7.12216</v>
      </c>
      <c r="F400" s="828">
        <v>50.725180000000002</v>
      </c>
      <c r="G400" s="828">
        <v>27</v>
      </c>
      <c r="H400" s="828">
        <v>1</v>
      </c>
      <c r="I400" s="828">
        <v>5</v>
      </c>
      <c r="J400" s="828">
        <v>16</v>
      </c>
      <c r="K400" s="828">
        <v>10</v>
      </c>
      <c r="L400" s="828">
        <v>4</v>
      </c>
      <c r="N400" s="222" t="s">
        <v>784</v>
      </c>
      <c r="O400" s="222" t="s">
        <v>2122</v>
      </c>
      <c r="P400" s="824">
        <v>42141</v>
      </c>
      <c r="Q400" s="824">
        <v>11.21561</v>
      </c>
      <c r="R400" s="824">
        <v>50.725180000000002</v>
      </c>
      <c r="S400" s="824">
        <v>7.12216</v>
      </c>
      <c r="T400" s="824">
        <v>27</v>
      </c>
      <c r="U400" s="824">
        <v>1</v>
      </c>
      <c r="V400" s="824">
        <v>5</v>
      </c>
      <c r="W400" s="824">
        <v>16</v>
      </c>
      <c r="X400" s="824">
        <v>10</v>
      </c>
      <c r="Y400" s="824">
        <v>4</v>
      </c>
      <c r="Z400" s="480" t="str">
        <f t="shared" si="6"/>
        <v/>
      </c>
    </row>
    <row r="401" spans="1:26">
      <c r="A401" s="825" t="s">
        <v>785</v>
      </c>
      <c r="B401" s="826">
        <v>8001</v>
      </c>
      <c r="C401" s="827"/>
      <c r="D401" s="828">
        <v>13.229100000000001</v>
      </c>
      <c r="E401" s="828">
        <v>8.22424</v>
      </c>
      <c r="F401" s="828">
        <v>67.638130000000004</v>
      </c>
      <c r="G401" s="828">
        <v>31</v>
      </c>
      <c r="H401" s="828">
        <v>1</v>
      </c>
      <c r="I401" s="828">
        <v>6</v>
      </c>
      <c r="J401" s="828">
        <v>19</v>
      </c>
      <c r="K401" s="828">
        <v>12</v>
      </c>
      <c r="L401" s="828">
        <v>3</v>
      </c>
      <c r="N401" s="222" t="s">
        <v>785</v>
      </c>
      <c r="O401" s="222" t="s">
        <v>786</v>
      </c>
      <c r="P401" s="824">
        <v>8001</v>
      </c>
      <c r="Q401" s="824">
        <v>13.229100000000001</v>
      </c>
      <c r="R401" s="824">
        <v>67.638130000000004</v>
      </c>
      <c r="S401" s="824">
        <v>8.22424</v>
      </c>
      <c r="T401" s="824">
        <v>31</v>
      </c>
      <c r="U401" s="824">
        <v>1</v>
      </c>
      <c r="V401" s="824">
        <v>6</v>
      </c>
      <c r="W401" s="824">
        <v>19</v>
      </c>
      <c r="X401" s="824">
        <v>12</v>
      </c>
      <c r="Y401" s="824">
        <v>3</v>
      </c>
      <c r="Z401" s="480" t="str">
        <f t="shared" si="6"/>
        <v/>
      </c>
    </row>
    <row r="402" spans="1:26">
      <c r="A402" s="825" t="s">
        <v>787</v>
      </c>
      <c r="B402" s="826">
        <v>174008</v>
      </c>
      <c r="C402" s="827"/>
      <c r="D402" s="828">
        <v>10.551069999999999</v>
      </c>
      <c r="E402" s="828">
        <v>6.9044100000000004</v>
      </c>
      <c r="F402" s="828">
        <v>47.670879999999997</v>
      </c>
      <c r="G402" s="828">
        <v>26</v>
      </c>
      <c r="H402" s="828">
        <v>1</v>
      </c>
      <c r="I402" s="828">
        <v>5</v>
      </c>
      <c r="J402" s="828">
        <v>16</v>
      </c>
      <c r="K402" s="828">
        <v>9</v>
      </c>
      <c r="L402" s="828">
        <v>3</v>
      </c>
      <c r="N402" s="222" t="s">
        <v>787</v>
      </c>
      <c r="O402" s="222" t="s">
        <v>788</v>
      </c>
      <c r="P402" s="824">
        <v>174008</v>
      </c>
      <c r="Q402" s="824">
        <v>10.551069999999999</v>
      </c>
      <c r="R402" s="824">
        <v>47.670879999999997</v>
      </c>
      <c r="S402" s="824">
        <v>6.9044100000000004</v>
      </c>
      <c r="T402" s="824">
        <v>26</v>
      </c>
      <c r="U402" s="824">
        <v>1</v>
      </c>
      <c r="V402" s="824">
        <v>5</v>
      </c>
      <c r="W402" s="824">
        <v>16</v>
      </c>
      <c r="X402" s="824">
        <v>9</v>
      </c>
      <c r="Y402" s="824">
        <v>3</v>
      </c>
      <c r="Z402" s="480" t="str">
        <f t="shared" si="6"/>
        <v/>
      </c>
    </row>
    <row r="403" spans="1:26">
      <c r="A403" s="825" t="s">
        <v>789</v>
      </c>
      <c r="B403" s="826">
        <v>5417</v>
      </c>
      <c r="C403" s="827"/>
      <c r="D403" s="828">
        <v>10.81761</v>
      </c>
      <c r="E403" s="828">
        <v>6.9660500000000001</v>
      </c>
      <c r="F403" s="828">
        <v>48.52581</v>
      </c>
      <c r="G403" s="828">
        <v>26</v>
      </c>
      <c r="H403" s="828">
        <v>1</v>
      </c>
      <c r="I403" s="828">
        <v>5</v>
      </c>
      <c r="J403" s="828">
        <v>16</v>
      </c>
      <c r="K403" s="828">
        <v>9</v>
      </c>
      <c r="L403" s="828">
        <v>3</v>
      </c>
      <c r="N403" s="222" t="s">
        <v>789</v>
      </c>
      <c r="O403" s="222" t="s">
        <v>2123</v>
      </c>
      <c r="P403" s="824">
        <v>5417</v>
      </c>
      <c r="Q403" s="824">
        <v>10.81761</v>
      </c>
      <c r="R403" s="824">
        <v>48.52581</v>
      </c>
      <c r="S403" s="824">
        <v>6.9660500000000001</v>
      </c>
      <c r="T403" s="824">
        <v>26</v>
      </c>
      <c r="U403" s="824">
        <v>1</v>
      </c>
      <c r="V403" s="824">
        <v>5</v>
      </c>
      <c r="W403" s="824">
        <v>16</v>
      </c>
      <c r="X403" s="824">
        <v>9</v>
      </c>
      <c r="Y403" s="824">
        <v>3</v>
      </c>
      <c r="Z403" s="480" t="str">
        <f t="shared" si="6"/>
        <v/>
      </c>
    </row>
    <row r="404" spans="1:26">
      <c r="A404" s="825" t="s">
        <v>790</v>
      </c>
      <c r="B404" s="826">
        <v>6823</v>
      </c>
      <c r="C404" s="827"/>
      <c r="D404" s="828">
        <v>9.3048500000000001</v>
      </c>
      <c r="E404" s="828">
        <v>5.74716</v>
      </c>
      <c r="F404" s="828">
        <v>33.029890000000002</v>
      </c>
      <c r="G404" s="828">
        <v>22</v>
      </c>
      <c r="H404" s="828">
        <v>1</v>
      </c>
      <c r="I404" s="828">
        <v>4</v>
      </c>
      <c r="J404" s="828">
        <v>14</v>
      </c>
      <c r="K404" s="828">
        <v>8</v>
      </c>
      <c r="L404" s="828">
        <v>2</v>
      </c>
      <c r="N404" s="222" t="s">
        <v>790</v>
      </c>
      <c r="O404" s="222" t="s">
        <v>2124</v>
      </c>
      <c r="P404" s="824">
        <v>6823</v>
      </c>
      <c r="Q404" s="824">
        <v>9.3048500000000001</v>
      </c>
      <c r="R404" s="824">
        <v>33.029890000000002</v>
      </c>
      <c r="S404" s="824">
        <v>5.74716</v>
      </c>
      <c r="T404" s="824">
        <v>22</v>
      </c>
      <c r="U404" s="824">
        <v>1</v>
      </c>
      <c r="V404" s="824">
        <v>4</v>
      </c>
      <c r="W404" s="824">
        <v>14</v>
      </c>
      <c r="X404" s="824">
        <v>8</v>
      </c>
      <c r="Y404" s="824">
        <v>2</v>
      </c>
      <c r="Z404" s="480" t="str">
        <f t="shared" si="6"/>
        <v/>
      </c>
    </row>
    <row r="405" spans="1:26">
      <c r="A405" s="825" t="s">
        <v>791</v>
      </c>
      <c r="B405" s="826">
        <v>1256</v>
      </c>
      <c r="C405" s="827"/>
      <c r="D405" s="828">
        <v>11.35191</v>
      </c>
      <c r="E405" s="828">
        <v>6.9763700000000002</v>
      </c>
      <c r="F405" s="828">
        <v>48.669690000000003</v>
      </c>
      <c r="G405" s="828">
        <v>27</v>
      </c>
      <c r="H405" s="828">
        <v>1</v>
      </c>
      <c r="I405" s="828">
        <v>5</v>
      </c>
      <c r="J405" s="828">
        <v>17</v>
      </c>
      <c r="K405" s="828">
        <v>10</v>
      </c>
      <c r="L405" s="828">
        <v>7</v>
      </c>
      <c r="N405" s="222" t="s">
        <v>791</v>
      </c>
      <c r="O405" s="222" t="s">
        <v>2125</v>
      </c>
      <c r="P405" s="824">
        <v>1256</v>
      </c>
      <c r="Q405" s="824">
        <v>11.35191</v>
      </c>
      <c r="R405" s="824">
        <v>48.669690000000003</v>
      </c>
      <c r="S405" s="824">
        <v>6.9763700000000002</v>
      </c>
      <c r="T405" s="824">
        <v>27</v>
      </c>
      <c r="U405" s="824">
        <v>1</v>
      </c>
      <c r="V405" s="824">
        <v>5</v>
      </c>
      <c r="W405" s="824">
        <v>17</v>
      </c>
      <c r="X405" s="824">
        <v>10</v>
      </c>
      <c r="Y405" s="824">
        <v>7</v>
      </c>
      <c r="Z405" s="480" t="str">
        <f t="shared" si="6"/>
        <v/>
      </c>
    </row>
    <row r="406" spans="1:26">
      <c r="A406" s="825" t="s">
        <v>792</v>
      </c>
      <c r="B406" s="826">
        <v>7423</v>
      </c>
      <c r="C406" s="827"/>
      <c r="D406" s="828">
        <v>11.654590000000001</v>
      </c>
      <c r="E406" s="828">
        <v>7.3635299999999999</v>
      </c>
      <c r="F406" s="828">
        <v>54.221550000000001</v>
      </c>
      <c r="G406" s="828">
        <v>27</v>
      </c>
      <c r="H406" s="828">
        <v>1</v>
      </c>
      <c r="I406" s="828">
        <v>5</v>
      </c>
      <c r="J406" s="828">
        <v>17</v>
      </c>
      <c r="K406" s="828">
        <v>11</v>
      </c>
      <c r="L406" s="828">
        <v>2</v>
      </c>
      <c r="N406" s="222" t="s">
        <v>792</v>
      </c>
      <c r="O406" s="222" t="s">
        <v>2126</v>
      </c>
      <c r="P406" s="824">
        <v>7423</v>
      </c>
      <c r="Q406" s="824">
        <v>11.654590000000001</v>
      </c>
      <c r="R406" s="824">
        <v>54.221550000000001</v>
      </c>
      <c r="S406" s="824">
        <v>7.3635299999999999</v>
      </c>
      <c r="T406" s="824">
        <v>27</v>
      </c>
      <c r="U406" s="824">
        <v>1</v>
      </c>
      <c r="V406" s="824">
        <v>5</v>
      </c>
      <c r="W406" s="824">
        <v>17</v>
      </c>
      <c r="X406" s="824">
        <v>11</v>
      </c>
      <c r="Y406" s="824">
        <v>2</v>
      </c>
      <c r="Z406" s="480" t="str">
        <f t="shared" si="6"/>
        <v/>
      </c>
    </row>
    <row r="407" spans="1:26">
      <c r="A407" s="825" t="s">
        <v>793</v>
      </c>
      <c r="B407" s="826">
        <v>7581</v>
      </c>
      <c r="C407" s="827"/>
      <c r="D407" s="828">
        <v>12.35365</v>
      </c>
      <c r="E407" s="828">
        <v>7.70242</v>
      </c>
      <c r="F407" s="828">
        <v>59.327289999999998</v>
      </c>
      <c r="G407" s="828">
        <v>29</v>
      </c>
      <c r="H407" s="828">
        <v>1</v>
      </c>
      <c r="I407" s="828">
        <v>6</v>
      </c>
      <c r="J407" s="828">
        <v>18</v>
      </c>
      <c r="K407" s="828">
        <v>11</v>
      </c>
      <c r="L407" s="828">
        <v>3</v>
      </c>
      <c r="N407" s="222" t="s">
        <v>793</v>
      </c>
      <c r="O407" s="222" t="s">
        <v>794</v>
      </c>
      <c r="P407" s="824">
        <v>7581</v>
      </c>
      <c r="Q407" s="824">
        <v>12.35365</v>
      </c>
      <c r="R407" s="824">
        <v>59.327289999999998</v>
      </c>
      <c r="S407" s="824">
        <v>7.70242</v>
      </c>
      <c r="T407" s="824">
        <v>29</v>
      </c>
      <c r="U407" s="824">
        <v>1</v>
      </c>
      <c r="V407" s="824">
        <v>6</v>
      </c>
      <c r="W407" s="824">
        <v>18</v>
      </c>
      <c r="X407" s="824">
        <v>11</v>
      </c>
      <c r="Y407" s="824">
        <v>3</v>
      </c>
      <c r="Z407" s="480" t="str">
        <f t="shared" si="6"/>
        <v/>
      </c>
    </row>
    <row r="408" spans="1:26">
      <c r="A408" s="825" t="s">
        <v>795</v>
      </c>
      <c r="B408" s="826">
        <v>44041</v>
      </c>
      <c r="C408" s="827"/>
      <c r="D408" s="828">
        <v>10.48062</v>
      </c>
      <c r="E408" s="828">
        <v>6.9012799999999999</v>
      </c>
      <c r="F408" s="828">
        <v>47.627699999999997</v>
      </c>
      <c r="G408" s="828">
        <v>26</v>
      </c>
      <c r="H408" s="828">
        <v>1</v>
      </c>
      <c r="I408" s="828">
        <v>5</v>
      </c>
      <c r="J408" s="828">
        <v>15</v>
      </c>
      <c r="K408" s="828">
        <v>9</v>
      </c>
      <c r="L408" s="828">
        <v>2</v>
      </c>
      <c r="N408" s="222" t="s">
        <v>795</v>
      </c>
      <c r="O408" s="222" t="s">
        <v>2127</v>
      </c>
      <c r="P408" s="824">
        <v>44041</v>
      </c>
      <c r="Q408" s="824">
        <v>10.48062</v>
      </c>
      <c r="R408" s="824">
        <v>47.627699999999997</v>
      </c>
      <c r="S408" s="824">
        <v>6.9012799999999999</v>
      </c>
      <c r="T408" s="824">
        <v>26</v>
      </c>
      <c r="U408" s="824">
        <v>1</v>
      </c>
      <c r="V408" s="824">
        <v>5</v>
      </c>
      <c r="W408" s="824">
        <v>15</v>
      </c>
      <c r="X408" s="824">
        <v>9</v>
      </c>
      <c r="Y408" s="824">
        <v>2</v>
      </c>
      <c r="Z408" s="480" t="str">
        <f t="shared" si="6"/>
        <v/>
      </c>
    </row>
    <row r="409" spans="1:26">
      <c r="A409" s="825" t="s">
        <v>796</v>
      </c>
      <c r="B409" s="826">
        <v>7711</v>
      </c>
      <c r="C409" s="827"/>
      <c r="D409" s="828">
        <v>10.98249</v>
      </c>
      <c r="E409" s="828">
        <v>7.6488500000000004</v>
      </c>
      <c r="F409" s="828">
        <v>58.50488</v>
      </c>
      <c r="G409" s="828">
        <v>28</v>
      </c>
      <c r="H409" s="828">
        <v>1</v>
      </c>
      <c r="I409" s="828">
        <v>5</v>
      </c>
      <c r="J409" s="828">
        <v>17</v>
      </c>
      <c r="K409" s="828">
        <v>9</v>
      </c>
      <c r="L409" s="828">
        <v>4</v>
      </c>
      <c r="N409" s="222" t="s">
        <v>796</v>
      </c>
      <c r="O409" s="222" t="s">
        <v>797</v>
      </c>
      <c r="P409" s="824">
        <v>7711</v>
      </c>
      <c r="Q409" s="824">
        <v>10.98249</v>
      </c>
      <c r="R409" s="824">
        <v>58.50488</v>
      </c>
      <c r="S409" s="824">
        <v>7.6488500000000004</v>
      </c>
      <c r="T409" s="824">
        <v>28</v>
      </c>
      <c r="U409" s="824">
        <v>1</v>
      </c>
      <c r="V409" s="824">
        <v>5</v>
      </c>
      <c r="W409" s="824">
        <v>17</v>
      </c>
      <c r="X409" s="824">
        <v>9</v>
      </c>
      <c r="Y409" s="824">
        <v>4</v>
      </c>
      <c r="Z409" s="480" t="str">
        <f t="shared" si="6"/>
        <v/>
      </c>
    </row>
    <row r="410" spans="1:26">
      <c r="A410" s="825" t="s">
        <v>798</v>
      </c>
      <c r="B410" s="826">
        <v>28141</v>
      </c>
      <c r="C410" s="827"/>
      <c r="D410" s="828">
        <v>9.3057800000000004</v>
      </c>
      <c r="E410" s="828">
        <v>8.2679299999999998</v>
      </c>
      <c r="F410" s="828">
        <v>68.358699999999999</v>
      </c>
      <c r="G410" s="828">
        <v>56</v>
      </c>
      <c r="H410" s="828">
        <v>1</v>
      </c>
      <c r="I410" s="828">
        <v>3</v>
      </c>
      <c r="J410" s="828">
        <v>13</v>
      </c>
      <c r="K410" s="828">
        <v>7</v>
      </c>
      <c r="L410" s="828">
        <v>2</v>
      </c>
      <c r="N410" s="222" t="s">
        <v>798</v>
      </c>
      <c r="O410" s="222" t="s">
        <v>799</v>
      </c>
      <c r="P410" s="824">
        <v>28141</v>
      </c>
      <c r="Q410" s="824">
        <v>9.3057800000000004</v>
      </c>
      <c r="R410" s="824">
        <v>68.358699999999999</v>
      </c>
      <c r="S410" s="824">
        <v>8.2679299999999998</v>
      </c>
      <c r="T410" s="824">
        <v>56</v>
      </c>
      <c r="U410" s="824">
        <v>1</v>
      </c>
      <c r="V410" s="824">
        <v>3</v>
      </c>
      <c r="W410" s="824">
        <v>13</v>
      </c>
      <c r="X410" s="824">
        <v>7</v>
      </c>
      <c r="Y410" s="824">
        <v>2</v>
      </c>
      <c r="Z410" s="480" t="str">
        <f t="shared" si="6"/>
        <v/>
      </c>
    </row>
    <row r="411" spans="1:26">
      <c r="A411" s="825" t="s">
        <v>800</v>
      </c>
      <c r="B411" s="826">
        <v>11996</v>
      </c>
      <c r="C411" s="827"/>
      <c r="D411" s="828">
        <v>8.9088899999999995</v>
      </c>
      <c r="E411" s="828">
        <v>5.8637499999999996</v>
      </c>
      <c r="F411" s="828">
        <v>34.383609999999997</v>
      </c>
      <c r="G411" s="828">
        <v>22</v>
      </c>
      <c r="H411" s="828">
        <v>1</v>
      </c>
      <c r="I411" s="828">
        <v>4</v>
      </c>
      <c r="J411" s="828">
        <v>13</v>
      </c>
      <c r="K411" s="828">
        <v>8</v>
      </c>
      <c r="L411" s="828">
        <v>3</v>
      </c>
      <c r="N411" s="222" t="s">
        <v>800</v>
      </c>
      <c r="O411" s="222" t="s">
        <v>801</v>
      </c>
      <c r="P411" s="824">
        <v>11996</v>
      </c>
      <c r="Q411" s="824">
        <v>8.9088899999999995</v>
      </c>
      <c r="R411" s="824">
        <v>34.383609999999997</v>
      </c>
      <c r="S411" s="824">
        <v>5.8637499999999996</v>
      </c>
      <c r="T411" s="824">
        <v>22</v>
      </c>
      <c r="U411" s="824">
        <v>1</v>
      </c>
      <c r="V411" s="824">
        <v>4</v>
      </c>
      <c r="W411" s="824">
        <v>13</v>
      </c>
      <c r="X411" s="824">
        <v>8</v>
      </c>
      <c r="Y411" s="824">
        <v>3</v>
      </c>
      <c r="Z411" s="480" t="str">
        <f t="shared" si="6"/>
        <v/>
      </c>
    </row>
    <row r="412" spans="1:26">
      <c r="A412" s="825" t="s">
        <v>802</v>
      </c>
      <c r="B412" s="826">
        <v>35474</v>
      </c>
      <c r="C412" s="827"/>
      <c r="D412" s="828">
        <v>8.2806599999999992</v>
      </c>
      <c r="E412" s="828">
        <v>5.5676500000000004</v>
      </c>
      <c r="F412" s="828">
        <v>30.998729999999998</v>
      </c>
      <c r="G412" s="828">
        <v>22</v>
      </c>
      <c r="H412" s="828">
        <v>1</v>
      </c>
      <c r="I412" s="828">
        <v>4</v>
      </c>
      <c r="J412" s="828">
        <v>12</v>
      </c>
      <c r="K412" s="828">
        <v>7</v>
      </c>
      <c r="L412" s="828">
        <v>3</v>
      </c>
      <c r="N412" s="222" t="s">
        <v>802</v>
      </c>
      <c r="O412" s="222" t="s">
        <v>803</v>
      </c>
      <c r="P412" s="824">
        <v>35474</v>
      </c>
      <c r="Q412" s="824">
        <v>8.2806599999999992</v>
      </c>
      <c r="R412" s="824">
        <v>30.998729999999998</v>
      </c>
      <c r="S412" s="824">
        <v>5.5676500000000004</v>
      </c>
      <c r="T412" s="824">
        <v>22</v>
      </c>
      <c r="U412" s="824">
        <v>1</v>
      </c>
      <c r="V412" s="824">
        <v>4</v>
      </c>
      <c r="W412" s="824">
        <v>12</v>
      </c>
      <c r="X412" s="824">
        <v>7</v>
      </c>
      <c r="Y412" s="824">
        <v>3</v>
      </c>
      <c r="Z412" s="480" t="str">
        <f t="shared" si="6"/>
        <v/>
      </c>
    </row>
    <row r="413" spans="1:26">
      <c r="A413" s="825" t="s">
        <v>804</v>
      </c>
      <c r="B413" s="826">
        <v>9598</v>
      </c>
      <c r="C413" s="827"/>
      <c r="D413" s="828">
        <v>9.0290700000000008</v>
      </c>
      <c r="E413" s="828">
        <v>5.8269900000000003</v>
      </c>
      <c r="F413" s="828">
        <v>33.953830000000004</v>
      </c>
      <c r="G413" s="828">
        <v>22</v>
      </c>
      <c r="H413" s="828">
        <v>1</v>
      </c>
      <c r="I413" s="828">
        <v>4</v>
      </c>
      <c r="J413" s="828">
        <v>13</v>
      </c>
      <c r="K413" s="828">
        <v>8</v>
      </c>
      <c r="L413" s="828">
        <v>2</v>
      </c>
      <c r="N413" s="222" t="s">
        <v>804</v>
      </c>
      <c r="O413" s="222" t="s">
        <v>805</v>
      </c>
      <c r="P413" s="824">
        <v>9598</v>
      </c>
      <c r="Q413" s="824">
        <v>9.0290700000000008</v>
      </c>
      <c r="R413" s="824">
        <v>33.953830000000004</v>
      </c>
      <c r="S413" s="824">
        <v>5.8269900000000003</v>
      </c>
      <c r="T413" s="824">
        <v>22</v>
      </c>
      <c r="U413" s="824">
        <v>1</v>
      </c>
      <c r="V413" s="824">
        <v>4</v>
      </c>
      <c r="W413" s="824">
        <v>13</v>
      </c>
      <c r="X413" s="824">
        <v>8</v>
      </c>
      <c r="Y413" s="824">
        <v>2</v>
      </c>
      <c r="Z413" s="480" t="str">
        <f t="shared" si="6"/>
        <v/>
      </c>
    </row>
    <row r="414" spans="1:26">
      <c r="A414" s="825" t="s">
        <v>806</v>
      </c>
      <c r="B414" s="826">
        <v>50135</v>
      </c>
      <c r="C414" s="827"/>
      <c r="D414" s="828">
        <v>8.9599499999999992</v>
      </c>
      <c r="E414" s="828">
        <v>6.3487499999999999</v>
      </c>
      <c r="F414" s="828">
        <v>40.306609999999999</v>
      </c>
      <c r="G414" s="828">
        <v>24</v>
      </c>
      <c r="H414" s="828">
        <v>1</v>
      </c>
      <c r="I414" s="828">
        <v>4</v>
      </c>
      <c r="J414" s="828">
        <v>13</v>
      </c>
      <c r="K414" s="828">
        <v>7</v>
      </c>
      <c r="L414" s="828">
        <v>2</v>
      </c>
      <c r="N414" s="222" t="s">
        <v>806</v>
      </c>
      <c r="O414" s="222" t="s">
        <v>807</v>
      </c>
      <c r="P414" s="824">
        <v>50135</v>
      </c>
      <c r="Q414" s="824">
        <v>8.9599499999999992</v>
      </c>
      <c r="R414" s="824">
        <v>40.306609999999999</v>
      </c>
      <c r="S414" s="824">
        <v>6.3487499999999999</v>
      </c>
      <c r="T414" s="824">
        <v>24</v>
      </c>
      <c r="U414" s="824">
        <v>1</v>
      </c>
      <c r="V414" s="824">
        <v>4</v>
      </c>
      <c r="W414" s="824">
        <v>13</v>
      </c>
      <c r="X414" s="824">
        <v>7</v>
      </c>
      <c r="Y414" s="824">
        <v>2</v>
      </c>
      <c r="Z414" s="480" t="str">
        <f t="shared" si="6"/>
        <v/>
      </c>
    </row>
    <row r="415" spans="1:26">
      <c r="A415" s="825" t="s">
        <v>808</v>
      </c>
      <c r="B415" s="826">
        <v>28245</v>
      </c>
      <c r="C415" s="827"/>
      <c r="D415" s="828">
        <v>11.936199999999999</v>
      </c>
      <c r="E415" s="828">
        <v>8.0083000000000002</v>
      </c>
      <c r="F415" s="828">
        <v>64.13288</v>
      </c>
      <c r="G415" s="828">
        <v>31</v>
      </c>
      <c r="H415" s="828">
        <v>1</v>
      </c>
      <c r="I415" s="828">
        <v>5</v>
      </c>
      <c r="J415" s="828">
        <v>17</v>
      </c>
      <c r="K415" s="828">
        <v>10</v>
      </c>
      <c r="L415" s="828">
        <v>3</v>
      </c>
      <c r="N415" s="222" t="s">
        <v>808</v>
      </c>
      <c r="O415" s="222" t="s">
        <v>809</v>
      </c>
      <c r="P415" s="824">
        <v>28245</v>
      </c>
      <c r="Q415" s="824">
        <v>11.936199999999999</v>
      </c>
      <c r="R415" s="824">
        <v>64.13288</v>
      </c>
      <c r="S415" s="824">
        <v>8.0083000000000002</v>
      </c>
      <c r="T415" s="824">
        <v>31</v>
      </c>
      <c r="U415" s="824">
        <v>1</v>
      </c>
      <c r="V415" s="824">
        <v>5</v>
      </c>
      <c r="W415" s="824">
        <v>17</v>
      </c>
      <c r="X415" s="824">
        <v>10</v>
      </c>
      <c r="Y415" s="824">
        <v>3</v>
      </c>
      <c r="Z415" s="480" t="str">
        <f t="shared" si="6"/>
        <v/>
      </c>
    </row>
    <row r="416" spans="1:26">
      <c r="A416" s="825" t="s">
        <v>810</v>
      </c>
      <c r="B416" s="826">
        <v>57304</v>
      </c>
      <c r="C416" s="827"/>
      <c r="D416" s="828">
        <v>8.7145600000000005</v>
      </c>
      <c r="E416" s="828">
        <v>8.0307399999999998</v>
      </c>
      <c r="F416" s="828">
        <v>64.492750000000001</v>
      </c>
      <c r="G416" s="828">
        <v>56</v>
      </c>
      <c r="H416" s="828">
        <v>1</v>
      </c>
      <c r="I416" s="828">
        <v>3</v>
      </c>
      <c r="J416" s="828">
        <v>12</v>
      </c>
      <c r="K416" s="828">
        <v>6</v>
      </c>
      <c r="L416" s="828">
        <v>2</v>
      </c>
      <c r="N416" s="222" t="s">
        <v>810</v>
      </c>
      <c r="O416" s="222" t="s">
        <v>2128</v>
      </c>
      <c r="P416" s="824">
        <v>57304</v>
      </c>
      <c r="Q416" s="824">
        <v>8.7145600000000005</v>
      </c>
      <c r="R416" s="824">
        <v>64.492750000000001</v>
      </c>
      <c r="S416" s="824">
        <v>8.0307399999999998</v>
      </c>
      <c r="T416" s="824">
        <v>56</v>
      </c>
      <c r="U416" s="824">
        <v>1</v>
      </c>
      <c r="V416" s="824">
        <v>3</v>
      </c>
      <c r="W416" s="824">
        <v>12</v>
      </c>
      <c r="X416" s="824">
        <v>6</v>
      </c>
      <c r="Y416" s="824">
        <v>2</v>
      </c>
      <c r="Z416" s="480" t="str">
        <f t="shared" si="6"/>
        <v/>
      </c>
    </row>
    <row r="417" spans="1:26">
      <c r="A417" s="825" t="s">
        <v>811</v>
      </c>
      <c r="B417" s="826">
        <v>8329</v>
      </c>
      <c r="C417" s="827"/>
      <c r="D417" s="828">
        <v>9.4908199999999994</v>
      </c>
      <c r="E417" s="828">
        <v>6.1124900000000002</v>
      </c>
      <c r="F417" s="828">
        <v>37.362580000000001</v>
      </c>
      <c r="G417" s="828">
        <v>23</v>
      </c>
      <c r="H417" s="828">
        <v>1</v>
      </c>
      <c r="I417" s="828">
        <v>4</v>
      </c>
      <c r="J417" s="828">
        <v>14</v>
      </c>
      <c r="K417" s="828">
        <v>8</v>
      </c>
      <c r="L417" s="828">
        <v>4</v>
      </c>
      <c r="N417" s="222" t="s">
        <v>811</v>
      </c>
      <c r="O417" s="222" t="s">
        <v>812</v>
      </c>
      <c r="P417" s="824">
        <v>8329</v>
      </c>
      <c r="Q417" s="824">
        <v>9.4908199999999994</v>
      </c>
      <c r="R417" s="824">
        <v>37.362580000000001</v>
      </c>
      <c r="S417" s="824">
        <v>6.1124900000000002</v>
      </c>
      <c r="T417" s="824">
        <v>23</v>
      </c>
      <c r="U417" s="824">
        <v>1</v>
      </c>
      <c r="V417" s="824">
        <v>4</v>
      </c>
      <c r="W417" s="824">
        <v>14</v>
      </c>
      <c r="X417" s="824">
        <v>8</v>
      </c>
      <c r="Y417" s="824">
        <v>4</v>
      </c>
      <c r="Z417" s="480" t="str">
        <f t="shared" si="6"/>
        <v/>
      </c>
    </row>
    <row r="418" spans="1:26">
      <c r="A418" s="825" t="s">
        <v>813</v>
      </c>
      <c r="B418" s="826">
        <v>3103</v>
      </c>
      <c r="C418" s="827"/>
      <c r="D418" s="828">
        <v>11.6671</v>
      </c>
      <c r="E418" s="828">
        <v>7.53451</v>
      </c>
      <c r="F418" s="828">
        <v>56.768889999999999</v>
      </c>
      <c r="G418" s="828">
        <v>28</v>
      </c>
      <c r="H418" s="828">
        <v>1</v>
      </c>
      <c r="I418" s="828">
        <v>5</v>
      </c>
      <c r="J418" s="828">
        <v>17</v>
      </c>
      <c r="K418" s="828">
        <v>10</v>
      </c>
      <c r="L418" s="828">
        <v>3</v>
      </c>
      <c r="N418" s="222" t="s">
        <v>813</v>
      </c>
      <c r="O418" s="222" t="s">
        <v>814</v>
      </c>
      <c r="P418" s="824">
        <v>3103</v>
      </c>
      <c r="Q418" s="824">
        <v>11.6671</v>
      </c>
      <c r="R418" s="824">
        <v>56.768889999999999</v>
      </c>
      <c r="S418" s="824">
        <v>7.53451</v>
      </c>
      <c r="T418" s="824">
        <v>28</v>
      </c>
      <c r="U418" s="824">
        <v>1</v>
      </c>
      <c r="V418" s="824">
        <v>5</v>
      </c>
      <c r="W418" s="824">
        <v>17</v>
      </c>
      <c r="X418" s="824">
        <v>10</v>
      </c>
      <c r="Y418" s="824">
        <v>3</v>
      </c>
      <c r="Z418" s="480" t="str">
        <f t="shared" si="6"/>
        <v/>
      </c>
    </row>
    <row r="419" spans="1:26">
      <c r="A419" s="825" t="s">
        <v>815</v>
      </c>
      <c r="B419" s="826">
        <v>12838</v>
      </c>
      <c r="C419" s="827"/>
      <c r="D419" s="828">
        <v>13.015969999999999</v>
      </c>
      <c r="E419" s="828">
        <v>8.2810600000000001</v>
      </c>
      <c r="F419" s="828">
        <v>68.575969999999998</v>
      </c>
      <c r="G419" s="828">
        <v>31</v>
      </c>
      <c r="H419" s="828">
        <v>1</v>
      </c>
      <c r="I419" s="828">
        <v>6</v>
      </c>
      <c r="J419" s="828">
        <v>19</v>
      </c>
      <c r="K419" s="828">
        <v>12</v>
      </c>
      <c r="L419" s="828">
        <v>3</v>
      </c>
      <c r="N419" s="222" t="s">
        <v>815</v>
      </c>
      <c r="O419" s="222" t="s">
        <v>2129</v>
      </c>
      <c r="P419" s="824">
        <v>12838</v>
      </c>
      <c r="Q419" s="824">
        <v>13.015969999999999</v>
      </c>
      <c r="R419" s="824">
        <v>68.575969999999998</v>
      </c>
      <c r="S419" s="824">
        <v>8.2810600000000001</v>
      </c>
      <c r="T419" s="824">
        <v>31</v>
      </c>
      <c r="U419" s="824">
        <v>1</v>
      </c>
      <c r="V419" s="824">
        <v>6</v>
      </c>
      <c r="W419" s="824">
        <v>19</v>
      </c>
      <c r="X419" s="824">
        <v>12</v>
      </c>
      <c r="Y419" s="824">
        <v>3</v>
      </c>
      <c r="Z419" s="480" t="str">
        <f t="shared" si="6"/>
        <v/>
      </c>
    </row>
    <row r="420" spans="1:26">
      <c r="A420" s="825" t="s">
        <v>816</v>
      </c>
      <c r="B420" s="826">
        <v>58176</v>
      </c>
      <c r="C420" s="827"/>
      <c r="D420" s="828">
        <v>7.7886899999999999</v>
      </c>
      <c r="E420" s="828">
        <v>5.21821</v>
      </c>
      <c r="F420" s="828">
        <v>27.229690000000002</v>
      </c>
      <c r="G420" s="828">
        <v>20</v>
      </c>
      <c r="H420" s="828">
        <v>1</v>
      </c>
      <c r="I420" s="828">
        <v>3</v>
      </c>
      <c r="J420" s="828">
        <v>11</v>
      </c>
      <c r="K420" s="828">
        <v>7</v>
      </c>
      <c r="L420" s="828">
        <v>2</v>
      </c>
      <c r="N420" s="222" t="s">
        <v>816</v>
      </c>
      <c r="O420" s="222" t="s">
        <v>817</v>
      </c>
      <c r="P420" s="824">
        <v>58176</v>
      </c>
      <c r="Q420" s="824">
        <v>7.7886899999999999</v>
      </c>
      <c r="R420" s="824">
        <v>27.229690000000002</v>
      </c>
      <c r="S420" s="824">
        <v>5.21821</v>
      </c>
      <c r="T420" s="824">
        <v>20</v>
      </c>
      <c r="U420" s="824">
        <v>1</v>
      </c>
      <c r="V420" s="824">
        <v>3</v>
      </c>
      <c r="W420" s="824">
        <v>11</v>
      </c>
      <c r="X420" s="824">
        <v>7</v>
      </c>
      <c r="Y420" s="824">
        <v>2</v>
      </c>
      <c r="Z420" s="480" t="str">
        <f t="shared" si="6"/>
        <v/>
      </c>
    </row>
    <row r="421" spans="1:26">
      <c r="A421" s="825" t="s">
        <v>818</v>
      </c>
      <c r="B421" s="826">
        <v>7723</v>
      </c>
      <c r="C421" s="827"/>
      <c r="D421" s="828">
        <v>8.2332000000000001</v>
      </c>
      <c r="E421" s="828">
        <v>5.6292799999999996</v>
      </c>
      <c r="F421" s="828">
        <v>31.68881</v>
      </c>
      <c r="G421" s="828">
        <v>21</v>
      </c>
      <c r="H421" s="828">
        <v>1</v>
      </c>
      <c r="I421" s="828">
        <v>3</v>
      </c>
      <c r="J421" s="828">
        <v>12</v>
      </c>
      <c r="K421" s="828">
        <v>7</v>
      </c>
      <c r="L421" s="828">
        <v>2</v>
      </c>
      <c r="N421" s="222" t="s">
        <v>818</v>
      </c>
      <c r="O421" s="222" t="s">
        <v>819</v>
      </c>
      <c r="P421" s="824">
        <v>7723</v>
      </c>
      <c r="Q421" s="824">
        <v>8.2332000000000001</v>
      </c>
      <c r="R421" s="824">
        <v>31.68881</v>
      </c>
      <c r="S421" s="824">
        <v>5.6292799999999996</v>
      </c>
      <c r="T421" s="824">
        <v>21</v>
      </c>
      <c r="U421" s="824">
        <v>1</v>
      </c>
      <c r="V421" s="824">
        <v>3</v>
      </c>
      <c r="W421" s="824">
        <v>12</v>
      </c>
      <c r="X421" s="824">
        <v>7</v>
      </c>
      <c r="Y421" s="824">
        <v>2</v>
      </c>
      <c r="Z421" s="480" t="str">
        <f t="shared" si="6"/>
        <v/>
      </c>
    </row>
    <row r="422" spans="1:26">
      <c r="A422" s="825" t="s">
        <v>820</v>
      </c>
      <c r="B422" s="826">
        <v>17138</v>
      </c>
      <c r="C422" s="827"/>
      <c r="D422" s="828">
        <v>9.3000900000000009</v>
      </c>
      <c r="E422" s="828">
        <v>7.9837300000000004</v>
      </c>
      <c r="F422" s="828">
        <v>63.739960000000004</v>
      </c>
      <c r="G422" s="828">
        <v>56</v>
      </c>
      <c r="H422" s="828">
        <v>1</v>
      </c>
      <c r="I422" s="828">
        <v>3</v>
      </c>
      <c r="J422" s="828">
        <v>13</v>
      </c>
      <c r="K422" s="828">
        <v>7</v>
      </c>
      <c r="L422" s="828">
        <v>2</v>
      </c>
      <c r="N422" s="222" t="s">
        <v>820</v>
      </c>
      <c r="O422" s="222" t="s">
        <v>821</v>
      </c>
      <c r="P422" s="824">
        <v>17138</v>
      </c>
      <c r="Q422" s="824">
        <v>9.3000900000000009</v>
      </c>
      <c r="R422" s="824">
        <v>63.739960000000004</v>
      </c>
      <c r="S422" s="824">
        <v>7.9837300000000004</v>
      </c>
      <c r="T422" s="824">
        <v>56</v>
      </c>
      <c r="U422" s="824">
        <v>1</v>
      </c>
      <c r="V422" s="824">
        <v>3</v>
      </c>
      <c r="W422" s="824">
        <v>13</v>
      </c>
      <c r="X422" s="824">
        <v>7</v>
      </c>
      <c r="Y422" s="824">
        <v>2</v>
      </c>
      <c r="Z422" s="480" t="str">
        <f t="shared" si="6"/>
        <v/>
      </c>
    </row>
    <row r="423" spans="1:26">
      <c r="A423" s="825" t="s">
        <v>822</v>
      </c>
      <c r="B423" s="826">
        <v>11202</v>
      </c>
      <c r="C423" s="827"/>
      <c r="D423" s="828">
        <v>11.207549999999999</v>
      </c>
      <c r="E423" s="828">
        <v>8.1407399999999992</v>
      </c>
      <c r="F423" s="828">
        <v>66.271619999999999</v>
      </c>
      <c r="G423" s="828">
        <v>28</v>
      </c>
      <c r="H423" s="828">
        <v>1</v>
      </c>
      <c r="I423" s="828">
        <v>4</v>
      </c>
      <c r="J423" s="828">
        <v>18</v>
      </c>
      <c r="K423" s="828">
        <v>9</v>
      </c>
      <c r="L423" s="828">
        <v>2</v>
      </c>
      <c r="N423" s="222" t="s">
        <v>822</v>
      </c>
      <c r="O423" s="222" t="s">
        <v>823</v>
      </c>
      <c r="P423" s="824">
        <v>11202</v>
      </c>
      <c r="Q423" s="824">
        <v>11.207549999999999</v>
      </c>
      <c r="R423" s="824">
        <v>66.271619999999999</v>
      </c>
      <c r="S423" s="824">
        <v>8.1407399999999992</v>
      </c>
      <c r="T423" s="824">
        <v>28</v>
      </c>
      <c r="U423" s="824">
        <v>1</v>
      </c>
      <c r="V423" s="824">
        <v>4</v>
      </c>
      <c r="W423" s="824">
        <v>18</v>
      </c>
      <c r="X423" s="824">
        <v>9</v>
      </c>
      <c r="Y423" s="824">
        <v>2</v>
      </c>
      <c r="Z423" s="480" t="str">
        <f t="shared" si="6"/>
        <v/>
      </c>
    </row>
    <row r="424" spans="1:26">
      <c r="A424" s="825" t="s">
        <v>824</v>
      </c>
      <c r="B424" s="826">
        <v>2984</v>
      </c>
      <c r="C424" s="827"/>
      <c r="D424" s="828">
        <v>12.237270000000001</v>
      </c>
      <c r="E424" s="828">
        <v>7.5050999999999997</v>
      </c>
      <c r="F424" s="828">
        <v>56.326520000000002</v>
      </c>
      <c r="G424" s="828">
        <v>28</v>
      </c>
      <c r="H424" s="828">
        <v>1</v>
      </c>
      <c r="I424" s="828">
        <v>6</v>
      </c>
      <c r="J424" s="828">
        <v>18</v>
      </c>
      <c r="K424" s="828">
        <v>11</v>
      </c>
      <c r="L424" s="828">
        <v>3</v>
      </c>
      <c r="N424" s="222" t="s">
        <v>824</v>
      </c>
      <c r="O424" s="222" t="s">
        <v>825</v>
      </c>
      <c r="P424" s="824">
        <v>2984</v>
      </c>
      <c r="Q424" s="824">
        <v>12.237270000000001</v>
      </c>
      <c r="R424" s="824">
        <v>56.326520000000002</v>
      </c>
      <c r="S424" s="824">
        <v>7.5050999999999997</v>
      </c>
      <c r="T424" s="824">
        <v>28</v>
      </c>
      <c r="U424" s="824">
        <v>1</v>
      </c>
      <c r="V424" s="824">
        <v>6</v>
      </c>
      <c r="W424" s="824">
        <v>18</v>
      </c>
      <c r="X424" s="824">
        <v>11</v>
      </c>
      <c r="Y424" s="824">
        <v>3</v>
      </c>
      <c r="Z424" s="480" t="str">
        <f t="shared" si="6"/>
        <v/>
      </c>
    </row>
    <row r="425" spans="1:26">
      <c r="A425" s="825" t="s">
        <v>826</v>
      </c>
      <c r="B425" s="826">
        <v>16017</v>
      </c>
      <c r="C425" s="827"/>
      <c r="D425" s="828">
        <v>9.3078000000000003</v>
      </c>
      <c r="E425" s="828">
        <v>7.3055700000000003</v>
      </c>
      <c r="F425" s="828">
        <v>53.371409999999997</v>
      </c>
      <c r="G425" s="828">
        <v>26</v>
      </c>
      <c r="H425" s="828">
        <v>1</v>
      </c>
      <c r="I425" s="828">
        <v>3</v>
      </c>
      <c r="J425" s="828">
        <v>14</v>
      </c>
      <c r="K425" s="828">
        <v>7</v>
      </c>
      <c r="L425" s="828">
        <v>2</v>
      </c>
      <c r="N425" s="222" t="s">
        <v>826</v>
      </c>
      <c r="O425" s="222" t="s">
        <v>827</v>
      </c>
      <c r="P425" s="824">
        <v>16017</v>
      </c>
      <c r="Q425" s="824">
        <v>9.3078000000000003</v>
      </c>
      <c r="R425" s="824">
        <v>53.371409999999997</v>
      </c>
      <c r="S425" s="824">
        <v>7.3055700000000003</v>
      </c>
      <c r="T425" s="824">
        <v>26</v>
      </c>
      <c r="U425" s="824">
        <v>1</v>
      </c>
      <c r="V425" s="824">
        <v>3</v>
      </c>
      <c r="W425" s="824">
        <v>14</v>
      </c>
      <c r="X425" s="824">
        <v>7</v>
      </c>
      <c r="Y425" s="824">
        <v>2</v>
      </c>
      <c r="Z425" s="480" t="str">
        <f t="shared" si="6"/>
        <v/>
      </c>
    </row>
    <row r="426" spans="1:26">
      <c r="A426" s="825" t="s">
        <v>828</v>
      </c>
      <c r="B426" s="826">
        <v>3837</v>
      </c>
      <c r="C426" s="827"/>
      <c r="D426" s="828">
        <v>10.83581</v>
      </c>
      <c r="E426" s="828">
        <v>7.40822</v>
      </c>
      <c r="F426" s="828">
        <v>54.881790000000002</v>
      </c>
      <c r="G426" s="828">
        <v>27</v>
      </c>
      <c r="H426" s="828">
        <v>1</v>
      </c>
      <c r="I426" s="828">
        <v>4</v>
      </c>
      <c r="J426" s="828">
        <v>16</v>
      </c>
      <c r="K426" s="828">
        <v>9</v>
      </c>
      <c r="L426" s="828">
        <v>2</v>
      </c>
      <c r="N426" s="222" t="s">
        <v>828</v>
      </c>
      <c r="O426" s="222" t="s">
        <v>829</v>
      </c>
      <c r="P426" s="824">
        <v>3837</v>
      </c>
      <c r="Q426" s="824">
        <v>10.83581</v>
      </c>
      <c r="R426" s="824">
        <v>54.881790000000002</v>
      </c>
      <c r="S426" s="824">
        <v>7.40822</v>
      </c>
      <c r="T426" s="824">
        <v>27</v>
      </c>
      <c r="U426" s="824">
        <v>1</v>
      </c>
      <c r="V426" s="824">
        <v>4</v>
      </c>
      <c r="W426" s="824">
        <v>16</v>
      </c>
      <c r="X426" s="824">
        <v>9</v>
      </c>
      <c r="Y426" s="824">
        <v>2</v>
      </c>
      <c r="Z426" s="480" t="str">
        <f t="shared" si="6"/>
        <v/>
      </c>
    </row>
    <row r="427" spans="1:26">
      <c r="A427" s="825" t="s">
        <v>830</v>
      </c>
      <c r="B427" s="826">
        <v>889</v>
      </c>
      <c r="C427" s="827"/>
      <c r="D427" s="828">
        <v>10.50506</v>
      </c>
      <c r="E427" s="828">
        <v>7.0804799999999997</v>
      </c>
      <c r="F427" s="828">
        <v>50.133139999999997</v>
      </c>
      <c r="G427" s="828">
        <v>26</v>
      </c>
      <c r="H427" s="828">
        <v>1</v>
      </c>
      <c r="I427" s="828">
        <v>4</v>
      </c>
      <c r="J427" s="828">
        <v>16</v>
      </c>
      <c r="K427" s="828">
        <v>9</v>
      </c>
      <c r="L427" s="828">
        <v>3</v>
      </c>
      <c r="N427" s="222" t="s">
        <v>830</v>
      </c>
      <c r="O427" s="222" t="s">
        <v>831</v>
      </c>
      <c r="P427" s="824">
        <v>889</v>
      </c>
      <c r="Q427" s="824">
        <v>10.50506</v>
      </c>
      <c r="R427" s="824">
        <v>50.133139999999997</v>
      </c>
      <c r="S427" s="824">
        <v>7.0804799999999997</v>
      </c>
      <c r="T427" s="824">
        <v>26</v>
      </c>
      <c r="U427" s="824">
        <v>1</v>
      </c>
      <c r="V427" s="824">
        <v>4</v>
      </c>
      <c r="W427" s="824">
        <v>16</v>
      </c>
      <c r="X427" s="824">
        <v>9</v>
      </c>
      <c r="Y427" s="824">
        <v>3</v>
      </c>
      <c r="Z427" s="480" t="str">
        <f t="shared" si="6"/>
        <v/>
      </c>
    </row>
    <row r="428" spans="1:26">
      <c r="A428" s="825" t="s">
        <v>832</v>
      </c>
      <c r="B428" s="826">
        <v>48303</v>
      </c>
      <c r="C428" s="827"/>
      <c r="D428" s="828">
        <v>10.952199999999999</v>
      </c>
      <c r="E428" s="828">
        <v>6.9174199999999999</v>
      </c>
      <c r="F428" s="828">
        <v>47.850659999999998</v>
      </c>
      <c r="G428" s="828">
        <v>26</v>
      </c>
      <c r="H428" s="828">
        <v>1</v>
      </c>
      <c r="I428" s="828">
        <v>5</v>
      </c>
      <c r="J428" s="828">
        <v>16</v>
      </c>
      <c r="K428" s="828">
        <v>10</v>
      </c>
      <c r="L428" s="828">
        <v>3</v>
      </c>
      <c r="N428" s="222" t="s">
        <v>832</v>
      </c>
      <c r="O428" s="222" t="s">
        <v>2130</v>
      </c>
      <c r="P428" s="824">
        <v>48303</v>
      </c>
      <c r="Q428" s="824">
        <v>10.952199999999999</v>
      </c>
      <c r="R428" s="824">
        <v>47.850659999999998</v>
      </c>
      <c r="S428" s="824">
        <v>6.9174199999999999</v>
      </c>
      <c r="T428" s="824">
        <v>26</v>
      </c>
      <c r="U428" s="824">
        <v>1</v>
      </c>
      <c r="V428" s="824">
        <v>5</v>
      </c>
      <c r="W428" s="824">
        <v>16</v>
      </c>
      <c r="X428" s="824">
        <v>10</v>
      </c>
      <c r="Y428" s="824">
        <v>3</v>
      </c>
      <c r="Z428" s="480" t="str">
        <f t="shared" si="6"/>
        <v/>
      </c>
    </row>
    <row r="429" spans="1:26">
      <c r="A429" s="825" t="s">
        <v>833</v>
      </c>
      <c r="B429" s="826">
        <v>12857</v>
      </c>
      <c r="C429" s="827"/>
      <c r="D429" s="828">
        <v>9.5448400000000007</v>
      </c>
      <c r="E429" s="828">
        <v>6.0962300000000003</v>
      </c>
      <c r="F429" s="828">
        <v>37.164000000000001</v>
      </c>
      <c r="G429" s="828">
        <v>23</v>
      </c>
      <c r="H429" s="828">
        <v>1</v>
      </c>
      <c r="I429" s="828">
        <v>4</v>
      </c>
      <c r="J429" s="828">
        <v>14</v>
      </c>
      <c r="K429" s="828">
        <v>8</v>
      </c>
      <c r="L429" s="828">
        <v>4</v>
      </c>
      <c r="N429" s="222" t="s">
        <v>833</v>
      </c>
      <c r="O429" s="222" t="s">
        <v>834</v>
      </c>
      <c r="P429" s="824">
        <v>12857</v>
      </c>
      <c r="Q429" s="824">
        <v>9.5448400000000007</v>
      </c>
      <c r="R429" s="824">
        <v>37.164000000000001</v>
      </c>
      <c r="S429" s="824">
        <v>6.0962300000000003</v>
      </c>
      <c r="T429" s="824">
        <v>23</v>
      </c>
      <c r="U429" s="824">
        <v>1</v>
      </c>
      <c r="V429" s="824">
        <v>4</v>
      </c>
      <c r="W429" s="824">
        <v>14</v>
      </c>
      <c r="X429" s="824">
        <v>8</v>
      </c>
      <c r="Y429" s="824">
        <v>4</v>
      </c>
      <c r="Z429" s="480" t="str">
        <f t="shared" si="6"/>
        <v/>
      </c>
    </row>
    <row r="430" spans="1:26">
      <c r="A430" s="825" t="s">
        <v>835</v>
      </c>
      <c r="B430" s="826">
        <v>27636</v>
      </c>
      <c r="C430" s="827"/>
      <c r="D430" s="828">
        <v>10.159319999999999</v>
      </c>
      <c r="E430" s="828">
        <v>6.6634700000000002</v>
      </c>
      <c r="F430" s="828">
        <v>44.401789999999998</v>
      </c>
      <c r="G430" s="828">
        <v>25</v>
      </c>
      <c r="H430" s="828">
        <v>1</v>
      </c>
      <c r="I430" s="828">
        <v>4</v>
      </c>
      <c r="J430" s="828">
        <v>15</v>
      </c>
      <c r="K430" s="828">
        <v>9</v>
      </c>
      <c r="L430" s="828">
        <v>2</v>
      </c>
      <c r="N430" s="222" t="s">
        <v>835</v>
      </c>
      <c r="O430" s="222" t="s">
        <v>836</v>
      </c>
      <c r="P430" s="824">
        <v>27636</v>
      </c>
      <c r="Q430" s="824">
        <v>10.159319999999999</v>
      </c>
      <c r="R430" s="824">
        <v>44.401789999999998</v>
      </c>
      <c r="S430" s="824">
        <v>6.6634700000000002</v>
      </c>
      <c r="T430" s="824">
        <v>25</v>
      </c>
      <c r="U430" s="824">
        <v>1</v>
      </c>
      <c r="V430" s="824">
        <v>4</v>
      </c>
      <c r="W430" s="824">
        <v>15</v>
      </c>
      <c r="X430" s="824">
        <v>9</v>
      </c>
      <c r="Y430" s="824">
        <v>2</v>
      </c>
      <c r="Z430" s="480" t="str">
        <f t="shared" si="6"/>
        <v/>
      </c>
    </row>
    <row r="431" spans="1:26">
      <c r="A431" s="825" t="s">
        <v>837</v>
      </c>
      <c r="B431" s="826">
        <v>2213</v>
      </c>
      <c r="C431" s="827"/>
      <c r="D431" s="828">
        <v>12.850429999999999</v>
      </c>
      <c r="E431" s="828">
        <v>8.2938100000000006</v>
      </c>
      <c r="F431" s="828">
        <v>68.787289999999999</v>
      </c>
      <c r="G431" s="828">
        <v>30</v>
      </c>
      <c r="H431" s="828">
        <v>1</v>
      </c>
      <c r="I431" s="828">
        <v>6</v>
      </c>
      <c r="J431" s="828">
        <v>19</v>
      </c>
      <c r="K431" s="828">
        <v>12</v>
      </c>
      <c r="L431" s="828">
        <v>2</v>
      </c>
      <c r="N431" s="222" t="s">
        <v>837</v>
      </c>
      <c r="O431" s="222" t="s">
        <v>838</v>
      </c>
      <c r="P431" s="824">
        <v>2213</v>
      </c>
      <c r="Q431" s="824">
        <v>12.850429999999999</v>
      </c>
      <c r="R431" s="824">
        <v>68.787289999999999</v>
      </c>
      <c r="S431" s="824">
        <v>8.2938100000000006</v>
      </c>
      <c r="T431" s="824">
        <v>30</v>
      </c>
      <c r="U431" s="824">
        <v>1</v>
      </c>
      <c r="V431" s="824">
        <v>6</v>
      </c>
      <c r="W431" s="824">
        <v>19</v>
      </c>
      <c r="X431" s="824">
        <v>12</v>
      </c>
      <c r="Y431" s="824">
        <v>2</v>
      </c>
      <c r="Z431" s="480" t="str">
        <f t="shared" si="6"/>
        <v/>
      </c>
    </row>
    <row r="432" spans="1:26">
      <c r="A432" s="825" t="s">
        <v>839</v>
      </c>
      <c r="B432" s="826">
        <v>15120</v>
      </c>
      <c r="C432" s="829"/>
      <c r="D432" s="828">
        <v>11.20575</v>
      </c>
      <c r="E432" s="828">
        <v>6.8972899999999999</v>
      </c>
      <c r="F432" s="828">
        <v>47.572650000000003</v>
      </c>
      <c r="G432" s="828">
        <v>26</v>
      </c>
      <c r="H432" s="828">
        <v>1</v>
      </c>
      <c r="I432" s="828">
        <v>5</v>
      </c>
      <c r="J432" s="828">
        <v>16</v>
      </c>
      <c r="K432" s="828">
        <v>10</v>
      </c>
      <c r="L432" s="828">
        <v>4</v>
      </c>
      <c r="N432" s="222" t="s">
        <v>839</v>
      </c>
      <c r="O432" s="222" t="s">
        <v>2131</v>
      </c>
      <c r="P432" s="824">
        <v>15120</v>
      </c>
      <c r="Q432" s="824">
        <v>11.20575</v>
      </c>
      <c r="R432" s="824">
        <v>47.572650000000003</v>
      </c>
      <c r="S432" s="824">
        <v>6.8972899999999999</v>
      </c>
      <c r="T432" s="824">
        <v>26</v>
      </c>
      <c r="U432" s="824">
        <v>1</v>
      </c>
      <c r="V432" s="824">
        <v>5</v>
      </c>
      <c r="W432" s="824">
        <v>16</v>
      </c>
      <c r="X432" s="824">
        <v>10</v>
      </c>
      <c r="Y432" s="824">
        <v>4</v>
      </c>
      <c r="Z432" s="480" t="str">
        <f t="shared" si="6"/>
        <v/>
      </c>
    </row>
    <row r="433" spans="1:26">
      <c r="A433" s="825" t="s">
        <v>840</v>
      </c>
      <c r="B433" s="826">
        <v>989</v>
      </c>
      <c r="C433" s="829"/>
      <c r="D433" s="828">
        <v>9.7128399999999999</v>
      </c>
      <c r="E433" s="828">
        <v>7.0427</v>
      </c>
      <c r="F433" s="828">
        <v>49.599640000000001</v>
      </c>
      <c r="G433" s="828">
        <v>28</v>
      </c>
      <c r="H433" s="828">
        <v>1</v>
      </c>
      <c r="I433" s="828">
        <v>4</v>
      </c>
      <c r="J433" s="828">
        <v>14</v>
      </c>
      <c r="K433" s="828">
        <v>8</v>
      </c>
      <c r="L433" s="828">
        <v>3</v>
      </c>
      <c r="N433" s="222" t="s">
        <v>840</v>
      </c>
      <c r="O433" s="222" t="s">
        <v>841</v>
      </c>
      <c r="P433" s="824">
        <v>989</v>
      </c>
      <c r="Q433" s="824">
        <v>9.7128399999999999</v>
      </c>
      <c r="R433" s="824">
        <v>49.599640000000001</v>
      </c>
      <c r="S433" s="824">
        <v>7.0427</v>
      </c>
      <c r="T433" s="824">
        <v>28</v>
      </c>
      <c r="U433" s="824">
        <v>1</v>
      </c>
      <c r="V433" s="824">
        <v>4</v>
      </c>
      <c r="W433" s="824">
        <v>14</v>
      </c>
      <c r="X433" s="824">
        <v>8</v>
      </c>
      <c r="Y433" s="824">
        <v>3</v>
      </c>
      <c r="Z433" s="480" t="str">
        <f t="shared" si="6"/>
        <v/>
      </c>
    </row>
    <row r="434" spans="1:26">
      <c r="A434" s="825" t="s">
        <v>842</v>
      </c>
      <c r="B434" s="826">
        <v>1735</v>
      </c>
      <c r="C434" s="827"/>
      <c r="D434" s="828">
        <v>15.468590000000001</v>
      </c>
      <c r="E434" s="828">
        <v>9.2526399999999995</v>
      </c>
      <c r="F434" s="828">
        <v>85.611329999999995</v>
      </c>
      <c r="G434" s="828">
        <v>33</v>
      </c>
      <c r="H434" s="828">
        <v>1</v>
      </c>
      <c r="I434" s="828">
        <v>8</v>
      </c>
      <c r="J434" s="828">
        <v>23</v>
      </c>
      <c r="K434" s="828">
        <v>14</v>
      </c>
      <c r="L434" s="828">
        <v>13</v>
      </c>
      <c r="N434" s="222" t="s">
        <v>842</v>
      </c>
      <c r="O434" s="222" t="s">
        <v>843</v>
      </c>
      <c r="P434" s="824">
        <v>1735</v>
      </c>
      <c r="Q434" s="824">
        <v>15.468590000000001</v>
      </c>
      <c r="R434" s="824">
        <v>85.611329999999995</v>
      </c>
      <c r="S434" s="824">
        <v>9.2526399999999995</v>
      </c>
      <c r="T434" s="824">
        <v>33</v>
      </c>
      <c r="U434" s="824">
        <v>1</v>
      </c>
      <c r="V434" s="824">
        <v>8</v>
      </c>
      <c r="W434" s="824">
        <v>23</v>
      </c>
      <c r="X434" s="824">
        <v>14</v>
      </c>
      <c r="Y434" s="824">
        <v>13</v>
      </c>
      <c r="Z434" s="480" t="str">
        <f t="shared" si="6"/>
        <v/>
      </c>
    </row>
    <row r="435" spans="1:26">
      <c r="A435" s="825" t="s">
        <v>844</v>
      </c>
      <c r="B435" s="826">
        <v>47939</v>
      </c>
      <c r="C435" s="827"/>
      <c r="D435" s="828">
        <v>12.988189999999999</v>
      </c>
      <c r="E435" s="828">
        <v>8.0765600000000006</v>
      </c>
      <c r="F435" s="828">
        <v>65.230779999999996</v>
      </c>
      <c r="G435" s="828">
        <v>31</v>
      </c>
      <c r="H435" s="828">
        <v>1</v>
      </c>
      <c r="I435" s="828">
        <v>6</v>
      </c>
      <c r="J435" s="828">
        <v>19</v>
      </c>
      <c r="K435" s="828">
        <v>12</v>
      </c>
      <c r="L435" s="828">
        <v>3</v>
      </c>
      <c r="N435" s="222" t="s">
        <v>844</v>
      </c>
      <c r="O435" s="222" t="s">
        <v>845</v>
      </c>
      <c r="P435" s="824">
        <v>47939</v>
      </c>
      <c r="Q435" s="824">
        <v>12.988189999999999</v>
      </c>
      <c r="R435" s="824">
        <v>65.230779999999996</v>
      </c>
      <c r="S435" s="824">
        <v>8.0765600000000006</v>
      </c>
      <c r="T435" s="824">
        <v>31</v>
      </c>
      <c r="U435" s="824">
        <v>1</v>
      </c>
      <c r="V435" s="824">
        <v>6</v>
      </c>
      <c r="W435" s="824">
        <v>19</v>
      </c>
      <c r="X435" s="824">
        <v>12</v>
      </c>
      <c r="Y435" s="824">
        <v>3</v>
      </c>
      <c r="Z435" s="480" t="str">
        <f t="shared" si="6"/>
        <v/>
      </c>
    </row>
    <row r="436" spans="1:26">
      <c r="A436" s="825" t="s">
        <v>846</v>
      </c>
      <c r="B436" s="826">
        <v>38839</v>
      </c>
      <c r="C436" s="827"/>
      <c r="D436" s="828">
        <v>10.804679999999999</v>
      </c>
      <c r="E436" s="828">
        <v>7.06229</v>
      </c>
      <c r="F436" s="828">
        <v>49.875950000000003</v>
      </c>
      <c r="G436" s="828">
        <v>27</v>
      </c>
      <c r="H436" s="828">
        <v>1</v>
      </c>
      <c r="I436" s="828">
        <v>5</v>
      </c>
      <c r="J436" s="828">
        <v>16</v>
      </c>
      <c r="K436" s="828">
        <v>9</v>
      </c>
      <c r="L436" s="828">
        <v>3</v>
      </c>
      <c r="N436" s="222" t="s">
        <v>846</v>
      </c>
      <c r="O436" s="222" t="s">
        <v>2132</v>
      </c>
      <c r="P436" s="824">
        <v>38839</v>
      </c>
      <c r="Q436" s="824">
        <v>10.804679999999999</v>
      </c>
      <c r="R436" s="824">
        <v>49.875950000000003</v>
      </c>
      <c r="S436" s="824">
        <v>7.06229</v>
      </c>
      <c r="T436" s="824">
        <v>27</v>
      </c>
      <c r="U436" s="824">
        <v>1</v>
      </c>
      <c r="V436" s="824">
        <v>5</v>
      </c>
      <c r="W436" s="824">
        <v>16</v>
      </c>
      <c r="X436" s="824">
        <v>9</v>
      </c>
      <c r="Y436" s="824">
        <v>3</v>
      </c>
      <c r="Z436" s="480" t="str">
        <f t="shared" si="6"/>
        <v/>
      </c>
    </row>
    <row r="437" spans="1:26">
      <c r="A437" s="825" t="s">
        <v>847</v>
      </c>
      <c r="B437" s="826">
        <v>52616</v>
      </c>
      <c r="C437" s="827"/>
      <c r="D437" s="828">
        <v>10.6942</v>
      </c>
      <c r="E437" s="828">
        <v>6.94686</v>
      </c>
      <c r="F437" s="828">
        <v>48.258890000000001</v>
      </c>
      <c r="G437" s="828">
        <v>26</v>
      </c>
      <c r="H437" s="828">
        <v>1</v>
      </c>
      <c r="I437" s="828">
        <v>5</v>
      </c>
      <c r="J437" s="828">
        <v>16</v>
      </c>
      <c r="K437" s="828">
        <v>9</v>
      </c>
      <c r="L437" s="828">
        <v>3</v>
      </c>
      <c r="N437" s="222" t="s">
        <v>847</v>
      </c>
      <c r="O437" s="222" t="s">
        <v>2133</v>
      </c>
      <c r="P437" s="824">
        <v>52616</v>
      </c>
      <c r="Q437" s="824">
        <v>10.6942</v>
      </c>
      <c r="R437" s="824">
        <v>48.258890000000001</v>
      </c>
      <c r="S437" s="824">
        <v>6.94686</v>
      </c>
      <c r="T437" s="824">
        <v>26</v>
      </c>
      <c r="U437" s="824">
        <v>1</v>
      </c>
      <c r="V437" s="824">
        <v>5</v>
      </c>
      <c r="W437" s="824">
        <v>16</v>
      </c>
      <c r="X437" s="824">
        <v>9</v>
      </c>
      <c r="Y437" s="824">
        <v>3</v>
      </c>
      <c r="Z437" s="480" t="str">
        <f t="shared" si="6"/>
        <v/>
      </c>
    </row>
    <row r="438" spans="1:26">
      <c r="A438" s="825" t="s">
        <v>848</v>
      </c>
      <c r="B438" s="826">
        <v>33028</v>
      </c>
      <c r="C438" s="827"/>
      <c r="D438" s="828">
        <v>9.6994699999999998</v>
      </c>
      <c r="E438" s="828">
        <v>6.4163399999999999</v>
      </c>
      <c r="F438" s="828">
        <v>41.169429999999998</v>
      </c>
      <c r="G438" s="828">
        <v>24</v>
      </c>
      <c r="H438" s="828">
        <v>1</v>
      </c>
      <c r="I438" s="828">
        <v>4</v>
      </c>
      <c r="J438" s="828">
        <v>14</v>
      </c>
      <c r="K438" s="828">
        <v>8</v>
      </c>
      <c r="L438" s="828">
        <v>2</v>
      </c>
      <c r="N438" s="222" t="s">
        <v>848</v>
      </c>
      <c r="O438" s="222" t="s">
        <v>849</v>
      </c>
      <c r="P438" s="824">
        <v>33028</v>
      </c>
      <c r="Q438" s="824">
        <v>9.6994699999999998</v>
      </c>
      <c r="R438" s="824">
        <v>41.169429999999998</v>
      </c>
      <c r="S438" s="824">
        <v>6.4163399999999999</v>
      </c>
      <c r="T438" s="824">
        <v>24</v>
      </c>
      <c r="U438" s="824">
        <v>1</v>
      </c>
      <c r="V438" s="824">
        <v>4</v>
      </c>
      <c r="W438" s="824">
        <v>14</v>
      </c>
      <c r="X438" s="824">
        <v>8</v>
      </c>
      <c r="Y438" s="824">
        <v>2</v>
      </c>
      <c r="Z438" s="480" t="str">
        <f t="shared" si="6"/>
        <v/>
      </c>
    </row>
    <row r="439" spans="1:26">
      <c r="A439" s="825" t="s">
        <v>850</v>
      </c>
      <c r="B439" s="826">
        <v>9590</v>
      </c>
      <c r="C439" s="827"/>
      <c r="D439" s="828">
        <v>10.763820000000001</v>
      </c>
      <c r="E439" s="828">
        <v>6.9640399999999998</v>
      </c>
      <c r="F439" s="828">
        <v>48.497869999999999</v>
      </c>
      <c r="G439" s="828">
        <v>26</v>
      </c>
      <c r="H439" s="828">
        <v>1</v>
      </c>
      <c r="I439" s="828">
        <v>5</v>
      </c>
      <c r="J439" s="828">
        <v>16</v>
      </c>
      <c r="K439" s="828">
        <v>10</v>
      </c>
      <c r="L439" s="828">
        <v>3</v>
      </c>
      <c r="N439" s="222" t="s">
        <v>850</v>
      </c>
      <c r="O439" s="222" t="s">
        <v>851</v>
      </c>
      <c r="P439" s="824">
        <v>9590</v>
      </c>
      <c r="Q439" s="824">
        <v>10.763820000000001</v>
      </c>
      <c r="R439" s="824">
        <v>48.497869999999999</v>
      </c>
      <c r="S439" s="824">
        <v>6.9640399999999998</v>
      </c>
      <c r="T439" s="824">
        <v>26</v>
      </c>
      <c r="U439" s="824">
        <v>1</v>
      </c>
      <c r="V439" s="824">
        <v>5</v>
      </c>
      <c r="W439" s="824">
        <v>16</v>
      </c>
      <c r="X439" s="824">
        <v>10</v>
      </c>
      <c r="Y439" s="824">
        <v>3</v>
      </c>
      <c r="Z439" s="480" t="str">
        <f t="shared" si="6"/>
        <v/>
      </c>
    </row>
    <row r="440" spans="1:26">
      <c r="A440" s="825" t="s">
        <v>852</v>
      </c>
      <c r="B440" s="826">
        <v>81368</v>
      </c>
      <c r="C440" s="827"/>
      <c r="D440" s="828">
        <v>9.5975400000000004</v>
      </c>
      <c r="E440" s="828">
        <v>6.62608</v>
      </c>
      <c r="F440" s="828">
        <v>43.904969999999999</v>
      </c>
      <c r="G440" s="828">
        <v>25</v>
      </c>
      <c r="H440" s="828">
        <v>1</v>
      </c>
      <c r="I440" s="828">
        <v>4</v>
      </c>
      <c r="J440" s="828">
        <v>14</v>
      </c>
      <c r="K440" s="828">
        <v>8</v>
      </c>
      <c r="L440" s="828">
        <v>2</v>
      </c>
      <c r="N440" s="222" t="s">
        <v>852</v>
      </c>
      <c r="O440" s="222" t="s">
        <v>853</v>
      </c>
      <c r="P440" s="824">
        <v>81368</v>
      </c>
      <c r="Q440" s="824">
        <v>9.5975400000000004</v>
      </c>
      <c r="R440" s="824">
        <v>43.904969999999999</v>
      </c>
      <c r="S440" s="824">
        <v>6.62608</v>
      </c>
      <c r="T440" s="824">
        <v>25</v>
      </c>
      <c r="U440" s="824">
        <v>1</v>
      </c>
      <c r="V440" s="824">
        <v>4</v>
      </c>
      <c r="W440" s="824">
        <v>14</v>
      </c>
      <c r="X440" s="824">
        <v>8</v>
      </c>
      <c r="Y440" s="824">
        <v>2</v>
      </c>
      <c r="Z440" s="480" t="str">
        <f t="shared" si="6"/>
        <v/>
      </c>
    </row>
    <row r="441" spans="1:26">
      <c r="A441" s="825" t="s">
        <v>854</v>
      </c>
      <c r="B441" s="826">
        <v>23495</v>
      </c>
      <c r="C441" s="827"/>
      <c r="D441" s="828">
        <v>11.684950000000001</v>
      </c>
      <c r="E441" s="828">
        <v>7.2004400000000004</v>
      </c>
      <c r="F441" s="828">
        <v>51.846350000000001</v>
      </c>
      <c r="G441" s="828">
        <v>27</v>
      </c>
      <c r="H441" s="828">
        <v>1</v>
      </c>
      <c r="I441" s="828">
        <v>6</v>
      </c>
      <c r="J441" s="828">
        <v>17</v>
      </c>
      <c r="K441" s="828">
        <v>11</v>
      </c>
      <c r="L441" s="828">
        <v>4</v>
      </c>
      <c r="N441" s="222" t="s">
        <v>854</v>
      </c>
      <c r="O441" s="222" t="s">
        <v>855</v>
      </c>
      <c r="P441" s="824">
        <v>23495</v>
      </c>
      <c r="Q441" s="824">
        <v>11.684950000000001</v>
      </c>
      <c r="R441" s="824">
        <v>51.846350000000001</v>
      </c>
      <c r="S441" s="824">
        <v>7.2004400000000004</v>
      </c>
      <c r="T441" s="824">
        <v>27</v>
      </c>
      <c r="U441" s="824">
        <v>1</v>
      </c>
      <c r="V441" s="824">
        <v>6</v>
      </c>
      <c r="W441" s="824">
        <v>17</v>
      </c>
      <c r="X441" s="824">
        <v>11</v>
      </c>
      <c r="Y441" s="824">
        <v>4</v>
      </c>
      <c r="Z441" s="480" t="str">
        <f t="shared" si="6"/>
        <v/>
      </c>
    </row>
    <row r="442" spans="1:26">
      <c r="A442" s="825" t="s">
        <v>856</v>
      </c>
      <c r="B442" s="826">
        <v>58400</v>
      </c>
      <c r="C442" s="827"/>
      <c r="D442" s="828">
        <v>13.701280000000001</v>
      </c>
      <c r="E442" s="828">
        <v>8.2051300000000005</v>
      </c>
      <c r="F442" s="828">
        <v>67.32423</v>
      </c>
      <c r="G442" s="828">
        <v>31</v>
      </c>
      <c r="H442" s="828">
        <v>1</v>
      </c>
      <c r="I442" s="828">
        <v>7</v>
      </c>
      <c r="J442" s="828">
        <v>20</v>
      </c>
      <c r="K442" s="828">
        <v>13</v>
      </c>
      <c r="L442" s="828">
        <v>6</v>
      </c>
      <c r="N442" s="222" t="s">
        <v>856</v>
      </c>
      <c r="O442" s="222" t="s">
        <v>857</v>
      </c>
      <c r="P442" s="824">
        <v>58400</v>
      </c>
      <c r="Q442" s="824">
        <v>13.701280000000001</v>
      </c>
      <c r="R442" s="824">
        <v>67.32423</v>
      </c>
      <c r="S442" s="824">
        <v>8.2051300000000005</v>
      </c>
      <c r="T442" s="824">
        <v>31</v>
      </c>
      <c r="U442" s="824">
        <v>1</v>
      </c>
      <c r="V442" s="824">
        <v>7</v>
      </c>
      <c r="W442" s="824">
        <v>20</v>
      </c>
      <c r="X442" s="824">
        <v>13</v>
      </c>
      <c r="Y442" s="824">
        <v>6</v>
      </c>
      <c r="Z442" s="480" t="str">
        <f t="shared" si="6"/>
        <v/>
      </c>
    </row>
    <row r="443" spans="1:26">
      <c r="A443" s="825" t="s">
        <v>858</v>
      </c>
      <c r="B443" s="826">
        <v>85938</v>
      </c>
      <c r="C443" s="827"/>
      <c r="D443" s="828">
        <v>12.537789999999999</v>
      </c>
      <c r="E443" s="828">
        <v>7.7490800000000002</v>
      </c>
      <c r="F443" s="828">
        <v>60.04824</v>
      </c>
      <c r="G443" s="828">
        <v>29</v>
      </c>
      <c r="H443" s="828">
        <v>1</v>
      </c>
      <c r="I443" s="828">
        <v>6</v>
      </c>
      <c r="J443" s="828">
        <v>18</v>
      </c>
      <c r="K443" s="828">
        <v>11</v>
      </c>
      <c r="L443" s="828">
        <v>3</v>
      </c>
      <c r="N443" s="222" t="s">
        <v>858</v>
      </c>
      <c r="O443" s="222" t="s">
        <v>859</v>
      </c>
      <c r="P443" s="824">
        <v>85938</v>
      </c>
      <c r="Q443" s="824">
        <v>12.537789999999999</v>
      </c>
      <c r="R443" s="824">
        <v>60.04824</v>
      </c>
      <c r="S443" s="824">
        <v>7.7490800000000002</v>
      </c>
      <c r="T443" s="824">
        <v>29</v>
      </c>
      <c r="U443" s="824">
        <v>1</v>
      </c>
      <c r="V443" s="824">
        <v>6</v>
      </c>
      <c r="W443" s="824">
        <v>18</v>
      </c>
      <c r="X443" s="824">
        <v>11</v>
      </c>
      <c r="Y443" s="824">
        <v>3</v>
      </c>
      <c r="Z443" s="480" t="str">
        <f t="shared" si="6"/>
        <v/>
      </c>
    </row>
    <row r="444" spans="1:26">
      <c r="A444" s="825" t="s">
        <v>860</v>
      </c>
      <c r="B444" s="826">
        <v>19293</v>
      </c>
      <c r="C444" s="827"/>
      <c r="D444" s="828">
        <v>10.634169999999999</v>
      </c>
      <c r="E444" s="828">
        <v>7.0668699999999998</v>
      </c>
      <c r="F444" s="828">
        <v>49.9407</v>
      </c>
      <c r="G444" s="828">
        <v>27</v>
      </c>
      <c r="H444" s="828">
        <v>1</v>
      </c>
      <c r="I444" s="828">
        <v>5</v>
      </c>
      <c r="J444" s="828">
        <v>16</v>
      </c>
      <c r="K444" s="828">
        <v>9</v>
      </c>
      <c r="L444" s="828">
        <v>3</v>
      </c>
      <c r="N444" s="222" t="s">
        <v>860</v>
      </c>
      <c r="O444" s="222" t="s">
        <v>861</v>
      </c>
      <c r="P444" s="824">
        <v>19293</v>
      </c>
      <c r="Q444" s="824">
        <v>10.634169999999999</v>
      </c>
      <c r="R444" s="824">
        <v>49.9407</v>
      </c>
      <c r="S444" s="824">
        <v>7.0668699999999998</v>
      </c>
      <c r="T444" s="824">
        <v>27</v>
      </c>
      <c r="U444" s="824">
        <v>1</v>
      </c>
      <c r="V444" s="824">
        <v>5</v>
      </c>
      <c r="W444" s="824">
        <v>16</v>
      </c>
      <c r="X444" s="824">
        <v>9</v>
      </c>
      <c r="Y444" s="824">
        <v>3</v>
      </c>
      <c r="Z444" s="480" t="str">
        <f t="shared" si="6"/>
        <v/>
      </c>
    </row>
    <row r="445" spans="1:26">
      <c r="A445" s="825" t="s">
        <v>862</v>
      </c>
      <c r="B445" s="826">
        <v>3453</v>
      </c>
      <c r="C445" s="827"/>
      <c r="D445" s="828">
        <v>11.59803</v>
      </c>
      <c r="E445" s="828">
        <v>7.0737699999999997</v>
      </c>
      <c r="F445" s="828">
        <v>50.038260000000001</v>
      </c>
      <c r="G445" s="828">
        <v>26</v>
      </c>
      <c r="H445" s="828">
        <v>1</v>
      </c>
      <c r="I445" s="828">
        <v>5</v>
      </c>
      <c r="J445" s="828">
        <v>17</v>
      </c>
      <c r="K445" s="828">
        <v>11</v>
      </c>
      <c r="L445" s="828">
        <v>2</v>
      </c>
      <c r="N445" s="222" t="s">
        <v>862</v>
      </c>
      <c r="O445" s="222" t="s">
        <v>2134</v>
      </c>
      <c r="P445" s="824">
        <v>3453</v>
      </c>
      <c r="Q445" s="824">
        <v>11.59803</v>
      </c>
      <c r="R445" s="824">
        <v>50.038260000000001</v>
      </c>
      <c r="S445" s="824">
        <v>7.0737699999999997</v>
      </c>
      <c r="T445" s="824">
        <v>26</v>
      </c>
      <c r="U445" s="824">
        <v>1</v>
      </c>
      <c r="V445" s="824">
        <v>5</v>
      </c>
      <c r="W445" s="824">
        <v>17</v>
      </c>
      <c r="X445" s="824">
        <v>11</v>
      </c>
      <c r="Y445" s="824">
        <v>2</v>
      </c>
      <c r="Z445" s="480" t="str">
        <f t="shared" si="6"/>
        <v/>
      </c>
    </row>
    <row r="446" spans="1:26">
      <c r="A446" s="825" t="s">
        <v>863</v>
      </c>
      <c r="B446" s="826">
        <v>767</v>
      </c>
      <c r="C446" s="827"/>
      <c r="D446" s="828">
        <v>9.8852700000000002</v>
      </c>
      <c r="E446" s="828">
        <v>6.2758500000000002</v>
      </c>
      <c r="F446" s="828">
        <v>39.386299999999999</v>
      </c>
      <c r="G446" s="828">
        <v>23</v>
      </c>
      <c r="H446" s="828">
        <v>1</v>
      </c>
      <c r="I446" s="828">
        <v>4</v>
      </c>
      <c r="J446" s="828">
        <v>15</v>
      </c>
      <c r="K446" s="828">
        <v>9</v>
      </c>
      <c r="L446" s="828">
        <v>4</v>
      </c>
      <c r="N446" s="222" t="s">
        <v>863</v>
      </c>
      <c r="O446" s="222" t="s">
        <v>864</v>
      </c>
      <c r="P446" s="824">
        <v>767</v>
      </c>
      <c r="Q446" s="824">
        <v>9.8852700000000002</v>
      </c>
      <c r="R446" s="824">
        <v>39.386299999999999</v>
      </c>
      <c r="S446" s="824">
        <v>6.2758500000000002</v>
      </c>
      <c r="T446" s="824">
        <v>23</v>
      </c>
      <c r="U446" s="824">
        <v>1</v>
      </c>
      <c r="V446" s="824">
        <v>4</v>
      </c>
      <c r="W446" s="824">
        <v>15</v>
      </c>
      <c r="X446" s="824">
        <v>9</v>
      </c>
      <c r="Y446" s="824">
        <v>4</v>
      </c>
      <c r="Z446" s="480" t="str">
        <f t="shared" si="6"/>
        <v/>
      </c>
    </row>
    <row r="447" spans="1:26">
      <c r="A447" s="825" t="s">
        <v>865</v>
      </c>
      <c r="B447" s="826">
        <v>87</v>
      </c>
      <c r="C447" s="827"/>
      <c r="D447" s="828">
        <v>9.0344800000000003</v>
      </c>
      <c r="E447" s="828">
        <v>5.35799</v>
      </c>
      <c r="F447" s="828">
        <v>28.708100000000002</v>
      </c>
      <c r="G447" s="828">
        <v>23</v>
      </c>
      <c r="H447" s="828">
        <v>1</v>
      </c>
      <c r="I447" s="828">
        <v>4</v>
      </c>
      <c r="J447" s="828">
        <v>13</v>
      </c>
      <c r="K447" s="828">
        <v>9</v>
      </c>
      <c r="L447" s="828">
        <v>3</v>
      </c>
      <c r="N447" s="222" t="s">
        <v>865</v>
      </c>
      <c r="O447" s="222" t="s">
        <v>2135</v>
      </c>
      <c r="P447" s="824">
        <v>87</v>
      </c>
      <c r="Q447" s="824">
        <v>9.0344800000000003</v>
      </c>
      <c r="R447" s="824">
        <v>28.708100000000002</v>
      </c>
      <c r="S447" s="824">
        <v>5.35799</v>
      </c>
      <c r="T447" s="824">
        <v>23</v>
      </c>
      <c r="U447" s="824">
        <v>1</v>
      </c>
      <c r="V447" s="824">
        <v>4</v>
      </c>
      <c r="W447" s="824">
        <v>13</v>
      </c>
      <c r="X447" s="824">
        <v>9</v>
      </c>
      <c r="Y447" s="824">
        <v>3</v>
      </c>
      <c r="Z447" s="480" t="str">
        <f t="shared" si="6"/>
        <v/>
      </c>
    </row>
    <row r="448" spans="1:26">
      <c r="A448" s="825" t="s">
        <v>866</v>
      </c>
      <c r="B448" s="826">
        <v>407</v>
      </c>
      <c r="C448" s="827"/>
      <c r="D448" s="828">
        <v>13.719900000000001</v>
      </c>
      <c r="E448" s="828">
        <v>7.7042099999999998</v>
      </c>
      <c r="F448" s="828">
        <v>59.354849999999999</v>
      </c>
      <c r="G448" s="828">
        <v>30</v>
      </c>
      <c r="H448" s="828">
        <v>1</v>
      </c>
      <c r="I448" s="828">
        <v>7</v>
      </c>
      <c r="J448" s="828">
        <v>19</v>
      </c>
      <c r="K448" s="828">
        <v>13</v>
      </c>
      <c r="L448" s="828">
        <v>8</v>
      </c>
      <c r="N448" s="222" t="s">
        <v>866</v>
      </c>
      <c r="O448" s="222" t="s">
        <v>867</v>
      </c>
      <c r="P448" s="824">
        <v>407</v>
      </c>
      <c r="Q448" s="824">
        <v>13.719900000000001</v>
      </c>
      <c r="R448" s="824">
        <v>59.354849999999999</v>
      </c>
      <c r="S448" s="824">
        <v>7.7042099999999998</v>
      </c>
      <c r="T448" s="824">
        <v>30</v>
      </c>
      <c r="U448" s="824">
        <v>1</v>
      </c>
      <c r="V448" s="824">
        <v>7</v>
      </c>
      <c r="W448" s="824">
        <v>19</v>
      </c>
      <c r="X448" s="824">
        <v>13</v>
      </c>
      <c r="Y448" s="824">
        <v>8</v>
      </c>
      <c r="Z448" s="480" t="str">
        <f t="shared" si="6"/>
        <v/>
      </c>
    </row>
    <row r="449" spans="1:26">
      <c r="A449" s="825" t="s">
        <v>868</v>
      </c>
      <c r="B449" s="826">
        <v>29</v>
      </c>
      <c r="C449" s="827"/>
      <c r="D449" s="828">
        <v>9.6206899999999997</v>
      </c>
      <c r="E449" s="828">
        <v>5.08087</v>
      </c>
      <c r="F449" s="828">
        <v>25.815270000000002</v>
      </c>
      <c r="G449" s="828">
        <v>19</v>
      </c>
      <c r="H449" s="828">
        <v>2</v>
      </c>
      <c r="I449" s="828">
        <v>6</v>
      </c>
      <c r="J449" s="828">
        <v>13</v>
      </c>
      <c r="K449" s="828">
        <v>10</v>
      </c>
      <c r="L449" s="830" t="s">
        <v>2229</v>
      </c>
      <c r="N449" s="222" t="s">
        <v>868</v>
      </c>
      <c r="O449" s="222" t="s">
        <v>2136</v>
      </c>
      <c r="P449" s="824">
        <v>29</v>
      </c>
      <c r="Q449" s="824">
        <v>9.6206899999999997</v>
      </c>
      <c r="R449" s="824">
        <v>25.815270000000002</v>
      </c>
      <c r="S449" s="824">
        <v>5.08087</v>
      </c>
      <c r="T449" s="824">
        <v>19</v>
      </c>
      <c r="U449" s="824">
        <v>2</v>
      </c>
      <c r="V449" s="824">
        <v>6</v>
      </c>
      <c r="W449" s="824">
        <v>13</v>
      </c>
      <c r="X449" s="824">
        <v>10</v>
      </c>
      <c r="Y449" s="222" t="s">
        <v>2229</v>
      </c>
      <c r="Z449" s="480" t="str">
        <f t="shared" si="6"/>
        <v/>
      </c>
    </row>
    <row r="450" spans="1:26">
      <c r="A450" s="825" t="s">
        <v>869</v>
      </c>
      <c r="B450" s="826">
        <v>5820</v>
      </c>
      <c r="C450" s="827"/>
      <c r="D450" s="828">
        <v>12.866149999999999</v>
      </c>
      <c r="E450" s="828">
        <v>8.4468800000000002</v>
      </c>
      <c r="F450" s="828">
        <v>71.34984</v>
      </c>
      <c r="G450" s="828">
        <v>31</v>
      </c>
      <c r="H450" s="828">
        <v>1</v>
      </c>
      <c r="I450" s="828">
        <v>5</v>
      </c>
      <c r="J450" s="828">
        <v>19</v>
      </c>
      <c r="K450" s="828">
        <v>11</v>
      </c>
      <c r="L450" s="828">
        <v>4</v>
      </c>
      <c r="N450" s="222" t="s">
        <v>869</v>
      </c>
      <c r="O450" s="222" t="s">
        <v>870</v>
      </c>
      <c r="P450" s="824">
        <v>5820</v>
      </c>
      <c r="Q450" s="824">
        <v>12.866149999999999</v>
      </c>
      <c r="R450" s="824">
        <v>71.34984</v>
      </c>
      <c r="S450" s="824">
        <v>8.4468800000000002</v>
      </c>
      <c r="T450" s="824">
        <v>31</v>
      </c>
      <c r="U450" s="824">
        <v>1</v>
      </c>
      <c r="V450" s="824">
        <v>5</v>
      </c>
      <c r="W450" s="824">
        <v>19</v>
      </c>
      <c r="X450" s="824">
        <v>11</v>
      </c>
      <c r="Y450" s="824">
        <v>4</v>
      </c>
      <c r="Z450" s="480" t="str">
        <f t="shared" si="6"/>
        <v/>
      </c>
    </row>
    <row r="451" spans="1:26">
      <c r="A451" s="825" t="s">
        <v>871</v>
      </c>
      <c r="B451" s="826">
        <v>2271</v>
      </c>
      <c r="C451" s="827"/>
      <c r="D451" s="828">
        <v>11.546900000000001</v>
      </c>
      <c r="E451" s="828">
        <v>7.5456500000000002</v>
      </c>
      <c r="F451" s="828">
        <v>56.936900000000001</v>
      </c>
      <c r="G451" s="828">
        <v>28</v>
      </c>
      <c r="H451" s="828">
        <v>1</v>
      </c>
      <c r="I451" s="828">
        <v>5</v>
      </c>
      <c r="J451" s="828">
        <v>17</v>
      </c>
      <c r="K451" s="828">
        <v>10</v>
      </c>
      <c r="L451" s="828">
        <v>4</v>
      </c>
      <c r="N451" s="222" t="s">
        <v>871</v>
      </c>
      <c r="O451" s="222" t="s">
        <v>872</v>
      </c>
      <c r="P451" s="824">
        <v>2271</v>
      </c>
      <c r="Q451" s="824">
        <v>11.546900000000001</v>
      </c>
      <c r="R451" s="824">
        <v>56.936900000000001</v>
      </c>
      <c r="S451" s="824">
        <v>7.5456500000000002</v>
      </c>
      <c r="T451" s="824">
        <v>28</v>
      </c>
      <c r="U451" s="824">
        <v>1</v>
      </c>
      <c r="V451" s="824">
        <v>5</v>
      </c>
      <c r="W451" s="824">
        <v>17</v>
      </c>
      <c r="X451" s="824">
        <v>10</v>
      </c>
      <c r="Y451" s="824">
        <v>4</v>
      </c>
      <c r="Z451" s="480" t="str">
        <f t="shared" si="6"/>
        <v/>
      </c>
    </row>
    <row r="452" spans="1:26">
      <c r="A452" s="825" t="s">
        <v>873</v>
      </c>
      <c r="B452" s="826">
        <v>22</v>
      </c>
      <c r="C452" s="829"/>
      <c r="D452" s="828">
        <v>8.4090900000000008</v>
      </c>
      <c r="E452" s="828">
        <v>7.2942200000000001</v>
      </c>
      <c r="F452" s="828">
        <v>53.205629999999999</v>
      </c>
      <c r="G452" s="828">
        <v>26</v>
      </c>
      <c r="H452" s="828">
        <v>1</v>
      </c>
      <c r="I452" s="828">
        <v>2</v>
      </c>
      <c r="J452" s="828">
        <v>12</v>
      </c>
      <c r="K452" s="828">
        <v>7</v>
      </c>
      <c r="L452" s="828">
        <v>2</v>
      </c>
      <c r="N452" s="222" t="s">
        <v>873</v>
      </c>
      <c r="O452" s="222" t="s">
        <v>2137</v>
      </c>
      <c r="P452" s="824">
        <v>22</v>
      </c>
      <c r="Q452" s="824">
        <v>8.4090900000000008</v>
      </c>
      <c r="R452" s="824">
        <v>53.205629999999999</v>
      </c>
      <c r="S452" s="824">
        <v>7.2942200000000001</v>
      </c>
      <c r="T452" s="824">
        <v>26</v>
      </c>
      <c r="U452" s="824">
        <v>1</v>
      </c>
      <c r="V452" s="824">
        <v>2</v>
      </c>
      <c r="W452" s="824">
        <v>12</v>
      </c>
      <c r="X452" s="824">
        <v>7</v>
      </c>
      <c r="Y452" s="824">
        <v>2</v>
      </c>
      <c r="Z452" s="480" t="str">
        <f t="shared" ref="Z452:Z515" si="7">IF(AND(A452=N452,B452=P452,D452=Q452,E452=S452,F452=R452,G452=T452,H452=U452,I452=V452,J452=W452,K452,X452,L452=Y452),"","x")</f>
        <v/>
      </c>
    </row>
    <row r="453" spans="1:26">
      <c r="A453" s="825" t="s">
        <v>874</v>
      </c>
      <c r="B453" s="826">
        <v>3296</v>
      </c>
      <c r="C453" s="827"/>
      <c r="D453" s="828">
        <v>9.5406600000000008</v>
      </c>
      <c r="E453" s="828">
        <v>8.5241900000000008</v>
      </c>
      <c r="F453" s="828">
        <v>72.661779999999993</v>
      </c>
      <c r="G453" s="828">
        <v>55</v>
      </c>
      <c r="H453" s="828">
        <v>1</v>
      </c>
      <c r="I453" s="828">
        <v>4</v>
      </c>
      <c r="J453" s="828">
        <v>13</v>
      </c>
      <c r="K453" s="828">
        <v>7</v>
      </c>
      <c r="L453" s="828">
        <v>3</v>
      </c>
      <c r="N453" s="222" t="s">
        <v>874</v>
      </c>
      <c r="O453" s="222" t="s">
        <v>875</v>
      </c>
      <c r="P453" s="824">
        <v>3296</v>
      </c>
      <c r="Q453" s="824">
        <v>9.5406600000000008</v>
      </c>
      <c r="R453" s="824">
        <v>72.661779999999993</v>
      </c>
      <c r="S453" s="824">
        <v>8.5241900000000008</v>
      </c>
      <c r="T453" s="824">
        <v>55</v>
      </c>
      <c r="U453" s="824">
        <v>1</v>
      </c>
      <c r="V453" s="824">
        <v>4</v>
      </c>
      <c r="W453" s="824">
        <v>13</v>
      </c>
      <c r="X453" s="824">
        <v>7</v>
      </c>
      <c r="Y453" s="824">
        <v>3</v>
      </c>
      <c r="Z453" s="480" t="str">
        <f t="shared" si="7"/>
        <v/>
      </c>
    </row>
    <row r="454" spans="1:26">
      <c r="A454" s="825" t="s">
        <v>876</v>
      </c>
      <c r="B454" s="826">
        <v>6324</v>
      </c>
      <c r="C454" s="827"/>
      <c r="D454" s="828">
        <v>8.3806100000000008</v>
      </c>
      <c r="E454" s="828">
        <v>5.4892399999999997</v>
      </c>
      <c r="F454" s="828">
        <v>30.131720000000001</v>
      </c>
      <c r="G454" s="828">
        <v>21</v>
      </c>
      <c r="H454" s="828">
        <v>1</v>
      </c>
      <c r="I454" s="828">
        <v>4</v>
      </c>
      <c r="J454" s="828">
        <v>12</v>
      </c>
      <c r="K454" s="828">
        <v>7</v>
      </c>
      <c r="L454" s="828">
        <v>3</v>
      </c>
      <c r="N454" s="222" t="s">
        <v>876</v>
      </c>
      <c r="O454" s="222" t="s">
        <v>2138</v>
      </c>
      <c r="P454" s="824">
        <v>6324</v>
      </c>
      <c r="Q454" s="824">
        <v>8.3806100000000008</v>
      </c>
      <c r="R454" s="824">
        <v>30.131720000000001</v>
      </c>
      <c r="S454" s="824">
        <v>5.4892399999999997</v>
      </c>
      <c r="T454" s="824">
        <v>21</v>
      </c>
      <c r="U454" s="824">
        <v>1</v>
      </c>
      <c r="V454" s="824">
        <v>4</v>
      </c>
      <c r="W454" s="824">
        <v>12</v>
      </c>
      <c r="X454" s="824">
        <v>7</v>
      </c>
      <c r="Y454" s="824">
        <v>3</v>
      </c>
      <c r="Z454" s="480" t="str">
        <f t="shared" si="7"/>
        <v/>
      </c>
    </row>
    <row r="455" spans="1:26">
      <c r="A455" s="825" t="s">
        <v>877</v>
      </c>
      <c r="B455" s="826">
        <v>16619</v>
      </c>
      <c r="C455" s="827"/>
      <c r="D455" s="828">
        <v>7.5730199999999996</v>
      </c>
      <c r="E455" s="828">
        <v>5.1795900000000001</v>
      </c>
      <c r="F455" s="828">
        <v>26.828150000000001</v>
      </c>
      <c r="G455" s="828">
        <v>20</v>
      </c>
      <c r="H455" s="828">
        <v>1</v>
      </c>
      <c r="I455" s="828">
        <v>3</v>
      </c>
      <c r="J455" s="828">
        <v>11</v>
      </c>
      <c r="K455" s="828">
        <v>6</v>
      </c>
      <c r="L455" s="828">
        <v>2</v>
      </c>
      <c r="N455" s="222" t="s">
        <v>877</v>
      </c>
      <c r="O455" s="222" t="s">
        <v>2139</v>
      </c>
      <c r="P455" s="824">
        <v>16619</v>
      </c>
      <c r="Q455" s="824">
        <v>7.5730199999999996</v>
      </c>
      <c r="R455" s="824">
        <v>26.828150000000001</v>
      </c>
      <c r="S455" s="824">
        <v>5.1795900000000001</v>
      </c>
      <c r="T455" s="824">
        <v>20</v>
      </c>
      <c r="U455" s="824">
        <v>1</v>
      </c>
      <c r="V455" s="824">
        <v>3</v>
      </c>
      <c r="W455" s="824">
        <v>11</v>
      </c>
      <c r="X455" s="824">
        <v>6</v>
      </c>
      <c r="Y455" s="824">
        <v>2</v>
      </c>
      <c r="Z455" s="480" t="str">
        <f t="shared" si="7"/>
        <v/>
      </c>
    </row>
    <row r="456" spans="1:26">
      <c r="A456" s="825" t="s">
        <v>878</v>
      </c>
      <c r="B456" s="826">
        <v>53657</v>
      </c>
      <c r="C456" s="827"/>
      <c r="D456" s="828">
        <v>7.4572599999999998</v>
      </c>
      <c r="E456" s="828">
        <v>5.0697400000000004</v>
      </c>
      <c r="F456" s="828">
        <v>25.702290000000001</v>
      </c>
      <c r="G456" s="828">
        <v>20</v>
      </c>
      <c r="H456" s="828">
        <v>1</v>
      </c>
      <c r="I456" s="828">
        <v>3</v>
      </c>
      <c r="J456" s="828">
        <v>11</v>
      </c>
      <c r="K456" s="828">
        <v>6</v>
      </c>
      <c r="L456" s="828">
        <v>2</v>
      </c>
      <c r="N456" s="222" t="s">
        <v>878</v>
      </c>
      <c r="O456" s="222" t="s">
        <v>879</v>
      </c>
      <c r="P456" s="824">
        <v>53657</v>
      </c>
      <c r="Q456" s="824">
        <v>7.4572599999999998</v>
      </c>
      <c r="R456" s="824">
        <v>25.702290000000001</v>
      </c>
      <c r="S456" s="824">
        <v>5.0697400000000004</v>
      </c>
      <c r="T456" s="824">
        <v>20</v>
      </c>
      <c r="U456" s="824">
        <v>1</v>
      </c>
      <c r="V456" s="824">
        <v>3</v>
      </c>
      <c r="W456" s="824">
        <v>11</v>
      </c>
      <c r="X456" s="824">
        <v>6</v>
      </c>
      <c r="Y456" s="824">
        <v>2</v>
      </c>
      <c r="Z456" s="480" t="str">
        <f t="shared" si="7"/>
        <v/>
      </c>
    </row>
    <row r="457" spans="1:26">
      <c r="A457" s="825" t="s">
        <v>880</v>
      </c>
      <c r="B457" s="826">
        <v>79</v>
      </c>
      <c r="C457" s="829"/>
      <c r="D457" s="828">
        <v>7.6202500000000004</v>
      </c>
      <c r="E457" s="828">
        <v>5.0872000000000002</v>
      </c>
      <c r="F457" s="828">
        <v>25.879580000000001</v>
      </c>
      <c r="G457" s="828">
        <v>21</v>
      </c>
      <c r="H457" s="828">
        <v>1</v>
      </c>
      <c r="I457" s="828">
        <v>4</v>
      </c>
      <c r="J457" s="828">
        <v>11</v>
      </c>
      <c r="K457" s="828">
        <v>6</v>
      </c>
      <c r="L457" s="828">
        <v>4</v>
      </c>
      <c r="N457" s="222" t="s">
        <v>880</v>
      </c>
      <c r="O457" s="222" t="s">
        <v>2140</v>
      </c>
      <c r="P457" s="824">
        <v>79</v>
      </c>
      <c r="Q457" s="824">
        <v>7.6202500000000004</v>
      </c>
      <c r="R457" s="824">
        <v>25.879580000000001</v>
      </c>
      <c r="S457" s="824">
        <v>5.0872000000000002</v>
      </c>
      <c r="T457" s="824">
        <v>21</v>
      </c>
      <c r="U457" s="824">
        <v>1</v>
      </c>
      <c r="V457" s="824">
        <v>4</v>
      </c>
      <c r="W457" s="824">
        <v>11</v>
      </c>
      <c r="X457" s="824">
        <v>6</v>
      </c>
      <c r="Y457" s="824">
        <v>4</v>
      </c>
      <c r="Z457" s="480" t="str">
        <f t="shared" si="7"/>
        <v/>
      </c>
    </row>
    <row r="458" spans="1:26">
      <c r="A458" s="825" t="s">
        <v>881</v>
      </c>
      <c r="B458" s="826">
        <v>54</v>
      </c>
      <c r="C458" s="829"/>
      <c r="D458" s="828">
        <v>8.0370399999999993</v>
      </c>
      <c r="E458" s="828">
        <v>5.6899899999999999</v>
      </c>
      <c r="F458" s="828">
        <v>32.375959999999999</v>
      </c>
      <c r="G458" s="828">
        <v>22</v>
      </c>
      <c r="H458" s="828">
        <v>1</v>
      </c>
      <c r="I458" s="828">
        <v>4</v>
      </c>
      <c r="J458" s="828">
        <v>12</v>
      </c>
      <c r="K458" s="828">
        <v>6</v>
      </c>
      <c r="L458" s="828">
        <v>5</v>
      </c>
      <c r="N458" s="222" t="s">
        <v>881</v>
      </c>
      <c r="O458" s="222" t="s">
        <v>2141</v>
      </c>
      <c r="P458" s="824">
        <v>54</v>
      </c>
      <c r="Q458" s="824">
        <v>8.0370399999999993</v>
      </c>
      <c r="R458" s="824">
        <v>32.375959999999999</v>
      </c>
      <c r="S458" s="824">
        <v>5.6899899999999999</v>
      </c>
      <c r="T458" s="824">
        <v>22</v>
      </c>
      <c r="U458" s="824">
        <v>1</v>
      </c>
      <c r="V458" s="824">
        <v>4</v>
      </c>
      <c r="W458" s="824">
        <v>12</v>
      </c>
      <c r="X458" s="824">
        <v>6</v>
      </c>
      <c r="Y458" s="824">
        <v>5</v>
      </c>
      <c r="Z458" s="480" t="str">
        <f t="shared" si="7"/>
        <v/>
      </c>
    </row>
    <row r="459" spans="1:26">
      <c r="A459" s="825" t="s">
        <v>882</v>
      </c>
      <c r="B459" s="826">
        <v>6638</v>
      </c>
      <c r="C459" s="827"/>
      <c r="D459" s="828">
        <v>9.9941200000000006</v>
      </c>
      <c r="E459" s="828">
        <v>6.2938099999999997</v>
      </c>
      <c r="F459" s="828">
        <v>39.611989999999999</v>
      </c>
      <c r="G459" s="828">
        <v>24</v>
      </c>
      <c r="H459" s="828">
        <v>1</v>
      </c>
      <c r="I459" s="828">
        <v>5</v>
      </c>
      <c r="J459" s="828">
        <v>15</v>
      </c>
      <c r="K459" s="828">
        <v>9</v>
      </c>
      <c r="L459" s="828">
        <v>3</v>
      </c>
      <c r="N459" s="222" t="s">
        <v>882</v>
      </c>
      <c r="O459" s="222" t="s">
        <v>883</v>
      </c>
      <c r="P459" s="824">
        <v>6638</v>
      </c>
      <c r="Q459" s="824">
        <v>9.9941200000000006</v>
      </c>
      <c r="R459" s="824">
        <v>39.611989999999999</v>
      </c>
      <c r="S459" s="824">
        <v>6.2938099999999997</v>
      </c>
      <c r="T459" s="824">
        <v>24</v>
      </c>
      <c r="U459" s="824">
        <v>1</v>
      </c>
      <c r="V459" s="824">
        <v>5</v>
      </c>
      <c r="W459" s="824">
        <v>15</v>
      </c>
      <c r="X459" s="824">
        <v>9</v>
      </c>
      <c r="Y459" s="824">
        <v>3</v>
      </c>
      <c r="Z459" s="480" t="str">
        <f t="shared" si="7"/>
        <v/>
      </c>
    </row>
    <row r="460" spans="1:26">
      <c r="A460" s="825" t="s">
        <v>884</v>
      </c>
      <c r="B460" s="826">
        <v>508</v>
      </c>
      <c r="C460" s="827"/>
      <c r="D460" s="828">
        <v>12.59055</v>
      </c>
      <c r="E460" s="828">
        <v>8.0859299999999994</v>
      </c>
      <c r="F460" s="828">
        <v>65.382320000000007</v>
      </c>
      <c r="G460" s="828">
        <v>30</v>
      </c>
      <c r="H460" s="828">
        <v>1</v>
      </c>
      <c r="I460" s="828">
        <v>5</v>
      </c>
      <c r="J460" s="828">
        <v>19</v>
      </c>
      <c r="K460" s="828">
        <v>12</v>
      </c>
      <c r="L460" s="828">
        <v>4</v>
      </c>
      <c r="N460" s="222" t="s">
        <v>884</v>
      </c>
      <c r="O460" s="222" t="s">
        <v>885</v>
      </c>
      <c r="P460" s="824">
        <v>508</v>
      </c>
      <c r="Q460" s="824">
        <v>12.59055</v>
      </c>
      <c r="R460" s="824">
        <v>65.382320000000007</v>
      </c>
      <c r="S460" s="824">
        <v>8.0859299999999994</v>
      </c>
      <c r="T460" s="824">
        <v>30</v>
      </c>
      <c r="U460" s="824">
        <v>1</v>
      </c>
      <c r="V460" s="824">
        <v>5</v>
      </c>
      <c r="W460" s="824">
        <v>19</v>
      </c>
      <c r="X460" s="824">
        <v>12</v>
      </c>
      <c r="Y460" s="824">
        <v>4</v>
      </c>
      <c r="Z460" s="480" t="str">
        <f t="shared" si="7"/>
        <v/>
      </c>
    </row>
    <row r="461" spans="1:26">
      <c r="A461" s="825" t="s">
        <v>886</v>
      </c>
      <c r="B461" s="826">
        <v>266</v>
      </c>
      <c r="C461" s="827"/>
      <c r="D461" s="828">
        <v>13.56015</v>
      </c>
      <c r="E461" s="828">
        <v>7.5459699999999996</v>
      </c>
      <c r="F461" s="828">
        <v>56.941650000000003</v>
      </c>
      <c r="G461" s="828">
        <v>29</v>
      </c>
      <c r="H461" s="828">
        <v>1</v>
      </c>
      <c r="I461" s="828">
        <v>7</v>
      </c>
      <c r="J461" s="828">
        <v>20</v>
      </c>
      <c r="K461" s="828">
        <v>13</v>
      </c>
      <c r="L461" s="828">
        <v>7</v>
      </c>
      <c r="N461" s="222" t="s">
        <v>886</v>
      </c>
      <c r="O461" s="222" t="s">
        <v>887</v>
      </c>
      <c r="P461" s="824">
        <v>266</v>
      </c>
      <c r="Q461" s="824">
        <v>13.56015</v>
      </c>
      <c r="R461" s="824">
        <v>56.941650000000003</v>
      </c>
      <c r="S461" s="824">
        <v>7.5459699999999996</v>
      </c>
      <c r="T461" s="824">
        <v>29</v>
      </c>
      <c r="U461" s="824">
        <v>1</v>
      </c>
      <c r="V461" s="824">
        <v>7</v>
      </c>
      <c r="W461" s="824">
        <v>20</v>
      </c>
      <c r="X461" s="824">
        <v>13</v>
      </c>
      <c r="Y461" s="824">
        <v>7</v>
      </c>
      <c r="Z461" s="480" t="str">
        <f t="shared" si="7"/>
        <v/>
      </c>
    </row>
    <row r="462" spans="1:26">
      <c r="A462" s="825" t="s">
        <v>888</v>
      </c>
      <c r="B462" s="826">
        <v>461</v>
      </c>
      <c r="C462" s="827"/>
      <c r="D462" s="828">
        <v>12.117139999999999</v>
      </c>
      <c r="E462" s="828">
        <v>7.375</v>
      </c>
      <c r="F462" s="828">
        <v>54.390599999999999</v>
      </c>
      <c r="G462" s="828">
        <v>27</v>
      </c>
      <c r="H462" s="828">
        <v>1</v>
      </c>
      <c r="I462" s="828">
        <v>6</v>
      </c>
      <c r="J462" s="828">
        <v>18</v>
      </c>
      <c r="K462" s="828">
        <v>11</v>
      </c>
      <c r="L462" s="828">
        <v>8</v>
      </c>
      <c r="N462" s="222" t="s">
        <v>888</v>
      </c>
      <c r="O462" s="222" t="s">
        <v>2142</v>
      </c>
      <c r="P462" s="824">
        <v>461</v>
      </c>
      <c r="Q462" s="824">
        <v>12.117139999999999</v>
      </c>
      <c r="R462" s="824">
        <v>54.390599999999999</v>
      </c>
      <c r="S462" s="824">
        <v>7.375</v>
      </c>
      <c r="T462" s="824">
        <v>27</v>
      </c>
      <c r="U462" s="824">
        <v>1</v>
      </c>
      <c r="V462" s="824">
        <v>6</v>
      </c>
      <c r="W462" s="824">
        <v>18</v>
      </c>
      <c r="X462" s="824">
        <v>11</v>
      </c>
      <c r="Y462" s="824">
        <v>8</v>
      </c>
      <c r="Z462" s="480" t="str">
        <f t="shared" si="7"/>
        <v/>
      </c>
    </row>
    <row r="463" spans="1:26">
      <c r="A463" s="825" t="s">
        <v>889</v>
      </c>
      <c r="B463" s="826">
        <v>7681</v>
      </c>
      <c r="C463" s="827"/>
      <c r="D463" s="828">
        <v>9.3530800000000003</v>
      </c>
      <c r="E463" s="828">
        <v>6.0139399999999998</v>
      </c>
      <c r="F463" s="828">
        <v>36.16751</v>
      </c>
      <c r="G463" s="828">
        <v>23</v>
      </c>
      <c r="H463" s="828">
        <v>1</v>
      </c>
      <c r="I463" s="828">
        <v>4</v>
      </c>
      <c r="J463" s="828">
        <v>14</v>
      </c>
      <c r="K463" s="828">
        <v>8</v>
      </c>
      <c r="L463" s="828">
        <v>4</v>
      </c>
      <c r="N463" s="222" t="s">
        <v>889</v>
      </c>
      <c r="O463" s="222" t="s">
        <v>2143</v>
      </c>
      <c r="P463" s="824">
        <v>7681</v>
      </c>
      <c r="Q463" s="824">
        <v>9.3530800000000003</v>
      </c>
      <c r="R463" s="824">
        <v>36.16751</v>
      </c>
      <c r="S463" s="824">
        <v>6.0139399999999998</v>
      </c>
      <c r="T463" s="824">
        <v>23</v>
      </c>
      <c r="U463" s="824">
        <v>1</v>
      </c>
      <c r="V463" s="824">
        <v>4</v>
      </c>
      <c r="W463" s="824">
        <v>14</v>
      </c>
      <c r="X463" s="824">
        <v>8</v>
      </c>
      <c r="Y463" s="824">
        <v>4</v>
      </c>
      <c r="Z463" s="480" t="str">
        <f t="shared" si="7"/>
        <v/>
      </c>
    </row>
    <row r="464" spans="1:26">
      <c r="A464" s="825" t="s">
        <v>890</v>
      </c>
      <c r="B464" s="826">
        <v>11557</v>
      </c>
      <c r="C464" s="827"/>
      <c r="D464" s="828">
        <v>11.172800000000001</v>
      </c>
      <c r="E464" s="828">
        <v>7.1693600000000002</v>
      </c>
      <c r="F464" s="828">
        <v>51.399790000000003</v>
      </c>
      <c r="G464" s="828">
        <v>27</v>
      </c>
      <c r="H464" s="828">
        <v>1</v>
      </c>
      <c r="I464" s="828">
        <v>5</v>
      </c>
      <c r="J464" s="828">
        <v>16</v>
      </c>
      <c r="K464" s="828">
        <v>10</v>
      </c>
      <c r="L464" s="828">
        <v>3</v>
      </c>
      <c r="N464" s="222" t="s">
        <v>890</v>
      </c>
      <c r="O464" s="222" t="s">
        <v>2144</v>
      </c>
      <c r="P464" s="824">
        <v>11557</v>
      </c>
      <c r="Q464" s="824">
        <v>11.172800000000001</v>
      </c>
      <c r="R464" s="824">
        <v>51.399790000000003</v>
      </c>
      <c r="S464" s="824">
        <v>7.1693600000000002</v>
      </c>
      <c r="T464" s="824">
        <v>27</v>
      </c>
      <c r="U464" s="824">
        <v>1</v>
      </c>
      <c r="V464" s="824">
        <v>5</v>
      </c>
      <c r="W464" s="824">
        <v>16</v>
      </c>
      <c r="X464" s="824">
        <v>10</v>
      </c>
      <c r="Y464" s="824">
        <v>3</v>
      </c>
      <c r="Z464" s="480" t="str">
        <f t="shared" si="7"/>
        <v/>
      </c>
    </row>
    <row r="465" spans="1:26">
      <c r="A465" s="825" t="s">
        <v>891</v>
      </c>
      <c r="B465" s="826">
        <v>6197</v>
      </c>
      <c r="C465" s="827"/>
      <c r="D465" s="828">
        <v>8.8507300000000004</v>
      </c>
      <c r="E465" s="828">
        <v>5.5415400000000004</v>
      </c>
      <c r="F465" s="828">
        <v>30.708670000000001</v>
      </c>
      <c r="G465" s="828">
        <v>21</v>
      </c>
      <c r="H465" s="828">
        <v>1</v>
      </c>
      <c r="I465" s="828">
        <v>4</v>
      </c>
      <c r="J465" s="828">
        <v>13</v>
      </c>
      <c r="K465" s="828">
        <v>8</v>
      </c>
      <c r="L465" s="828">
        <v>4</v>
      </c>
      <c r="N465" s="222" t="s">
        <v>891</v>
      </c>
      <c r="O465" s="222" t="s">
        <v>892</v>
      </c>
      <c r="P465" s="824">
        <v>6197</v>
      </c>
      <c r="Q465" s="824">
        <v>8.8507300000000004</v>
      </c>
      <c r="R465" s="824">
        <v>30.708670000000001</v>
      </c>
      <c r="S465" s="824">
        <v>5.5415400000000004</v>
      </c>
      <c r="T465" s="824">
        <v>21</v>
      </c>
      <c r="U465" s="824">
        <v>1</v>
      </c>
      <c r="V465" s="824">
        <v>4</v>
      </c>
      <c r="W465" s="824">
        <v>13</v>
      </c>
      <c r="X465" s="824">
        <v>8</v>
      </c>
      <c r="Y465" s="824">
        <v>4</v>
      </c>
      <c r="Z465" s="480" t="str">
        <f t="shared" si="7"/>
        <v/>
      </c>
    </row>
    <row r="466" spans="1:26">
      <c r="A466" s="825" t="s">
        <v>893</v>
      </c>
      <c r="B466" s="826">
        <v>601</v>
      </c>
      <c r="C466" s="827"/>
      <c r="D466" s="828">
        <v>10.492509999999999</v>
      </c>
      <c r="E466" s="828">
        <v>6.7223800000000002</v>
      </c>
      <c r="F466" s="828">
        <v>45.190359999999998</v>
      </c>
      <c r="G466" s="828">
        <v>25</v>
      </c>
      <c r="H466" s="828">
        <v>1</v>
      </c>
      <c r="I466" s="828">
        <v>4</v>
      </c>
      <c r="J466" s="828">
        <v>16</v>
      </c>
      <c r="K466" s="828">
        <v>9</v>
      </c>
      <c r="L466" s="828">
        <v>4</v>
      </c>
      <c r="N466" s="222" t="s">
        <v>893</v>
      </c>
      <c r="O466" s="222" t="s">
        <v>894</v>
      </c>
      <c r="P466" s="824">
        <v>601</v>
      </c>
      <c r="Q466" s="824">
        <v>10.492509999999999</v>
      </c>
      <c r="R466" s="824">
        <v>45.190359999999998</v>
      </c>
      <c r="S466" s="824">
        <v>6.7223800000000002</v>
      </c>
      <c r="T466" s="824">
        <v>25</v>
      </c>
      <c r="U466" s="824">
        <v>1</v>
      </c>
      <c r="V466" s="824">
        <v>4</v>
      </c>
      <c r="W466" s="824">
        <v>16</v>
      </c>
      <c r="X466" s="824">
        <v>9</v>
      </c>
      <c r="Y466" s="824">
        <v>4</v>
      </c>
      <c r="Z466" s="480" t="str">
        <f t="shared" si="7"/>
        <v/>
      </c>
    </row>
    <row r="467" spans="1:26">
      <c r="A467" s="825" t="s">
        <v>895</v>
      </c>
      <c r="B467" s="826">
        <v>2152</v>
      </c>
      <c r="C467" s="827"/>
      <c r="D467" s="828">
        <v>9.9279700000000002</v>
      </c>
      <c r="E467" s="828">
        <v>6.4631400000000001</v>
      </c>
      <c r="F467" s="828">
        <v>41.772120000000001</v>
      </c>
      <c r="G467" s="828">
        <v>24</v>
      </c>
      <c r="H467" s="828">
        <v>1</v>
      </c>
      <c r="I467" s="828">
        <v>4</v>
      </c>
      <c r="J467" s="828">
        <v>15</v>
      </c>
      <c r="K467" s="828">
        <v>9</v>
      </c>
      <c r="L467" s="828">
        <v>3</v>
      </c>
      <c r="N467" s="222" t="s">
        <v>895</v>
      </c>
      <c r="O467" s="222" t="s">
        <v>896</v>
      </c>
      <c r="P467" s="824">
        <v>2152</v>
      </c>
      <c r="Q467" s="824">
        <v>9.9279700000000002</v>
      </c>
      <c r="R467" s="824">
        <v>41.772120000000001</v>
      </c>
      <c r="S467" s="824">
        <v>6.4631400000000001</v>
      </c>
      <c r="T467" s="824">
        <v>24</v>
      </c>
      <c r="U467" s="824">
        <v>1</v>
      </c>
      <c r="V467" s="824">
        <v>4</v>
      </c>
      <c r="W467" s="824">
        <v>15</v>
      </c>
      <c r="X467" s="824">
        <v>9</v>
      </c>
      <c r="Y467" s="824">
        <v>3</v>
      </c>
      <c r="Z467" s="480" t="str">
        <f t="shared" si="7"/>
        <v/>
      </c>
    </row>
    <row r="468" spans="1:26">
      <c r="A468" s="825" t="s">
        <v>897</v>
      </c>
      <c r="B468" s="826">
        <v>1168</v>
      </c>
      <c r="C468" s="827"/>
      <c r="D468" s="828">
        <v>9.8784200000000002</v>
      </c>
      <c r="E468" s="828">
        <v>6.4715299999999996</v>
      </c>
      <c r="F468" s="828">
        <v>41.880670000000002</v>
      </c>
      <c r="G468" s="828">
        <v>24</v>
      </c>
      <c r="H468" s="828">
        <v>1</v>
      </c>
      <c r="I468" s="828">
        <v>4</v>
      </c>
      <c r="J468" s="828">
        <v>15</v>
      </c>
      <c r="K468" s="828">
        <v>9</v>
      </c>
      <c r="L468" s="828">
        <v>3</v>
      </c>
      <c r="N468" s="222" t="s">
        <v>897</v>
      </c>
      <c r="O468" s="222" t="s">
        <v>898</v>
      </c>
      <c r="P468" s="824">
        <v>1168</v>
      </c>
      <c r="Q468" s="824">
        <v>9.8784200000000002</v>
      </c>
      <c r="R468" s="824">
        <v>41.880670000000002</v>
      </c>
      <c r="S468" s="824">
        <v>6.4715299999999996</v>
      </c>
      <c r="T468" s="824">
        <v>24</v>
      </c>
      <c r="U468" s="824">
        <v>1</v>
      </c>
      <c r="V468" s="824">
        <v>4</v>
      </c>
      <c r="W468" s="824">
        <v>15</v>
      </c>
      <c r="X468" s="824">
        <v>9</v>
      </c>
      <c r="Y468" s="824">
        <v>3</v>
      </c>
      <c r="Z468" s="480" t="str">
        <f t="shared" si="7"/>
        <v/>
      </c>
    </row>
    <row r="469" spans="1:26">
      <c r="A469" s="825" t="s">
        <v>899</v>
      </c>
      <c r="B469" s="826">
        <v>2388</v>
      </c>
      <c r="C469" s="827"/>
      <c r="D469" s="828">
        <v>10.82705</v>
      </c>
      <c r="E469" s="828">
        <v>7.07064</v>
      </c>
      <c r="F469" s="828">
        <v>49.993960000000001</v>
      </c>
      <c r="G469" s="828">
        <v>26</v>
      </c>
      <c r="H469" s="828">
        <v>1</v>
      </c>
      <c r="I469" s="828">
        <v>5</v>
      </c>
      <c r="J469" s="828">
        <v>16</v>
      </c>
      <c r="K469" s="828">
        <v>10</v>
      </c>
      <c r="L469" s="828">
        <v>3</v>
      </c>
      <c r="N469" s="222" t="s">
        <v>899</v>
      </c>
      <c r="O469" s="222" t="s">
        <v>2145</v>
      </c>
      <c r="P469" s="824">
        <v>2388</v>
      </c>
      <c r="Q469" s="824">
        <v>10.82705</v>
      </c>
      <c r="R469" s="824">
        <v>49.993960000000001</v>
      </c>
      <c r="S469" s="824">
        <v>7.07064</v>
      </c>
      <c r="T469" s="824">
        <v>26</v>
      </c>
      <c r="U469" s="824">
        <v>1</v>
      </c>
      <c r="V469" s="824">
        <v>5</v>
      </c>
      <c r="W469" s="824">
        <v>16</v>
      </c>
      <c r="X469" s="824">
        <v>10</v>
      </c>
      <c r="Y469" s="824">
        <v>3</v>
      </c>
      <c r="Z469" s="480" t="str">
        <f t="shared" si="7"/>
        <v/>
      </c>
    </row>
    <row r="470" spans="1:26">
      <c r="A470" s="825" t="s">
        <v>900</v>
      </c>
      <c r="B470" s="826">
        <v>1522</v>
      </c>
      <c r="C470" s="827"/>
      <c r="D470" s="828">
        <v>11.71025</v>
      </c>
      <c r="E470" s="828">
        <v>7.5779199999999998</v>
      </c>
      <c r="F470" s="828">
        <v>57.424869999999999</v>
      </c>
      <c r="G470" s="828">
        <v>28</v>
      </c>
      <c r="H470" s="828">
        <v>1</v>
      </c>
      <c r="I470" s="828">
        <v>5</v>
      </c>
      <c r="J470" s="828">
        <v>17</v>
      </c>
      <c r="K470" s="828">
        <v>10</v>
      </c>
      <c r="L470" s="828">
        <v>4</v>
      </c>
      <c r="N470" s="222" t="s">
        <v>900</v>
      </c>
      <c r="O470" s="222" t="s">
        <v>901</v>
      </c>
      <c r="P470" s="824">
        <v>1522</v>
      </c>
      <c r="Q470" s="824">
        <v>11.71025</v>
      </c>
      <c r="R470" s="824">
        <v>57.424869999999999</v>
      </c>
      <c r="S470" s="824">
        <v>7.5779199999999998</v>
      </c>
      <c r="T470" s="824">
        <v>28</v>
      </c>
      <c r="U470" s="824">
        <v>1</v>
      </c>
      <c r="V470" s="824">
        <v>5</v>
      </c>
      <c r="W470" s="824">
        <v>17</v>
      </c>
      <c r="X470" s="824">
        <v>10</v>
      </c>
      <c r="Y470" s="824">
        <v>4</v>
      </c>
      <c r="Z470" s="480" t="str">
        <f t="shared" si="7"/>
        <v/>
      </c>
    </row>
    <row r="471" spans="1:26">
      <c r="A471" s="825" t="s">
        <v>902</v>
      </c>
      <c r="B471" s="826">
        <v>7096</v>
      </c>
      <c r="C471" s="827"/>
      <c r="D471" s="828">
        <v>9.1147100000000005</v>
      </c>
      <c r="E471" s="828">
        <v>5.7604600000000001</v>
      </c>
      <c r="F471" s="828">
        <v>33.18289</v>
      </c>
      <c r="G471" s="828">
        <v>22</v>
      </c>
      <c r="H471" s="828">
        <v>1</v>
      </c>
      <c r="I471" s="828">
        <v>4</v>
      </c>
      <c r="J471" s="828">
        <v>13</v>
      </c>
      <c r="K471" s="828">
        <v>8</v>
      </c>
      <c r="L471" s="828">
        <v>3</v>
      </c>
      <c r="N471" s="222" t="s">
        <v>902</v>
      </c>
      <c r="O471" s="222" t="s">
        <v>2146</v>
      </c>
      <c r="P471" s="824">
        <v>7096</v>
      </c>
      <c r="Q471" s="824">
        <v>9.1147100000000005</v>
      </c>
      <c r="R471" s="824">
        <v>33.18289</v>
      </c>
      <c r="S471" s="824">
        <v>5.7604600000000001</v>
      </c>
      <c r="T471" s="824">
        <v>22</v>
      </c>
      <c r="U471" s="824">
        <v>1</v>
      </c>
      <c r="V471" s="824">
        <v>4</v>
      </c>
      <c r="W471" s="824">
        <v>13</v>
      </c>
      <c r="X471" s="824">
        <v>8</v>
      </c>
      <c r="Y471" s="824">
        <v>3</v>
      </c>
      <c r="Z471" s="480" t="str">
        <f t="shared" si="7"/>
        <v/>
      </c>
    </row>
    <row r="472" spans="1:26">
      <c r="A472" s="825" t="s">
        <v>903</v>
      </c>
      <c r="B472" s="826">
        <v>5921</v>
      </c>
      <c r="C472" s="827"/>
      <c r="D472" s="828">
        <v>9.5700099999999999</v>
      </c>
      <c r="E472" s="828">
        <v>6.7699299999999996</v>
      </c>
      <c r="F472" s="828">
        <v>45.831969999999998</v>
      </c>
      <c r="G472" s="828">
        <v>25</v>
      </c>
      <c r="H472" s="828">
        <v>1</v>
      </c>
      <c r="I472" s="828">
        <v>4</v>
      </c>
      <c r="J472" s="828">
        <v>15</v>
      </c>
      <c r="K472" s="828">
        <v>8</v>
      </c>
      <c r="L472" s="828">
        <v>3</v>
      </c>
      <c r="N472" s="222" t="s">
        <v>903</v>
      </c>
      <c r="O472" s="222" t="s">
        <v>904</v>
      </c>
      <c r="P472" s="824">
        <v>5921</v>
      </c>
      <c r="Q472" s="824">
        <v>9.5700099999999999</v>
      </c>
      <c r="R472" s="824">
        <v>45.831969999999998</v>
      </c>
      <c r="S472" s="824">
        <v>6.7699299999999996</v>
      </c>
      <c r="T472" s="824">
        <v>25</v>
      </c>
      <c r="U472" s="824">
        <v>1</v>
      </c>
      <c r="V472" s="824">
        <v>4</v>
      </c>
      <c r="W472" s="824">
        <v>15</v>
      </c>
      <c r="X472" s="824">
        <v>8</v>
      </c>
      <c r="Y472" s="824">
        <v>3</v>
      </c>
      <c r="Z472" s="480" t="str">
        <f t="shared" si="7"/>
        <v/>
      </c>
    </row>
    <row r="473" spans="1:26">
      <c r="A473" s="825" t="s">
        <v>905</v>
      </c>
      <c r="B473" s="826">
        <v>6195</v>
      </c>
      <c r="C473" s="827"/>
      <c r="D473" s="828">
        <v>9.9898299999999995</v>
      </c>
      <c r="E473" s="828">
        <v>6.4132800000000003</v>
      </c>
      <c r="F473" s="828">
        <v>41.130180000000003</v>
      </c>
      <c r="G473" s="828">
        <v>24</v>
      </c>
      <c r="H473" s="828">
        <v>1</v>
      </c>
      <c r="I473" s="828">
        <v>4</v>
      </c>
      <c r="J473" s="828">
        <v>15</v>
      </c>
      <c r="K473" s="828">
        <v>9</v>
      </c>
      <c r="L473" s="828">
        <v>2</v>
      </c>
      <c r="N473" s="222" t="s">
        <v>905</v>
      </c>
      <c r="O473" s="222" t="s">
        <v>906</v>
      </c>
      <c r="P473" s="824">
        <v>6195</v>
      </c>
      <c r="Q473" s="824">
        <v>9.9898299999999995</v>
      </c>
      <c r="R473" s="824">
        <v>41.130180000000003</v>
      </c>
      <c r="S473" s="824">
        <v>6.4132800000000003</v>
      </c>
      <c r="T473" s="824">
        <v>24</v>
      </c>
      <c r="U473" s="824">
        <v>1</v>
      </c>
      <c r="V473" s="824">
        <v>4</v>
      </c>
      <c r="W473" s="824">
        <v>15</v>
      </c>
      <c r="X473" s="824">
        <v>9</v>
      </c>
      <c r="Y473" s="824">
        <v>2</v>
      </c>
      <c r="Z473" s="480" t="str">
        <f t="shared" si="7"/>
        <v/>
      </c>
    </row>
    <row r="474" spans="1:26">
      <c r="A474" s="825" t="s">
        <v>907</v>
      </c>
      <c r="B474" s="826">
        <v>4862</v>
      </c>
      <c r="C474" s="827"/>
      <c r="D474" s="828">
        <v>8.2449600000000007</v>
      </c>
      <c r="E474" s="828">
        <v>6.1105</v>
      </c>
      <c r="F474" s="828">
        <v>37.338250000000002</v>
      </c>
      <c r="G474" s="828">
        <v>23</v>
      </c>
      <c r="H474" s="828">
        <v>1</v>
      </c>
      <c r="I474" s="828">
        <v>3</v>
      </c>
      <c r="J474" s="828">
        <v>13</v>
      </c>
      <c r="K474" s="828">
        <v>6</v>
      </c>
      <c r="L474" s="828">
        <v>3</v>
      </c>
      <c r="N474" s="222" t="s">
        <v>907</v>
      </c>
      <c r="O474" s="222" t="s">
        <v>908</v>
      </c>
      <c r="P474" s="824">
        <v>4862</v>
      </c>
      <c r="Q474" s="824">
        <v>8.2449600000000007</v>
      </c>
      <c r="R474" s="824">
        <v>37.338250000000002</v>
      </c>
      <c r="S474" s="824">
        <v>6.1105</v>
      </c>
      <c r="T474" s="824">
        <v>23</v>
      </c>
      <c r="U474" s="824">
        <v>1</v>
      </c>
      <c r="V474" s="824">
        <v>3</v>
      </c>
      <c r="W474" s="824">
        <v>13</v>
      </c>
      <c r="X474" s="824">
        <v>6</v>
      </c>
      <c r="Y474" s="824">
        <v>3</v>
      </c>
      <c r="Z474" s="480" t="str">
        <f t="shared" si="7"/>
        <v/>
      </c>
    </row>
    <row r="475" spans="1:26">
      <c r="A475" s="825" t="s">
        <v>909</v>
      </c>
      <c r="B475" s="826">
        <v>13144</v>
      </c>
      <c r="C475" s="827"/>
      <c r="D475" s="828">
        <v>11.23007</v>
      </c>
      <c r="E475" s="828">
        <v>7.1386000000000003</v>
      </c>
      <c r="F475" s="828">
        <v>50.959620000000001</v>
      </c>
      <c r="G475" s="828">
        <v>27</v>
      </c>
      <c r="H475" s="828">
        <v>1</v>
      </c>
      <c r="I475" s="828">
        <v>5</v>
      </c>
      <c r="J475" s="828">
        <v>16</v>
      </c>
      <c r="K475" s="828">
        <v>10</v>
      </c>
      <c r="L475" s="828">
        <v>4</v>
      </c>
      <c r="N475" s="222" t="s">
        <v>909</v>
      </c>
      <c r="O475" s="222" t="s">
        <v>910</v>
      </c>
      <c r="P475" s="824">
        <v>13144</v>
      </c>
      <c r="Q475" s="824">
        <v>11.23007</v>
      </c>
      <c r="R475" s="824">
        <v>50.959620000000001</v>
      </c>
      <c r="S475" s="824">
        <v>7.1386000000000003</v>
      </c>
      <c r="T475" s="824">
        <v>27</v>
      </c>
      <c r="U475" s="824">
        <v>1</v>
      </c>
      <c r="V475" s="824">
        <v>5</v>
      </c>
      <c r="W475" s="824">
        <v>16</v>
      </c>
      <c r="X475" s="824">
        <v>10</v>
      </c>
      <c r="Y475" s="824">
        <v>4</v>
      </c>
      <c r="Z475" s="480" t="str">
        <f t="shared" si="7"/>
        <v/>
      </c>
    </row>
    <row r="476" spans="1:26">
      <c r="A476" s="825" t="s">
        <v>911</v>
      </c>
      <c r="B476" s="826">
        <v>3931</v>
      </c>
      <c r="C476" s="827"/>
      <c r="D476" s="828">
        <v>11.94861</v>
      </c>
      <c r="E476" s="828">
        <v>7.40754</v>
      </c>
      <c r="F476" s="828">
        <v>54.871659999999999</v>
      </c>
      <c r="G476" s="828">
        <v>28</v>
      </c>
      <c r="H476" s="828">
        <v>1</v>
      </c>
      <c r="I476" s="828">
        <v>6</v>
      </c>
      <c r="J476" s="828">
        <v>18</v>
      </c>
      <c r="K476" s="828">
        <v>11</v>
      </c>
      <c r="L476" s="828">
        <v>6</v>
      </c>
      <c r="N476" s="222" t="s">
        <v>911</v>
      </c>
      <c r="O476" s="222" t="s">
        <v>2147</v>
      </c>
      <c r="P476" s="824">
        <v>3931</v>
      </c>
      <c r="Q476" s="824">
        <v>11.94861</v>
      </c>
      <c r="R476" s="824">
        <v>54.871659999999999</v>
      </c>
      <c r="S476" s="824">
        <v>7.40754</v>
      </c>
      <c r="T476" s="824">
        <v>28</v>
      </c>
      <c r="U476" s="824">
        <v>1</v>
      </c>
      <c r="V476" s="824">
        <v>6</v>
      </c>
      <c r="W476" s="824">
        <v>18</v>
      </c>
      <c r="X476" s="824">
        <v>11</v>
      </c>
      <c r="Y476" s="824">
        <v>6</v>
      </c>
      <c r="Z476" s="480" t="str">
        <f t="shared" si="7"/>
        <v/>
      </c>
    </row>
    <row r="477" spans="1:26">
      <c r="A477" s="825" t="s">
        <v>912</v>
      </c>
      <c r="B477" s="826">
        <v>20479</v>
      </c>
      <c r="C477" s="827"/>
      <c r="D477" s="828">
        <v>11.203620000000001</v>
      </c>
      <c r="E477" s="828">
        <v>7.1994899999999999</v>
      </c>
      <c r="F477" s="828">
        <v>51.832639999999998</v>
      </c>
      <c r="G477" s="828">
        <v>27</v>
      </c>
      <c r="H477" s="828">
        <v>1</v>
      </c>
      <c r="I477" s="828">
        <v>5</v>
      </c>
      <c r="J477" s="828">
        <v>17</v>
      </c>
      <c r="K477" s="828">
        <v>10</v>
      </c>
      <c r="L477" s="828">
        <v>2</v>
      </c>
      <c r="N477" s="222" t="s">
        <v>912</v>
      </c>
      <c r="O477" s="222" t="s">
        <v>2148</v>
      </c>
      <c r="P477" s="824">
        <v>20479</v>
      </c>
      <c r="Q477" s="824">
        <v>11.203620000000001</v>
      </c>
      <c r="R477" s="824">
        <v>51.832639999999998</v>
      </c>
      <c r="S477" s="824">
        <v>7.1994899999999999</v>
      </c>
      <c r="T477" s="824">
        <v>27</v>
      </c>
      <c r="U477" s="824">
        <v>1</v>
      </c>
      <c r="V477" s="824">
        <v>5</v>
      </c>
      <c r="W477" s="824">
        <v>17</v>
      </c>
      <c r="X477" s="824">
        <v>10</v>
      </c>
      <c r="Y477" s="824">
        <v>2</v>
      </c>
      <c r="Z477" s="480" t="str">
        <f t="shared" si="7"/>
        <v/>
      </c>
    </row>
    <row r="478" spans="1:26">
      <c r="A478" s="825" t="s">
        <v>913</v>
      </c>
      <c r="B478" s="826">
        <v>10209</v>
      </c>
      <c r="C478" s="827"/>
      <c r="D478" s="828">
        <v>11.312569999999999</v>
      </c>
      <c r="E478" s="828">
        <v>7.6820399999999998</v>
      </c>
      <c r="F478" s="828">
        <v>59.013680000000001</v>
      </c>
      <c r="G478" s="828">
        <v>28</v>
      </c>
      <c r="H478" s="828">
        <v>1</v>
      </c>
      <c r="I478" s="828">
        <v>5</v>
      </c>
      <c r="J478" s="828">
        <v>17</v>
      </c>
      <c r="K478" s="828">
        <v>10</v>
      </c>
      <c r="L478" s="828">
        <v>2</v>
      </c>
      <c r="N478" s="222" t="s">
        <v>913</v>
      </c>
      <c r="O478" s="222" t="s">
        <v>2149</v>
      </c>
      <c r="P478" s="824">
        <v>10209</v>
      </c>
      <c r="Q478" s="824">
        <v>11.312569999999999</v>
      </c>
      <c r="R478" s="824">
        <v>59.013680000000001</v>
      </c>
      <c r="S478" s="824">
        <v>7.6820399999999998</v>
      </c>
      <c r="T478" s="824">
        <v>28</v>
      </c>
      <c r="U478" s="824">
        <v>1</v>
      </c>
      <c r="V478" s="824">
        <v>5</v>
      </c>
      <c r="W478" s="824">
        <v>17</v>
      </c>
      <c r="X478" s="824">
        <v>10</v>
      </c>
      <c r="Y478" s="824">
        <v>2</v>
      </c>
      <c r="Z478" s="480" t="str">
        <f t="shared" si="7"/>
        <v/>
      </c>
    </row>
    <row r="479" spans="1:26">
      <c r="A479" s="825" t="s">
        <v>914</v>
      </c>
      <c r="B479" s="826">
        <v>9152</v>
      </c>
      <c r="C479" s="827"/>
      <c r="D479" s="828">
        <v>13.47247</v>
      </c>
      <c r="E479" s="828">
        <v>9.7378099999999996</v>
      </c>
      <c r="F479" s="828">
        <v>94.824939999999998</v>
      </c>
      <c r="G479" s="828">
        <v>31</v>
      </c>
      <c r="H479" s="828">
        <v>1</v>
      </c>
      <c r="I479" s="828">
        <v>4</v>
      </c>
      <c r="J479" s="828">
        <v>22</v>
      </c>
      <c r="K479" s="828">
        <v>11</v>
      </c>
      <c r="L479" s="828">
        <v>3</v>
      </c>
      <c r="N479" s="222" t="s">
        <v>914</v>
      </c>
      <c r="O479" s="222" t="s">
        <v>915</v>
      </c>
      <c r="P479" s="824">
        <v>9152</v>
      </c>
      <c r="Q479" s="824">
        <v>13.47247</v>
      </c>
      <c r="R479" s="824">
        <v>94.824939999999998</v>
      </c>
      <c r="S479" s="824">
        <v>9.7378099999999996</v>
      </c>
      <c r="T479" s="824">
        <v>31</v>
      </c>
      <c r="U479" s="824">
        <v>1</v>
      </c>
      <c r="V479" s="824">
        <v>4</v>
      </c>
      <c r="W479" s="824">
        <v>22</v>
      </c>
      <c r="X479" s="824">
        <v>11</v>
      </c>
      <c r="Y479" s="824">
        <v>3</v>
      </c>
      <c r="Z479" s="480" t="str">
        <f t="shared" si="7"/>
        <v/>
      </c>
    </row>
    <row r="480" spans="1:26">
      <c r="A480" s="825" t="s">
        <v>916</v>
      </c>
      <c r="B480" s="826">
        <v>26252</v>
      </c>
      <c r="C480" s="827"/>
      <c r="D480" s="828">
        <v>10.538740000000001</v>
      </c>
      <c r="E480" s="828">
        <v>6.5296799999999999</v>
      </c>
      <c r="F480" s="828">
        <v>42.636679999999998</v>
      </c>
      <c r="G480" s="828">
        <v>25</v>
      </c>
      <c r="H480" s="828">
        <v>1</v>
      </c>
      <c r="I480" s="828">
        <v>5</v>
      </c>
      <c r="J480" s="828">
        <v>15</v>
      </c>
      <c r="K480" s="828">
        <v>10</v>
      </c>
      <c r="L480" s="828">
        <v>5</v>
      </c>
      <c r="N480" s="222" t="s">
        <v>916</v>
      </c>
      <c r="O480" s="222" t="s">
        <v>917</v>
      </c>
      <c r="P480" s="824">
        <v>26252</v>
      </c>
      <c r="Q480" s="824">
        <v>10.538740000000001</v>
      </c>
      <c r="R480" s="824">
        <v>42.636679999999998</v>
      </c>
      <c r="S480" s="824">
        <v>6.5296799999999999</v>
      </c>
      <c r="T480" s="824">
        <v>25</v>
      </c>
      <c r="U480" s="824">
        <v>1</v>
      </c>
      <c r="V480" s="824">
        <v>5</v>
      </c>
      <c r="W480" s="824">
        <v>15</v>
      </c>
      <c r="X480" s="824">
        <v>10</v>
      </c>
      <c r="Y480" s="824">
        <v>5</v>
      </c>
      <c r="Z480" s="480" t="str">
        <f t="shared" si="7"/>
        <v/>
      </c>
    </row>
    <row r="481" spans="1:26">
      <c r="A481" s="825" t="s">
        <v>918</v>
      </c>
      <c r="B481" s="826">
        <v>5525</v>
      </c>
      <c r="C481" s="827"/>
      <c r="D481" s="828">
        <v>12.66968</v>
      </c>
      <c r="E481" s="828">
        <v>7.7920800000000003</v>
      </c>
      <c r="F481" s="828">
        <v>60.716540000000002</v>
      </c>
      <c r="G481" s="828">
        <v>29</v>
      </c>
      <c r="H481" s="828">
        <v>1</v>
      </c>
      <c r="I481" s="828">
        <v>6</v>
      </c>
      <c r="J481" s="828">
        <v>19</v>
      </c>
      <c r="K481" s="828">
        <v>12</v>
      </c>
      <c r="L481" s="828">
        <v>3</v>
      </c>
      <c r="N481" s="222" t="s">
        <v>918</v>
      </c>
      <c r="O481" s="222" t="s">
        <v>919</v>
      </c>
      <c r="P481" s="824">
        <v>5525</v>
      </c>
      <c r="Q481" s="824">
        <v>12.66968</v>
      </c>
      <c r="R481" s="824">
        <v>60.716540000000002</v>
      </c>
      <c r="S481" s="824">
        <v>7.7920800000000003</v>
      </c>
      <c r="T481" s="824">
        <v>29</v>
      </c>
      <c r="U481" s="824">
        <v>1</v>
      </c>
      <c r="V481" s="824">
        <v>6</v>
      </c>
      <c r="W481" s="824">
        <v>19</v>
      </c>
      <c r="X481" s="824">
        <v>12</v>
      </c>
      <c r="Y481" s="824">
        <v>3</v>
      </c>
      <c r="Z481" s="480" t="str">
        <f t="shared" si="7"/>
        <v/>
      </c>
    </row>
    <row r="482" spans="1:26">
      <c r="A482" s="825" t="s">
        <v>920</v>
      </c>
      <c r="B482" s="826">
        <v>20057</v>
      </c>
      <c r="C482" s="827"/>
      <c r="D482" s="828">
        <v>11.01765</v>
      </c>
      <c r="E482" s="828">
        <v>6.7325900000000001</v>
      </c>
      <c r="F482" s="828">
        <v>45.327770000000001</v>
      </c>
      <c r="G482" s="828">
        <v>26</v>
      </c>
      <c r="H482" s="828">
        <v>1</v>
      </c>
      <c r="I482" s="828">
        <v>5</v>
      </c>
      <c r="J482" s="828">
        <v>16</v>
      </c>
      <c r="K482" s="828">
        <v>10</v>
      </c>
      <c r="L482" s="828">
        <v>4</v>
      </c>
      <c r="N482" s="222" t="s">
        <v>920</v>
      </c>
      <c r="O482" s="222" t="s">
        <v>2150</v>
      </c>
      <c r="P482" s="824">
        <v>20057</v>
      </c>
      <c r="Q482" s="824">
        <v>11.01765</v>
      </c>
      <c r="R482" s="824">
        <v>45.327770000000001</v>
      </c>
      <c r="S482" s="824">
        <v>6.7325900000000001</v>
      </c>
      <c r="T482" s="824">
        <v>26</v>
      </c>
      <c r="U482" s="824">
        <v>1</v>
      </c>
      <c r="V482" s="824">
        <v>5</v>
      </c>
      <c r="W482" s="824">
        <v>16</v>
      </c>
      <c r="X482" s="824">
        <v>10</v>
      </c>
      <c r="Y482" s="824">
        <v>4</v>
      </c>
      <c r="Z482" s="480" t="str">
        <f t="shared" si="7"/>
        <v/>
      </c>
    </row>
    <row r="483" spans="1:26">
      <c r="A483" s="825" t="s">
        <v>921</v>
      </c>
      <c r="B483" s="826">
        <v>2664</v>
      </c>
      <c r="C483" s="827"/>
      <c r="D483" s="828">
        <v>11.82132</v>
      </c>
      <c r="E483" s="828">
        <v>7.2602200000000003</v>
      </c>
      <c r="F483" s="828">
        <v>52.710830000000001</v>
      </c>
      <c r="G483" s="828">
        <v>28</v>
      </c>
      <c r="H483" s="828">
        <v>1</v>
      </c>
      <c r="I483" s="828">
        <v>6</v>
      </c>
      <c r="J483" s="828">
        <v>17</v>
      </c>
      <c r="K483" s="828">
        <v>11</v>
      </c>
      <c r="L483" s="828">
        <v>7</v>
      </c>
      <c r="N483" s="222" t="s">
        <v>921</v>
      </c>
      <c r="O483" s="222" t="s">
        <v>922</v>
      </c>
      <c r="P483" s="824">
        <v>2664</v>
      </c>
      <c r="Q483" s="824">
        <v>11.82132</v>
      </c>
      <c r="R483" s="824">
        <v>52.710830000000001</v>
      </c>
      <c r="S483" s="824">
        <v>7.2602200000000003</v>
      </c>
      <c r="T483" s="824">
        <v>28</v>
      </c>
      <c r="U483" s="824">
        <v>1</v>
      </c>
      <c r="V483" s="824">
        <v>6</v>
      </c>
      <c r="W483" s="824">
        <v>17</v>
      </c>
      <c r="X483" s="824">
        <v>11</v>
      </c>
      <c r="Y483" s="824">
        <v>7</v>
      </c>
      <c r="Z483" s="480" t="str">
        <f t="shared" si="7"/>
        <v/>
      </c>
    </row>
    <row r="484" spans="1:26">
      <c r="A484" s="825" t="s">
        <v>923</v>
      </c>
      <c r="B484" s="826">
        <v>29934</v>
      </c>
      <c r="C484" s="827"/>
      <c r="D484" s="828">
        <v>11.956569999999999</v>
      </c>
      <c r="E484" s="828">
        <v>7.9718999999999998</v>
      </c>
      <c r="F484" s="828">
        <v>63.551119999999997</v>
      </c>
      <c r="G484" s="828">
        <v>30</v>
      </c>
      <c r="H484" s="828">
        <v>1</v>
      </c>
      <c r="I484" s="828">
        <v>5</v>
      </c>
      <c r="J484" s="828">
        <v>18</v>
      </c>
      <c r="K484" s="828">
        <v>11</v>
      </c>
      <c r="L484" s="828">
        <v>5</v>
      </c>
      <c r="N484" s="222" t="s">
        <v>923</v>
      </c>
      <c r="O484" s="222" t="s">
        <v>2151</v>
      </c>
      <c r="P484" s="824">
        <v>29934</v>
      </c>
      <c r="Q484" s="824">
        <v>11.956569999999999</v>
      </c>
      <c r="R484" s="824">
        <v>63.551119999999997</v>
      </c>
      <c r="S484" s="824">
        <v>7.9718999999999998</v>
      </c>
      <c r="T484" s="824">
        <v>30</v>
      </c>
      <c r="U484" s="824">
        <v>1</v>
      </c>
      <c r="V484" s="824">
        <v>5</v>
      </c>
      <c r="W484" s="824">
        <v>18</v>
      </c>
      <c r="X484" s="824">
        <v>11</v>
      </c>
      <c r="Y484" s="824">
        <v>5</v>
      </c>
      <c r="Z484" s="480" t="str">
        <f t="shared" si="7"/>
        <v/>
      </c>
    </row>
    <row r="485" spans="1:26">
      <c r="A485" s="825" t="s">
        <v>924</v>
      </c>
      <c r="B485" s="826">
        <v>5601</v>
      </c>
      <c r="C485" s="829"/>
      <c r="D485" s="828">
        <v>10.334759999999999</v>
      </c>
      <c r="E485" s="828">
        <v>6.3997700000000002</v>
      </c>
      <c r="F485" s="828">
        <v>40.95702</v>
      </c>
      <c r="G485" s="828">
        <v>24</v>
      </c>
      <c r="H485" s="828">
        <v>1</v>
      </c>
      <c r="I485" s="828">
        <v>5</v>
      </c>
      <c r="J485" s="828">
        <v>15</v>
      </c>
      <c r="K485" s="828">
        <v>9</v>
      </c>
      <c r="L485" s="828">
        <v>4</v>
      </c>
      <c r="N485" s="222" t="s">
        <v>924</v>
      </c>
      <c r="O485" s="222" t="s">
        <v>2152</v>
      </c>
      <c r="P485" s="824">
        <v>5601</v>
      </c>
      <c r="Q485" s="824">
        <v>10.334759999999999</v>
      </c>
      <c r="R485" s="824">
        <v>40.95702</v>
      </c>
      <c r="S485" s="824">
        <v>6.3997700000000002</v>
      </c>
      <c r="T485" s="824">
        <v>24</v>
      </c>
      <c r="U485" s="824">
        <v>1</v>
      </c>
      <c r="V485" s="824">
        <v>5</v>
      </c>
      <c r="W485" s="824">
        <v>15</v>
      </c>
      <c r="X485" s="824">
        <v>9</v>
      </c>
      <c r="Y485" s="824">
        <v>4</v>
      </c>
      <c r="Z485" s="480" t="str">
        <f t="shared" si="7"/>
        <v/>
      </c>
    </row>
    <row r="486" spans="1:26">
      <c r="A486" s="825" t="s">
        <v>925</v>
      </c>
      <c r="B486" s="826">
        <v>4699</v>
      </c>
      <c r="C486" s="827"/>
      <c r="D486" s="828">
        <v>10.06767</v>
      </c>
      <c r="E486" s="828">
        <v>6.4408500000000002</v>
      </c>
      <c r="F486" s="828">
        <v>41.484560000000002</v>
      </c>
      <c r="G486" s="828">
        <v>25</v>
      </c>
      <c r="H486" s="828">
        <v>1</v>
      </c>
      <c r="I486" s="828">
        <v>5</v>
      </c>
      <c r="J486" s="828">
        <v>15</v>
      </c>
      <c r="K486" s="828">
        <v>9</v>
      </c>
      <c r="L486" s="828">
        <v>3</v>
      </c>
      <c r="N486" s="222" t="s">
        <v>925</v>
      </c>
      <c r="O486" s="222" t="s">
        <v>2153</v>
      </c>
      <c r="P486" s="824">
        <v>4699</v>
      </c>
      <c r="Q486" s="824">
        <v>10.06767</v>
      </c>
      <c r="R486" s="824">
        <v>41.484560000000002</v>
      </c>
      <c r="S486" s="824">
        <v>6.4408500000000002</v>
      </c>
      <c r="T486" s="824">
        <v>25</v>
      </c>
      <c r="U486" s="824">
        <v>1</v>
      </c>
      <c r="V486" s="824">
        <v>5</v>
      </c>
      <c r="W486" s="824">
        <v>15</v>
      </c>
      <c r="X486" s="824">
        <v>9</v>
      </c>
      <c r="Y486" s="824">
        <v>3</v>
      </c>
      <c r="Z486" s="480" t="str">
        <f t="shared" si="7"/>
        <v/>
      </c>
    </row>
    <row r="487" spans="1:26">
      <c r="A487" s="825" t="s">
        <v>926</v>
      </c>
      <c r="B487" s="826">
        <v>568</v>
      </c>
      <c r="C487" s="827"/>
      <c r="D487" s="828">
        <v>12.58451</v>
      </c>
      <c r="E487" s="828">
        <v>7.8329000000000004</v>
      </c>
      <c r="F487" s="828">
        <v>61.354399999999998</v>
      </c>
      <c r="G487" s="828">
        <v>28</v>
      </c>
      <c r="H487" s="828">
        <v>1</v>
      </c>
      <c r="I487" s="828">
        <v>6</v>
      </c>
      <c r="J487" s="828">
        <v>19</v>
      </c>
      <c r="K487" s="828">
        <v>12</v>
      </c>
      <c r="L487" s="828">
        <v>3</v>
      </c>
      <c r="N487" s="222" t="s">
        <v>926</v>
      </c>
      <c r="O487" s="222" t="s">
        <v>927</v>
      </c>
      <c r="P487" s="824">
        <v>568</v>
      </c>
      <c r="Q487" s="824">
        <v>12.58451</v>
      </c>
      <c r="R487" s="824">
        <v>61.354399999999998</v>
      </c>
      <c r="S487" s="824">
        <v>7.8329000000000004</v>
      </c>
      <c r="T487" s="824">
        <v>28</v>
      </c>
      <c r="U487" s="824">
        <v>1</v>
      </c>
      <c r="V487" s="824">
        <v>6</v>
      </c>
      <c r="W487" s="824">
        <v>19</v>
      </c>
      <c r="X487" s="824">
        <v>12</v>
      </c>
      <c r="Y487" s="824">
        <v>3</v>
      </c>
      <c r="Z487" s="480" t="str">
        <f t="shared" si="7"/>
        <v/>
      </c>
    </row>
    <row r="488" spans="1:26">
      <c r="A488" s="825" t="s">
        <v>928</v>
      </c>
      <c r="B488" s="826">
        <v>598</v>
      </c>
      <c r="C488" s="827"/>
      <c r="D488" s="828">
        <v>10.74916</v>
      </c>
      <c r="E488" s="828">
        <v>7.1776200000000001</v>
      </c>
      <c r="F488" s="828">
        <v>51.518219999999999</v>
      </c>
      <c r="G488" s="828">
        <v>26</v>
      </c>
      <c r="H488" s="828">
        <v>1</v>
      </c>
      <c r="I488" s="828">
        <v>4</v>
      </c>
      <c r="J488" s="828">
        <v>17</v>
      </c>
      <c r="K488" s="828">
        <v>10</v>
      </c>
      <c r="L488" s="828">
        <v>3</v>
      </c>
      <c r="N488" s="222" t="s">
        <v>928</v>
      </c>
      <c r="O488" s="222" t="s">
        <v>929</v>
      </c>
      <c r="P488" s="824">
        <v>598</v>
      </c>
      <c r="Q488" s="824">
        <v>10.74916</v>
      </c>
      <c r="R488" s="824">
        <v>51.518219999999999</v>
      </c>
      <c r="S488" s="824">
        <v>7.1776200000000001</v>
      </c>
      <c r="T488" s="824">
        <v>26</v>
      </c>
      <c r="U488" s="824">
        <v>1</v>
      </c>
      <c r="V488" s="824">
        <v>4</v>
      </c>
      <c r="W488" s="824">
        <v>17</v>
      </c>
      <c r="X488" s="824">
        <v>10</v>
      </c>
      <c r="Y488" s="824">
        <v>3</v>
      </c>
      <c r="Z488" s="480" t="str">
        <f t="shared" si="7"/>
        <v/>
      </c>
    </row>
    <row r="489" spans="1:26">
      <c r="A489" s="825" t="s">
        <v>930</v>
      </c>
      <c r="B489" s="826">
        <v>12349</v>
      </c>
      <c r="C489" s="827"/>
      <c r="D489" s="828">
        <v>10.255409999999999</v>
      </c>
      <c r="E489" s="828">
        <v>6.8390899999999997</v>
      </c>
      <c r="F489" s="828">
        <v>46.773119999999999</v>
      </c>
      <c r="G489" s="828">
        <v>26</v>
      </c>
      <c r="H489" s="828">
        <v>1</v>
      </c>
      <c r="I489" s="828">
        <v>4</v>
      </c>
      <c r="J489" s="828">
        <v>15</v>
      </c>
      <c r="K489" s="828">
        <v>9</v>
      </c>
      <c r="L489" s="828">
        <v>3</v>
      </c>
      <c r="N489" s="222" t="s">
        <v>930</v>
      </c>
      <c r="O489" s="222" t="s">
        <v>2154</v>
      </c>
      <c r="P489" s="824">
        <v>12349</v>
      </c>
      <c r="Q489" s="824">
        <v>10.255409999999999</v>
      </c>
      <c r="R489" s="824">
        <v>46.773119999999999</v>
      </c>
      <c r="S489" s="824">
        <v>6.8390899999999997</v>
      </c>
      <c r="T489" s="824">
        <v>26</v>
      </c>
      <c r="U489" s="824">
        <v>1</v>
      </c>
      <c r="V489" s="824">
        <v>4</v>
      </c>
      <c r="W489" s="824">
        <v>15</v>
      </c>
      <c r="X489" s="824">
        <v>9</v>
      </c>
      <c r="Y489" s="824">
        <v>3</v>
      </c>
      <c r="Z489" s="480" t="str">
        <f t="shared" si="7"/>
        <v/>
      </c>
    </row>
    <row r="490" spans="1:26">
      <c r="A490" s="825" t="s">
        <v>931</v>
      </c>
      <c r="B490" s="826">
        <v>14863</v>
      </c>
      <c r="C490" s="827"/>
      <c r="D490" s="828">
        <v>10.83052</v>
      </c>
      <c r="E490" s="828">
        <v>6.7409400000000002</v>
      </c>
      <c r="F490" s="828">
        <v>45.44032</v>
      </c>
      <c r="G490" s="828">
        <v>26</v>
      </c>
      <c r="H490" s="828">
        <v>1</v>
      </c>
      <c r="I490" s="828">
        <v>5</v>
      </c>
      <c r="J490" s="828">
        <v>16</v>
      </c>
      <c r="K490" s="828">
        <v>10</v>
      </c>
      <c r="L490" s="828">
        <v>4</v>
      </c>
      <c r="N490" s="222" t="s">
        <v>931</v>
      </c>
      <c r="O490" s="222" t="s">
        <v>932</v>
      </c>
      <c r="P490" s="824">
        <v>14863</v>
      </c>
      <c r="Q490" s="824">
        <v>10.83052</v>
      </c>
      <c r="R490" s="824">
        <v>45.44032</v>
      </c>
      <c r="S490" s="824">
        <v>6.7409400000000002</v>
      </c>
      <c r="T490" s="824">
        <v>26</v>
      </c>
      <c r="U490" s="824">
        <v>1</v>
      </c>
      <c r="V490" s="824">
        <v>5</v>
      </c>
      <c r="W490" s="824">
        <v>16</v>
      </c>
      <c r="X490" s="824">
        <v>10</v>
      </c>
      <c r="Y490" s="824">
        <v>4</v>
      </c>
      <c r="Z490" s="480" t="str">
        <f t="shared" si="7"/>
        <v/>
      </c>
    </row>
    <row r="491" spans="1:26">
      <c r="A491" s="825" t="s">
        <v>933</v>
      </c>
      <c r="B491" s="826">
        <v>897</v>
      </c>
      <c r="C491" s="827"/>
      <c r="D491" s="828">
        <v>11.69788</v>
      </c>
      <c r="E491" s="828">
        <v>7.6825400000000004</v>
      </c>
      <c r="F491" s="828">
        <v>59.021349999999998</v>
      </c>
      <c r="G491" s="828">
        <v>29</v>
      </c>
      <c r="H491" s="828">
        <v>1</v>
      </c>
      <c r="I491" s="828">
        <v>5</v>
      </c>
      <c r="J491" s="828">
        <v>17</v>
      </c>
      <c r="K491" s="828">
        <v>10</v>
      </c>
      <c r="L491" s="828">
        <v>3</v>
      </c>
      <c r="N491" s="222" t="s">
        <v>933</v>
      </c>
      <c r="O491" s="222" t="s">
        <v>2155</v>
      </c>
      <c r="P491" s="824">
        <v>897</v>
      </c>
      <c r="Q491" s="824">
        <v>11.69788</v>
      </c>
      <c r="R491" s="824">
        <v>59.021349999999998</v>
      </c>
      <c r="S491" s="824">
        <v>7.6825400000000004</v>
      </c>
      <c r="T491" s="824">
        <v>29</v>
      </c>
      <c r="U491" s="824">
        <v>1</v>
      </c>
      <c r="V491" s="824">
        <v>5</v>
      </c>
      <c r="W491" s="824">
        <v>17</v>
      </c>
      <c r="X491" s="824">
        <v>10</v>
      </c>
      <c r="Y491" s="824">
        <v>3</v>
      </c>
      <c r="Z491" s="480" t="str">
        <f t="shared" si="7"/>
        <v/>
      </c>
    </row>
    <row r="492" spans="1:26">
      <c r="A492" s="825" t="s">
        <v>934</v>
      </c>
      <c r="B492" s="826">
        <v>35513</v>
      </c>
      <c r="C492" s="827"/>
      <c r="D492" s="828">
        <v>11.16799</v>
      </c>
      <c r="E492" s="828">
        <v>7.63978</v>
      </c>
      <c r="F492" s="828">
        <v>58.366289999999999</v>
      </c>
      <c r="G492" s="828">
        <v>28</v>
      </c>
      <c r="H492" s="828">
        <v>1</v>
      </c>
      <c r="I492" s="828">
        <v>5</v>
      </c>
      <c r="J492" s="828">
        <v>17</v>
      </c>
      <c r="K492" s="828">
        <v>10</v>
      </c>
      <c r="L492" s="828">
        <v>2</v>
      </c>
      <c r="N492" s="222" t="s">
        <v>934</v>
      </c>
      <c r="O492" s="222" t="s">
        <v>935</v>
      </c>
      <c r="P492" s="824">
        <v>35513</v>
      </c>
      <c r="Q492" s="824">
        <v>11.16799</v>
      </c>
      <c r="R492" s="824">
        <v>58.366289999999999</v>
      </c>
      <c r="S492" s="824">
        <v>7.63978</v>
      </c>
      <c r="T492" s="824">
        <v>28</v>
      </c>
      <c r="U492" s="824">
        <v>1</v>
      </c>
      <c r="V492" s="824">
        <v>5</v>
      </c>
      <c r="W492" s="824">
        <v>17</v>
      </c>
      <c r="X492" s="824">
        <v>10</v>
      </c>
      <c r="Y492" s="824">
        <v>2</v>
      </c>
      <c r="Z492" s="480" t="str">
        <f t="shared" si="7"/>
        <v/>
      </c>
    </row>
    <row r="493" spans="1:26">
      <c r="A493" s="825" t="s">
        <v>936</v>
      </c>
      <c r="B493" s="826">
        <v>18126</v>
      </c>
      <c r="C493" s="827"/>
      <c r="D493" s="828">
        <v>10.5245</v>
      </c>
      <c r="E493" s="828">
        <v>6.93452</v>
      </c>
      <c r="F493" s="828">
        <v>48.087539999999997</v>
      </c>
      <c r="G493" s="828">
        <v>26</v>
      </c>
      <c r="H493" s="828">
        <v>1</v>
      </c>
      <c r="I493" s="828">
        <v>5</v>
      </c>
      <c r="J493" s="828">
        <v>16</v>
      </c>
      <c r="K493" s="828">
        <v>9</v>
      </c>
      <c r="L493" s="828">
        <v>3</v>
      </c>
      <c r="N493" s="222" t="s">
        <v>936</v>
      </c>
      <c r="O493" s="222" t="s">
        <v>2156</v>
      </c>
      <c r="P493" s="824">
        <v>18126</v>
      </c>
      <c r="Q493" s="824">
        <v>10.5245</v>
      </c>
      <c r="R493" s="824">
        <v>48.087539999999997</v>
      </c>
      <c r="S493" s="824">
        <v>6.93452</v>
      </c>
      <c r="T493" s="824">
        <v>26</v>
      </c>
      <c r="U493" s="824">
        <v>1</v>
      </c>
      <c r="V493" s="824">
        <v>5</v>
      </c>
      <c r="W493" s="824">
        <v>16</v>
      </c>
      <c r="X493" s="824">
        <v>9</v>
      </c>
      <c r="Y493" s="824">
        <v>3</v>
      </c>
      <c r="Z493" s="480" t="str">
        <f t="shared" si="7"/>
        <v/>
      </c>
    </row>
    <row r="494" spans="1:26">
      <c r="A494" s="825" t="s">
        <v>937</v>
      </c>
      <c r="B494" s="826">
        <v>11141</v>
      </c>
      <c r="C494" s="827"/>
      <c r="D494" s="828">
        <v>10.764379999999999</v>
      </c>
      <c r="E494" s="828">
        <v>7.8068799999999996</v>
      </c>
      <c r="F494" s="828">
        <v>60.94744</v>
      </c>
      <c r="G494" s="828">
        <v>29</v>
      </c>
      <c r="H494" s="828">
        <v>1</v>
      </c>
      <c r="I494" s="828">
        <v>4</v>
      </c>
      <c r="J494" s="828">
        <v>16</v>
      </c>
      <c r="K494" s="828">
        <v>9</v>
      </c>
      <c r="L494" s="828">
        <v>3</v>
      </c>
      <c r="N494" s="222" t="s">
        <v>937</v>
      </c>
      <c r="O494" s="222" t="s">
        <v>2157</v>
      </c>
      <c r="P494" s="824">
        <v>11141</v>
      </c>
      <c r="Q494" s="824">
        <v>10.764379999999999</v>
      </c>
      <c r="R494" s="824">
        <v>60.94744</v>
      </c>
      <c r="S494" s="824">
        <v>7.8068799999999996</v>
      </c>
      <c r="T494" s="824">
        <v>29</v>
      </c>
      <c r="U494" s="824">
        <v>1</v>
      </c>
      <c r="V494" s="824">
        <v>4</v>
      </c>
      <c r="W494" s="824">
        <v>16</v>
      </c>
      <c r="X494" s="824">
        <v>9</v>
      </c>
      <c r="Y494" s="824">
        <v>3</v>
      </c>
      <c r="Z494" s="480" t="str">
        <f t="shared" si="7"/>
        <v/>
      </c>
    </row>
    <row r="495" spans="1:26">
      <c r="A495" s="825" t="s">
        <v>938</v>
      </c>
      <c r="B495" s="826">
        <v>3127</v>
      </c>
      <c r="C495" s="827"/>
      <c r="D495" s="828">
        <v>14.10745</v>
      </c>
      <c r="E495" s="828">
        <v>8.1706800000000008</v>
      </c>
      <c r="F495" s="828">
        <v>66.760040000000004</v>
      </c>
      <c r="G495" s="828">
        <v>31</v>
      </c>
      <c r="H495" s="828">
        <v>1</v>
      </c>
      <c r="I495" s="828">
        <v>7</v>
      </c>
      <c r="J495" s="828">
        <v>20</v>
      </c>
      <c r="K495" s="828">
        <v>13</v>
      </c>
      <c r="L495" s="828">
        <v>3</v>
      </c>
      <c r="N495" s="222" t="s">
        <v>938</v>
      </c>
      <c r="O495" s="222" t="s">
        <v>2158</v>
      </c>
      <c r="P495" s="824">
        <v>3127</v>
      </c>
      <c r="Q495" s="824">
        <v>14.10745</v>
      </c>
      <c r="R495" s="824">
        <v>66.760040000000004</v>
      </c>
      <c r="S495" s="824">
        <v>8.1706800000000008</v>
      </c>
      <c r="T495" s="824">
        <v>31</v>
      </c>
      <c r="U495" s="824">
        <v>1</v>
      </c>
      <c r="V495" s="824">
        <v>7</v>
      </c>
      <c r="W495" s="824">
        <v>20</v>
      </c>
      <c r="X495" s="824">
        <v>13</v>
      </c>
      <c r="Y495" s="824">
        <v>3</v>
      </c>
      <c r="Z495" s="480" t="str">
        <f t="shared" si="7"/>
        <v/>
      </c>
    </row>
    <row r="496" spans="1:26">
      <c r="A496" s="825" t="s">
        <v>939</v>
      </c>
      <c r="B496" s="826">
        <v>21063</v>
      </c>
      <c r="C496" s="827"/>
      <c r="D496" s="828">
        <v>10.102740000000001</v>
      </c>
      <c r="E496" s="828">
        <v>6.6059200000000002</v>
      </c>
      <c r="F496" s="828">
        <v>43.638199999999998</v>
      </c>
      <c r="G496" s="828">
        <v>25</v>
      </c>
      <c r="H496" s="828">
        <v>1</v>
      </c>
      <c r="I496" s="828">
        <v>4</v>
      </c>
      <c r="J496" s="828">
        <v>15</v>
      </c>
      <c r="K496" s="828">
        <v>9</v>
      </c>
      <c r="L496" s="828">
        <v>3</v>
      </c>
      <c r="N496" s="222" t="s">
        <v>939</v>
      </c>
      <c r="O496" s="222" t="s">
        <v>940</v>
      </c>
      <c r="P496" s="824">
        <v>21063</v>
      </c>
      <c r="Q496" s="824">
        <v>10.102740000000001</v>
      </c>
      <c r="R496" s="824">
        <v>43.638199999999998</v>
      </c>
      <c r="S496" s="824">
        <v>6.6059200000000002</v>
      </c>
      <c r="T496" s="824">
        <v>25</v>
      </c>
      <c r="U496" s="824">
        <v>1</v>
      </c>
      <c r="V496" s="824">
        <v>4</v>
      </c>
      <c r="W496" s="824">
        <v>15</v>
      </c>
      <c r="X496" s="824">
        <v>9</v>
      </c>
      <c r="Y496" s="824">
        <v>3</v>
      </c>
      <c r="Z496" s="480" t="str">
        <f t="shared" si="7"/>
        <v/>
      </c>
    </row>
    <row r="497" spans="1:26">
      <c r="A497" s="825" t="s">
        <v>941</v>
      </c>
      <c r="B497" s="826">
        <v>9171</v>
      </c>
      <c r="C497" s="827"/>
      <c r="D497" s="828">
        <v>10.872210000000001</v>
      </c>
      <c r="E497" s="828">
        <v>7.01783</v>
      </c>
      <c r="F497" s="828">
        <v>49.249969999999998</v>
      </c>
      <c r="G497" s="828">
        <v>26</v>
      </c>
      <c r="H497" s="828">
        <v>1</v>
      </c>
      <c r="I497" s="828">
        <v>5</v>
      </c>
      <c r="J497" s="828">
        <v>16</v>
      </c>
      <c r="K497" s="828">
        <v>10</v>
      </c>
      <c r="L497" s="828">
        <v>2</v>
      </c>
      <c r="N497" s="222" t="s">
        <v>941</v>
      </c>
      <c r="O497" s="222" t="s">
        <v>942</v>
      </c>
      <c r="P497" s="824">
        <v>9171</v>
      </c>
      <c r="Q497" s="824">
        <v>10.872210000000001</v>
      </c>
      <c r="R497" s="824">
        <v>49.249969999999998</v>
      </c>
      <c r="S497" s="824">
        <v>7.01783</v>
      </c>
      <c r="T497" s="824">
        <v>26</v>
      </c>
      <c r="U497" s="824">
        <v>1</v>
      </c>
      <c r="V497" s="824">
        <v>5</v>
      </c>
      <c r="W497" s="824">
        <v>16</v>
      </c>
      <c r="X497" s="824">
        <v>10</v>
      </c>
      <c r="Y497" s="824">
        <v>2</v>
      </c>
      <c r="Z497" s="480" t="str">
        <f t="shared" si="7"/>
        <v/>
      </c>
    </row>
    <row r="498" spans="1:26">
      <c r="A498" s="825" t="s">
        <v>943</v>
      </c>
      <c r="B498" s="826">
        <v>4373</v>
      </c>
      <c r="C498" s="827"/>
      <c r="D498" s="828">
        <v>11.906470000000001</v>
      </c>
      <c r="E498" s="828">
        <v>7.5320999999999998</v>
      </c>
      <c r="F498" s="828">
        <v>56.732559999999999</v>
      </c>
      <c r="G498" s="828">
        <v>28</v>
      </c>
      <c r="H498" s="828">
        <v>1</v>
      </c>
      <c r="I498" s="828">
        <v>5</v>
      </c>
      <c r="J498" s="828">
        <v>18</v>
      </c>
      <c r="K498" s="828">
        <v>11</v>
      </c>
      <c r="L498" s="828">
        <v>2</v>
      </c>
      <c r="N498" s="222" t="s">
        <v>943</v>
      </c>
      <c r="O498" s="222" t="s">
        <v>944</v>
      </c>
      <c r="P498" s="824">
        <v>4373</v>
      </c>
      <c r="Q498" s="824">
        <v>11.906470000000001</v>
      </c>
      <c r="R498" s="824">
        <v>56.732559999999999</v>
      </c>
      <c r="S498" s="824">
        <v>7.5320999999999998</v>
      </c>
      <c r="T498" s="824">
        <v>28</v>
      </c>
      <c r="U498" s="824">
        <v>1</v>
      </c>
      <c r="V498" s="824">
        <v>5</v>
      </c>
      <c r="W498" s="824">
        <v>18</v>
      </c>
      <c r="X498" s="824">
        <v>11</v>
      </c>
      <c r="Y498" s="824">
        <v>2</v>
      </c>
      <c r="Z498" s="480" t="str">
        <f t="shared" si="7"/>
        <v/>
      </c>
    </row>
    <row r="499" spans="1:26">
      <c r="A499" s="825" t="s">
        <v>945</v>
      </c>
      <c r="B499" s="826">
        <v>38637</v>
      </c>
      <c r="C499" s="827"/>
      <c r="D499" s="828">
        <v>12.54603</v>
      </c>
      <c r="E499" s="828">
        <v>8.5137</v>
      </c>
      <c r="F499" s="828">
        <v>72.483009999999993</v>
      </c>
      <c r="G499" s="828">
        <v>32</v>
      </c>
      <c r="H499" s="828">
        <v>1</v>
      </c>
      <c r="I499" s="828">
        <v>5</v>
      </c>
      <c r="J499" s="828">
        <v>19</v>
      </c>
      <c r="K499" s="828">
        <v>11</v>
      </c>
      <c r="L499" s="828">
        <v>3</v>
      </c>
      <c r="N499" s="222" t="s">
        <v>945</v>
      </c>
      <c r="O499" s="222" t="s">
        <v>946</v>
      </c>
      <c r="P499" s="824">
        <v>38637</v>
      </c>
      <c r="Q499" s="824">
        <v>12.54603</v>
      </c>
      <c r="R499" s="824">
        <v>72.483009999999993</v>
      </c>
      <c r="S499" s="824">
        <v>8.5137</v>
      </c>
      <c r="T499" s="824">
        <v>32</v>
      </c>
      <c r="U499" s="824">
        <v>1</v>
      </c>
      <c r="V499" s="824">
        <v>5</v>
      </c>
      <c r="W499" s="824">
        <v>19</v>
      </c>
      <c r="X499" s="824">
        <v>11</v>
      </c>
      <c r="Y499" s="824">
        <v>3</v>
      </c>
      <c r="Z499" s="480" t="str">
        <f t="shared" si="7"/>
        <v/>
      </c>
    </row>
    <row r="500" spans="1:26">
      <c r="A500" s="825" t="s">
        <v>947</v>
      </c>
      <c r="B500" s="826">
        <v>6781</v>
      </c>
      <c r="C500" s="827"/>
      <c r="D500" s="828">
        <v>10.58339</v>
      </c>
      <c r="E500" s="828">
        <v>6.6285400000000001</v>
      </c>
      <c r="F500" s="828">
        <v>43.937480000000001</v>
      </c>
      <c r="G500" s="828">
        <v>25</v>
      </c>
      <c r="H500" s="828">
        <v>1</v>
      </c>
      <c r="I500" s="828">
        <v>5</v>
      </c>
      <c r="J500" s="828">
        <v>16</v>
      </c>
      <c r="K500" s="828">
        <v>10</v>
      </c>
      <c r="L500" s="828">
        <v>4</v>
      </c>
      <c r="N500" s="222" t="s">
        <v>947</v>
      </c>
      <c r="O500" s="222" t="s">
        <v>948</v>
      </c>
      <c r="P500" s="824">
        <v>6781</v>
      </c>
      <c r="Q500" s="824">
        <v>10.58339</v>
      </c>
      <c r="R500" s="824">
        <v>43.937480000000001</v>
      </c>
      <c r="S500" s="824">
        <v>6.6285400000000001</v>
      </c>
      <c r="T500" s="824">
        <v>25</v>
      </c>
      <c r="U500" s="824">
        <v>1</v>
      </c>
      <c r="V500" s="824">
        <v>5</v>
      </c>
      <c r="W500" s="824">
        <v>16</v>
      </c>
      <c r="X500" s="824">
        <v>10</v>
      </c>
      <c r="Y500" s="824">
        <v>4</v>
      </c>
      <c r="Z500" s="480" t="str">
        <f t="shared" si="7"/>
        <v/>
      </c>
    </row>
    <row r="501" spans="1:26">
      <c r="A501" s="825" t="s">
        <v>949</v>
      </c>
      <c r="B501" s="826">
        <v>1879</v>
      </c>
      <c r="C501" s="827"/>
      <c r="D501" s="828">
        <v>10.77328</v>
      </c>
      <c r="E501" s="828">
        <v>6.8556299999999997</v>
      </c>
      <c r="F501" s="828">
        <v>46.999690000000001</v>
      </c>
      <c r="G501" s="828">
        <v>26</v>
      </c>
      <c r="H501" s="828">
        <v>1</v>
      </c>
      <c r="I501" s="828">
        <v>5</v>
      </c>
      <c r="J501" s="828">
        <v>16</v>
      </c>
      <c r="K501" s="828">
        <v>10</v>
      </c>
      <c r="L501" s="828">
        <v>5</v>
      </c>
      <c r="N501" s="222" t="s">
        <v>949</v>
      </c>
      <c r="O501" s="222" t="s">
        <v>950</v>
      </c>
      <c r="P501" s="824">
        <v>1879</v>
      </c>
      <c r="Q501" s="824">
        <v>10.77328</v>
      </c>
      <c r="R501" s="824">
        <v>46.999690000000001</v>
      </c>
      <c r="S501" s="824">
        <v>6.8556299999999997</v>
      </c>
      <c r="T501" s="824">
        <v>26</v>
      </c>
      <c r="U501" s="824">
        <v>1</v>
      </c>
      <c r="V501" s="824">
        <v>5</v>
      </c>
      <c r="W501" s="824">
        <v>16</v>
      </c>
      <c r="X501" s="824">
        <v>10</v>
      </c>
      <c r="Y501" s="824">
        <v>5</v>
      </c>
      <c r="Z501" s="480" t="str">
        <f t="shared" si="7"/>
        <v/>
      </c>
    </row>
    <row r="502" spans="1:26">
      <c r="A502" s="825" t="s">
        <v>951</v>
      </c>
      <c r="B502" s="826">
        <v>98658</v>
      </c>
      <c r="C502" s="827"/>
      <c r="D502" s="828">
        <v>8.1599699999999995</v>
      </c>
      <c r="E502" s="828">
        <v>5.2248099999999997</v>
      </c>
      <c r="F502" s="828">
        <v>27.298680000000001</v>
      </c>
      <c r="G502" s="828">
        <v>20</v>
      </c>
      <c r="H502" s="828">
        <v>1</v>
      </c>
      <c r="I502" s="828">
        <v>4</v>
      </c>
      <c r="J502" s="828">
        <v>12</v>
      </c>
      <c r="K502" s="828">
        <v>7</v>
      </c>
      <c r="L502" s="828">
        <v>3</v>
      </c>
      <c r="N502" s="222" t="s">
        <v>951</v>
      </c>
      <c r="O502" s="222" t="s">
        <v>952</v>
      </c>
      <c r="P502" s="824">
        <v>98658</v>
      </c>
      <c r="Q502" s="824">
        <v>8.1599699999999995</v>
      </c>
      <c r="R502" s="824">
        <v>27.298680000000001</v>
      </c>
      <c r="S502" s="824">
        <v>5.2248099999999997</v>
      </c>
      <c r="T502" s="824">
        <v>20</v>
      </c>
      <c r="U502" s="824">
        <v>1</v>
      </c>
      <c r="V502" s="824">
        <v>4</v>
      </c>
      <c r="W502" s="824">
        <v>12</v>
      </c>
      <c r="X502" s="824">
        <v>7</v>
      </c>
      <c r="Y502" s="824">
        <v>3</v>
      </c>
      <c r="Z502" s="480" t="str">
        <f t="shared" si="7"/>
        <v/>
      </c>
    </row>
    <row r="503" spans="1:26">
      <c r="A503" s="825" t="s">
        <v>953</v>
      </c>
      <c r="B503" s="826">
        <v>84054</v>
      </c>
      <c r="C503" s="829"/>
      <c r="D503" s="828">
        <v>9.7323000000000004</v>
      </c>
      <c r="E503" s="828">
        <v>8.0180699999999998</v>
      </c>
      <c r="F503" s="828">
        <v>64.289410000000004</v>
      </c>
      <c r="G503" s="828">
        <v>56</v>
      </c>
      <c r="H503" s="828">
        <v>1</v>
      </c>
      <c r="I503" s="828">
        <v>4</v>
      </c>
      <c r="J503" s="828">
        <v>13</v>
      </c>
      <c r="K503" s="828">
        <v>8</v>
      </c>
      <c r="L503" s="828">
        <v>2</v>
      </c>
      <c r="N503" s="222" t="s">
        <v>953</v>
      </c>
      <c r="O503" s="222" t="s">
        <v>954</v>
      </c>
      <c r="P503" s="824">
        <v>84054</v>
      </c>
      <c r="Q503" s="824">
        <v>9.7323000000000004</v>
      </c>
      <c r="R503" s="824">
        <v>64.289410000000004</v>
      </c>
      <c r="S503" s="824">
        <v>8.0180699999999998</v>
      </c>
      <c r="T503" s="824">
        <v>56</v>
      </c>
      <c r="U503" s="824">
        <v>1</v>
      </c>
      <c r="V503" s="824">
        <v>4</v>
      </c>
      <c r="W503" s="824">
        <v>13</v>
      </c>
      <c r="X503" s="824">
        <v>8</v>
      </c>
      <c r="Y503" s="824">
        <v>2</v>
      </c>
      <c r="Z503" s="480" t="str">
        <f t="shared" si="7"/>
        <v/>
      </c>
    </row>
    <row r="504" spans="1:26">
      <c r="A504" s="825" t="s">
        <v>955</v>
      </c>
      <c r="B504" s="826">
        <v>39640</v>
      </c>
      <c r="C504" s="827"/>
      <c r="D504" s="828">
        <v>10.477270000000001</v>
      </c>
      <c r="E504" s="828">
        <v>8.6318099999999998</v>
      </c>
      <c r="F504" s="828">
        <v>74.508120000000005</v>
      </c>
      <c r="G504" s="828">
        <v>56</v>
      </c>
      <c r="H504" s="828">
        <v>1</v>
      </c>
      <c r="I504" s="828">
        <v>4</v>
      </c>
      <c r="J504" s="828">
        <v>15</v>
      </c>
      <c r="K504" s="828">
        <v>8</v>
      </c>
      <c r="L504" s="828">
        <v>3</v>
      </c>
      <c r="N504" s="222" t="s">
        <v>955</v>
      </c>
      <c r="O504" s="222" t="s">
        <v>956</v>
      </c>
      <c r="P504" s="824">
        <v>39640</v>
      </c>
      <c r="Q504" s="824">
        <v>10.477270000000001</v>
      </c>
      <c r="R504" s="824">
        <v>74.508120000000005</v>
      </c>
      <c r="S504" s="824">
        <v>8.6318099999999998</v>
      </c>
      <c r="T504" s="824">
        <v>56</v>
      </c>
      <c r="U504" s="824">
        <v>1</v>
      </c>
      <c r="V504" s="824">
        <v>4</v>
      </c>
      <c r="W504" s="824">
        <v>15</v>
      </c>
      <c r="X504" s="824">
        <v>8</v>
      </c>
      <c r="Y504" s="824">
        <v>3</v>
      </c>
      <c r="Z504" s="480" t="str">
        <f t="shared" si="7"/>
        <v/>
      </c>
    </row>
    <row r="505" spans="1:26">
      <c r="A505" s="825" t="s">
        <v>957</v>
      </c>
      <c r="B505" s="826">
        <v>52289</v>
      </c>
      <c r="C505" s="827"/>
      <c r="D505" s="828">
        <v>9.2066400000000002</v>
      </c>
      <c r="E505" s="828">
        <v>5.8208299999999999</v>
      </c>
      <c r="F505" s="828">
        <v>33.88212</v>
      </c>
      <c r="G505" s="828">
        <v>22</v>
      </c>
      <c r="H505" s="828">
        <v>1</v>
      </c>
      <c r="I505" s="828">
        <v>4</v>
      </c>
      <c r="J505" s="828">
        <v>13</v>
      </c>
      <c r="K505" s="828">
        <v>8</v>
      </c>
      <c r="L505" s="828">
        <v>3</v>
      </c>
      <c r="N505" s="222" t="s">
        <v>957</v>
      </c>
      <c r="O505" s="222" t="s">
        <v>958</v>
      </c>
      <c r="P505" s="824">
        <v>52289</v>
      </c>
      <c r="Q505" s="824">
        <v>9.2066400000000002</v>
      </c>
      <c r="R505" s="824">
        <v>33.88212</v>
      </c>
      <c r="S505" s="824">
        <v>5.8208299999999999</v>
      </c>
      <c r="T505" s="824">
        <v>22</v>
      </c>
      <c r="U505" s="824">
        <v>1</v>
      </c>
      <c r="V505" s="824">
        <v>4</v>
      </c>
      <c r="W505" s="824">
        <v>13</v>
      </c>
      <c r="X505" s="824">
        <v>8</v>
      </c>
      <c r="Y505" s="824">
        <v>3</v>
      </c>
      <c r="Z505" s="480" t="str">
        <f t="shared" si="7"/>
        <v/>
      </c>
    </row>
    <row r="506" spans="1:26">
      <c r="A506" s="825" t="s">
        <v>959</v>
      </c>
      <c r="B506" s="826">
        <v>17328</v>
      </c>
      <c r="C506" s="827"/>
      <c r="D506" s="828">
        <v>8.9717800000000008</v>
      </c>
      <c r="E506" s="828">
        <v>5.9077799999999998</v>
      </c>
      <c r="F506" s="828">
        <v>34.901899999999998</v>
      </c>
      <c r="G506" s="828">
        <v>22</v>
      </c>
      <c r="H506" s="828">
        <v>1</v>
      </c>
      <c r="I506" s="828">
        <v>4</v>
      </c>
      <c r="J506" s="828">
        <v>13</v>
      </c>
      <c r="K506" s="828">
        <v>8</v>
      </c>
      <c r="L506" s="828">
        <v>2</v>
      </c>
      <c r="N506" s="222" t="s">
        <v>959</v>
      </c>
      <c r="O506" s="222" t="s">
        <v>960</v>
      </c>
      <c r="P506" s="824">
        <v>17328</v>
      </c>
      <c r="Q506" s="824">
        <v>8.9717800000000008</v>
      </c>
      <c r="R506" s="824">
        <v>34.901899999999998</v>
      </c>
      <c r="S506" s="824">
        <v>5.9077799999999998</v>
      </c>
      <c r="T506" s="824">
        <v>22</v>
      </c>
      <c r="U506" s="824">
        <v>1</v>
      </c>
      <c r="V506" s="824">
        <v>4</v>
      </c>
      <c r="W506" s="824">
        <v>13</v>
      </c>
      <c r="X506" s="824">
        <v>8</v>
      </c>
      <c r="Y506" s="824">
        <v>2</v>
      </c>
      <c r="Z506" s="480" t="str">
        <f t="shared" si="7"/>
        <v/>
      </c>
    </row>
    <row r="507" spans="1:26">
      <c r="A507" s="825" t="s">
        <v>961</v>
      </c>
      <c r="B507" s="826">
        <v>9040</v>
      </c>
      <c r="C507" s="827"/>
      <c r="D507" s="828">
        <v>10.30597</v>
      </c>
      <c r="E507" s="828">
        <v>8.29115</v>
      </c>
      <c r="F507" s="828">
        <v>68.743189999999998</v>
      </c>
      <c r="G507" s="828">
        <v>54</v>
      </c>
      <c r="H507" s="828">
        <v>1</v>
      </c>
      <c r="I507" s="828">
        <v>4</v>
      </c>
      <c r="J507" s="828">
        <v>14</v>
      </c>
      <c r="K507" s="828">
        <v>8</v>
      </c>
      <c r="L507" s="828">
        <v>3</v>
      </c>
      <c r="N507" s="222" t="s">
        <v>961</v>
      </c>
      <c r="O507" s="222" t="s">
        <v>2159</v>
      </c>
      <c r="P507" s="824">
        <v>9040</v>
      </c>
      <c r="Q507" s="824">
        <v>10.30597</v>
      </c>
      <c r="R507" s="824">
        <v>68.743189999999998</v>
      </c>
      <c r="S507" s="824">
        <v>8.29115</v>
      </c>
      <c r="T507" s="824">
        <v>54</v>
      </c>
      <c r="U507" s="824">
        <v>1</v>
      </c>
      <c r="V507" s="824">
        <v>4</v>
      </c>
      <c r="W507" s="824">
        <v>14</v>
      </c>
      <c r="X507" s="824">
        <v>8</v>
      </c>
      <c r="Y507" s="824">
        <v>3</v>
      </c>
      <c r="Z507" s="480" t="str">
        <f t="shared" si="7"/>
        <v/>
      </c>
    </row>
    <row r="508" spans="1:26">
      <c r="A508" s="825" t="s">
        <v>962</v>
      </c>
      <c r="B508" s="826">
        <v>45412</v>
      </c>
      <c r="C508" s="827"/>
      <c r="D508" s="828">
        <v>10.56602</v>
      </c>
      <c r="E508" s="828">
        <v>8.5339600000000004</v>
      </c>
      <c r="F508" s="828">
        <v>72.828410000000005</v>
      </c>
      <c r="G508" s="828">
        <v>55</v>
      </c>
      <c r="H508" s="828">
        <v>1</v>
      </c>
      <c r="I508" s="828">
        <v>4</v>
      </c>
      <c r="J508" s="828">
        <v>15</v>
      </c>
      <c r="K508" s="828">
        <v>8</v>
      </c>
      <c r="L508" s="828">
        <v>3</v>
      </c>
      <c r="N508" s="222" t="s">
        <v>962</v>
      </c>
      <c r="O508" s="222" t="s">
        <v>2160</v>
      </c>
      <c r="P508" s="824">
        <v>45412</v>
      </c>
      <c r="Q508" s="824">
        <v>10.56602</v>
      </c>
      <c r="R508" s="824">
        <v>72.828410000000005</v>
      </c>
      <c r="S508" s="824">
        <v>8.5339600000000004</v>
      </c>
      <c r="T508" s="824">
        <v>55</v>
      </c>
      <c r="U508" s="824">
        <v>1</v>
      </c>
      <c r="V508" s="824">
        <v>4</v>
      </c>
      <c r="W508" s="824">
        <v>15</v>
      </c>
      <c r="X508" s="824">
        <v>8</v>
      </c>
      <c r="Y508" s="824">
        <v>3</v>
      </c>
      <c r="Z508" s="480" t="str">
        <f t="shared" si="7"/>
        <v/>
      </c>
    </row>
    <row r="509" spans="1:26">
      <c r="A509" s="825" t="s">
        <v>963</v>
      </c>
      <c r="B509" s="826">
        <v>29438</v>
      </c>
      <c r="C509" s="827"/>
      <c r="D509" s="828">
        <v>9.1166900000000002</v>
      </c>
      <c r="E509" s="828">
        <v>5.78477</v>
      </c>
      <c r="F509" s="828">
        <v>33.463610000000003</v>
      </c>
      <c r="G509" s="828">
        <v>22</v>
      </c>
      <c r="H509" s="828">
        <v>1</v>
      </c>
      <c r="I509" s="828">
        <v>4</v>
      </c>
      <c r="J509" s="828">
        <v>13</v>
      </c>
      <c r="K509" s="828">
        <v>8</v>
      </c>
      <c r="L509" s="828">
        <v>3</v>
      </c>
      <c r="N509" s="222" t="s">
        <v>963</v>
      </c>
      <c r="O509" s="222" t="s">
        <v>964</v>
      </c>
      <c r="P509" s="824">
        <v>29438</v>
      </c>
      <c r="Q509" s="824">
        <v>9.1166900000000002</v>
      </c>
      <c r="R509" s="824">
        <v>33.463610000000003</v>
      </c>
      <c r="S509" s="824">
        <v>5.78477</v>
      </c>
      <c r="T509" s="824">
        <v>22</v>
      </c>
      <c r="U509" s="824">
        <v>1</v>
      </c>
      <c r="V509" s="824">
        <v>4</v>
      </c>
      <c r="W509" s="824">
        <v>13</v>
      </c>
      <c r="X509" s="824">
        <v>8</v>
      </c>
      <c r="Y509" s="824">
        <v>3</v>
      </c>
      <c r="Z509" s="480" t="str">
        <f t="shared" si="7"/>
        <v/>
      </c>
    </row>
    <row r="510" spans="1:26">
      <c r="A510" s="825" t="s">
        <v>965</v>
      </c>
      <c r="B510" s="826">
        <v>38778</v>
      </c>
      <c r="C510" s="827"/>
      <c r="D510" s="828">
        <v>8.1967599999999994</v>
      </c>
      <c r="E510" s="828">
        <v>5.2312399999999997</v>
      </c>
      <c r="F510" s="828">
        <v>27.365880000000001</v>
      </c>
      <c r="G510" s="828">
        <v>20</v>
      </c>
      <c r="H510" s="828">
        <v>1</v>
      </c>
      <c r="I510" s="828">
        <v>4</v>
      </c>
      <c r="J510" s="828">
        <v>12</v>
      </c>
      <c r="K510" s="828">
        <v>7</v>
      </c>
      <c r="L510" s="828">
        <v>3</v>
      </c>
      <c r="N510" s="222" t="s">
        <v>965</v>
      </c>
      <c r="O510" s="222" t="s">
        <v>2161</v>
      </c>
      <c r="P510" s="824">
        <v>38778</v>
      </c>
      <c r="Q510" s="824">
        <v>8.1967599999999994</v>
      </c>
      <c r="R510" s="824">
        <v>27.365880000000001</v>
      </c>
      <c r="S510" s="824">
        <v>5.2312399999999997</v>
      </c>
      <c r="T510" s="824">
        <v>20</v>
      </c>
      <c r="U510" s="824">
        <v>1</v>
      </c>
      <c r="V510" s="824">
        <v>4</v>
      </c>
      <c r="W510" s="824">
        <v>12</v>
      </c>
      <c r="X510" s="824">
        <v>7</v>
      </c>
      <c r="Y510" s="824">
        <v>3</v>
      </c>
      <c r="Z510" s="480" t="str">
        <f t="shared" si="7"/>
        <v/>
      </c>
    </row>
    <row r="511" spans="1:26">
      <c r="A511" s="825" t="s">
        <v>966</v>
      </c>
      <c r="B511" s="826">
        <v>42320</v>
      </c>
      <c r="C511" s="827"/>
      <c r="D511" s="828">
        <v>8.2570700000000006</v>
      </c>
      <c r="E511" s="828">
        <v>5.2978300000000003</v>
      </c>
      <c r="F511" s="828">
        <v>28.067019999999999</v>
      </c>
      <c r="G511" s="828">
        <v>20</v>
      </c>
      <c r="H511" s="828">
        <v>1</v>
      </c>
      <c r="I511" s="828">
        <v>4</v>
      </c>
      <c r="J511" s="828">
        <v>12</v>
      </c>
      <c r="K511" s="828">
        <v>7</v>
      </c>
      <c r="L511" s="828">
        <v>2</v>
      </c>
      <c r="N511" s="222" t="s">
        <v>966</v>
      </c>
      <c r="O511" s="222" t="s">
        <v>967</v>
      </c>
      <c r="P511" s="824">
        <v>42320</v>
      </c>
      <c r="Q511" s="824">
        <v>8.2570700000000006</v>
      </c>
      <c r="R511" s="824">
        <v>28.067019999999999</v>
      </c>
      <c r="S511" s="824">
        <v>5.2978300000000003</v>
      </c>
      <c r="T511" s="824">
        <v>20</v>
      </c>
      <c r="U511" s="824">
        <v>1</v>
      </c>
      <c r="V511" s="824">
        <v>4</v>
      </c>
      <c r="W511" s="824">
        <v>12</v>
      </c>
      <c r="X511" s="824">
        <v>7</v>
      </c>
      <c r="Y511" s="824">
        <v>2</v>
      </c>
      <c r="Z511" s="480" t="str">
        <f t="shared" si="7"/>
        <v/>
      </c>
    </row>
    <row r="512" spans="1:26">
      <c r="A512" s="825" t="s">
        <v>968</v>
      </c>
      <c r="B512" s="826">
        <v>252117</v>
      </c>
      <c r="C512" s="827"/>
      <c r="D512" s="828">
        <v>8.4354600000000008</v>
      </c>
      <c r="E512" s="828">
        <v>5.2239500000000003</v>
      </c>
      <c r="F512" s="828">
        <v>27.289670000000001</v>
      </c>
      <c r="G512" s="828">
        <v>20</v>
      </c>
      <c r="H512" s="828">
        <v>1</v>
      </c>
      <c r="I512" s="828">
        <v>4</v>
      </c>
      <c r="J512" s="828">
        <v>12</v>
      </c>
      <c r="K512" s="828">
        <v>7</v>
      </c>
      <c r="L512" s="828">
        <v>3</v>
      </c>
      <c r="N512" s="222" t="s">
        <v>968</v>
      </c>
      <c r="O512" s="222" t="s">
        <v>2162</v>
      </c>
      <c r="P512" s="824">
        <v>252117</v>
      </c>
      <c r="Q512" s="824">
        <v>8.4354600000000008</v>
      </c>
      <c r="R512" s="824">
        <v>27.289670000000001</v>
      </c>
      <c r="S512" s="824">
        <v>5.2239500000000003</v>
      </c>
      <c r="T512" s="824">
        <v>20</v>
      </c>
      <c r="U512" s="824">
        <v>1</v>
      </c>
      <c r="V512" s="824">
        <v>4</v>
      </c>
      <c r="W512" s="824">
        <v>12</v>
      </c>
      <c r="X512" s="824">
        <v>7</v>
      </c>
      <c r="Y512" s="824">
        <v>3</v>
      </c>
      <c r="Z512" s="480" t="str">
        <f t="shared" si="7"/>
        <v/>
      </c>
    </row>
    <row r="513" spans="1:26">
      <c r="A513" s="825" t="s">
        <v>969</v>
      </c>
      <c r="B513" s="826">
        <v>28364</v>
      </c>
      <c r="C513" s="827"/>
      <c r="D513" s="828">
        <v>10.345470000000001</v>
      </c>
      <c r="E513" s="828">
        <v>8.39513</v>
      </c>
      <c r="F513" s="828">
        <v>70.478149999999999</v>
      </c>
      <c r="G513" s="828">
        <v>74</v>
      </c>
      <c r="H513" s="828">
        <v>1</v>
      </c>
      <c r="I513" s="828">
        <v>4</v>
      </c>
      <c r="J513" s="828">
        <v>14</v>
      </c>
      <c r="K513" s="828">
        <v>8</v>
      </c>
      <c r="L513" s="828">
        <v>3</v>
      </c>
      <c r="N513" s="222" t="s">
        <v>969</v>
      </c>
      <c r="O513" s="222" t="s">
        <v>2163</v>
      </c>
      <c r="P513" s="824">
        <v>28364</v>
      </c>
      <c r="Q513" s="824">
        <v>10.345470000000001</v>
      </c>
      <c r="R513" s="824">
        <v>70.478149999999999</v>
      </c>
      <c r="S513" s="824">
        <v>8.39513</v>
      </c>
      <c r="T513" s="824">
        <v>74</v>
      </c>
      <c r="U513" s="824">
        <v>1</v>
      </c>
      <c r="V513" s="824">
        <v>4</v>
      </c>
      <c r="W513" s="824">
        <v>14</v>
      </c>
      <c r="X513" s="824">
        <v>8</v>
      </c>
      <c r="Y513" s="824">
        <v>3</v>
      </c>
      <c r="Z513" s="480" t="str">
        <f t="shared" si="7"/>
        <v/>
      </c>
    </row>
    <row r="514" spans="1:26">
      <c r="A514" s="825" t="s">
        <v>970</v>
      </c>
      <c r="B514" s="826">
        <v>5178</v>
      </c>
      <c r="C514" s="827"/>
      <c r="D514" s="828">
        <v>8.6494800000000005</v>
      </c>
      <c r="E514" s="828">
        <v>6.7530000000000001</v>
      </c>
      <c r="F514" s="828">
        <v>45.603009999999998</v>
      </c>
      <c r="G514" s="828">
        <v>50</v>
      </c>
      <c r="H514" s="828">
        <v>1</v>
      </c>
      <c r="I514" s="828">
        <v>3</v>
      </c>
      <c r="J514" s="828">
        <v>12</v>
      </c>
      <c r="K514" s="828">
        <v>7</v>
      </c>
      <c r="L514" s="828">
        <v>2</v>
      </c>
      <c r="N514" s="222" t="s">
        <v>970</v>
      </c>
      <c r="O514" s="222" t="s">
        <v>2164</v>
      </c>
      <c r="P514" s="824">
        <v>5178</v>
      </c>
      <c r="Q514" s="824">
        <v>8.6494800000000005</v>
      </c>
      <c r="R514" s="824">
        <v>45.603009999999998</v>
      </c>
      <c r="S514" s="824">
        <v>6.7530000000000001</v>
      </c>
      <c r="T514" s="824">
        <v>50</v>
      </c>
      <c r="U514" s="824">
        <v>1</v>
      </c>
      <c r="V514" s="824">
        <v>3</v>
      </c>
      <c r="W514" s="824">
        <v>12</v>
      </c>
      <c r="X514" s="824">
        <v>7</v>
      </c>
      <c r="Y514" s="824">
        <v>2</v>
      </c>
      <c r="Z514" s="480" t="str">
        <f t="shared" si="7"/>
        <v/>
      </c>
    </row>
    <row r="515" spans="1:26">
      <c r="A515" s="825" t="s">
        <v>971</v>
      </c>
      <c r="B515" s="826">
        <v>242052</v>
      </c>
      <c r="C515" s="827"/>
      <c r="D515" s="828">
        <v>9.0080399999999994</v>
      </c>
      <c r="E515" s="828">
        <v>7.58934</v>
      </c>
      <c r="F515" s="828">
        <v>57.598129999999998</v>
      </c>
      <c r="G515" s="828">
        <v>56</v>
      </c>
      <c r="H515" s="828">
        <v>1</v>
      </c>
      <c r="I515" s="828">
        <v>4</v>
      </c>
      <c r="J515" s="828">
        <v>12</v>
      </c>
      <c r="K515" s="828">
        <v>7</v>
      </c>
      <c r="L515" s="828">
        <v>3</v>
      </c>
      <c r="N515" s="222" t="s">
        <v>971</v>
      </c>
      <c r="O515" s="222" t="s">
        <v>2165</v>
      </c>
      <c r="P515" s="824">
        <v>242052</v>
      </c>
      <c r="Q515" s="824">
        <v>9.0080399999999994</v>
      </c>
      <c r="R515" s="824">
        <v>57.598129999999998</v>
      </c>
      <c r="S515" s="824">
        <v>7.58934</v>
      </c>
      <c r="T515" s="824">
        <v>56</v>
      </c>
      <c r="U515" s="824">
        <v>1</v>
      </c>
      <c r="V515" s="824">
        <v>4</v>
      </c>
      <c r="W515" s="824">
        <v>12</v>
      </c>
      <c r="X515" s="824">
        <v>7</v>
      </c>
      <c r="Y515" s="824">
        <v>3</v>
      </c>
      <c r="Z515" s="480" t="str">
        <f t="shared" si="7"/>
        <v/>
      </c>
    </row>
    <row r="516" spans="1:26">
      <c r="A516" s="825" t="s">
        <v>972</v>
      </c>
      <c r="B516" s="826">
        <v>113165</v>
      </c>
      <c r="C516" s="827"/>
      <c r="D516" s="828">
        <v>10.711119999999999</v>
      </c>
      <c r="E516" s="828">
        <v>9.0353399999999997</v>
      </c>
      <c r="F516" s="828">
        <v>81.637389999999996</v>
      </c>
      <c r="G516" s="828">
        <v>62</v>
      </c>
      <c r="H516" s="828">
        <v>1</v>
      </c>
      <c r="I516" s="828">
        <v>4</v>
      </c>
      <c r="J516" s="828">
        <v>15</v>
      </c>
      <c r="K516" s="828">
        <v>8</v>
      </c>
      <c r="L516" s="828">
        <v>3</v>
      </c>
      <c r="N516" s="222" t="s">
        <v>972</v>
      </c>
      <c r="O516" s="222" t="s">
        <v>2166</v>
      </c>
      <c r="P516" s="824">
        <v>113165</v>
      </c>
      <c r="Q516" s="824">
        <v>10.711119999999999</v>
      </c>
      <c r="R516" s="824">
        <v>81.637389999999996</v>
      </c>
      <c r="S516" s="824">
        <v>9.0353399999999997</v>
      </c>
      <c r="T516" s="824">
        <v>62</v>
      </c>
      <c r="U516" s="824">
        <v>1</v>
      </c>
      <c r="V516" s="824">
        <v>4</v>
      </c>
      <c r="W516" s="824">
        <v>15</v>
      </c>
      <c r="X516" s="824">
        <v>8</v>
      </c>
      <c r="Y516" s="824">
        <v>3</v>
      </c>
      <c r="Z516" s="480" t="str">
        <f t="shared" ref="Z516:Z579" si="8">IF(AND(A516=N516,B516=P516,D516=Q516,E516=S516,F516=R516,G516=T516,H516=U516,I516=V516,J516=W516,K516,X516,L516=Y516),"","x")</f>
        <v/>
      </c>
    </row>
    <row r="517" spans="1:26">
      <c r="A517" s="825" t="s">
        <v>973</v>
      </c>
      <c r="B517" s="826">
        <v>20090</v>
      </c>
      <c r="C517" s="827"/>
      <c r="D517" s="828">
        <v>10.854850000000001</v>
      </c>
      <c r="E517" s="828">
        <v>8.7865900000000003</v>
      </c>
      <c r="F517" s="828">
        <v>77.204179999999994</v>
      </c>
      <c r="G517" s="828">
        <v>55</v>
      </c>
      <c r="H517" s="828">
        <v>1</v>
      </c>
      <c r="I517" s="828">
        <v>4</v>
      </c>
      <c r="J517" s="828">
        <v>15</v>
      </c>
      <c r="K517" s="828">
        <v>8</v>
      </c>
      <c r="L517" s="828">
        <v>3</v>
      </c>
      <c r="N517" s="222" t="s">
        <v>973</v>
      </c>
      <c r="O517" s="222" t="s">
        <v>974</v>
      </c>
      <c r="P517" s="824">
        <v>20090</v>
      </c>
      <c r="Q517" s="824">
        <v>10.854850000000001</v>
      </c>
      <c r="R517" s="824">
        <v>77.204179999999994</v>
      </c>
      <c r="S517" s="824">
        <v>8.7865900000000003</v>
      </c>
      <c r="T517" s="824">
        <v>55</v>
      </c>
      <c r="U517" s="824">
        <v>1</v>
      </c>
      <c r="V517" s="824">
        <v>4</v>
      </c>
      <c r="W517" s="824">
        <v>15</v>
      </c>
      <c r="X517" s="824">
        <v>8</v>
      </c>
      <c r="Y517" s="824">
        <v>3</v>
      </c>
      <c r="Z517" s="480" t="str">
        <f t="shared" si="8"/>
        <v/>
      </c>
    </row>
    <row r="518" spans="1:26">
      <c r="A518" s="825" t="s">
        <v>975</v>
      </c>
      <c r="B518" s="826">
        <v>50580</v>
      </c>
      <c r="C518" s="827"/>
      <c r="D518" s="828">
        <v>8.1625700000000005</v>
      </c>
      <c r="E518" s="828">
        <v>5.2366299999999999</v>
      </c>
      <c r="F518" s="828">
        <v>27.422249999999998</v>
      </c>
      <c r="G518" s="828">
        <v>20</v>
      </c>
      <c r="H518" s="828">
        <v>1</v>
      </c>
      <c r="I518" s="828">
        <v>4</v>
      </c>
      <c r="J518" s="828">
        <v>12</v>
      </c>
      <c r="K518" s="828">
        <v>7</v>
      </c>
      <c r="L518" s="828">
        <v>2</v>
      </c>
      <c r="N518" s="222" t="s">
        <v>975</v>
      </c>
      <c r="O518" s="222" t="s">
        <v>976</v>
      </c>
      <c r="P518" s="824">
        <v>50580</v>
      </c>
      <c r="Q518" s="824">
        <v>8.1625700000000005</v>
      </c>
      <c r="R518" s="824">
        <v>27.422249999999998</v>
      </c>
      <c r="S518" s="824">
        <v>5.2366299999999999</v>
      </c>
      <c r="T518" s="824">
        <v>20</v>
      </c>
      <c r="U518" s="824">
        <v>1</v>
      </c>
      <c r="V518" s="824">
        <v>4</v>
      </c>
      <c r="W518" s="824">
        <v>12</v>
      </c>
      <c r="X518" s="824">
        <v>7</v>
      </c>
      <c r="Y518" s="824">
        <v>2</v>
      </c>
      <c r="Z518" s="480" t="str">
        <f t="shared" si="8"/>
        <v/>
      </c>
    </row>
    <row r="519" spans="1:26">
      <c r="A519" s="825" t="s">
        <v>977</v>
      </c>
      <c r="B519" s="826">
        <v>2779</v>
      </c>
      <c r="C519" s="827"/>
      <c r="D519" s="828">
        <v>10.644119999999999</v>
      </c>
      <c r="E519" s="828">
        <v>8.5552299999999999</v>
      </c>
      <c r="F519" s="828">
        <v>73.191879999999998</v>
      </c>
      <c r="G519" s="828">
        <v>50</v>
      </c>
      <c r="H519" s="828">
        <v>1</v>
      </c>
      <c r="I519" s="828">
        <v>4</v>
      </c>
      <c r="J519" s="828">
        <v>15</v>
      </c>
      <c r="K519" s="828">
        <v>8</v>
      </c>
      <c r="L519" s="828">
        <v>3</v>
      </c>
      <c r="N519" s="222" t="s">
        <v>977</v>
      </c>
      <c r="O519" s="222" t="s">
        <v>978</v>
      </c>
      <c r="P519" s="824">
        <v>2779</v>
      </c>
      <c r="Q519" s="824">
        <v>10.644119999999999</v>
      </c>
      <c r="R519" s="824">
        <v>73.191879999999998</v>
      </c>
      <c r="S519" s="824">
        <v>8.5552299999999999</v>
      </c>
      <c r="T519" s="824">
        <v>50</v>
      </c>
      <c r="U519" s="824">
        <v>1</v>
      </c>
      <c r="V519" s="824">
        <v>4</v>
      </c>
      <c r="W519" s="824">
        <v>15</v>
      </c>
      <c r="X519" s="824">
        <v>8</v>
      </c>
      <c r="Y519" s="824">
        <v>3</v>
      </c>
      <c r="Z519" s="480" t="str">
        <f t="shared" si="8"/>
        <v/>
      </c>
    </row>
    <row r="520" spans="1:26">
      <c r="A520" s="825" t="s">
        <v>979</v>
      </c>
      <c r="B520" s="826">
        <v>300200</v>
      </c>
      <c r="C520" s="827"/>
      <c r="D520" s="828">
        <v>8.8030100000000004</v>
      </c>
      <c r="E520" s="828">
        <v>7.6696400000000002</v>
      </c>
      <c r="F520" s="828">
        <v>58.823340000000002</v>
      </c>
      <c r="G520" s="828">
        <v>98</v>
      </c>
      <c r="H520" s="828">
        <v>1</v>
      </c>
      <c r="I520" s="828">
        <v>3</v>
      </c>
      <c r="J520" s="828">
        <v>12</v>
      </c>
      <c r="K520" s="828">
        <v>6</v>
      </c>
      <c r="L520" s="828">
        <v>2</v>
      </c>
      <c r="N520" s="222" t="s">
        <v>979</v>
      </c>
      <c r="O520" s="222" t="s">
        <v>2167</v>
      </c>
      <c r="P520" s="824">
        <v>300200</v>
      </c>
      <c r="Q520" s="824">
        <v>8.8030100000000004</v>
      </c>
      <c r="R520" s="824">
        <v>58.823340000000002</v>
      </c>
      <c r="S520" s="824">
        <v>7.6696400000000002</v>
      </c>
      <c r="T520" s="824">
        <v>98</v>
      </c>
      <c r="U520" s="824">
        <v>1</v>
      </c>
      <c r="V520" s="824">
        <v>3</v>
      </c>
      <c r="W520" s="824">
        <v>12</v>
      </c>
      <c r="X520" s="824">
        <v>6</v>
      </c>
      <c r="Y520" s="824">
        <v>2</v>
      </c>
      <c r="Z520" s="480" t="str">
        <f t="shared" si="8"/>
        <v/>
      </c>
    </row>
    <row r="521" spans="1:26">
      <c r="A521" s="825" t="s">
        <v>980</v>
      </c>
      <c r="B521" s="826">
        <v>10348</v>
      </c>
      <c r="C521" s="827"/>
      <c r="D521" s="828">
        <v>8.3564900000000009</v>
      </c>
      <c r="E521" s="828">
        <v>5.5742900000000004</v>
      </c>
      <c r="F521" s="828">
        <v>31.072759999999999</v>
      </c>
      <c r="G521" s="828">
        <v>21</v>
      </c>
      <c r="H521" s="828">
        <v>1</v>
      </c>
      <c r="I521" s="828">
        <v>4</v>
      </c>
      <c r="J521" s="828">
        <v>12</v>
      </c>
      <c r="K521" s="828">
        <v>7</v>
      </c>
      <c r="L521" s="828">
        <v>2</v>
      </c>
      <c r="N521" s="222" t="s">
        <v>980</v>
      </c>
      <c r="O521" s="222" t="s">
        <v>981</v>
      </c>
      <c r="P521" s="824">
        <v>10348</v>
      </c>
      <c r="Q521" s="824">
        <v>8.3564900000000009</v>
      </c>
      <c r="R521" s="824">
        <v>31.072759999999999</v>
      </c>
      <c r="S521" s="824">
        <v>5.5742900000000004</v>
      </c>
      <c r="T521" s="824">
        <v>21</v>
      </c>
      <c r="U521" s="824">
        <v>1</v>
      </c>
      <c r="V521" s="824">
        <v>4</v>
      </c>
      <c r="W521" s="824">
        <v>12</v>
      </c>
      <c r="X521" s="824">
        <v>7</v>
      </c>
      <c r="Y521" s="824">
        <v>2</v>
      </c>
      <c r="Z521" s="480" t="str">
        <f t="shared" si="8"/>
        <v/>
      </c>
    </row>
    <row r="522" spans="1:26">
      <c r="A522" s="825" t="s">
        <v>982</v>
      </c>
      <c r="B522" s="826">
        <v>136594</v>
      </c>
      <c r="C522" s="827"/>
      <c r="D522" s="828">
        <v>7.6242400000000004</v>
      </c>
      <c r="E522" s="828">
        <v>6.3393800000000002</v>
      </c>
      <c r="F522" s="828">
        <v>40.187750000000001</v>
      </c>
      <c r="G522" s="828">
        <v>71</v>
      </c>
      <c r="H522" s="828">
        <v>1</v>
      </c>
      <c r="I522" s="828">
        <v>3</v>
      </c>
      <c r="J522" s="828">
        <v>10</v>
      </c>
      <c r="K522" s="828">
        <v>6</v>
      </c>
      <c r="L522" s="828">
        <v>3</v>
      </c>
      <c r="N522" s="222" t="s">
        <v>982</v>
      </c>
      <c r="O522" s="222" t="s">
        <v>983</v>
      </c>
      <c r="P522" s="824">
        <v>136594</v>
      </c>
      <c r="Q522" s="824">
        <v>7.6242400000000004</v>
      </c>
      <c r="R522" s="824">
        <v>40.187750000000001</v>
      </c>
      <c r="S522" s="824">
        <v>6.3393800000000002</v>
      </c>
      <c r="T522" s="824">
        <v>71</v>
      </c>
      <c r="U522" s="824">
        <v>1</v>
      </c>
      <c r="V522" s="824">
        <v>3</v>
      </c>
      <c r="W522" s="824">
        <v>10</v>
      </c>
      <c r="X522" s="824">
        <v>6</v>
      </c>
      <c r="Y522" s="824">
        <v>3</v>
      </c>
      <c r="Z522" s="480" t="str">
        <f t="shared" si="8"/>
        <v/>
      </c>
    </row>
    <row r="523" spans="1:26">
      <c r="A523" s="825" t="s">
        <v>984</v>
      </c>
      <c r="B523" s="826">
        <v>125861</v>
      </c>
      <c r="C523" s="827"/>
      <c r="D523" s="828">
        <v>9.0120299999999993</v>
      </c>
      <c r="E523" s="828">
        <v>7.6997299999999997</v>
      </c>
      <c r="F523" s="828">
        <v>59.285820000000001</v>
      </c>
      <c r="G523" s="828">
        <v>115</v>
      </c>
      <c r="H523" s="828">
        <v>1</v>
      </c>
      <c r="I523" s="828">
        <v>3</v>
      </c>
      <c r="J523" s="828">
        <v>12</v>
      </c>
      <c r="K523" s="828">
        <v>7</v>
      </c>
      <c r="L523" s="828">
        <v>2</v>
      </c>
      <c r="N523" s="222" t="s">
        <v>984</v>
      </c>
      <c r="O523" s="222" t="s">
        <v>985</v>
      </c>
      <c r="P523" s="824">
        <v>125861</v>
      </c>
      <c r="Q523" s="824">
        <v>9.0120299999999993</v>
      </c>
      <c r="R523" s="824">
        <v>59.285820000000001</v>
      </c>
      <c r="S523" s="824">
        <v>7.6997299999999997</v>
      </c>
      <c r="T523" s="824">
        <v>115</v>
      </c>
      <c r="U523" s="824">
        <v>1</v>
      </c>
      <c r="V523" s="824">
        <v>3</v>
      </c>
      <c r="W523" s="824">
        <v>12</v>
      </c>
      <c r="X523" s="824">
        <v>7</v>
      </c>
      <c r="Y523" s="824">
        <v>2</v>
      </c>
      <c r="Z523" s="480" t="str">
        <f t="shared" si="8"/>
        <v/>
      </c>
    </row>
    <row r="524" spans="1:26">
      <c r="A524" s="825" t="s">
        <v>986</v>
      </c>
      <c r="B524" s="826">
        <v>32535</v>
      </c>
      <c r="C524" s="827"/>
      <c r="D524" s="828">
        <v>8.7620400000000007</v>
      </c>
      <c r="E524" s="828">
        <v>7.1362300000000003</v>
      </c>
      <c r="F524" s="828">
        <v>50.925789999999999</v>
      </c>
      <c r="G524" s="828">
        <v>51</v>
      </c>
      <c r="H524" s="828">
        <v>1</v>
      </c>
      <c r="I524" s="828">
        <v>3</v>
      </c>
      <c r="J524" s="828">
        <v>12</v>
      </c>
      <c r="K524" s="828">
        <v>7</v>
      </c>
      <c r="L524" s="828">
        <v>3</v>
      </c>
      <c r="N524" s="222" t="s">
        <v>986</v>
      </c>
      <c r="O524" s="222" t="s">
        <v>2168</v>
      </c>
      <c r="P524" s="824">
        <v>32535</v>
      </c>
      <c r="Q524" s="824">
        <v>8.7620400000000007</v>
      </c>
      <c r="R524" s="824">
        <v>50.925789999999999</v>
      </c>
      <c r="S524" s="824">
        <v>7.1362300000000003</v>
      </c>
      <c r="T524" s="824">
        <v>51</v>
      </c>
      <c r="U524" s="824">
        <v>1</v>
      </c>
      <c r="V524" s="824">
        <v>3</v>
      </c>
      <c r="W524" s="824">
        <v>12</v>
      </c>
      <c r="X524" s="824">
        <v>7</v>
      </c>
      <c r="Y524" s="824">
        <v>3</v>
      </c>
      <c r="Z524" s="480" t="str">
        <f t="shared" si="8"/>
        <v/>
      </c>
    </row>
    <row r="525" spans="1:26">
      <c r="A525" s="825" t="s">
        <v>987</v>
      </c>
      <c r="B525" s="826">
        <v>9392</v>
      </c>
      <c r="C525" s="827"/>
      <c r="D525" s="828">
        <v>9.9641199999999994</v>
      </c>
      <c r="E525" s="828">
        <v>7.7996100000000004</v>
      </c>
      <c r="F525" s="828">
        <v>60.833869999999997</v>
      </c>
      <c r="G525" s="828">
        <v>48</v>
      </c>
      <c r="H525" s="828">
        <v>1</v>
      </c>
      <c r="I525" s="828">
        <v>4</v>
      </c>
      <c r="J525" s="828">
        <v>14</v>
      </c>
      <c r="K525" s="828">
        <v>8</v>
      </c>
      <c r="L525" s="828">
        <v>3</v>
      </c>
      <c r="N525" s="222" t="s">
        <v>987</v>
      </c>
      <c r="O525" s="222" t="s">
        <v>2169</v>
      </c>
      <c r="P525" s="824">
        <v>9392</v>
      </c>
      <c r="Q525" s="824">
        <v>9.9641199999999994</v>
      </c>
      <c r="R525" s="824">
        <v>60.833869999999997</v>
      </c>
      <c r="S525" s="824">
        <v>7.7996100000000004</v>
      </c>
      <c r="T525" s="824">
        <v>48</v>
      </c>
      <c r="U525" s="824">
        <v>1</v>
      </c>
      <c r="V525" s="824">
        <v>4</v>
      </c>
      <c r="W525" s="824">
        <v>14</v>
      </c>
      <c r="X525" s="824">
        <v>8</v>
      </c>
      <c r="Y525" s="824">
        <v>3</v>
      </c>
      <c r="Z525" s="480" t="str">
        <f t="shared" si="8"/>
        <v/>
      </c>
    </row>
    <row r="526" spans="1:26">
      <c r="A526" s="825" t="s">
        <v>988</v>
      </c>
      <c r="B526" s="826">
        <v>58849</v>
      </c>
      <c r="C526" s="827"/>
      <c r="D526" s="828">
        <v>8.3902400000000004</v>
      </c>
      <c r="E526" s="828">
        <v>7.1237599999999999</v>
      </c>
      <c r="F526" s="828">
        <v>50.747909999999997</v>
      </c>
      <c r="G526" s="828">
        <v>53</v>
      </c>
      <c r="H526" s="828">
        <v>1</v>
      </c>
      <c r="I526" s="828">
        <v>3</v>
      </c>
      <c r="J526" s="828">
        <v>11</v>
      </c>
      <c r="K526" s="828">
        <v>6</v>
      </c>
      <c r="L526" s="828">
        <v>2</v>
      </c>
      <c r="N526" s="222" t="s">
        <v>988</v>
      </c>
      <c r="O526" s="222" t="s">
        <v>989</v>
      </c>
      <c r="P526" s="824">
        <v>58849</v>
      </c>
      <c r="Q526" s="824">
        <v>8.3902400000000004</v>
      </c>
      <c r="R526" s="824">
        <v>50.747909999999997</v>
      </c>
      <c r="S526" s="824">
        <v>7.1237599999999999</v>
      </c>
      <c r="T526" s="824">
        <v>53</v>
      </c>
      <c r="U526" s="824">
        <v>1</v>
      </c>
      <c r="V526" s="824">
        <v>3</v>
      </c>
      <c r="W526" s="824">
        <v>11</v>
      </c>
      <c r="X526" s="824">
        <v>6</v>
      </c>
      <c r="Y526" s="824">
        <v>2</v>
      </c>
      <c r="Z526" s="480" t="str">
        <f t="shared" si="8"/>
        <v/>
      </c>
    </row>
    <row r="527" spans="1:26">
      <c r="A527" s="825" t="s">
        <v>990</v>
      </c>
      <c r="B527" s="826">
        <v>150084</v>
      </c>
      <c r="C527" s="827"/>
      <c r="D527" s="828">
        <v>8.6579999999999995</v>
      </c>
      <c r="E527" s="828">
        <v>7.1502499999999998</v>
      </c>
      <c r="F527" s="828">
        <v>51.126109999999997</v>
      </c>
      <c r="G527" s="828">
        <v>55</v>
      </c>
      <c r="H527" s="828">
        <v>1</v>
      </c>
      <c r="I527" s="828">
        <v>3</v>
      </c>
      <c r="J527" s="828">
        <v>12</v>
      </c>
      <c r="K527" s="828">
        <v>6</v>
      </c>
      <c r="L527" s="828">
        <v>2</v>
      </c>
      <c r="N527" s="222" t="s">
        <v>990</v>
      </c>
      <c r="O527" s="222" t="s">
        <v>991</v>
      </c>
      <c r="P527" s="824">
        <v>150084</v>
      </c>
      <c r="Q527" s="824">
        <v>8.6579999999999995</v>
      </c>
      <c r="R527" s="824">
        <v>51.126109999999997</v>
      </c>
      <c r="S527" s="824">
        <v>7.1502499999999998</v>
      </c>
      <c r="T527" s="824">
        <v>55</v>
      </c>
      <c r="U527" s="824">
        <v>1</v>
      </c>
      <c r="V527" s="824">
        <v>3</v>
      </c>
      <c r="W527" s="824">
        <v>12</v>
      </c>
      <c r="X527" s="824">
        <v>6</v>
      </c>
      <c r="Y527" s="824">
        <v>2</v>
      </c>
      <c r="Z527" s="480" t="str">
        <f t="shared" si="8"/>
        <v/>
      </c>
    </row>
    <row r="528" spans="1:26">
      <c r="A528" s="825" t="s">
        <v>992</v>
      </c>
      <c r="B528" s="826">
        <v>3742</v>
      </c>
      <c r="C528" s="827"/>
      <c r="D528" s="828">
        <v>8.9735399999999998</v>
      </c>
      <c r="E528" s="828">
        <v>5.6893700000000003</v>
      </c>
      <c r="F528" s="828">
        <v>32.368989999999997</v>
      </c>
      <c r="G528" s="828">
        <v>22</v>
      </c>
      <c r="H528" s="828">
        <v>1</v>
      </c>
      <c r="I528" s="828">
        <v>4</v>
      </c>
      <c r="J528" s="828">
        <v>13</v>
      </c>
      <c r="K528" s="828">
        <v>8</v>
      </c>
      <c r="L528" s="828">
        <v>2</v>
      </c>
      <c r="N528" s="222" t="s">
        <v>992</v>
      </c>
      <c r="O528" s="222" t="s">
        <v>2170</v>
      </c>
      <c r="P528" s="824">
        <v>3742</v>
      </c>
      <c r="Q528" s="824">
        <v>8.9735399999999998</v>
      </c>
      <c r="R528" s="824">
        <v>32.368989999999997</v>
      </c>
      <c r="S528" s="824">
        <v>5.6893700000000003</v>
      </c>
      <c r="T528" s="824">
        <v>22</v>
      </c>
      <c r="U528" s="824">
        <v>1</v>
      </c>
      <c r="V528" s="824">
        <v>4</v>
      </c>
      <c r="W528" s="824">
        <v>13</v>
      </c>
      <c r="X528" s="824">
        <v>8</v>
      </c>
      <c r="Y528" s="824">
        <v>2</v>
      </c>
      <c r="Z528" s="480" t="str">
        <f t="shared" si="8"/>
        <v/>
      </c>
    </row>
    <row r="529" spans="1:26">
      <c r="A529" s="825" t="s">
        <v>993</v>
      </c>
      <c r="B529" s="826">
        <v>11236</v>
      </c>
      <c r="C529" s="827"/>
      <c r="D529" s="828">
        <v>10.16358</v>
      </c>
      <c r="E529" s="828">
        <v>6.9989699999999999</v>
      </c>
      <c r="F529" s="828">
        <v>48.985610000000001</v>
      </c>
      <c r="G529" s="828">
        <v>27</v>
      </c>
      <c r="H529" s="828">
        <v>1</v>
      </c>
      <c r="I529" s="828">
        <v>4</v>
      </c>
      <c r="J529" s="828">
        <v>15</v>
      </c>
      <c r="K529" s="828">
        <v>9</v>
      </c>
      <c r="L529" s="828">
        <v>3</v>
      </c>
      <c r="N529" s="222" t="s">
        <v>993</v>
      </c>
      <c r="O529" s="222" t="s">
        <v>2171</v>
      </c>
      <c r="P529" s="824">
        <v>11236</v>
      </c>
      <c r="Q529" s="824">
        <v>10.16358</v>
      </c>
      <c r="R529" s="824">
        <v>48.985610000000001</v>
      </c>
      <c r="S529" s="824">
        <v>6.9989699999999999</v>
      </c>
      <c r="T529" s="824">
        <v>27</v>
      </c>
      <c r="U529" s="824">
        <v>1</v>
      </c>
      <c r="V529" s="824">
        <v>4</v>
      </c>
      <c r="W529" s="824">
        <v>15</v>
      </c>
      <c r="X529" s="824">
        <v>9</v>
      </c>
      <c r="Y529" s="824">
        <v>3</v>
      </c>
      <c r="Z529" s="480" t="str">
        <f t="shared" si="8"/>
        <v/>
      </c>
    </row>
    <row r="530" spans="1:26">
      <c r="A530" s="825" t="s">
        <v>994</v>
      </c>
      <c r="B530" s="826">
        <v>5798</v>
      </c>
      <c r="C530" s="827"/>
      <c r="D530" s="828">
        <v>9.8694400000000009</v>
      </c>
      <c r="E530" s="828">
        <v>8.7677999999999994</v>
      </c>
      <c r="F530" s="828">
        <v>76.874269999999996</v>
      </c>
      <c r="G530" s="828">
        <v>54</v>
      </c>
      <c r="H530" s="828">
        <v>1</v>
      </c>
      <c r="I530" s="828">
        <v>4</v>
      </c>
      <c r="J530" s="828">
        <v>13</v>
      </c>
      <c r="K530" s="828">
        <v>7</v>
      </c>
      <c r="L530" s="828">
        <v>3</v>
      </c>
      <c r="N530" s="222" t="s">
        <v>994</v>
      </c>
      <c r="O530" s="222" t="s">
        <v>995</v>
      </c>
      <c r="P530" s="824">
        <v>5798</v>
      </c>
      <c r="Q530" s="824">
        <v>9.8694400000000009</v>
      </c>
      <c r="R530" s="824">
        <v>76.874269999999996</v>
      </c>
      <c r="S530" s="824">
        <v>8.7677999999999994</v>
      </c>
      <c r="T530" s="824">
        <v>54</v>
      </c>
      <c r="U530" s="824">
        <v>1</v>
      </c>
      <c r="V530" s="824">
        <v>4</v>
      </c>
      <c r="W530" s="824">
        <v>13</v>
      </c>
      <c r="X530" s="824">
        <v>7</v>
      </c>
      <c r="Y530" s="824">
        <v>3</v>
      </c>
      <c r="Z530" s="480" t="str">
        <f t="shared" si="8"/>
        <v/>
      </c>
    </row>
    <row r="531" spans="1:26">
      <c r="A531" s="825" t="s">
        <v>996</v>
      </c>
      <c r="B531" s="826">
        <v>207</v>
      </c>
      <c r="C531" s="827"/>
      <c r="D531" s="828">
        <v>8.3719800000000006</v>
      </c>
      <c r="E531" s="828">
        <v>6.3323600000000004</v>
      </c>
      <c r="F531" s="828">
        <v>40.098820000000003</v>
      </c>
      <c r="G531" s="828">
        <v>25</v>
      </c>
      <c r="H531" s="828">
        <v>1</v>
      </c>
      <c r="I531" s="828">
        <v>3</v>
      </c>
      <c r="J531" s="828">
        <v>12</v>
      </c>
      <c r="K531" s="828">
        <v>6</v>
      </c>
      <c r="L531" s="828">
        <v>3</v>
      </c>
      <c r="N531" s="222" t="s">
        <v>996</v>
      </c>
      <c r="O531" s="222" t="s">
        <v>2172</v>
      </c>
      <c r="P531" s="824">
        <v>207</v>
      </c>
      <c r="Q531" s="824">
        <v>8.3719800000000006</v>
      </c>
      <c r="R531" s="824">
        <v>40.098820000000003</v>
      </c>
      <c r="S531" s="824">
        <v>6.3323600000000004</v>
      </c>
      <c r="T531" s="824">
        <v>25</v>
      </c>
      <c r="U531" s="824">
        <v>1</v>
      </c>
      <c r="V531" s="824">
        <v>3</v>
      </c>
      <c r="W531" s="824">
        <v>12</v>
      </c>
      <c r="X531" s="824">
        <v>6</v>
      </c>
      <c r="Y531" s="824">
        <v>3</v>
      </c>
      <c r="Z531" s="480" t="str">
        <f t="shared" si="8"/>
        <v/>
      </c>
    </row>
    <row r="532" spans="1:26">
      <c r="A532" s="825" t="s">
        <v>997</v>
      </c>
      <c r="B532" s="826">
        <v>4412</v>
      </c>
      <c r="C532" s="827"/>
      <c r="D532" s="828">
        <v>8.2615599999999993</v>
      </c>
      <c r="E532" s="828">
        <v>5.2420900000000001</v>
      </c>
      <c r="F532" s="828">
        <v>27.479520000000001</v>
      </c>
      <c r="G532" s="828">
        <v>20</v>
      </c>
      <c r="H532" s="828">
        <v>1</v>
      </c>
      <c r="I532" s="828">
        <v>4</v>
      </c>
      <c r="J532" s="828">
        <v>12</v>
      </c>
      <c r="K532" s="828">
        <v>7</v>
      </c>
      <c r="L532" s="828">
        <v>4</v>
      </c>
      <c r="N532" s="222" t="s">
        <v>997</v>
      </c>
      <c r="O532" s="222" t="s">
        <v>2173</v>
      </c>
      <c r="P532" s="824">
        <v>4412</v>
      </c>
      <c r="Q532" s="824">
        <v>8.2615599999999993</v>
      </c>
      <c r="R532" s="824">
        <v>27.479520000000001</v>
      </c>
      <c r="S532" s="824">
        <v>5.2420900000000001</v>
      </c>
      <c r="T532" s="824">
        <v>20</v>
      </c>
      <c r="U532" s="824">
        <v>1</v>
      </c>
      <c r="V532" s="824">
        <v>4</v>
      </c>
      <c r="W532" s="824">
        <v>12</v>
      </c>
      <c r="X532" s="824">
        <v>7</v>
      </c>
      <c r="Y532" s="824">
        <v>4</v>
      </c>
      <c r="Z532" s="480" t="str">
        <f t="shared" si="8"/>
        <v/>
      </c>
    </row>
    <row r="533" spans="1:26">
      <c r="A533" s="825" t="s">
        <v>998</v>
      </c>
      <c r="B533" s="826">
        <v>6785</v>
      </c>
      <c r="C533" s="827"/>
      <c r="D533" s="828">
        <v>7.7566699999999997</v>
      </c>
      <c r="E533" s="828">
        <v>6.8202499999999997</v>
      </c>
      <c r="F533" s="828">
        <v>46.515810000000002</v>
      </c>
      <c r="G533" s="828">
        <v>55</v>
      </c>
      <c r="H533" s="828">
        <v>1</v>
      </c>
      <c r="I533" s="828">
        <v>3</v>
      </c>
      <c r="J533" s="828">
        <v>10</v>
      </c>
      <c r="K533" s="828">
        <v>5</v>
      </c>
      <c r="L533" s="828">
        <v>3</v>
      </c>
      <c r="N533" s="222" t="s">
        <v>998</v>
      </c>
      <c r="O533" s="222" t="s">
        <v>999</v>
      </c>
      <c r="P533" s="824">
        <v>6785</v>
      </c>
      <c r="Q533" s="824">
        <v>7.7566699999999997</v>
      </c>
      <c r="R533" s="824">
        <v>46.515810000000002</v>
      </c>
      <c r="S533" s="824">
        <v>6.8202499999999997</v>
      </c>
      <c r="T533" s="824">
        <v>55</v>
      </c>
      <c r="U533" s="824">
        <v>1</v>
      </c>
      <c r="V533" s="824">
        <v>3</v>
      </c>
      <c r="W533" s="824">
        <v>10</v>
      </c>
      <c r="X533" s="824">
        <v>5</v>
      </c>
      <c r="Y533" s="824">
        <v>3</v>
      </c>
      <c r="Z533" s="480" t="str">
        <f t="shared" si="8"/>
        <v/>
      </c>
    </row>
    <row r="534" spans="1:26">
      <c r="A534" s="825" t="s">
        <v>1000</v>
      </c>
      <c r="B534" s="826">
        <v>188</v>
      </c>
      <c r="C534" s="827"/>
      <c r="D534" s="828">
        <v>8.5957399999999993</v>
      </c>
      <c r="E534" s="828">
        <v>6.8064400000000003</v>
      </c>
      <c r="F534" s="828">
        <v>46.327680000000001</v>
      </c>
      <c r="G534" s="828">
        <v>32</v>
      </c>
      <c r="H534" s="828">
        <v>1</v>
      </c>
      <c r="I534" s="828">
        <v>4</v>
      </c>
      <c r="J534" s="828">
        <v>12</v>
      </c>
      <c r="K534" s="828">
        <v>7</v>
      </c>
      <c r="L534" s="828">
        <v>4</v>
      </c>
      <c r="N534" s="222" t="s">
        <v>1000</v>
      </c>
      <c r="O534" s="222" t="s">
        <v>2174</v>
      </c>
      <c r="P534" s="824">
        <v>188</v>
      </c>
      <c r="Q534" s="824">
        <v>8.5957399999999993</v>
      </c>
      <c r="R534" s="824">
        <v>46.327680000000001</v>
      </c>
      <c r="S534" s="824">
        <v>6.8064400000000003</v>
      </c>
      <c r="T534" s="824">
        <v>32</v>
      </c>
      <c r="U534" s="824">
        <v>1</v>
      </c>
      <c r="V534" s="824">
        <v>4</v>
      </c>
      <c r="W534" s="824">
        <v>12</v>
      </c>
      <c r="X534" s="824">
        <v>7</v>
      </c>
      <c r="Y534" s="824">
        <v>4</v>
      </c>
      <c r="Z534" s="480" t="str">
        <f t="shared" si="8"/>
        <v/>
      </c>
    </row>
    <row r="535" spans="1:26">
      <c r="A535" s="825" t="s">
        <v>1001</v>
      </c>
      <c r="B535" s="826">
        <v>68560</v>
      </c>
      <c r="C535" s="827"/>
      <c r="D535" s="828">
        <v>9.4993700000000008</v>
      </c>
      <c r="E535" s="828">
        <v>7.5160400000000003</v>
      </c>
      <c r="F535" s="828">
        <v>56.490850000000002</v>
      </c>
      <c r="G535" s="828">
        <v>56</v>
      </c>
      <c r="H535" s="828">
        <v>1</v>
      </c>
      <c r="I535" s="828">
        <v>4</v>
      </c>
      <c r="J535" s="828">
        <v>13</v>
      </c>
      <c r="K535" s="828">
        <v>7</v>
      </c>
      <c r="L535" s="828">
        <v>3</v>
      </c>
      <c r="N535" s="222" t="s">
        <v>1001</v>
      </c>
      <c r="O535" s="222" t="s">
        <v>2175</v>
      </c>
      <c r="P535" s="824">
        <v>68560</v>
      </c>
      <c r="Q535" s="824">
        <v>9.4993700000000008</v>
      </c>
      <c r="R535" s="824">
        <v>56.490850000000002</v>
      </c>
      <c r="S535" s="824">
        <v>7.5160400000000003</v>
      </c>
      <c r="T535" s="824">
        <v>56</v>
      </c>
      <c r="U535" s="824">
        <v>1</v>
      </c>
      <c r="V535" s="824">
        <v>4</v>
      </c>
      <c r="W535" s="824">
        <v>13</v>
      </c>
      <c r="X535" s="824">
        <v>7</v>
      </c>
      <c r="Y535" s="824">
        <v>3</v>
      </c>
      <c r="Z535" s="480" t="str">
        <f t="shared" si="8"/>
        <v/>
      </c>
    </row>
    <row r="536" spans="1:26">
      <c r="A536" s="825" t="s">
        <v>1002</v>
      </c>
      <c r="B536" s="826">
        <v>43070</v>
      </c>
      <c r="C536" s="829"/>
      <c r="D536" s="828">
        <v>7.9886699999999999</v>
      </c>
      <c r="E536" s="828">
        <v>5.1090099999999996</v>
      </c>
      <c r="F536" s="828">
        <v>26.101939999999999</v>
      </c>
      <c r="G536" s="828">
        <v>20</v>
      </c>
      <c r="H536" s="828">
        <v>1</v>
      </c>
      <c r="I536" s="828">
        <v>4</v>
      </c>
      <c r="J536" s="828">
        <v>12</v>
      </c>
      <c r="K536" s="828">
        <v>7</v>
      </c>
      <c r="L536" s="828">
        <v>2</v>
      </c>
      <c r="N536" s="222" t="s">
        <v>1002</v>
      </c>
      <c r="O536" s="222" t="s">
        <v>1003</v>
      </c>
      <c r="P536" s="824">
        <v>43070</v>
      </c>
      <c r="Q536" s="824">
        <v>7.9886699999999999</v>
      </c>
      <c r="R536" s="824">
        <v>26.101939999999999</v>
      </c>
      <c r="S536" s="824">
        <v>5.1090099999999996</v>
      </c>
      <c r="T536" s="824">
        <v>20</v>
      </c>
      <c r="U536" s="824">
        <v>1</v>
      </c>
      <c r="V536" s="824">
        <v>4</v>
      </c>
      <c r="W536" s="824">
        <v>12</v>
      </c>
      <c r="X536" s="824">
        <v>7</v>
      </c>
      <c r="Y536" s="824">
        <v>2</v>
      </c>
      <c r="Z536" s="480" t="str">
        <f t="shared" si="8"/>
        <v/>
      </c>
    </row>
    <row r="537" spans="1:26">
      <c r="A537" s="825" t="s">
        <v>1004</v>
      </c>
      <c r="B537" s="826">
        <v>58157</v>
      </c>
      <c r="C537" s="829"/>
      <c r="D537" s="828">
        <v>8.2348599999999994</v>
      </c>
      <c r="E537" s="828">
        <v>6.7913500000000004</v>
      </c>
      <c r="F537" s="828">
        <v>46.122480000000003</v>
      </c>
      <c r="G537" s="828">
        <v>75</v>
      </c>
      <c r="H537" s="828">
        <v>1</v>
      </c>
      <c r="I537" s="828">
        <v>3</v>
      </c>
      <c r="J537" s="828">
        <v>11</v>
      </c>
      <c r="K537" s="828">
        <v>6</v>
      </c>
      <c r="L537" s="828">
        <v>2</v>
      </c>
      <c r="N537" s="222" t="s">
        <v>1004</v>
      </c>
      <c r="O537" s="222" t="s">
        <v>2176</v>
      </c>
      <c r="P537" s="824">
        <v>58157</v>
      </c>
      <c r="Q537" s="824">
        <v>8.2348599999999994</v>
      </c>
      <c r="R537" s="824">
        <v>46.122480000000003</v>
      </c>
      <c r="S537" s="824">
        <v>6.7913500000000004</v>
      </c>
      <c r="T537" s="824">
        <v>75</v>
      </c>
      <c r="U537" s="824">
        <v>1</v>
      </c>
      <c r="V537" s="824">
        <v>3</v>
      </c>
      <c r="W537" s="824">
        <v>11</v>
      </c>
      <c r="X537" s="824">
        <v>6</v>
      </c>
      <c r="Y537" s="824">
        <v>2</v>
      </c>
      <c r="Z537" s="480" t="str">
        <f t="shared" si="8"/>
        <v/>
      </c>
    </row>
    <row r="538" spans="1:26">
      <c r="A538" s="825" t="s">
        <v>1005</v>
      </c>
      <c r="B538" s="826">
        <v>7372</v>
      </c>
      <c r="C538" s="827"/>
      <c r="D538" s="828">
        <v>9.50488</v>
      </c>
      <c r="E538" s="828">
        <v>6.2397999999999998</v>
      </c>
      <c r="F538" s="828">
        <v>38.935130000000001</v>
      </c>
      <c r="G538" s="828">
        <v>24</v>
      </c>
      <c r="H538" s="828">
        <v>1</v>
      </c>
      <c r="I538" s="828">
        <v>4</v>
      </c>
      <c r="J538" s="828">
        <v>14</v>
      </c>
      <c r="K538" s="828">
        <v>8</v>
      </c>
      <c r="L538" s="828">
        <v>2</v>
      </c>
      <c r="N538" s="222" t="s">
        <v>1005</v>
      </c>
      <c r="O538" s="222" t="s">
        <v>1006</v>
      </c>
      <c r="P538" s="824">
        <v>7372</v>
      </c>
      <c r="Q538" s="824">
        <v>9.50488</v>
      </c>
      <c r="R538" s="824">
        <v>38.935130000000001</v>
      </c>
      <c r="S538" s="824">
        <v>6.2397999999999998</v>
      </c>
      <c r="T538" s="824">
        <v>24</v>
      </c>
      <c r="U538" s="824">
        <v>1</v>
      </c>
      <c r="V538" s="824">
        <v>4</v>
      </c>
      <c r="W538" s="824">
        <v>14</v>
      </c>
      <c r="X538" s="824">
        <v>8</v>
      </c>
      <c r="Y538" s="824">
        <v>2</v>
      </c>
      <c r="Z538" s="480" t="str">
        <f t="shared" si="8"/>
        <v/>
      </c>
    </row>
    <row r="539" spans="1:26">
      <c r="A539" s="825" t="s">
        <v>1007</v>
      </c>
      <c r="B539" s="826">
        <v>617</v>
      </c>
      <c r="C539" s="827"/>
      <c r="D539" s="828">
        <v>9.0696899999999996</v>
      </c>
      <c r="E539" s="828">
        <v>5.50413</v>
      </c>
      <c r="F539" s="828">
        <v>30.295459999999999</v>
      </c>
      <c r="G539" s="828">
        <v>21</v>
      </c>
      <c r="H539" s="828">
        <v>1</v>
      </c>
      <c r="I539" s="828">
        <v>4</v>
      </c>
      <c r="J539" s="828">
        <v>13</v>
      </c>
      <c r="K539" s="828">
        <v>8</v>
      </c>
      <c r="L539" s="828">
        <v>4</v>
      </c>
      <c r="N539" s="222" t="s">
        <v>1007</v>
      </c>
      <c r="O539" s="222" t="s">
        <v>1008</v>
      </c>
      <c r="P539" s="824">
        <v>617</v>
      </c>
      <c r="Q539" s="824">
        <v>9.0696899999999996</v>
      </c>
      <c r="R539" s="824">
        <v>30.295459999999999</v>
      </c>
      <c r="S539" s="824">
        <v>5.50413</v>
      </c>
      <c r="T539" s="824">
        <v>21</v>
      </c>
      <c r="U539" s="824">
        <v>1</v>
      </c>
      <c r="V539" s="824">
        <v>4</v>
      </c>
      <c r="W539" s="824">
        <v>13</v>
      </c>
      <c r="X539" s="824">
        <v>8</v>
      </c>
      <c r="Y539" s="824">
        <v>4</v>
      </c>
      <c r="Z539" s="480" t="str">
        <f t="shared" si="8"/>
        <v/>
      </c>
    </row>
    <row r="540" spans="1:26">
      <c r="A540" s="825" t="s">
        <v>1009</v>
      </c>
      <c r="B540" s="826">
        <v>73</v>
      </c>
      <c r="C540" s="827"/>
      <c r="D540" s="828">
        <v>10.904109999999999</v>
      </c>
      <c r="E540" s="828">
        <v>8.8272999999999993</v>
      </c>
      <c r="F540" s="828">
        <v>77.921229999999994</v>
      </c>
      <c r="G540" s="828">
        <v>45</v>
      </c>
      <c r="H540" s="828">
        <v>1</v>
      </c>
      <c r="I540" s="828">
        <v>4</v>
      </c>
      <c r="J540" s="828">
        <v>14</v>
      </c>
      <c r="K540" s="828">
        <v>9</v>
      </c>
      <c r="L540" s="828">
        <v>4</v>
      </c>
      <c r="N540" s="222" t="s">
        <v>1009</v>
      </c>
      <c r="O540" s="222" t="s">
        <v>1010</v>
      </c>
      <c r="P540" s="824">
        <v>73</v>
      </c>
      <c r="Q540" s="824">
        <v>10.904109999999999</v>
      </c>
      <c r="R540" s="824">
        <v>77.921229999999994</v>
      </c>
      <c r="S540" s="824">
        <v>8.8272999999999993</v>
      </c>
      <c r="T540" s="824">
        <v>45</v>
      </c>
      <c r="U540" s="824">
        <v>1</v>
      </c>
      <c r="V540" s="824">
        <v>4</v>
      </c>
      <c r="W540" s="824">
        <v>14</v>
      </c>
      <c r="X540" s="824">
        <v>9</v>
      </c>
      <c r="Y540" s="824">
        <v>4</v>
      </c>
      <c r="Z540" s="480" t="str">
        <f t="shared" si="8"/>
        <v/>
      </c>
    </row>
    <row r="541" spans="1:26">
      <c r="A541" s="825" t="s">
        <v>1011</v>
      </c>
      <c r="B541" s="826">
        <v>3316</v>
      </c>
      <c r="C541" s="827"/>
      <c r="D541" s="828">
        <v>7.4065099999999999</v>
      </c>
      <c r="E541" s="828">
        <v>5.8726599999999998</v>
      </c>
      <c r="F541" s="828">
        <v>34.48809</v>
      </c>
      <c r="G541" s="828">
        <v>43</v>
      </c>
      <c r="H541" s="828">
        <v>1</v>
      </c>
      <c r="I541" s="828">
        <v>3</v>
      </c>
      <c r="J541" s="828">
        <v>10</v>
      </c>
      <c r="K541" s="828">
        <v>6</v>
      </c>
      <c r="L541" s="828">
        <v>2</v>
      </c>
      <c r="N541" s="222" t="s">
        <v>1011</v>
      </c>
      <c r="O541" s="222" t="s">
        <v>2177</v>
      </c>
      <c r="P541" s="824">
        <v>3316</v>
      </c>
      <c r="Q541" s="824">
        <v>7.4065099999999999</v>
      </c>
      <c r="R541" s="824">
        <v>34.48809</v>
      </c>
      <c r="S541" s="824">
        <v>5.8726599999999998</v>
      </c>
      <c r="T541" s="824">
        <v>43</v>
      </c>
      <c r="U541" s="824">
        <v>1</v>
      </c>
      <c r="V541" s="824">
        <v>3</v>
      </c>
      <c r="W541" s="824">
        <v>10</v>
      </c>
      <c r="X541" s="824">
        <v>6</v>
      </c>
      <c r="Y541" s="824">
        <v>2</v>
      </c>
      <c r="Z541" s="480" t="str">
        <f t="shared" si="8"/>
        <v/>
      </c>
    </row>
    <row r="542" spans="1:26">
      <c r="A542" s="825" t="s">
        <v>1012</v>
      </c>
      <c r="B542" s="826">
        <v>2156139</v>
      </c>
      <c r="C542" s="827"/>
      <c r="D542" s="828">
        <v>7.5305400000000002</v>
      </c>
      <c r="E542" s="828">
        <v>5.5016699999999998</v>
      </c>
      <c r="F542" s="828">
        <v>30.268350000000002</v>
      </c>
      <c r="G542" s="828">
        <v>117</v>
      </c>
      <c r="H542" s="828">
        <v>1</v>
      </c>
      <c r="I542" s="828">
        <v>3</v>
      </c>
      <c r="J542" s="828">
        <v>10</v>
      </c>
      <c r="K542" s="828">
        <v>6</v>
      </c>
      <c r="L542" s="828">
        <v>3</v>
      </c>
      <c r="N542" s="222" t="s">
        <v>1012</v>
      </c>
      <c r="O542" s="222" t="s">
        <v>2178</v>
      </c>
      <c r="P542" s="824">
        <v>2156139</v>
      </c>
      <c r="Q542" s="824">
        <v>7.5305400000000002</v>
      </c>
      <c r="R542" s="824">
        <v>30.268350000000002</v>
      </c>
      <c r="S542" s="824">
        <v>5.5016699999999998</v>
      </c>
      <c r="T542" s="824">
        <v>117</v>
      </c>
      <c r="U542" s="824">
        <v>1</v>
      </c>
      <c r="V542" s="824">
        <v>3</v>
      </c>
      <c r="W542" s="824">
        <v>10</v>
      </c>
      <c r="X542" s="824">
        <v>6</v>
      </c>
      <c r="Y542" s="824">
        <v>3</v>
      </c>
      <c r="Z542" s="480" t="str">
        <f t="shared" si="8"/>
        <v/>
      </c>
    </row>
    <row r="543" spans="1:26">
      <c r="A543" s="825" t="s">
        <v>1013</v>
      </c>
      <c r="B543" s="826">
        <v>16287</v>
      </c>
      <c r="C543" s="829"/>
      <c r="D543" s="828">
        <v>9.4461200000000005</v>
      </c>
      <c r="E543" s="828">
        <v>7.4172099999999999</v>
      </c>
      <c r="F543" s="828">
        <v>55.015009999999997</v>
      </c>
      <c r="G543" s="828">
        <v>53</v>
      </c>
      <c r="H543" s="828">
        <v>1</v>
      </c>
      <c r="I543" s="828">
        <v>4</v>
      </c>
      <c r="J543" s="828">
        <v>13</v>
      </c>
      <c r="K543" s="828">
        <v>8</v>
      </c>
      <c r="L543" s="828">
        <v>3</v>
      </c>
      <c r="N543" s="222" t="s">
        <v>1013</v>
      </c>
      <c r="O543" s="222" t="s">
        <v>1014</v>
      </c>
      <c r="P543" s="824">
        <v>16287</v>
      </c>
      <c r="Q543" s="824">
        <v>9.4461200000000005</v>
      </c>
      <c r="R543" s="824">
        <v>55.015009999999997</v>
      </c>
      <c r="S543" s="824">
        <v>7.4172099999999999</v>
      </c>
      <c r="T543" s="824">
        <v>53</v>
      </c>
      <c r="U543" s="824">
        <v>1</v>
      </c>
      <c r="V543" s="824">
        <v>4</v>
      </c>
      <c r="W543" s="824">
        <v>13</v>
      </c>
      <c r="X543" s="824">
        <v>8</v>
      </c>
      <c r="Y543" s="824">
        <v>3</v>
      </c>
      <c r="Z543" s="480" t="str">
        <f t="shared" si="8"/>
        <v/>
      </c>
    </row>
    <row r="544" spans="1:26">
      <c r="A544" s="825" t="s">
        <v>1015</v>
      </c>
      <c r="B544" s="826">
        <v>1036</v>
      </c>
      <c r="C544" s="827"/>
      <c r="D544" s="828">
        <v>9.0125499999999992</v>
      </c>
      <c r="E544" s="828">
        <v>6.6146399999999996</v>
      </c>
      <c r="F544" s="828">
        <v>43.75347</v>
      </c>
      <c r="G544" s="828">
        <v>45</v>
      </c>
      <c r="H544" s="828">
        <v>1</v>
      </c>
      <c r="I544" s="828">
        <v>4</v>
      </c>
      <c r="J544" s="828">
        <v>12</v>
      </c>
      <c r="K544" s="828">
        <v>8</v>
      </c>
      <c r="L544" s="828">
        <v>5</v>
      </c>
      <c r="N544" s="222" t="s">
        <v>1015</v>
      </c>
      <c r="O544" s="222" t="s">
        <v>1016</v>
      </c>
      <c r="P544" s="824">
        <v>1036</v>
      </c>
      <c r="Q544" s="824">
        <v>9.0125499999999992</v>
      </c>
      <c r="R544" s="824">
        <v>43.75347</v>
      </c>
      <c r="S544" s="824">
        <v>6.6146399999999996</v>
      </c>
      <c r="T544" s="824">
        <v>45</v>
      </c>
      <c r="U544" s="824">
        <v>1</v>
      </c>
      <c r="V544" s="824">
        <v>4</v>
      </c>
      <c r="W544" s="824">
        <v>12</v>
      </c>
      <c r="X544" s="824">
        <v>8</v>
      </c>
      <c r="Y544" s="824">
        <v>5</v>
      </c>
      <c r="Z544" s="480" t="str">
        <f t="shared" si="8"/>
        <v/>
      </c>
    </row>
    <row r="545" spans="1:26">
      <c r="A545" s="825" t="s">
        <v>1017</v>
      </c>
      <c r="B545" s="826">
        <v>295165</v>
      </c>
      <c r="C545" s="827"/>
      <c r="D545" s="828">
        <v>8.4247800000000002</v>
      </c>
      <c r="E545" s="828">
        <v>6.4595700000000003</v>
      </c>
      <c r="F545" s="828">
        <v>41.72607</v>
      </c>
      <c r="G545" s="828">
        <v>55</v>
      </c>
      <c r="H545" s="828">
        <v>1</v>
      </c>
      <c r="I545" s="828">
        <v>4</v>
      </c>
      <c r="J545" s="828">
        <v>12</v>
      </c>
      <c r="K545" s="828">
        <v>7</v>
      </c>
      <c r="L545" s="828">
        <v>2</v>
      </c>
      <c r="N545" s="222" t="s">
        <v>1017</v>
      </c>
      <c r="O545" s="222" t="s">
        <v>2179</v>
      </c>
      <c r="P545" s="824">
        <v>295165</v>
      </c>
      <c r="Q545" s="824">
        <v>8.4247800000000002</v>
      </c>
      <c r="R545" s="824">
        <v>41.72607</v>
      </c>
      <c r="S545" s="824">
        <v>6.4595700000000003</v>
      </c>
      <c r="T545" s="824">
        <v>55</v>
      </c>
      <c r="U545" s="824">
        <v>1</v>
      </c>
      <c r="V545" s="824">
        <v>4</v>
      </c>
      <c r="W545" s="824">
        <v>12</v>
      </c>
      <c r="X545" s="824">
        <v>7</v>
      </c>
      <c r="Y545" s="824">
        <v>2</v>
      </c>
      <c r="Z545" s="480" t="str">
        <f t="shared" si="8"/>
        <v/>
      </c>
    </row>
    <row r="546" spans="1:26">
      <c r="A546" s="825" t="s">
        <v>1018</v>
      </c>
      <c r="B546" s="826">
        <v>2074</v>
      </c>
      <c r="C546" s="827"/>
      <c r="D546" s="828">
        <v>9.1480200000000007</v>
      </c>
      <c r="E546" s="828">
        <v>5.5474800000000002</v>
      </c>
      <c r="F546" s="828">
        <v>30.774509999999999</v>
      </c>
      <c r="G546" s="828">
        <v>21</v>
      </c>
      <c r="H546" s="828">
        <v>1</v>
      </c>
      <c r="I546" s="828">
        <v>4</v>
      </c>
      <c r="J546" s="828">
        <v>13</v>
      </c>
      <c r="K546" s="828">
        <v>8</v>
      </c>
      <c r="L546" s="828">
        <v>4</v>
      </c>
      <c r="N546" s="222" t="s">
        <v>1018</v>
      </c>
      <c r="O546" s="222" t="s">
        <v>1019</v>
      </c>
      <c r="P546" s="824">
        <v>2074</v>
      </c>
      <c r="Q546" s="824">
        <v>9.1480200000000007</v>
      </c>
      <c r="R546" s="824">
        <v>30.774509999999999</v>
      </c>
      <c r="S546" s="824">
        <v>5.5474800000000002</v>
      </c>
      <c r="T546" s="824">
        <v>21</v>
      </c>
      <c r="U546" s="824">
        <v>1</v>
      </c>
      <c r="V546" s="824">
        <v>4</v>
      </c>
      <c r="W546" s="824">
        <v>13</v>
      </c>
      <c r="X546" s="824">
        <v>8</v>
      </c>
      <c r="Y546" s="824">
        <v>4</v>
      </c>
      <c r="Z546" s="480" t="str">
        <f t="shared" si="8"/>
        <v/>
      </c>
    </row>
    <row r="547" spans="1:26">
      <c r="A547" s="825" t="s">
        <v>1020</v>
      </c>
      <c r="B547" s="826">
        <v>11776</v>
      </c>
      <c r="C547" s="827"/>
      <c r="D547" s="828">
        <v>7.11557</v>
      </c>
      <c r="E547" s="828">
        <v>5.8606600000000002</v>
      </c>
      <c r="F547" s="828">
        <v>34.347320000000003</v>
      </c>
      <c r="G547" s="828">
        <v>122</v>
      </c>
      <c r="H547" s="828">
        <v>1</v>
      </c>
      <c r="I547" s="828">
        <v>3</v>
      </c>
      <c r="J547" s="828">
        <v>10</v>
      </c>
      <c r="K547" s="828">
        <v>6</v>
      </c>
      <c r="L547" s="828">
        <v>3</v>
      </c>
      <c r="N547" s="222" t="s">
        <v>1020</v>
      </c>
      <c r="O547" s="222" t="s">
        <v>1021</v>
      </c>
      <c r="P547" s="824">
        <v>11776</v>
      </c>
      <c r="Q547" s="824">
        <v>7.11557</v>
      </c>
      <c r="R547" s="824">
        <v>34.347320000000003</v>
      </c>
      <c r="S547" s="824">
        <v>5.8606600000000002</v>
      </c>
      <c r="T547" s="824">
        <v>122</v>
      </c>
      <c r="U547" s="824">
        <v>1</v>
      </c>
      <c r="V547" s="824">
        <v>3</v>
      </c>
      <c r="W547" s="824">
        <v>10</v>
      </c>
      <c r="X547" s="824">
        <v>6</v>
      </c>
      <c r="Y547" s="824">
        <v>3</v>
      </c>
      <c r="Z547" s="480" t="str">
        <f t="shared" si="8"/>
        <v/>
      </c>
    </row>
    <row r="548" spans="1:26">
      <c r="A548" s="825" t="s">
        <v>1022</v>
      </c>
      <c r="B548" s="826">
        <v>170625</v>
      </c>
      <c r="C548" s="827"/>
      <c r="D548" s="828">
        <v>8.4733499999999999</v>
      </c>
      <c r="E548" s="828">
        <v>5.7946299999999997</v>
      </c>
      <c r="F548" s="828">
        <v>33.577770000000001</v>
      </c>
      <c r="G548" s="828">
        <v>90</v>
      </c>
      <c r="H548" s="828">
        <v>1</v>
      </c>
      <c r="I548" s="828">
        <v>4</v>
      </c>
      <c r="J548" s="828">
        <v>12</v>
      </c>
      <c r="K548" s="828">
        <v>7</v>
      </c>
      <c r="L548" s="828">
        <v>4</v>
      </c>
      <c r="N548" s="222" t="s">
        <v>1022</v>
      </c>
      <c r="O548" s="222" t="s">
        <v>2180</v>
      </c>
      <c r="P548" s="824">
        <v>170625</v>
      </c>
      <c r="Q548" s="824">
        <v>8.4733499999999999</v>
      </c>
      <c r="R548" s="824">
        <v>33.577770000000001</v>
      </c>
      <c r="S548" s="824">
        <v>5.7946299999999997</v>
      </c>
      <c r="T548" s="824">
        <v>90</v>
      </c>
      <c r="U548" s="824">
        <v>1</v>
      </c>
      <c r="V548" s="824">
        <v>4</v>
      </c>
      <c r="W548" s="824">
        <v>12</v>
      </c>
      <c r="X548" s="824">
        <v>7</v>
      </c>
      <c r="Y548" s="824">
        <v>4</v>
      </c>
      <c r="Z548" s="480" t="str">
        <f t="shared" si="8"/>
        <v/>
      </c>
    </row>
    <row r="549" spans="1:26">
      <c r="A549" s="825" t="s">
        <v>1023</v>
      </c>
      <c r="B549" s="826">
        <v>97869</v>
      </c>
      <c r="C549" s="829"/>
      <c r="D549" s="828">
        <v>7.1714399999999996</v>
      </c>
      <c r="E549" s="828">
        <v>5.29847</v>
      </c>
      <c r="F549" s="828">
        <v>28.07376</v>
      </c>
      <c r="G549" s="828">
        <v>55</v>
      </c>
      <c r="H549" s="828">
        <v>1</v>
      </c>
      <c r="I549" s="828">
        <v>3</v>
      </c>
      <c r="J549" s="828">
        <v>10</v>
      </c>
      <c r="K549" s="828">
        <v>6</v>
      </c>
      <c r="L549" s="828">
        <v>3</v>
      </c>
      <c r="N549" s="222" t="s">
        <v>1023</v>
      </c>
      <c r="O549" s="222" t="s">
        <v>2181</v>
      </c>
      <c r="P549" s="824">
        <v>97869</v>
      </c>
      <c r="Q549" s="824">
        <v>7.1714399999999996</v>
      </c>
      <c r="R549" s="824">
        <v>28.07376</v>
      </c>
      <c r="S549" s="824">
        <v>5.29847</v>
      </c>
      <c r="T549" s="824">
        <v>55</v>
      </c>
      <c r="U549" s="824">
        <v>1</v>
      </c>
      <c r="V549" s="824">
        <v>3</v>
      </c>
      <c r="W549" s="824">
        <v>10</v>
      </c>
      <c r="X549" s="824">
        <v>6</v>
      </c>
      <c r="Y549" s="824">
        <v>3</v>
      </c>
      <c r="Z549" s="480" t="str">
        <f t="shared" si="8"/>
        <v/>
      </c>
    </row>
    <row r="550" spans="1:26">
      <c r="A550" s="825" t="s">
        <v>1024</v>
      </c>
      <c r="B550" s="826">
        <v>10597</v>
      </c>
      <c r="C550" s="827"/>
      <c r="D550" s="828">
        <v>8.6707599999999996</v>
      </c>
      <c r="E550" s="828">
        <v>6.6961700000000004</v>
      </c>
      <c r="F550" s="828">
        <v>44.838639999999998</v>
      </c>
      <c r="G550" s="828">
        <v>51</v>
      </c>
      <c r="H550" s="828">
        <v>1</v>
      </c>
      <c r="I550" s="828">
        <v>4</v>
      </c>
      <c r="J550" s="828">
        <v>12</v>
      </c>
      <c r="K550" s="828">
        <v>7</v>
      </c>
      <c r="L550" s="828">
        <v>3</v>
      </c>
      <c r="N550" s="222" t="s">
        <v>1024</v>
      </c>
      <c r="O550" s="222" t="s">
        <v>1025</v>
      </c>
      <c r="P550" s="824">
        <v>10597</v>
      </c>
      <c r="Q550" s="824">
        <v>8.6707599999999996</v>
      </c>
      <c r="R550" s="824">
        <v>44.838639999999998</v>
      </c>
      <c r="S550" s="824">
        <v>6.6961700000000004</v>
      </c>
      <c r="T550" s="824">
        <v>51</v>
      </c>
      <c r="U550" s="824">
        <v>1</v>
      </c>
      <c r="V550" s="824">
        <v>4</v>
      </c>
      <c r="W550" s="824">
        <v>12</v>
      </c>
      <c r="X550" s="824">
        <v>7</v>
      </c>
      <c r="Y550" s="824">
        <v>3</v>
      </c>
      <c r="Z550" s="480" t="str">
        <f t="shared" si="8"/>
        <v/>
      </c>
    </row>
    <row r="551" spans="1:26">
      <c r="A551" s="825" t="s">
        <v>1026</v>
      </c>
      <c r="B551" s="826">
        <v>8577</v>
      </c>
      <c r="C551" s="827"/>
      <c r="D551" s="828">
        <v>8.6527899999999995</v>
      </c>
      <c r="E551" s="828">
        <v>7.1868400000000001</v>
      </c>
      <c r="F551" s="828">
        <v>51.650649999999999</v>
      </c>
      <c r="G551" s="828">
        <v>102</v>
      </c>
      <c r="H551" s="828">
        <v>1</v>
      </c>
      <c r="I551" s="828">
        <v>4</v>
      </c>
      <c r="J551" s="828">
        <v>12</v>
      </c>
      <c r="K551" s="828">
        <v>7</v>
      </c>
      <c r="L551" s="828">
        <v>4</v>
      </c>
      <c r="N551" s="222" t="s">
        <v>1026</v>
      </c>
      <c r="O551" s="222" t="s">
        <v>2182</v>
      </c>
      <c r="P551" s="824">
        <v>8577</v>
      </c>
      <c r="Q551" s="824">
        <v>8.6527899999999995</v>
      </c>
      <c r="R551" s="824">
        <v>51.650649999999999</v>
      </c>
      <c r="S551" s="824">
        <v>7.1868400000000001</v>
      </c>
      <c r="T551" s="824">
        <v>102</v>
      </c>
      <c r="U551" s="824">
        <v>1</v>
      </c>
      <c r="V551" s="824">
        <v>4</v>
      </c>
      <c r="W551" s="824">
        <v>12</v>
      </c>
      <c r="X551" s="824">
        <v>7</v>
      </c>
      <c r="Y551" s="824">
        <v>4</v>
      </c>
      <c r="Z551" s="480" t="str">
        <f t="shared" si="8"/>
        <v/>
      </c>
    </row>
    <row r="552" spans="1:26">
      <c r="A552" s="825" t="s">
        <v>1027</v>
      </c>
      <c r="B552" s="826">
        <v>10400</v>
      </c>
      <c r="C552" s="827"/>
      <c r="D552" s="828">
        <v>11.15404</v>
      </c>
      <c r="E552" s="828">
        <v>8.6428200000000004</v>
      </c>
      <c r="F552" s="828">
        <v>74.698260000000005</v>
      </c>
      <c r="G552" s="828">
        <v>55</v>
      </c>
      <c r="H552" s="828">
        <v>1</v>
      </c>
      <c r="I552" s="828">
        <v>5</v>
      </c>
      <c r="J552" s="828">
        <v>15</v>
      </c>
      <c r="K552" s="828">
        <v>9</v>
      </c>
      <c r="L552" s="828">
        <v>5</v>
      </c>
      <c r="N552" s="222" t="s">
        <v>1027</v>
      </c>
      <c r="O552" s="222" t="s">
        <v>2183</v>
      </c>
      <c r="P552" s="824">
        <v>10400</v>
      </c>
      <c r="Q552" s="824">
        <v>11.15404</v>
      </c>
      <c r="R552" s="824">
        <v>74.698260000000005</v>
      </c>
      <c r="S552" s="824">
        <v>8.6428200000000004</v>
      </c>
      <c r="T552" s="824">
        <v>55</v>
      </c>
      <c r="U552" s="824">
        <v>1</v>
      </c>
      <c r="V552" s="824">
        <v>5</v>
      </c>
      <c r="W552" s="824">
        <v>15</v>
      </c>
      <c r="X552" s="824">
        <v>9</v>
      </c>
      <c r="Y552" s="824">
        <v>5</v>
      </c>
      <c r="Z552" s="480" t="str">
        <f t="shared" si="8"/>
        <v/>
      </c>
    </row>
    <row r="553" spans="1:26">
      <c r="A553" s="825" t="s">
        <v>1028</v>
      </c>
      <c r="B553" s="826">
        <v>27588</v>
      </c>
      <c r="C553" s="827"/>
      <c r="D553" s="828">
        <v>10.56767</v>
      </c>
      <c r="E553" s="828">
        <v>8.7506900000000005</v>
      </c>
      <c r="F553" s="828">
        <v>76.574640000000002</v>
      </c>
      <c r="G553" s="828">
        <v>110</v>
      </c>
      <c r="H553" s="828">
        <v>1</v>
      </c>
      <c r="I553" s="828">
        <v>4</v>
      </c>
      <c r="J553" s="828">
        <v>14</v>
      </c>
      <c r="K553" s="828">
        <v>8</v>
      </c>
      <c r="L553" s="828">
        <v>3</v>
      </c>
      <c r="N553" s="222" t="s">
        <v>1028</v>
      </c>
      <c r="O553" s="222" t="s">
        <v>1029</v>
      </c>
      <c r="P553" s="824">
        <v>27588</v>
      </c>
      <c r="Q553" s="824">
        <v>10.56767</v>
      </c>
      <c r="R553" s="824">
        <v>76.574640000000002</v>
      </c>
      <c r="S553" s="824">
        <v>8.7506900000000005</v>
      </c>
      <c r="T553" s="824">
        <v>110</v>
      </c>
      <c r="U553" s="824">
        <v>1</v>
      </c>
      <c r="V553" s="824">
        <v>4</v>
      </c>
      <c r="W553" s="824">
        <v>14</v>
      </c>
      <c r="X553" s="824">
        <v>8</v>
      </c>
      <c r="Y553" s="824">
        <v>3</v>
      </c>
      <c r="Z553" s="480" t="str">
        <f t="shared" si="8"/>
        <v/>
      </c>
    </row>
    <row r="554" spans="1:26">
      <c r="A554" s="825" t="s">
        <v>1030</v>
      </c>
      <c r="B554" s="826">
        <v>2832</v>
      </c>
      <c r="C554" s="827"/>
      <c r="D554" s="828">
        <v>8.6966800000000006</v>
      </c>
      <c r="E554" s="828">
        <v>6.7264900000000001</v>
      </c>
      <c r="F554" s="828">
        <v>45.245649999999998</v>
      </c>
      <c r="G554" s="828">
        <v>50</v>
      </c>
      <c r="H554" s="828">
        <v>1</v>
      </c>
      <c r="I554" s="828">
        <v>4</v>
      </c>
      <c r="J554" s="828">
        <v>12</v>
      </c>
      <c r="K554" s="828">
        <v>7</v>
      </c>
      <c r="L554" s="828">
        <v>4</v>
      </c>
      <c r="N554" s="222" t="s">
        <v>1030</v>
      </c>
      <c r="O554" s="222" t="s">
        <v>1031</v>
      </c>
      <c r="P554" s="824">
        <v>2832</v>
      </c>
      <c r="Q554" s="824">
        <v>8.6966800000000006</v>
      </c>
      <c r="R554" s="824">
        <v>45.245649999999998</v>
      </c>
      <c r="S554" s="824">
        <v>6.7264900000000001</v>
      </c>
      <c r="T554" s="824">
        <v>50</v>
      </c>
      <c r="U554" s="824">
        <v>1</v>
      </c>
      <c r="V554" s="824">
        <v>4</v>
      </c>
      <c r="W554" s="824">
        <v>12</v>
      </c>
      <c r="X554" s="824">
        <v>7</v>
      </c>
      <c r="Y554" s="824">
        <v>4</v>
      </c>
      <c r="Z554" s="480" t="str">
        <f t="shared" si="8"/>
        <v/>
      </c>
    </row>
    <row r="555" spans="1:26">
      <c r="A555" s="825" t="s">
        <v>1032</v>
      </c>
      <c r="B555" s="826">
        <v>94983</v>
      </c>
      <c r="C555" s="827"/>
      <c r="D555" s="828">
        <v>10.20242</v>
      </c>
      <c r="E555" s="828">
        <v>8.1326199999999993</v>
      </c>
      <c r="F555" s="828">
        <v>66.13955</v>
      </c>
      <c r="G555" s="828">
        <v>55</v>
      </c>
      <c r="H555" s="828">
        <v>1</v>
      </c>
      <c r="I555" s="828">
        <v>4</v>
      </c>
      <c r="J555" s="828">
        <v>14</v>
      </c>
      <c r="K555" s="828">
        <v>8</v>
      </c>
      <c r="L555" s="828">
        <v>3</v>
      </c>
      <c r="N555" s="222" t="s">
        <v>1032</v>
      </c>
      <c r="O555" s="222" t="s">
        <v>2184</v>
      </c>
      <c r="P555" s="824">
        <v>94983</v>
      </c>
      <c r="Q555" s="824">
        <v>10.20242</v>
      </c>
      <c r="R555" s="824">
        <v>66.13955</v>
      </c>
      <c r="S555" s="824">
        <v>8.1326199999999993</v>
      </c>
      <c r="T555" s="824">
        <v>55</v>
      </c>
      <c r="U555" s="824">
        <v>1</v>
      </c>
      <c r="V555" s="824">
        <v>4</v>
      </c>
      <c r="W555" s="824">
        <v>14</v>
      </c>
      <c r="X555" s="824">
        <v>8</v>
      </c>
      <c r="Y555" s="824">
        <v>3</v>
      </c>
      <c r="Z555" s="480" t="str">
        <f t="shared" si="8"/>
        <v/>
      </c>
    </row>
    <row r="556" spans="1:26">
      <c r="A556" s="825" t="s">
        <v>1033</v>
      </c>
      <c r="B556" s="826">
        <v>12326</v>
      </c>
      <c r="C556" s="827"/>
      <c r="D556" s="828">
        <v>8.5797500000000007</v>
      </c>
      <c r="E556" s="828">
        <v>6.8140400000000003</v>
      </c>
      <c r="F556" s="828">
        <v>46.431080000000001</v>
      </c>
      <c r="G556" s="828">
        <v>52</v>
      </c>
      <c r="H556" s="828">
        <v>1</v>
      </c>
      <c r="I556" s="828">
        <v>4</v>
      </c>
      <c r="J556" s="828">
        <v>12</v>
      </c>
      <c r="K556" s="828">
        <v>7</v>
      </c>
      <c r="L556" s="828">
        <v>3</v>
      </c>
      <c r="N556" s="222" t="s">
        <v>1033</v>
      </c>
      <c r="O556" s="222" t="s">
        <v>2185</v>
      </c>
      <c r="P556" s="824">
        <v>12326</v>
      </c>
      <c r="Q556" s="824">
        <v>8.5797500000000007</v>
      </c>
      <c r="R556" s="824">
        <v>46.431080000000001</v>
      </c>
      <c r="S556" s="824">
        <v>6.8140400000000003</v>
      </c>
      <c r="T556" s="824">
        <v>52</v>
      </c>
      <c r="U556" s="824">
        <v>1</v>
      </c>
      <c r="V556" s="824">
        <v>4</v>
      </c>
      <c r="W556" s="824">
        <v>12</v>
      </c>
      <c r="X556" s="824">
        <v>7</v>
      </c>
      <c r="Y556" s="824">
        <v>3</v>
      </c>
      <c r="Z556" s="480" t="str">
        <f t="shared" si="8"/>
        <v/>
      </c>
    </row>
    <row r="557" spans="1:26">
      <c r="A557" s="825" t="s">
        <v>1034</v>
      </c>
      <c r="B557" s="826">
        <v>21729</v>
      </c>
      <c r="C557" s="827"/>
      <c r="D557" s="828">
        <v>9.5421800000000001</v>
      </c>
      <c r="E557" s="828">
        <v>8.0060199999999995</v>
      </c>
      <c r="F557" s="828">
        <v>64.096350000000001</v>
      </c>
      <c r="G557" s="828">
        <v>56</v>
      </c>
      <c r="H557" s="828">
        <v>1</v>
      </c>
      <c r="I557" s="828">
        <v>4</v>
      </c>
      <c r="J557" s="828">
        <v>13</v>
      </c>
      <c r="K557" s="828">
        <v>7</v>
      </c>
      <c r="L557" s="828">
        <v>3</v>
      </c>
      <c r="N557" s="222" t="s">
        <v>1034</v>
      </c>
      <c r="O557" s="222" t="s">
        <v>2186</v>
      </c>
      <c r="P557" s="824">
        <v>21729</v>
      </c>
      <c r="Q557" s="824">
        <v>9.5421800000000001</v>
      </c>
      <c r="R557" s="824">
        <v>64.096350000000001</v>
      </c>
      <c r="S557" s="824">
        <v>8.0060199999999995</v>
      </c>
      <c r="T557" s="824">
        <v>56</v>
      </c>
      <c r="U557" s="824">
        <v>1</v>
      </c>
      <c r="V557" s="824">
        <v>4</v>
      </c>
      <c r="W557" s="824">
        <v>13</v>
      </c>
      <c r="X557" s="824">
        <v>7</v>
      </c>
      <c r="Y557" s="824">
        <v>3</v>
      </c>
      <c r="Z557" s="480" t="str">
        <f t="shared" si="8"/>
        <v/>
      </c>
    </row>
    <row r="558" spans="1:26">
      <c r="A558" s="825" t="s">
        <v>1035</v>
      </c>
      <c r="B558" s="826">
        <v>43136</v>
      </c>
      <c r="C558" s="827"/>
      <c r="D558" s="828">
        <v>9.6777200000000008</v>
      </c>
      <c r="E558" s="828">
        <v>6.3000999999999996</v>
      </c>
      <c r="F558" s="828">
        <v>39.691240000000001</v>
      </c>
      <c r="G558" s="828">
        <v>25</v>
      </c>
      <c r="H558" s="828">
        <v>1</v>
      </c>
      <c r="I558" s="828">
        <v>4</v>
      </c>
      <c r="J558" s="828">
        <v>14</v>
      </c>
      <c r="K558" s="828">
        <v>8</v>
      </c>
      <c r="L558" s="828">
        <v>3</v>
      </c>
      <c r="N558" s="222" t="s">
        <v>1035</v>
      </c>
      <c r="O558" s="222" t="s">
        <v>2187</v>
      </c>
      <c r="P558" s="824">
        <v>43136</v>
      </c>
      <c r="Q558" s="824">
        <v>9.6777200000000008</v>
      </c>
      <c r="R558" s="824">
        <v>39.691240000000001</v>
      </c>
      <c r="S558" s="824">
        <v>6.3000999999999996</v>
      </c>
      <c r="T558" s="824">
        <v>25</v>
      </c>
      <c r="U558" s="824">
        <v>1</v>
      </c>
      <c r="V558" s="824">
        <v>4</v>
      </c>
      <c r="W558" s="824">
        <v>14</v>
      </c>
      <c r="X558" s="824">
        <v>8</v>
      </c>
      <c r="Y558" s="824">
        <v>3</v>
      </c>
      <c r="Z558" s="480" t="str">
        <f t="shared" si="8"/>
        <v/>
      </c>
    </row>
    <row r="559" spans="1:26">
      <c r="A559" s="825" t="s">
        <v>1036</v>
      </c>
      <c r="B559" s="826">
        <v>2734</v>
      </c>
      <c r="C559" s="827"/>
      <c r="D559" s="828">
        <v>8.2384799999999991</v>
      </c>
      <c r="E559" s="828">
        <v>5.94069</v>
      </c>
      <c r="F559" s="828">
        <v>35.291809999999998</v>
      </c>
      <c r="G559" s="828">
        <v>47</v>
      </c>
      <c r="H559" s="828">
        <v>1</v>
      </c>
      <c r="I559" s="828">
        <v>4</v>
      </c>
      <c r="J559" s="828">
        <v>11</v>
      </c>
      <c r="K559" s="828">
        <v>7</v>
      </c>
      <c r="L559" s="828">
        <v>5</v>
      </c>
      <c r="N559" s="222" t="s">
        <v>1036</v>
      </c>
      <c r="O559" s="222" t="s">
        <v>1037</v>
      </c>
      <c r="P559" s="824">
        <v>2734</v>
      </c>
      <c r="Q559" s="824">
        <v>8.2384799999999991</v>
      </c>
      <c r="R559" s="824">
        <v>35.291809999999998</v>
      </c>
      <c r="S559" s="824">
        <v>5.94069</v>
      </c>
      <c r="T559" s="824">
        <v>47</v>
      </c>
      <c r="U559" s="824">
        <v>1</v>
      </c>
      <c r="V559" s="824">
        <v>4</v>
      </c>
      <c r="W559" s="824">
        <v>11</v>
      </c>
      <c r="X559" s="824">
        <v>7</v>
      </c>
      <c r="Y559" s="824">
        <v>5</v>
      </c>
      <c r="Z559" s="480" t="str">
        <f t="shared" si="8"/>
        <v/>
      </c>
    </row>
    <row r="560" spans="1:26">
      <c r="A560" s="825" t="s">
        <v>1038</v>
      </c>
      <c r="B560" s="826">
        <v>383</v>
      </c>
      <c r="C560" s="827"/>
      <c r="D560" s="828">
        <v>11.305479999999999</v>
      </c>
      <c r="E560" s="828">
        <v>7.1738400000000002</v>
      </c>
      <c r="F560" s="828">
        <v>51.464030000000001</v>
      </c>
      <c r="G560" s="828">
        <v>25</v>
      </c>
      <c r="H560" s="828">
        <v>1</v>
      </c>
      <c r="I560" s="828">
        <v>5</v>
      </c>
      <c r="J560" s="828">
        <v>18</v>
      </c>
      <c r="K560" s="828">
        <v>10</v>
      </c>
      <c r="L560" s="828">
        <v>2</v>
      </c>
      <c r="N560" s="222" t="s">
        <v>1038</v>
      </c>
      <c r="O560" s="222" t="s">
        <v>1039</v>
      </c>
      <c r="P560" s="824">
        <v>383</v>
      </c>
      <c r="Q560" s="824">
        <v>11.305479999999999</v>
      </c>
      <c r="R560" s="824">
        <v>51.464030000000001</v>
      </c>
      <c r="S560" s="824">
        <v>7.1738400000000002</v>
      </c>
      <c r="T560" s="824">
        <v>25</v>
      </c>
      <c r="U560" s="824">
        <v>1</v>
      </c>
      <c r="V560" s="824">
        <v>5</v>
      </c>
      <c r="W560" s="824">
        <v>18</v>
      </c>
      <c r="X560" s="824">
        <v>10</v>
      </c>
      <c r="Y560" s="824">
        <v>2</v>
      </c>
      <c r="Z560" s="480" t="str">
        <f t="shared" si="8"/>
        <v/>
      </c>
    </row>
    <row r="561" spans="1:26">
      <c r="A561" s="825" t="s">
        <v>1040</v>
      </c>
      <c r="B561" s="826">
        <v>36952</v>
      </c>
      <c r="C561" s="829"/>
      <c r="D561" s="828">
        <v>9.2227200000000007</v>
      </c>
      <c r="E561" s="828">
        <v>5.9946999999999999</v>
      </c>
      <c r="F561" s="828">
        <v>35.93638</v>
      </c>
      <c r="G561" s="828">
        <v>23</v>
      </c>
      <c r="H561" s="828">
        <v>1</v>
      </c>
      <c r="I561" s="828">
        <v>4</v>
      </c>
      <c r="J561" s="828">
        <v>14</v>
      </c>
      <c r="K561" s="828">
        <v>8</v>
      </c>
      <c r="L561" s="828">
        <v>3</v>
      </c>
      <c r="N561" s="222" t="s">
        <v>1040</v>
      </c>
      <c r="O561" s="222" t="s">
        <v>1041</v>
      </c>
      <c r="P561" s="824">
        <v>36952</v>
      </c>
      <c r="Q561" s="824">
        <v>9.2227200000000007</v>
      </c>
      <c r="R561" s="824">
        <v>35.93638</v>
      </c>
      <c r="S561" s="824">
        <v>5.9946999999999999</v>
      </c>
      <c r="T561" s="824">
        <v>23</v>
      </c>
      <c r="U561" s="824">
        <v>1</v>
      </c>
      <c r="V561" s="824">
        <v>4</v>
      </c>
      <c r="W561" s="824">
        <v>14</v>
      </c>
      <c r="X561" s="824">
        <v>8</v>
      </c>
      <c r="Y561" s="824">
        <v>3</v>
      </c>
      <c r="Z561" s="480" t="str">
        <f t="shared" si="8"/>
        <v/>
      </c>
    </row>
    <row r="562" spans="1:26">
      <c r="A562" s="825" t="s">
        <v>1042</v>
      </c>
      <c r="B562" s="826">
        <v>118283</v>
      </c>
      <c r="C562" s="827"/>
      <c r="D562" s="828">
        <v>8.1260300000000001</v>
      </c>
      <c r="E562" s="828">
        <v>6.0602299999999998</v>
      </c>
      <c r="F562" s="828">
        <v>36.726349999999996</v>
      </c>
      <c r="G562" s="828">
        <v>55</v>
      </c>
      <c r="H562" s="828">
        <v>1</v>
      </c>
      <c r="I562" s="828">
        <v>4</v>
      </c>
      <c r="J562" s="828">
        <v>11</v>
      </c>
      <c r="K562" s="828">
        <v>7</v>
      </c>
      <c r="L562" s="828">
        <v>3</v>
      </c>
      <c r="N562" s="222" t="s">
        <v>1042</v>
      </c>
      <c r="O562" s="222" t="s">
        <v>2188</v>
      </c>
      <c r="P562" s="824">
        <v>118283</v>
      </c>
      <c r="Q562" s="824">
        <v>8.1260300000000001</v>
      </c>
      <c r="R562" s="824">
        <v>36.726349999999996</v>
      </c>
      <c r="S562" s="824">
        <v>6.0602299999999998</v>
      </c>
      <c r="T562" s="824">
        <v>55</v>
      </c>
      <c r="U562" s="824">
        <v>1</v>
      </c>
      <c r="V562" s="824">
        <v>4</v>
      </c>
      <c r="W562" s="824">
        <v>11</v>
      </c>
      <c r="X562" s="824">
        <v>7</v>
      </c>
      <c r="Y562" s="824">
        <v>3</v>
      </c>
      <c r="Z562" s="480" t="str">
        <f t="shared" si="8"/>
        <v/>
      </c>
    </row>
    <row r="563" spans="1:26">
      <c r="A563" s="825" t="s">
        <v>1043</v>
      </c>
      <c r="B563" s="826">
        <v>335</v>
      </c>
      <c r="C563" s="829"/>
      <c r="D563" s="828">
        <v>9.1313399999999998</v>
      </c>
      <c r="E563" s="828">
        <v>6.1858000000000004</v>
      </c>
      <c r="F563" s="828">
        <v>38.264130000000002</v>
      </c>
      <c r="G563" s="828">
        <v>26</v>
      </c>
      <c r="H563" s="828">
        <v>1</v>
      </c>
      <c r="I563" s="828">
        <v>4</v>
      </c>
      <c r="J563" s="828">
        <v>13</v>
      </c>
      <c r="K563" s="828">
        <v>8</v>
      </c>
      <c r="L563" s="828">
        <v>2</v>
      </c>
      <c r="N563" s="222" t="s">
        <v>1043</v>
      </c>
      <c r="O563" s="222" t="s">
        <v>2189</v>
      </c>
      <c r="P563" s="824">
        <v>335</v>
      </c>
      <c r="Q563" s="824">
        <v>9.1313399999999998</v>
      </c>
      <c r="R563" s="824">
        <v>38.264130000000002</v>
      </c>
      <c r="S563" s="824">
        <v>6.1858000000000004</v>
      </c>
      <c r="T563" s="824">
        <v>26</v>
      </c>
      <c r="U563" s="824">
        <v>1</v>
      </c>
      <c r="V563" s="824">
        <v>4</v>
      </c>
      <c r="W563" s="824">
        <v>13</v>
      </c>
      <c r="X563" s="824">
        <v>8</v>
      </c>
      <c r="Y563" s="824">
        <v>2</v>
      </c>
      <c r="Z563" s="480" t="str">
        <f t="shared" si="8"/>
        <v/>
      </c>
    </row>
    <row r="564" spans="1:26">
      <c r="A564" s="825" t="s">
        <v>1044</v>
      </c>
      <c r="B564" s="826">
        <v>1759</v>
      </c>
      <c r="C564" s="827"/>
      <c r="D564" s="828">
        <v>10.610569999999999</v>
      </c>
      <c r="E564" s="828">
        <v>7.0136500000000002</v>
      </c>
      <c r="F564" s="828">
        <v>49.19126</v>
      </c>
      <c r="G564" s="828">
        <v>26</v>
      </c>
      <c r="H564" s="828">
        <v>1</v>
      </c>
      <c r="I564" s="828">
        <v>4</v>
      </c>
      <c r="J564" s="828">
        <v>16</v>
      </c>
      <c r="K564" s="828">
        <v>10</v>
      </c>
      <c r="L564" s="828">
        <v>3</v>
      </c>
      <c r="N564" s="222" t="s">
        <v>1044</v>
      </c>
      <c r="O564" s="222" t="s">
        <v>2190</v>
      </c>
      <c r="P564" s="824">
        <v>1759</v>
      </c>
      <c r="Q564" s="824">
        <v>10.610569999999999</v>
      </c>
      <c r="R564" s="824">
        <v>49.19126</v>
      </c>
      <c r="S564" s="824">
        <v>7.0136500000000002</v>
      </c>
      <c r="T564" s="824">
        <v>26</v>
      </c>
      <c r="U564" s="824">
        <v>1</v>
      </c>
      <c r="V564" s="824">
        <v>4</v>
      </c>
      <c r="W564" s="824">
        <v>16</v>
      </c>
      <c r="X564" s="824">
        <v>10</v>
      </c>
      <c r="Y564" s="824">
        <v>3</v>
      </c>
      <c r="Z564" s="480" t="str">
        <f t="shared" si="8"/>
        <v/>
      </c>
    </row>
    <row r="565" spans="1:26">
      <c r="A565" s="825" t="s">
        <v>1045</v>
      </c>
      <c r="B565" s="826">
        <v>17996</v>
      </c>
      <c r="C565" s="827"/>
      <c r="D565" s="828">
        <v>11.14059</v>
      </c>
      <c r="E565" s="828">
        <v>7.2497199999999999</v>
      </c>
      <c r="F565" s="828">
        <v>52.558509999999998</v>
      </c>
      <c r="G565" s="828">
        <v>27</v>
      </c>
      <c r="H565" s="828">
        <v>1</v>
      </c>
      <c r="I565" s="828">
        <v>5</v>
      </c>
      <c r="J565" s="828">
        <v>17</v>
      </c>
      <c r="K565" s="828">
        <v>10</v>
      </c>
      <c r="L565" s="828">
        <v>2</v>
      </c>
      <c r="N565" s="222" t="s">
        <v>1045</v>
      </c>
      <c r="O565" s="222" t="s">
        <v>2191</v>
      </c>
      <c r="P565" s="824">
        <v>17996</v>
      </c>
      <c r="Q565" s="824">
        <v>11.14059</v>
      </c>
      <c r="R565" s="824">
        <v>52.558509999999998</v>
      </c>
      <c r="S565" s="824">
        <v>7.2497199999999999</v>
      </c>
      <c r="T565" s="824">
        <v>27</v>
      </c>
      <c r="U565" s="824">
        <v>1</v>
      </c>
      <c r="V565" s="824">
        <v>5</v>
      </c>
      <c r="W565" s="824">
        <v>17</v>
      </c>
      <c r="X565" s="824">
        <v>10</v>
      </c>
      <c r="Y565" s="824">
        <v>2</v>
      </c>
      <c r="Z565" s="480" t="str">
        <f t="shared" si="8"/>
        <v/>
      </c>
    </row>
    <row r="566" spans="1:26">
      <c r="A566" s="825" t="s">
        <v>1046</v>
      </c>
      <c r="B566" s="826">
        <v>915</v>
      </c>
      <c r="C566" s="827"/>
      <c r="D566" s="828">
        <v>10.226229999999999</v>
      </c>
      <c r="E566" s="828">
        <v>9.4249399999999994</v>
      </c>
      <c r="F566" s="828">
        <v>88.829509999999999</v>
      </c>
      <c r="G566" s="828">
        <v>55</v>
      </c>
      <c r="H566" s="828">
        <v>1</v>
      </c>
      <c r="I566" s="828">
        <v>4</v>
      </c>
      <c r="J566" s="828">
        <v>14</v>
      </c>
      <c r="K566" s="828">
        <v>8</v>
      </c>
      <c r="L566" s="828">
        <v>3</v>
      </c>
      <c r="N566" s="222" t="s">
        <v>1046</v>
      </c>
      <c r="O566" s="222" t="s">
        <v>2192</v>
      </c>
      <c r="P566" s="824">
        <v>915</v>
      </c>
      <c r="Q566" s="824">
        <v>10.226229999999999</v>
      </c>
      <c r="R566" s="824">
        <v>88.829509999999999</v>
      </c>
      <c r="S566" s="824">
        <v>9.4249399999999994</v>
      </c>
      <c r="T566" s="824">
        <v>55</v>
      </c>
      <c r="U566" s="824">
        <v>1</v>
      </c>
      <c r="V566" s="824">
        <v>4</v>
      </c>
      <c r="W566" s="824">
        <v>14</v>
      </c>
      <c r="X566" s="824">
        <v>8</v>
      </c>
      <c r="Y566" s="824">
        <v>3</v>
      </c>
      <c r="Z566" s="480" t="str">
        <f t="shared" si="8"/>
        <v/>
      </c>
    </row>
    <row r="567" spans="1:26">
      <c r="A567" s="825" t="s">
        <v>1047</v>
      </c>
      <c r="B567" s="826">
        <v>2199</v>
      </c>
      <c r="C567" s="827"/>
      <c r="D567" s="828">
        <v>8.99</v>
      </c>
      <c r="E567" s="828">
        <v>5.9598199999999997</v>
      </c>
      <c r="F567" s="828">
        <v>35.519460000000002</v>
      </c>
      <c r="G567" s="828">
        <v>22</v>
      </c>
      <c r="H567" s="828">
        <v>1</v>
      </c>
      <c r="I567" s="828">
        <v>4</v>
      </c>
      <c r="J567" s="828">
        <v>14</v>
      </c>
      <c r="K567" s="828">
        <v>8</v>
      </c>
      <c r="L567" s="828">
        <v>2</v>
      </c>
      <c r="N567" s="222" t="s">
        <v>1047</v>
      </c>
      <c r="O567" s="222" t="s">
        <v>2193</v>
      </c>
      <c r="P567" s="824">
        <v>2199</v>
      </c>
      <c r="Q567" s="824">
        <v>8.99</v>
      </c>
      <c r="R567" s="824">
        <v>35.519460000000002</v>
      </c>
      <c r="S567" s="824">
        <v>5.9598199999999997</v>
      </c>
      <c r="T567" s="824">
        <v>22</v>
      </c>
      <c r="U567" s="824">
        <v>1</v>
      </c>
      <c r="V567" s="824">
        <v>4</v>
      </c>
      <c r="W567" s="824">
        <v>14</v>
      </c>
      <c r="X567" s="824">
        <v>8</v>
      </c>
      <c r="Y567" s="824">
        <v>2</v>
      </c>
      <c r="Z567" s="480" t="str">
        <f t="shared" si="8"/>
        <v/>
      </c>
    </row>
    <row r="568" spans="1:26">
      <c r="A568" s="825" t="s">
        <v>1048</v>
      </c>
      <c r="B568" s="826">
        <v>21850</v>
      </c>
      <c r="C568" s="827"/>
      <c r="D568" s="828">
        <v>7.8745099999999999</v>
      </c>
      <c r="E568" s="828">
        <v>5.2492999999999999</v>
      </c>
      <c r="F568" s="828">
        <v>27.555119999999999</v>
      </c>
      <c r="G568" s="828">
        <v>20</v>
      </c>
      <c r="H568" s="828">
        <v>1</v>
      </c>
      <c r="I568" s="828">
        <v>3</v>
      </c>
      <c r="J568" s="828">
        <v>12</v>
      </c>
      <c r="K568" s="828">
        <v>7</v>
      </c>
      <c r="L568" s="828">
        <v>2</v>
      </c>
      <c r="N568" s="222" t="s">
        <v>1048</v>
      </c>
      <c r="O568" s="222" t="s">
        <v>1049</v>
      </c>
      <c r="P568" s="824">
        <v>21850</v>
      </c>
      <c r="Q568" s="824">
        <v>7.8745099999999999</v>
      </c>
      <c r="R568" s="824">
        <v>27.555119999999999</v>
      </c>
      <c r="S568" s="824">
        <v>5.2492999999999999</v>
      </c>
      <c r="T568" s="824">
        <v>20</v>
      </c>
      <c r="U568" s="824">
        <v>1</v>
      </c>
      <c r="V568" s="824">
        <v>3</v>
      </c>
      <c r="W568" s="824">
        <v>12</v>
      </c>
      <c r="X568" s="824">
        <v>7</v>
      </c>
      <c r="Y568" s="824">
        <v>2</v>
      </c>
      <c r="Z568" s="480" t="str">
        <f t="shared" si="8"/>
        <v/>
      </c>
    </row>
    <row r="569" spans="1:26">
      <c r="A569" s="825" t="s">
        <v>1050</v>
      </c>
      <c r="B569" s="826">
        <v>8937</v>
      </c>
      <c r="C569" s="829"/>
      <c r="D569" s="828">
        <v>8.4925599999999992</v>
      </c>
      <c r="E569" s="828">
        <v>5.86348</v>
      </c>
      <c r="F569" s="828">
        <v>34.380459999999999</v>
      </c>
      <c r="G569" s="828">
        <v>22</v>
      </c>
      <c r="H569" s="828">
        <v>1</v>
      </c>
      <c r="I569" s="828">
        <v>3</v>
      </c>
      <c r="J569" s="828">
        <v>13</v>
      </c>
      <c r="K569" s="828">
        <v>7</v>
      </c>
      <c r="L569" s="828">
        <v>2</v>
      </c>
      <c r="N569" s="222" t="s">
        <v>1050</v>
      </c>
      <c r="O569" s="222" t="s">
        <v>1051</v>
      </c>
      <c r="P569" s="824">
        <v>8937</v>
      </c>
      <c r="Q569" s="824">
        <v>8.4925599999999992</v>
      </c>
      <c r="R569" s="824">
        <v>34.380459999999999</v>
      </c>
      <c r="S569" s="824">
        <v>5.86348</v>
      </c>
      <c r="T569" s="824">
        <v>22</v>
      </c>
      <c r="U569" s="824">
        <v>1</v>
      </c>
      <c r="V569" s="824">
        <v>3</v>
      </c>
      <c r="W569" s="824">
        <v>13</v>
      </c>
      <c r="X569" s="824">
        <v>7</v>
      </c>
      <c r="Y569" s="824">
        <v>2</v>
      </c>
      <c r="Z569" s="480" t="str">
        <f t="shared" si="8"/>
        <v/>
      </c>
    </row>
    <row r="570" spans="1:26">
      <c r="A570" s="825" t="s">
        <v>1052</v>
      </c>
      <c r="B570" s="826">
        <v>80470</v>
      </c>
      <c r="C570" s="827"/>
      <c r="D570" s="828">
        <v>8.3984699999999997</v>
      </c>
      <c r="E570" s="828">
        <v>5.9310499999999999</v>
      </c>
      <c r="F570" s="828">
        <v>35.177349999999997</v>
      </c>
      <c r="G570" s="828">
        <v>55</v>
      </c>
      <c r="H570" s="828">
        <v>1</v>
      </c>
      <c r="I570" s="828">
        <v>4</v>
      </c>
      <c r="J570" s="828">
        <v>12</v>
      </c>
      <c r="K570" s="828">
        <v>7</v>
      </c>
      <c r="L570" s="828">
        <v>3</v>
      </c>
      <c r="N570" s="222" t="s">
        <v>1052</v>
      </c>
      <c r="O570" s="222" t="s">
        <v>2194</v>
      </c>
      <c r="P570" s="824">
        <v>80470</v>
      </c>
      <c r="Q570" s="824">
        <v>8.3984699999999997</v>
      </c>
      <c r="R570" s="824">
        <v>35.177349999999997</v>
      </c>
      <c r="S570" s="824">
        <v>5.9310499999999999</v>
      </c>
      <c r="T570" s="824">
        <v>55</v>
      </c>
      <c r="U570" s="824">
        <v>1</v>
      </c>
      <c r="V570" s="824">
        <v>4</v>
      </c>
      <c r="W570" s="824">
        <v>12</v>
      </c>
      <c r="X570" s="824">
        <v>7</v>
      </c>
      <c r="Y570" s="824">
        <v>3</v>
      </c>
      <c r="Z570" s="480" t="str">
        <f t="shared" si="8"/>
        <v/>
      </c>
    </row>
    <row r="571" spans="1:26">
      <c r="A571" s="825" t="s">
        <v>1053</v>
      </c>
      <c r="B571" s="826">
        <v>296912</v>
      </c>
      <c r="C571" s="827"/>
      <c r="D571" s="828">
        <v>7.4501999999999997</v>
      </c>
      <c r="E571" s="828">
        <v>6.0979299999999999</v>
      </c>
      <c r="F571" s="828">
        <v>37.184759999999997</v>
      </c>
      <c r="G571" s="828">
        <v>56</v>
      </c>
      <c r="H571" s="828">
        <v>1</v>
      </c>
      <c r="I571" s="828">
        <v>3</v>
      </c>
      <c r="J571" s="828">
        <v>10</v>
      </c>
      <c r="K571" s="828">
        <v>6</v>
      </c>
      <c r="L571" s="828">
        <v>2</v>
      </c>
      <c r="N571" s="222" t="s">
        <v>1053</v>
      </c>
      <c r="O571" s="222" t="s">
        <v>2195</v>
      </c>
      <c r="P571" s="824">
        <v>296912</v>
      </c>
      <c r="Q571" s="824">
        <v>7.4501999999999997</v>
      </c>
      <c r="R571" s="824">
        <v>37.184759999999997</v>
      </c>
      <c r="S571" s="824">
        <v>6.0979299999999999</v>
      </c>
      <c r="T571" s="824">
        <v>56</v>
      </c>
      <c r="U571" s="824">
        <v>1</v>
      </c>
      <c r="V571" s="824">
        <v>3</v>
      </c>
      <c r="W571" s="824">
        <v>10</v>
      </c>
      <c r="X571" s="824">
        <v>6</v>
      </c>
      <c r="Y571" s="824">
        <v>2</v>
      </c>
      <c r="Z571" s="480" t="str">
        <f t="shared" si="8"/>
        <v/>
      </c>
    </row>
    <row r="572" spans="1:26">
      <c r="A572" s="825" t="s">
        <v>1054</v>
      </c>
      <c r="B572" s="826">
        <v>207742</v>
      </c>
      <c r="C572" s="827"/>
      <c r="D572" s="828">
        <v>6.5796900000000003</v>
      </c>
      <c r="E572" s="828">
        <v>5.5209000000000001</v>
      </c>
      <c r="F572" s="828">
        <v>30.48029</v>
      </c>
      <c r="G572" s="828">
        <v>55</v>
      </c>
      <c r="H572" s="828">
        <v>1</v>
      </c>
      <c r="I572" s="828">
        <v>3</v>
      </c>
      <c r="J572" s="828">
        <v>9</v>
      </c>
      <c r="K572" s="828">
        <v>5</v>
      </c>
      <c r="L572" s="828">
        <v>2</v>
      </c>
      <c r="N572" s="222" t="s">
        <v>1054</v>
      </c>
      <c r="O572" s="222" t="s">
        <v>2196</v>
      </c>
      <c r="P572" s="824">
        <v>207742</v>
      </c>
      <c r="Q572" s="824">
        <v>6.5796900000000003</v>
      </c>
      <c r="R572" s="824">
        <v>30.48029</v>
      </c>
      <c r="S572" s="824">
        <v>5.5209000000000001</v>
      </c>
      <c r="T572" s="824">
        <v>55</v>
      </c>
      <c r="U572" s="824">
        <v>1</v>
      </c>
      <c r="V572" s="824">
        <v>3</v>
      </c>
      <c r="W572" s="824">
        <v>9</v>
      </c>
      <c r="X572" s="824">
        <v>5</v>
      </c>
      <c r="Y572" s="824">
        <v>2</v>
      </c>
      <c r="Z572" s="480" t="str">
        <f t="shared" si="8"/>
        <v/>
      </c>
    </row>
    <row r="573" spans="1:26">
      <c r="A573" s="825" t="s">
        <v>1055</v>
      </c>
      <c r="B573" s="826">
        <v>1577</v>
      </c>
      <c r="C573" s="827"/>
      <c r="D573" s="828">
        <v>8.0957500000000007</v>
      </c>
      <c r="E573" s="828">
        <v>5.3560100000000004</v>
      </c>
      <c r="F573" s="828">
        <v>28.686889999999998</v>
      </c>
      <c r="G573" s="828">
        <v>20</v>
      </c>
      <c r="H573" s="828">
        <v>1</v>
      </c>
      <c r="I573" s="828">
        <v>3</v>
      </c>
      <c r="J573" s="828">
        <v>12</v>
      </c>
      <c r="K573" s="828">
        <v>7</v>
      </c>
      <c r="L573" s="828">
        <v>2</v>
      </c>
      <c r="N573" s="222" t="s">
        <v>1055</v>
      </c>
      <c r="O573" s="222" t="s">
        <v>2197</v>
      </c>
      <c r="P573" s="824">
        <v>1577</v>
      </c>
      <c r="Q573" s="824">
        <v>8.0957500000000007</v>
      </c>
      <c r="R573" s="824">
        <v>28.686889999999998</v>
      </c>
      <c r="S573" s="824">
        <v>5.3560100000000004</v>
      </c>
      <c r="T573" s="824">
        <v>20</v>
      </c>
      <c r="U573" s="824">
        <v>1</v>
      </c>
      <c r="V573" s="824">
        <v>3</v>
      </c>
      <c r="W573" s="824">
        <v>12</v>
      </c>
      <c r="X573" s="824">
        <v>7</v>
      </c>
      <c r="Y573" s="824">
        <v>2</v>
      </c>
      <c r="Z573" s="480" t="str">
        <f t="shared" si="8"/>
        <v/>
      </c>
    </row>
    <row r="574" spans="1:26">
      <c r="A574" s="825" t="s">
        <v>1056</v>
      </c>
      <c r="B574" s="826">
        <v>706</v>
      </c>
      <c r="C574" s="827"/>
      <c r="D574" s="828">
        <v>12.5</v>
      </c>
      <c r="E574" s="828">
        <v>7.1950000000000003</v>
      </c>
      <c r="F574" s="828">
        <v>51.768090000000001</v>
      </c>
      <c r="G574" s="828">
        <v>28</v>
      </c>
      <c r="H574" s="828">
        <v>1</v>
      </c>
      <c r="I574" s="828">
        <v>7</v>
      </c>
      <c r="J574" s="828">
        <v>18</v>
      </c>
      <c r="K574" s="828">
        <v>11</v>
      </c>
      <c r="L574" s="828">
        <v>7</v>
      </c>
      <c r="N574" s="222" t="s">
        <v>1056</v>
      </c>
      <c r="O574" s="222" t="s">
        <v>1057</v>
      </c>
      <c r="P574" s="824">
        <v>706</v>
      </c>
      <c r="Q574" s="824">
        <v>12.5</v>
      </c>
      <c r="R574" s="824">
        <v>51.768090000000001</v>
      </c>
      <c r="S574" s="824">
        <v>7.1950000000000003</v>
      </c>
      <c r="T574" s="824">
        <v>28</v>
      </c>
      <c r="U574" s="824">
        <v>1</v>
      </c>
      <c r="V574" s="824">
        <v>7</v>
      </c>
      <c r="W574" s="824">
        <v>18</v>
      </c>
      <c r="X574" s="824">
        <v>11</v>
      </c>
      <c r="Y574" s="824">
        <v>7</v>
      </c>
      <c r="Z574" s="480" t="str">
        <f t="shared" si="8"/>
        <v/>
      </c>
    </row>
    <row r="575" spans="1:26">
      <c r="A575" s="825" t="s">
        <v>1058</v>
      </c>
      <c r="B575" s="826">
        <v>24527</v>
      </c>
      <c r="C575" s="827"/>
      <c r="D575" s="828">
        <v>9.8607200000000006</v>
      </c>
      <c r="E575" s="828">
        <v>6.1049499999999997</v>
      </c>
      <c r="F575" s="828">
        <v>37.270420000000001</v>
      </c>
      <c r="G575" s="828">
        <v>23</v>
      </c>
      <c r="H575" s="828">
        <v>1</v>
      </c>
      <c r="I575" s="828">
        <v>5</v>
      </c>
      <c r="J575" s="828">
        <v>14</v>
      </c>
      <c r="K575" s="828">
        <v>9</v>
      </c>
      <c r="L575" s="828">
        <v>3</v>
      </c>
      <c r="N575" s="222" t="s">
        <v>1058</v>
      </c>
      <c r="O575" s="222" t="s">
        <v>1059</v>
      </c>
      <c r="P575" s="824">
        <v>24527</v>
      </c>
      <c r="Q575" s="824">
        <v>9.8607200000000006</v>
      </c>
      <c r="R575" s="824">
        <v>37.270420000000001</v>
      </c>
      <c r="S575" s="824">
        <v>6.1049499999999997</v>
      </c>
      <c r="T575" s="824">
        <v>23</v>
      </c>
      <c r="U575" s="824">
        <v>1</v>
      </c>
      <c r="V575" s="824">
        <v>5</v>
      </c>
      <c r="W575" s="824">
        <v>14</v>
      </c>
      <c r="X575" s="824">
        <v>9</v>
      </c>
      <c r="Y575" s="824">
        <v>3</v>
      </c>
      <c r="Z575" s="480" t="str">
        <f t="shared" si="8"/>
        <v/>
      </c>
    </row>
    <row r="576" spans="1:26">
      <c r="A576" s="825" t="s">
        <v>1060</v>
      </c>
      <c r="B576" s="826">
        <v>1265</v>
      </c>
      <c r="C576" s="827"/>
      <c r="D576" s="828">
        <v>9.7912999999999997</v>
      </c>
      <c r="E576" s="828">
        <v>6.2122900000000003</v>
      </c>
      <c r="F576" s="828">
        <v>38.592489999999998</v>
      </c>
      <c r="G576" s="828">
        <v>23</v>
      </c>
      <c r="H576" s="828">
        <v>1</v>
      </c>
      <c r="I576" s="828">
        <v>5</v>
      </c>
      <c r="J576" s="828">
        <v>14</v>
      </c>
      <c r="K576" s="828">
        <v>8</v>
      </c>
      <c r="L576" s="828">
        <v>2</v>
      </c>
      <c r="N576" s="222" t="s">
        <v>1060</v>
      </c>
      <c r="O576" s="222" t="s">
        <v>1061</v>
      </c>
      <c r="P576" s="824">
        <v>1265</v>
      </c>
      <c r="Q576" s="824">
        <v>9.7912999999999997</v>
      </c>
      <c r="R576" s="824">
        <v>38.592489999999998</v>
      </c>
      <c r="S576" s="824">
        <v>6.2122900000000003</v>
      </c>
      <c r="T576" s="824">
        <v>23</v>
      </c>
      <c r="U576" s="824">
        <v>1</v>
      </c>
      <c r="V576" s="824">
        <v>5</v>
      </c>
      <c r="W576" s="824">
        <v>14</v>
      </c>
      <c r="X576" s="824">
        <v>8</v>
      </c>
      <c r="Y576" s="824">
        <v>2</v>
      </c>
      <c r="Z576" s="480" t="str">
        <f t="shared" si="8"/>
        <v/>
      </c>
    </row>
    <row r="577" spans="1:26">
      <c r="A577" s="825" t="s">
        <v>1062</v>
      </c>
      <c r="B577" s="826">
        <v>6413</v>
      </c>
      <c r="C577" s="827"/>
      <c r="D577" s="828">
        <v>9.0495900000000002</v>
      </c>
      <c r="E577" s="828">
        <v>5.4614000000000003</v>
      </c>
      <c r="F577" s="828">
        <v>29.826920000000001</v>
      </c>
      <c r="G577" s="828">
        <v>21</v>
      </c>
      <c r="H577" s="828">
        <v>1</v>
      </c>
      <c r="I577" s="828">
        <v>5</v>
      </c>
      <c r="J577" s="828">
        <v>13</v>
      </c>
      <c r="K577" s="828">
        <v>8</v>
      </c>
      <c r="L577" s="828">
        <v>5</v>
      </c>
      <c r="N577" s="222" t="s">
        <v>1062</v>
      </c>
      <c r="O577" s="222" t="s">
        <v>1063</v>
      </c>
      <c r="P577" s="824">
        <v>6413</v>
      </c>
      <c r="Q577" s="824">
        <v>9.0495900000000002</v>
      </c>
      <c r="R577" s="824">
        <v>29.826920000000001</v>
      </c>
      <c r="S577" s="824">
        <v>5.4614000000000003</v>
      </c>
      <c r="T577" s="824">
        <v>21</v>
      </c>
      <c r="U577" s="824">
        <v>1</v>
      </c>
      <c r="V577" s="824">
        <v>5</v>
      </c>
      <c r="W577" s="824">
        <v>13</v>
      </c>
      <c r="X577" s="824">
        <v>8</v>
      </c>
      <c r="Y577" s="824">
        <v>5</v>
      </c>
      <c r="Z577" s="480" t="str">
        <f t="shared" si="8"/>
        <v/>
      </c>
    </row>
    <row r="578" spans="1:26">
      <c r="A578" s="825" t="s">
        <v>1064</v>
      </c>
      <c r="B578" s="826">
        <v>1710</v>
      </c>
      <c r="C578" s="827"/>
      <c r="D578" s="828">
        <v>10.159649999999999</v>
      </c>
      <c r="E578" s="828">
        <v>6.6103399999999999</v>
      </c>
      <c r="F578" s="828">
        <v>43.696559999999998</v>
      </c>
      <c r="G578" s="828">
        <v>26</v>
      </c>
      <c r="H578" s="828">
        <v>1</v>
      </c>
      <c r="I578" s="828">
        <v>5</v>
      </c>
      <c r="J578" s="828">
        <v>15</v>
      </c>
      <c r="K578" s="828">
        <v>9</v>
      </c>
      <c r="L578" s="828">
        <v>4</v>
      </c>
      <c r="N578" s="222" t="s">
        <v>1064</v>
      </c>
      <c r="O578" s="222" t="s">
        <v>2198</v>
      </c>
      <c r="P578" s="824">
        <v>1710</v>
      </c>
      <c r="Q578" s="824">
        <v>10.159649999999999</v>
      </c>
      <c r="R578" s="824">
        <v>43.696559999999998</v>
      </c>
      <c r="S578" s="824">
        <v>6.6103399999999999</v>
      </c>
      <c r="T578" s="824">
        <v>26</v>
      </c>
      <c r="U578" s="824">
        <v>1</v>
      </c>
      <c r="V578" s="824">
        <v>5</v>
      </c>
      <c r="W578" s="824">
        <v>15</v>
      </c>
      <c r="X578" s="824">
        <v>9</v>
      </c>
      <c r="Y578" s="824">
        <v>4</v>
      </c>
      <c r="Z578" s="480" t="str">
        <f t="shared" si="8"/>
        <v/>
      </c>
    </row>
    <row r="579" spans="1:26">
      <c r="A579" s="825" t="s">
        <v>1065</v>
      </c>
      <c r="B579" s="826">
        <v>381</v>
      </c>
      <c r="C579" s="827"/>
      <c r="D579" s="828">
        <v>9.1469799999999992</v>
      </c>
      <c r="E579" s="828">
        <v>6.1051700000000002</v>
      </c>
      <c r="F579" s="828">
        <v>37.27308</v>
      </c>
      <c r="G579" s="828">
        <v>24</v>
      </c>
      <c r="H579" s="828">
        <v>1</v>
      </c>
      <c r="I579" s="828">
        <v>4</v>
      </c>
      <c r="J579" s="828">
        <v>13</v>
      </c>
      <c r="K579" s="828">
        <v>8</v>
      </c>
      <c r="L579" s="828">
        <v>5</v>
      </c>
      <c r="N579" s="222" t="s">
        <v>1065</v>
      </c>
      <c r="O579" s="222" t="s">
        <v>2199</v>
      </c>
      <c r="P579" s="824">
        <v>381</v>
      </c>
      <c r="Q579" s="824">
        <v>9.1469799999999992</v>
      </c>
      <c r="R579" s="824">
        <v>37.27308</v>
      </c>
      <c r="S579" s="824">
        <v>6.1051700000000002</v>
      </c>
      <c r="T579" s="824">
        <v>24</v>
      </c>
      <c r="U579" s="824">
        <v>1</v>
      </c>
      <c r="V579" s="824">
        <v>4</v>
      </c>
      <c r="W579" s="824">
        <v>13</v>
      </c>
      <c r="X579" s="824">
        <v>8</v>
      </c>
      <c r="Y579" s="824">
        <v>5</v>
      </c>
      <c r="Z579" s="480" t="str">
        <f t="shared" si="8"/>
        <v/>
      </c>
    </row>
    <row r="580" spans="1:26">
      <c r="A580" s="825" t="s">
        <v>1066</v>
      </c>
      <c r="B580" s="826">
        <v>17</v>
      </c>
      <c r="C580" s="829"/>
      <c r="D580" s="828">
        <v>11.882350000000001</v>
      </c>
      <c r="E580" s="828">
        <v>4.53986</v>
      </c>
      <c r="F580" s="828">
        <v>20.610289999999999</v>
      </c>
      <c r="G580" s="828">
        <v>20</v>
      </c>
      <c r="H580" s="828">
        <v>4</v>
      </c>
      <c r="I580" s="828">
        <v>8</v>
      </c>
      <c r="J580" s="828">
        <v>15</v>
      </c>
      <c r="K580" s="828">
        <v>12</v>
      </c>
      <c r="L580" s="828">
        <v>11</v>
      </c>
      <c r="N580" s="222" t="s">
        <v>1066</v>
      </c>
      <c r="O580" s="222" t="s">
        <v>1067</v>
      </c>
      <c r="P580" s="824">
        <v>17</v>
      </c>
      <c r="Q580" s="824">
        <v>11.882350000000001</v>
      </c>
      <c r="R580" s="824">
        <v>20.610289999999999</v>
      </c>
      <c r="S580" s="824">
        <v>4.53986</v>
      </c>
      <c r="T580" s="824">
        <v>20</v>
      </c>
      <c r="U580" s="824">
        <v>4</v>
      </c>
      <c r="V580" s="824">
        <v>8</v>
      </c>
      <c r="W580" s="824">
        <v>15</v>
      </c>
      <c r="X580" s="824">
        <v>12</v>
      </c>
      <c r="Y580" s="824">
        <v>11</v>
      </c>
      <c r="Z580" s="480" t="str">
        <f t="shared" ref="Z580:Z630" si="9">IF(AND(A580=N580,B580=P580,D580=Q580,E580=S580,F580=R580,G580=T580,H580=U580,I580=V580,J580=W580,K580,X580,L580=Y580),"","x")</f>
        <v/>
      </c>
    </row>
    <row r="581" spans="1:26">
      <c r="A581" s="825" t="s">
        <v>1068</v>
      </c>
      <c r="B581" s="826">
        <v>11698</v>
      </c>
      <c r="C581" s="827"/>
      <c r="D581" s="828">
        <v>10.80031</v>
      </c>
      <c r="E581" s="828">
        <v>8.8888700000000007</v>
      </c>
      <c r="F581" s="828">
        <v>79.012010000000004</v>
      </c>
      <c r="G581" s="828">
        <v>56</v>
      </c>
      <c r="H581" s="828">
        <v>1</v>
      </c>
      <c r="I581" s="828">
        <v>4</v>
      </c>
      <c r="J581" s="828">
        <v>15</v>
      </c>
      <c r="K581" s="828">
        <v>8</v>
      </c>
      <c r="L581" s="828">
        <v>2</v>
      </c>
      <c r="N581" s="222" t="s">
        <v>1068</v>
      </c>
      <c r="O581" s="222" t="s">
        <v>2200</v>
      </c>
      <c r="P581" s="824">
        <v>11698</v>
      </c>
      <c r="Q581" s="824">
        <v>10.80031</v>
      </c>
      <c r="R581" s="824">
        <v>79.012010000000004</v>
      </c>
      <c r="S581" s="824">
        <v>8.8888700000000007</v>
      </c>
      <c r="T581" s="824">
        <v>56</v>
      </c>
      <c r="U581" s="824">
        <v>1</v>
      </c>
      <c r="V581" s="824">
        <v>4</v>
      </c>
      <c r="W581" s="824">
        <v>15</v>
      </c>
      <c r="X581" s="824">
        <v>8</v>
      </c>
      <c r="Y581" s="824">
        <v>2</v>
      </c>
      <c r="Z581" s="480" t="str">
        <f t="shared" si="9"/>
        <v/>
      </c>
    </row>
    <row r="582" spans="1:26">
      <c r="A582" s="825" t="s">
        <v>1069</v>
      </c>
      <c r="B582" s="826">
        <v>31278</v>
      </c>
      <c r="C582" s="827"/>
      <c r="D582" s="828">
        <v>9.5251599999999996</v>
      </c>
      <c r="E582" s="828">
        <v>5.97865</v>
      </c>
      <c r="F582" s="828">
        <v>35.744280000000003</v>
      </c>
      <c r="G582" s="828">
        <v>23</v>
      </c>
      <c r="H582" s="828">
        <v>1</v>
      </c>
      <c r="I582" s="828">
        <v>5</v>
      </c>
      <c r="J582" s="828">
        <v>14</v>
      </c>
      <c r="K582" s="828">
        <v>8</v>
      </c>
      <c r="L582" s="828">
        <v>5</v>
      </c>
      <c r="N582" s="222" t="s">
        <v>1069</v>
      </c>
      <c r="O582" s="222" t="s">
        <v>2201</v>
      </c>
      <c r="P582" s="824">
        <v>31278</v>
      </c>
      <c r="Q582" s="824">
        <v>9.5251599999999996</v>
      </c>
      <c r="R582" s="824">
        <v>35.744280000000003</v>
      </c>
      <c r="S582" s="824">
        <v>5.97865</v>
      </c>
      <c r="T582" s="824">
        <v>23</v>
      </c>
      <c r="U582" s="824">
        <v>1</v>
      </c>
      <c r="V582" s="824">
        <v>5</v>
      </c>
      <c r="W582" s="824">
        <v>14</v>
      </c>
      <c r="X582" s="824">
        <v>8</v>
      </c>
      <c r="Y582" s="824">
        <v>5</v>
      </c>
      <c r="Z582" s="480" t="str">
        <f t="shared" si="9"/>
        <v/>
      </c>
    </row>
    <row r="583" spans="1:26">
      <c r="A583" s="825" t="s">
        <v>1070</v>
      </c>
      <c r="B583" s="826">
        <v>14633</v>
      </c>
      <c r="C583" s="827"/>
      <c r="D583" s="828">
        <v>8.6695100000000007</v>
      </c>
      <c r="E583" s="828">
        <v>5.1328399999999998</v>
      </c>
      <c r="F583" s="828">
        <v>26.346080000000001</v>
      </c>
      <c r="G583" s="828">
        <v>20</v>
      </c>
      <c r="H583" s="828">
        <v>1</v>
      </c>
      <c r="I583" s="828">
        <v>4</v>
      </c>
      <c r="J583" s="828">
        <v>12</v>
      </c>
      <c r="K583" s="828">
        <v>8</v>
      </c>
      <c r="L583" s="828">
        <v>4</v>
      </c>
      <c r="N583" s="222" t="s">
        <v>1070</v>
      </c>
      <c r="O583" s="222" t="s">
        <v>1071</v>
      </c>
      <c r="P583" s="824">
        <v>14633</v>
      </c>
      <c r="Q583" s="824">
        <v>8.6695100000000007</v>
      </c>
      <c r="R583" s="824">
        <v>26.346080000000001</v>
      </c>
      <c r="S583" s="824">
        <v>5.1328399999999998</v>
      </c>
      <c r="T583" s="824">
        <v>20</v>
      </c>
      <c r="U583" s="824">
        <v>1</v>
      </c>
      <c r="V583" s="824">
        <v>4</v>
      </c>
      <c r="W583" s="824">
        <v>12</v>
      </c>
      <c r="X583" s="824">
        <v>8</v>
      </c>
      <c r="Y583" s="824">
        <v>4</v>
      </c>
      <c r="Z583" s="480" t="str">
        <f t="shared" si="9"/>
        <v/>
      </c>
    </row>
    <row r="584" spans="1:26">
      <c r="A584" s="825" t="s">
        <v>1072</v>
      </c>
      <c r="B584" s="826">
        <v>40221</v>
      </c>
      <c r="C584" s="827"/>
      <c r="D584" s="828">
        <v>9.2785600000000006</v>
      </c>
      <c r="E584" s="828">
        <v>6.0004499999999998</v>
      </c>
      <c r="F584" s="828">
        <v>36.00535</v>
      </c>
      <c r="G584" s="828">
        <v>23</v>
      </c>
      <c r="H584" s="828">
        <v>1</v>
      </c>
      <c r="I584" s="828">
        <v>4</v>
      </c>
      <c r="J584" s="828">
        <v>14</v>
      </c>
      <c r="K584" s="828">
        <v>8</v>
      </c>
      <c r="L584" s="828">
        <v>3</v>
      </c>
      <c r="N584" s="222" t="s">
        <v>1072</v>
      </c>
      <c r="O584" s="222" t="s">
        <v>2202</v>
      </c>
      <c r="P584" s="824">
        <v>40221</v>
      </c>
      <c r="Q584" s="824">
        <v>9.2785600000000006</v>
      </c>
      <c r="R584" s="824">
        <v>36.00535</v>
      </c>
      <c r="S584" s="824">
        <v>6.0004499999999998</v>
      </c>
      <c r="T584" s="824">
        <v>23</v>
      </c>
      <c r="U584" s="824">
        <v>1</v>
      </c>
      <c r="V584" s="824">
        <v>4</v>
      </c>
      <c r="W584" s="824">
        <v>14</v>
      </c>
      <c r="X584" s="824">
        <v>8</v>
      </c>
      <c r="Y584" s="824">
        <v>3</v>
      </c>
      <c r="Z584" s="480" t="str">
        <f t="shared" si="9"/>
        <v/>
      </c>
    </row>
    <row r="585" spans="1:26">
      <c r="A585" s="825" t="s">
        <v>1073</v>
      </c>
      <c r="B585" s="826">
        <v>26908</v>
      </c>
      <c r="C585" s="827"/>
      <c r="D585" s="828">
        <v>9.5757399999999997</v>
      </c>
      <c r="E585" s="828">
        <v>8.3199000000000005</v>
      </c>
      <c r="F585" s="828">
        <v>69.220749999999995</v>
      </c>
      <c r="G585" s="828">
        <v>55</v>
      </c>
      <c r="H585" s="828">
        <v>1</v>
      </c>
      <c r="I585" s="828">
        <v>4</v>
      </c>
      <c r="J585" s="828">
        <v>13</v>
      </c>
      <c r="K585" s="828">
        <v>7</v>
      </c>
      <c r="L585" s="828">
        <v>2</v>
      </c>
      <c r="N585" s="222" t="s">
        <v>1073</v>
      </c>
      <c r="O585" s="222" t="s">
        <v>2203</v>
      </c>
      <c r="P585" s="824">
        <v>26908</v>
      </c>
      <c r="Q585" s="824">
        <v>9.5757399999999997</v>
      </c>
      <c r="R585" s="824">
        <v>69.220749999999995</v>
      </c>
      <c r="S585" s="824">
        <v>8.3199000000000005</v>
      </c>
      <c r="T585" s="824">
        <v>55</v>
      </c>
      <c r="U585" s="824">
        <v>1</v>
      </c>
      <c r="V585" s="824">
        <v>4</v>
      </c>
      <c r="W585" s="824">
        <v>13</v>
      </c>
      <c r="X585" s="824">
        <v>7</v>
      </c>
      <c r="Y585" s="824">
        <v>2</v>
      </c>
      <c r="Z585" s="480" t="str">
        <f t="shared" si="9"/>
        <v/>
      </c>
    </row>
    <row r="586" spans="1:26">
      <c r="A586" s="825" t="s">
        <v>1074</v>
      </c>
      <c r="B586" s="826">
        <v>92862</v>
      </c>
      <c r="C586" s="827"/>
      <c r="D586" s="828">
        <v>9.0161700000000007</v>
      </c>
      <c r="E586" s="828">
        <v>5.8057400000000001</v>
      </c>
      <c r="F586" s="828">
        <v>33.706569999999999</v>
      </c>
      <c r="G586" s="828">
        <v>22</v>
      </c>
      <c r="H586" s="828">
        <v>1</v>
      </c>
      <c r="I586" s="828">
        <v>4</v>
      </c>
      <c r="J586" s="828">
        <v>13</v>
      </c>
      <c r="K586" s="828">
        <v>8</v>
      </c>
      <c r="L586" s="828">
        <v>3</v>
      </c>
      <c r="N586" s="222" t="s">
        <v>1074</v>
      </c>
      <c r="O586" s="222" t="s">
        <v>2204</v>
      </c>
      <c r="P586" s="824">
        <v>92862</v>
      </c>
      <c r="Q586" s="824">
        <v>9.0161700000000007</v>
      </c>
      <c r="R586" s="824">
        <v>33.706569999999999</v>
      </c>
      <c r="S586" s="824">
        <v>5.8057400000000001</v>
      </c>
      <c r="T586" s="824">
        <v>22</v>
      </c>
      <c r="U586" s="824">
        <v>1</v>
      </c>
      <c r="V586" s="824">
        <v>4</v>
      </c>
      <c r="W586" s="824">
        <v>13</v>
      </c>
      <c r="X586" s="824">
        <v>8</v>
      </c>
      <c r="Y586" s="824">
        <v>3</v>
      </c>
      <c r="Z586" s="480" t="str">
        <f t="shared" si="9"/>
        <v/>
      </c>
    </row>
    <row r="587" spans="1:26">
      <c r="A587" s="825" t="s">
        <v>1075</v>
      </c>
      <c r="B587" s="826">
        <v>121943</v>
      </c>
      <c r="C587" s="827"/>
      <c r="D587" s="828">
        <v>9.9908199999999994</v>
      </c>
      <c r="E587" s="828">
        <v>8.4758499999999994</v>
      </c>
      <c r="F587" s="828">
        <v>71.840069999999997</v>
      </c>
      <c r="G587" s="828">
        <v>83</v>
      </c>
      <c r="H587" s="828">
        <v>1</v>
      </c>
      <c r="I587" s="828">
        <v>4</v>
      </c>
      <c r="J587" s="828">
        <v>14</v>
      </c>
      <c r="K587" s="828">
        <v>7</v>
      </c>
      <c r="L587" s="828">
        <v>2</v>
      </c>
      <c r="N587" s="222" t="s">
        <v>1075</v>
      </c>
      <c r="O587" s="222" t="s">
        <v>1076</v>
      </c>
      <c r="P587" s="824">
        <v>121943</v>
      </c>
      <c r="Q587" s="824">
        <v>9.9908199999999994</v>
      </c>
      <c r="R587" s="824">
        <v>71.840069999999997</v>
      </c>
      <c r="S587" s="824">
        <v>8.4758499999999994</v>
      </c>
      <c r="T587" s="824">
        <v>83</v>
      </c>
      <c r="U587" s="824">
        <v>1</v>
      </c>
      <c r="V587" s="824">
        <v>4</v>
      </c>
      <c r="W587" s="824">
        <v>14</v>
      </c>
      <c r="X587" s="824">
        <v>7</v>
      </c>
      <c r="Y587" s="824">
        <v>2</v>
      </c>
      <c r="Z587" s="480" t="str">
        <f t="shared" si="9"/>
        <v/>
      </c>
    </row>
    <row r="588" spans="1:26">
      <c r="A588" s="825" t="s">
        <v>1077</v>
      </c>
      <c r="B588" s="826">
        <v>4166</v>
      </c>
      <c r="C588" s="829"/>
      <c r="D588" s="828">
        <v>8.7661999999999995</v>
      </c>
      <c r="E588" s="828">
        <v>5.2202900000000003</v>
      </c>
      <c r="F588" s="828">
        <v>27.251449999999998</v>
      </c>
      <c r="G588" s="828">
        <v>20</v>
      </c>
      <c r="H588" s="828">
        <v>1</v>
      </c>
      <c r="I588" s="828">
        <v>4</v>
      </c>
      <c r="J588" s="828">
        <v>13</v>
      </c>
      <c r="K588" s="828">
        <v>8</v>
      </c>
      <c r="L588" s="828">
        <v>2</v>
      </c>
      <c r="N588" s="222" t="s">
        <v>1077</v>
      </c>
      <c r="O588" s="222" t="s">
        <v>2205</v>
      </c>
      <c r="P588" s="824">
        <v>4166</v>
      </c>
      <c r="Q588" s="824">
        <v>8.7661999999999995</v>
      </c>
      <c r="R588" s="824">
        <v>27.251449999999998</v>
      </c>
      <c r="S588" s="824">
        <v>5.2202900000000003</v>
      </c>
      <c r="T588" s="824">
        <v>20</v>
      </c>
      <c r="U588" s="824">
        <v>1</v>
      </c>
      <c r="V588" s="824">
        <v>4</v>
      </c>
      <c r="W588" s="824">
        <v>13</v>
      </c>
      <c r="X588" s="824">
        <v>8</v>
      </c>
      <c r="Y588" s="824">
        <v>2</v>
      </c>
      <c r="Z588" s="480" t="str">
        <f t="shared" si="9"/>
        <v/>
      </c>
    </row>
    <row r="589" spans="1:26">
      <c r="A589" s="825" t="s">
        <v>1078</v>
      </c>
      <c r="B589" s="826">
        <v>780828</v>
      </c>
      <c r="C589" s="829"/>
      <c r="D589" s="828">
        <v>7.74918</v>
      </c>
      <c r="E589" s="828">
        <v>6.62561</v>
      </c>
      <c r="F589" s="828">
        <v>43.898690000000002</v>
      </c>
      <c r="G589" s="828">
        <v>56</v>
      </c>
      <c r="H589" s="828">
        <v>1</v>
      </c>
      <c r="I589" s="828">
        <v>3</v>
      </c>
      <c r="J589" s="828">
        <v>10</v>
      </c>
      <c r="K589" s="828">
        <v>6</v>
      </c>
      <c r="L589" s="828">
        <v>2</v>
      </c>
      <c r="N589" s="222" t="s">
        <v>1078</v>
      </c>
      <c r="O589" s="222" t="s">
        <v>2206</v>
      </c>
      <c r="P589" s="824">
        <v>780828</v>
      </c>
      <c r="Q589" s="824">
        <v>7.74918</v>
      </c>
      <c r="R589" s="824">
        <v>43.898690000000002</v>
      </c>
      <c r="S589" s="824">
        <v>6.62561</v>
      </c>
      <c r="T589" s="824">
        <v>56</v>
      </c>
      <c r="U589" s="824">
        <v>1</v>
      </c>
      <c r="V589" s="824">
        <v>3</v>
      </c>
      <c r="W589" s="824">
        <v>10</v>
      </c>
      <c r="X589" s="824">
        <v>6</v>
      </c>
      <c r="Y589" s="824">
        <v>2</v>
      </c>
      <c r="Z589" s="480" t="str">
        <f t="shared" si="9"/>
        <v/>
      </c>
    </row>
    <row r="590" spans="1:26">
      <c r="A590" s="825" t="s">
        <v>1079</v>
      </c>
      <c r="B590" s="826">
        <v>48053</v>
      </c>
      <c r="C590" s="829"/>
      <c r="D590" s="828">
        <v>8.3312200000000001</v>
      </c>
      <c r="E590" s="828">
        <v>5.0964799999999997</v>
      </c>
      <c r="F590" s="828">
        <v>25.974080000000001</v>
      </c>
      <c r="G590" s="828">
        <v>20</v>
      </c>
      <c r="H590" s="828">
        <v>1</v>
      </c>
      <c r="I590" s="828">
        <v>4</v>
      </c>
      <c r="J590" s="828">
        <v>12</v>
      </c>
      <c r="K590" s="828">
        <v>8</v>
      </c>
      <c r="L590" s="828">
        <v>2</v>
      </c>
      <c r="N590" s="222" t="s">
        <v>1079</v>
      </c>
      <c r="O590" s="222" t="s">
        <v>2207</v>
      </c>
      <c r="P590" s="824">
        <v>48053</v>
      </c>
      <c r="Q590" s="824">
        <v>8.3312200000000001</v>
      </c>
      <c r="R590" s="824">
        <v>25.974080000000001</v>
      </c>
      <c r="S590" s="824">
        <v>5.0964799999999997</v>
      </c>
      <c r="T590" s="824">
        <v>20</v>
      </c>
      <c r="U590" s="824">
        <v>1</v>
      </c>
      <c r="V590" s="824">
        <v>4</v>
      </c>
      <c r="W590" s="824">
        <v>12</v>
      </c>
      <c r="X590" s="824">
        <v>8</v>
      </c>
      <c r="Y590" s="824">
        <v>2</v>
      </c>
      <c r="Z590" s="480" t="str">
        <f t="shared" si="9"/>
        <v/>
      </c>
    </row>
    <row r="591" spans="1:26">
      <c r="A591" s="825" t="s">
        <v>1080</v>
      </c>
      <c r="B591" s="826">
        <v>25937</v>
      </c>
      <c r="C591" s="829"/>
      <c r="D591" s="828">
        <v>7.9965700000000002</v>
      </c>
      <c r="E591" s="828">
        <v>5.2562699999999998</v>
      </c>
      <c r="F591" s="828">
        <v>27.628419999999998</v>
      </c>
      <c r="G591" s="828">
        <v>20</v>
      </c>
      <c r="H591" s="828">
        <v>1</v>
      </c>
      <c r="I591" s="828">
        <v>4</v>
      </c>
      <c r="J591" s="828">
        <v>12</v>
      </c>
      <c r="K591" s="828">
        <v>7</v>
      </c>
      <c r="L591" s="828">
        <v>2</v>
      </c>
      <c r="N591" s="222" t="s">
        <v>1080</v>
      </c>
      <c r="O591" s="222" t="s">
        <v>1081</v>
      </c>
      <c r="P591" s="824">
        <v>25937</v>
      </c>
      <c r="Q591" s="824">
        <v>7.9965700000000002</v>
      </c>
      <c r="R591" s="824">
        <v>27.628419999999998</v>
      </c>
      <c r="S591" s="824">
        <v>5.2562699999999998</v>
      </c>
      <c r="T591" s="824">
        <v>20</v>
      </c>
      <c r="U591" s="824">
        <v>1</v>
      </c>
      <c r="V591" s="824">
        <v>4</v>
      </c>
      <c r="W591" s="824">
        <v>12</v>
      </c>
      <c r="X591" s="824">
        <v>7</v>
      </c>
      <c r="Y591" s="824">
        <v>2</v>
      </c>
      <c r="Z591" s="480" t="str">
        <f t="shared" si="9"/>
        <v/>
      </c>
    </row>
    <row r="592" spans="1:26">
      <c r="A592" s="825" t="s">
        <v>1082</v>
      </c>
      <c r="B592" s="826">
        <v>121442</v>
      </c>
      <c r="C592" s="829"/>
      <c r="D592" s="828">
        <v>9.3440799999999999</v>
      </c>
      <c r="E592" s="828">
        <v>9.3359400000000008</v>
      </c>
      <c r="F592" s="828">
        <v>87.159819999999996</v>
      </c>
      <c r="G592" s="828">
        <v>86</v>
      </c>
      <c r="H592" s="828">
        <v>1</v>
      </c>
      <c r="I592" s="828">
        <v>3</v>
      </c>
      <c r="J592" s="828">
        <v>13</v>
      </c>
      <c r="K592" s="828">
        <v>6</v>
      </c>
      <c r="L592" s="828">
        <v>3</v>
      </c>
      <c r="N592" s="222" t="s">
        <v>1082</v>
      </c>
      <c r="O592" s="222" t="s">
        <v>2208</v>
      </c>
      <c r="P592" s="824">
        <v>121442</v>
      </c>
      <c r="Q592" s="824">
        <v>9.3440799999999999</v>
      </c>
      <c r="R592" s="824">
        <v>87.159819999999996</v>
      </c>
      <c r="S592" s="824">
        <v>9.3359400000000008</v>
      </c>
      <c r="T592" s="824">
        <v>86</v>
      </c>
      <c r="U592" s="824">
        <v>1</v>
      </c>
      <c r="V592" s="824">
        <v>3</v>
      </c>
      <c r="W592" s="824">
        <v>13</v>
      </c>
      <c r="X592" s="824">
        <v>6</v>
      </c>
      <c r="Y592" s="824">
        <v>3</v>
      </c>
      <c r="Z592" s="480" t="str">
        <f t="shared" si="9"/>
        <v/>
      </c>
    </row>
    <row r="593" spans="1:26">
      <c r="A593" s="825" t="s">
        <v>1083</v>
      </c>
      <c r="B593" s="826">
        <v>255056</v>
      </c>
      <c r="C593" s="827"/>
      <c r="D593" s="828">
        <v>7.3999600000000001</v>
      </c>
      <c r="E593" s="828">
        <v>5.2090399999999999</v>
      </c>
      <c r="F593" s="828">
        <v>27.1341</v>
      </c>
      <c r="G593" s="828">
        <v>20</v>
      </c>
      <c r="H593" s="828">
        <v>1</v>
      </c>
      <c r="I593" s="828">
        <v>3</v>
      </c>
      <c r="J593" s="828">
        <v>11</v>
      </c>
      <c r="K593" s="828">
        <v>6</v>
      </c>
      <c r="L593" s="828">
        <v>2</v>
      </c>
      <c r="N593" s="222" t="s">
        <v>1083</v>
      </c>
      <c r="O593" s="222" t="s">
        <v>1084</v>
      </c>
      <c r="P593" s="824">
        <v>255056</v>
      </c>
      <c r="Q593" s="824">
        <v>7.3999600000000001</v>
      </c>
      <c r="R593" s="824">
        <v>27.1341</v>
      </c>
      <c r="S593" s="824">
        <v>5.2090399999999999</v>
      </c>
      <c r="T593" s="824">
        <v>20</v>
      </c>
      <c r="U593" s="824">
        <v>1</v>
      </c>
      <c r="V593" s="824">
        <v>3</v>
      </c>
      <c r="W593" s="824">
        <v>11</v>
      </c>
      <c r="X593" s="824">
        <v>6</v>
      </c>
      <c r="Y593" s="824">
        <v>2</v>
      </c>
      <c r="Z593" s="480" t="str">
        <f t="shared" si="9"/>
        <v/>
      </c>
    </row>
    <row r="594" spans="1:26">
      <c r="A594" s="825" t="s">
        <v>1085</v>
      </c>
      <c r="B594" s="826">
        <v>60632</v>
      </c>
      <c r="C594" s="827"/>
      <c r="D594" s="828">
        <v>8.5033600000000007</v>
      </c>
      <c r="E594" s="828">
        <v>6.9666399999999999</v>
      </c>
      <c r="F594" s="828">
        <v>48.534140000000001</v>
      </c>
      <c r="G594" s="828">
        <v>56</v>
      </c>
      <c r="H594" s="828">
        <v>1</v>
      </c>
      <c r="I594" s="828">
        <v>3</v>
      </c>
      <c r="J594" s="828">
        <v>12</v>
      </c>
      <c r="K594" s="828">
        <v>6</v>
      </c>
      <c r="L594" s="828">
        <v>2</v>
      </c>
      <c r="N594" s="222" t="s">
        <v>1085</v>
      </c>
      <c r="O594" s="222" t="s">
        <v>1086</v>
      </c>
      <c r="P594" s="824">
        <v>60632</v>
      </c>
      <c r="Q594" s="824">
        <v>8.5033600000000007</v>
      </c>
      <c r="R594" s="824">
        <v>48.534140000000001</v>
      </c>
      <c r="S594" s="824">
        <v>6.9666399999999999</v>
      </c>
      <c r="T594" s="824">
        <v>56</v>
      </c>
      <c r="U594" s="824">
        <v>1</v>
      </c>
      <c r="V594" s="824">
        <v>3</v>
      </c>
      <c r="W594" s="824">
        <v>12</v>
      </c>
      <c r="X594" s="824">
        <v>6</v>
      </c>
      <c r="Y594" s="824">
        <v>2</v>
      </c>
      <c r="Z594" s="480" t="str">
        <f t="shared" si="9"/>
        <v/>
      </c>
    </row>
    <row r="595" spans="1:26">
      <c r="A595" s="825" t="s">
        <v>1087</v>
      </c>
      <c r="B595" s="826">
        <v>5999</v>
      </c>
      <c r="C595" s="827"/>
      <c r="D595" s="828">
        <v>8.7562899999999999</v>
      </c>
      <c r="E595" s="828">
        <v>5.5162899999999997</v>
      </c>
      <c r="F595" s="828">
        <v>30.42943</v>
      </c>
      <c r="G595" s="828">
        <v>21</v>
      </c>
      <c r="H595" s="828">
        <v>1</v>
      </c>
      <c r="I595" s="828">
        <v>4</v>
      </c>
      <c r="J595" s="828">
        <v>13</v>
      </c>
      <c r="K595" s="828">
        <v>8</v>
      </c>
      <c r="L595" s="828">
        <v>2</v>
      </c>
      <c r="N595" s="222" t="s">
        <v>1087</v>
      </c>
      <c r="O595" s="222" t="s">
        <v>2209</v>
      </c>
      <c r="P595" s="824">
        <v>5999</v>
      </c>
      <c r="Q595" s="824">
        <v>8.7562899999999999</v>
      </c>
      <c r="R595" s="824">
        <v>30.42943</v>
      </c>
      <c r="S595" s="824">
        <v>5.5162899999999997</v>
      </c>
      <c r="T595" s="824">
        <v>21</v>
      </c>
      <c r="U595" s="824">
        <v>1</v>
      </c>
      <c r="V595" s="824">
        <v>4</v>
      </c>
      <c r="W595" s="824">
        <v>13</v>
      </c>
      <c r="X595" s="824">
        <v>8</v>
      </c>
      <c r="Y595" s="824">
        <v>2</v>
      </c>
      <c r="Z595" s="480" t="str">
        <f t="shared" si="9"/>
        <v/>
      </c>
    </row>
    <row r="596" spans="1:26">
      <c r="A596" s="825" t="s">
        <v>1088</v>
      </c>
      <c r="B596" s="826">
        <v>12098</v>
      </c>
      <c r="C596" s="827"/>
      <c r="D596" s="828">
        <v>9.1582100000000004</v>
      </c>
      <c r="E596" s="828">
        <v>6.0596300000000003</v>
      </c>
      <c r="F596" s="828">
        <v>36.719119999999997</v>
      </c>
      <c r="G596" s="828">
        <v>23</v>
      </c>
      <c r="H596" s="828">
        <v>1</v>
      </c>
      <c r="I596" s="828">
        <v>4</v>
      </c>
      <c r="J596" s="828">
        <v>14</v>
      </c>
      <c r="K596" s="828">
        <v>8</v>
      </c>
      <c r="L596" s="828">
        <v>2</v>
      </c>
      <c r="N596" s="222" t="s">
        <v>1088</v>
      </c>
      <c r="O596" s="222" t="s">
        <v>1089</v>
      </c>
      <c r="P596" s="824">
        <v>12098</v>
      </c>
      <c r="Q596" s="824">
        <v>9.1582100000000004</v>
      </c>
      <c r="R596" s="824">
        <v>36.719119999999997</v>
      </c>
      <c r="S596" s="824">
        <v>6.0596300000000003</v>
      </c>
      <c r="T596" s="824">
        <v>23</v>
      </c>
      <c r="U596" s="824">
        <v>1</v>
      </c>
      <c r="V596" s="824">
        <v>4</v>
      </c>
      <c r="W596" s="824">
        <v>14</v>
      </c>
      <c r="X596" s="824">
        <v>8</v>
      </c>
      <c r="Y596" s="824">
        <v>2</v>
      </c>
      <c r="Z596" s="480" t="str">
        <f t="shared" si="9"/>
        <v/>
      </c>
    </row>
    <row r="597" spans="1:26">
      <c r="A597" s="825" t="s">
        <v>1090</v>
      </c>
      <c r="B597" s="826">
        <v>29849</v>
      </c>
      <c r="C597" s="827"/>
      <c r="D597" s="828">
        <v>9.5777099999999997</v>
      </c>
      <c r="E597" s="828">
        <v>6.3434200000000001</v>
      </c>
      <c r="F597" s="828">
        <v>40.238939999999999</v>
      </c>
      <c r="G597" s="828">
        <v>24</v>
      </c>
      <c r="H597" s="828">
        <v>1</v>
      </c>
      <c r="I597" s="828">
        <v>4</v>
      </c>
      <c r="J597" s="828">
        <v>14</v>
      </c>
      <c r="K597" s="828">
        <v>8</v>
      </c>
      <c r="L597" s="828">
        <v>2</v>
      </c>
      <c r="N597" s="222" t="s">
        <v>1090</v>
      </c>
      <c r="O597" s="222" t="s">
        <v>1091</v>
      </c>
      <c r="P597" s="824">
        <v>29849</v>
      </c>
      <c r="Q597" s="824">
        <v>9.5777099999999997</v>
      </c>
      <c r="R597" s="824">
        <v>40.238939999999999</v>
      </c>
      <c r="S597" s="824">
        <v>6.3434200000000001</v>
      </c>
      <c r="T597" s="824">
        <v>24</v>
      </c>
      <c r="U597" s="824">
        <v>1</v>
      </c>
      <c r="V597" s="824">
        <v>4</v>
      </c>
      <c r="W597" s="824">
        <v>14</v>
      </c>
      <c r="X597" s="824">
        <v>8</v>
      </c>
      <c r="Y597" s="824">
        <v>2</v>
      </c>
      <c r="Z597" s="480" t="str">
        <f t="shared" si="9"/>
        <v/>
      </c>
    </row>
    <row r="598" spans="1:26">
      <c r="A598" s="825" t="s">
        <v>1092</v>
      </c>
      <c r="B598" s="826">
        <v>39846</v>
      </c>
      <c r="C598" s="829"/>
      <c r="D598" s="828">
        <v>10.90549</v>
      </c>
      <c r="E598" s="828">
        <v>8.8518799999999995</v>
      </c>
      <c r="F598" s="828">
        <v>78.355779999999996</v>
      </c>
      <c r="G598" s="828">
        <v>56</v>
      </c>
      <c r="H598" s="828">
        <v>1</v>
      </c>
      <c r="I598" s="828">
        <v>4</v>
      </c>
      <c r="J598" s="828">
        <v>15</v>
      </c>
      <c r="K598" s="828">
        <v>8</v>
      </c>
      <c r="L598" s="828">
        <v>3</v>
      </c>
      <c r="N598" s="222" t="s">
        <v>1092</v>
      </c>
      <c r="O598" s="222" t="s">
        <v>1093</v>
      </c>
      <c r="P598" s="824">
        <v>39846</v>
      </c>
      <c r="Q598" s="824">
        <v>10.90549</v>
      </c>
      <c r="R598" s="824">
        <v>78.355779999999996</v>
      </c>
      <c r="S598" s="824">
        <v>8.8518799999999995</v>
      </c>
      <c r="T598" s="824">
        <v>56</v>
      </c>
      <c r="U598" s="824">
        <v>1</v>
      </c>
      <c r="V598" s="824">
        <v>4</v>
      </c>
      <c r="W598" s="824">
        <v>15</v>
      </c>
      <c r="X598" s="824">
        <v>8</v>
      </c>
      <c r="Y598" s="824">
        <v>3</v>
      </c>
      <c r="Z598" s="480" t="str">
        <f t="shared" si="9"/>
        <v/>
      </c>
    </row>
    <row r="599" spans="1:26">
      <c r="A599" s="825" t="s">
        <v>1094</v>
      </c>
      <c r="B599" s="826">
        <v>79066</v>
      </c>
      <c r="C599" s="827"/>
      <c r="D599" s="828">
        <v>9.2520699999999998</v>
      </c>
      <c r="E599" s="828">
        <v>7.2011599999999998</v>
      </c>
      <c r="F599" s="828">
        <v>51.856699999999996</v>
      </c>
      <c r="G599" s="828">
        <v>62</v>
      </c>
      <c r="H599" s="828">
        <v>1</v>
      </c>
      <c r="I599" s="828">
        <v>4</v>
      </c>
      <c r="J599" s="828">
        <v>12</v>
      </c>
      <c r="K599" s="828">
        <v>7</v>
      </c>
      <c r="L599" s="828">
        <v>4</v>
      </c>
      <c r="N599" s="222" t="s">
        <v>1094</v>
      </c>
      <c r="O599" s="222" t="s">
        <v>2210</v>
      </c>
      <c r="P599" s="824">
        <v>79066</v>
      </c>
      <c r="Q599" s="824">
        <v>9.2520699999999998</v>
      </c>
      <c r="R599" s="824">
        <v>51.856699999999996</v>
      </c>
      <c r="S599" s="824">
        <v>7.2011599999999998</v>
      </c>
      <c r="T599" s="824">
        <v>62</v>
      </c>
      <c r="U599" s="824">
        <v>1</v>
      </c>
      <c r="V599" s="824">
        <v>4</v>
      </c>
      <c r="W599" s="824">
        <v>12</v>
      </c>
      <c r="X599" s="824">
        <v>7</v>
      </c>
      <c r="Y599" s="824">
        <v>4</v>
      </c>
      <c r="Z599" s="480" t="str">
        <f t="shared" si="9"/>
        <v/>
      </c>
    </row>
    <row r="600" spans="1:26">
      <c r="A600" s="825" t="s">
        <v>1095</v>
      </c>
      <c r="B600" s="826">
        <v>82144</v>
      </c>
      <c r="C600" s="827"/>
      <c r="D600" s="828">
        <v>9.4416499999999992</v>
      </c>
      <c r="E600" s="828">
        <v>5.9788600000000001</v>
      </c>
      <c r="F600" s="828">
        <v>35.74671</v>
      </c>
      <c r="G600" s="828">
        <v>23</v>
      </c>
      <c r="H600" s="828">
        <v>1</v>
      </c>
      <c r="I600" s="828">
        <v>4</v>
      </c>
      <c r="J600" s="828">
        <v>14</v>
      </c>
      <c r="K600" s="828">
        <v>8</v>
      </c>
      <c r="L600" s="828">
        <v>4</v>
      </c>
      <c r="N600" s="222" t="s">
        <v>1095</v>
      </c>
      <c r="O600" s="222" t="s">
        <v>2211</v>
      </c>
      <c r="P600" s="824">
        <v>82144</v>
      </c>
      <c r="Q600" s="824">
        <v>9.4416499999999992</v>
      </c>
      <c r="R600" s="824">
        <v>35.74671</v>
      </c>
      <c r="S600" s="824">
        <v>5.9788600000000001</v>
      </c>
      <c r="T600" s="824">
        <v>23</v>
      </c>
      <c r="U600" s="824">
        <v>1</v>
      </c>
      <c r="V600" s="824">
        <v>4</v>
      </c>
      <c r="W600" s="824">
        <v>14</v>
      </c>
      <c r="X600" s="824">
        <v>8</v>
      </c>
      <c r="Y600" s="824">
        <v>4</v>
      </c>
      <c r="Z600" s="480" t="str">
        <f t="shared" si="9"/>
        <v/>
      </c>
    </row>
    <row r="601" spans="1:26">
      <c r="A601" s="825" t="s">
        <v>1096</v>
      </c>
      <c r="B601" s="826">
        <v>58234</v>
      </c>
      <c r="C601" s="827"/>
      <c r="D601" s="828">
        <v>9.0436700000000005</v>
      </c>
      <c r="E601" s="828">
        <v>7.5062899999999999</v>
      </c>
      <c r="F601" s="828">
        <v>56.344439999999999</v>
      </c>
      <c r="G601" s="828">
        <v>54</v>
      </c>
      <c r="H601" s="828">
        <v>1</v>
      </c>
      <c r="I601" s="828">
        <v>3</v>
      </c>
      <c r="J601" s="828">
        <v>13</v>
      </c>
      <c r="K601" s="828">
        <v>7</v>
      </c>
      <c r="L601" s="828">
        <v>2</v>
      </c>
      <c r="N601" s="222" t="s">
        <v>1096</v>
      </c>
      <c r="O601" s="222" t="s">
        <v>2212</v>
      </c>
      <c r="P601" s="824">
        <v>58234</v>
      </c>
      <c r="Q601" s="824">
        <v>9.0436700000000005</v>
      </c>
      <c r="R601" s="824">
        <v>56.344439999999999</v>
      </c>
      <c r="S601" s="824">
        <v>7.5062899999999999</v>
      </c>
      <c r="T601" s="824">
        <v>54</v>
      </c>
      <c r="U601" s="824">
        <v>1</v>
      </c>
      <c r="V601" s="824">
        <v>3</v>
      </c>
      <c r="W601" s="824">
        <v>13</v>
      </c>
      <c r="X601" s="824">
        <v>7</v>
      </c>
      <c r="Y601" s="824">
        <v>2</v>
      </c>
      <c r="Z601" s="480" t="str">
        <f t="shared" si="9"/>
        <v/>
      </c>
    </row>
    <row r="602" spans="1:26">
      <c r="A602" s="825" t="s">
        <v>1097</v>
      </c>
      <c r="B602" s="826">
        <v>4819</v>
      </c>
      <c r="C602" s="827"/>
      <c r="D602" s="828">
        <v>8.3770500000000006</v>
      </c>
      <c r="E602" s="828">
        <v>5.6463099999999997</v>
      </c>
      <c r="F602" s="828">
        <v>31.880839999999999</v>
      </c>
      <c r="G602" s="828">
        <v>22</v>
      </c>
      <c r="H602" s="828">
        <v>1</v>
      </c>
      <c r="I602" s="828">
        <v>4</v>
      </c>
      <c r="J602" s="828">
        <v>12</v>
      </c>
      <c r="K602" s="828">
        <v>7</v>
      </c>
      <c r="L602" s="828">
        <v>2</v>
      </c>
      <c r="N602" s="222" t="s">
        <v>1097</v>
      </c>
      <c r="O602" s="222" t="s">
        <v>1098</v>
      </c>
      <c r="P602" s="824">
        <v>4819</v>
      </c>
      <c r="Q602" s="824">
        <v>8.3770500000000006</v>
      </c>
      <c r="R602" s="824">
        <v>31.880839999999999</v>
      </c>
      <c r="S602" s="824">
        <v>5.6463099999999997</v>
      </c>
      <c r="T602" s="824">
        <v>22</v>
      </c>
      <c r="U602" s="824">
        <v>1</v>
      </c>
      <c r="V602" s="824">
        <v>4</v>
      </c>
      <c r="W602" s="824">
        <v>12</v>
      </c>
      <c r="X602" s="824">
        <v>7</v>
      </c>
      <c r="Y602" s="824">
        <v>2</v>
      </c>
      <c r="Z602" s="480" t="str">
        <f t="shared" si="9"/>
        <v/>
      </c>
    </row>
    <row r="603" spans="1:26">
      <c r="A603" s="825" t="s">
        <v>1099</v>
      </c>
      <c r="B603" s="826">
        <v>59119</v>
      </c>
      <c r="C603" s="827"/>
      <c r="D603" s="828">
        <v>10.900069999999999</v>
      </c>
      <c r="E603" s="828">
        <v>9.0370699999999999</v>
      </c>
      <c r="F603" s="828">
        <v>81.668719999999993</v>
      </c>
      <c r="G603" s="828">
        <v>98</v>
      </c>
      <c r="H603" s="828">
        <v>1</v>
      </c>
      <c r="I603" s="828">
        <v>4</v>
      </c>
      <c r="J603" s="828">
        <v>15</v>
      </c>
      <c r="K603" s="828">
        <v>8</v>
      </c>
      <c r="L603" s="828">
        <v>3</v>
      </c>
      <c r="N603" s="222" t="s">
        <v>1099</v>
      </c>
      <c r="O603" s="222" t="s">
        <v>2213</v>
      </c>
      <c r="P603" s="824">
        <v>59119</v>
      </c>
      <c r="Q603" s="824">
        <v>10.900069999999999</v>
      </c>
      <c r="R603" s="824">
        <v>81.668719999999993</v>
      </c>
      <c r="S603" s="824">
        <v>9.0370699999999999</v>
      </c>
      <c r="T603" s="824">
        <v>98</v>
      </c>
      <c r="U603" s="824">
        <v>1</v>
      </c>
      <c r="V603" s="824">
        <v>4</v>
      </c>
      <c r="W603" s="824">
        <v>15</v>
      </c>
      <c r="X603" s="824">
        <v>8</v>
      </c>
      <c r="Y603" s="824">
        <v>3</v>
      </c>
      <c r="Z603" s="480" t="str">
        <f t="shared" si="9"/>
        <v/>
      </c>
    </row>
    <row r="604" spans="1:26">
      <c r="A604" s="825" t="s">
        <v>1100</v>
      </c>
      <c r="B604" s="826">
        <v>15776</v>
      </c>
      <c r="C604" s="827"/>
      <c r="D604" s="828">
        <v>9.3076799999999995</v>
      </c>
      <c r="E604" s="828">
        <v>7.9893000000000001</v>
      </c>
      <c r="F604" s="828">
        <v>63.828879999999998</v>
      </c>
      <c r="G604" s="828">
        <v>55</v>
      </c>
      <c r="H604" s="828">
        <v>1</v>
      </c>
      <c r="I604" s="828">
        <v>4</v>
      </c>
      <c r="J604" s="828">
        <v>12</v>
      </c>
      <c r="K604" s="828">
        <v>7</v>
      </c>
      <c r="L604" s="828">
        <v>2</v>
      </c>
      <c r="N604" s="222" t="s">
        <v>1100</v>
      </c>
      <c r="O604" s="222" t="s">
        <v>2214</v>
      </c>
      <c r="P604" s="824">
        <v>15776</v>
      </c>
      <c r="Q604" s="824">
        <v>9.3076799999999995</v>
      </c>
      <c r="R604" s="824">
        <v>63.828879999999998</v>
      </c>
      <c r="S604" s="824">
        <v>7.9893000000000001</v>
      </c>
      <c r="T604" s="824">
        <v>55</v>
      </c>
      <c r="U604" s="824">
        <v>1</v>
      </c>
      <c r="V604" s="824">
        <v>4</v>
      </c>
      <c r="W604" s="824">
        <v>12</v>
      </c>
      <c r="X604" s="824">
        <v>7</v>
      </c>
      <c r="Y604" s="824">
        <v>2</v>
      </c>
      <c r="Z604" s="480" t="str">
        <f t="shared" si="9"/>
        <v/>
      </c>
    </row>
    <row r="605" spans="1:26">
      <c r="A605" s="825" t="s">
        <v>1101</v>
      </c>
      <c r="B605" s="826">
        <v>5400</v>
      </c>
      <c r="C605" s="827"/>
      <c r="D605" s="828">
        <v>9.3036999999999992</v>
      </c>
      <c r="E605" s="828">
        <v>7.5318699999999996</v>
      </c>
      <c r="F605" s="828">
        <v>56.729010000000002</v>
      </c>
      <c r="G605" s="828">
        <v>47</v>
      </c>
      <c r="H605" s="828">
        <v>1</v>
      </c>
      <c r="I605" s="828">
        <v>4</v>
      </c>
      <c r="J605" s="828">
        <v>13</v>
      </c>
      <c r="K605" s="828">
        <v>7</v>
      </c>
      <c r="L605" s="828">
        <v>3</v>
      </c>
      <c r="N605" s="222" t="s">
        <v>1101</v>
      </c>
      <c r="O605" s="222" t="s">
        <v>2215</v>
      </c>
      <c r="P605" s="824">
        <v>5400</v>
      </c>
      <c r="Q605" s="824">
        <v>9.3036999999999992</v>
      </c>
      <c r="R605" s="824">
        <v>56.729010000000002</v>
      </c>
      <c r="S605" s="824">
        <v>7.5318699999999996</v>
      </c>
      <c r="T605" s="824">
        <v>47</v>
      </c>
      <c r="U605" s="824">
        <v>1</v>
      </c>
      <c r="V605" s="824">
        <v>4</v>
      </c>
      <c r="W605" s="824">
        <v>13</v>
      </c>
      <c r="X605" s="824">
        <v>7</v>
      </c>
      <c r="Y605" s="824">
        <v>3</v>
      </c>
      <c r="Z605" s="480" t="str">
        <f t="shared" si="9"/>
        <v/>
      </c>
    </row>
    <row r="606" spans="1:26">
      <c r="A606" s="825" t="s">
        <v>1102</v>
      </c>
      <c r="B606" s="826">
        <v>18185</v>
      </c>
      <c r="C606" s="827"/>
      <c r="D606" s="828">
        <v>8.6026900000000008</v>
      </c>
      <c r="E606" s="828">
        <v>6.8624999999999998</v>
      </c>
      <c r="F606" s="828">
        <v>47.09384</v>
      </c>
      <c r="G606" s="828">
        <v>64</v>
      </c>
      <c r="H606" s="828">
        <v>1</v>
      </c>
      <c r="I606" s="828">
        <v>4</v>
      </c>
      <c r="J606" s="828">
        <v>12</v>
      </c>
      <c r="K606" s="828">
        <v>7</v>
      </c>
      <c r="L606" s="828">
        <v>3</v>
      </c>
      <c r="N606" s="222" t="s">
        <v>1102</v>
      </c>
      <c r="O606" s="222" t="s">
        <v>2216</v>
      </c>
      <c r="P606" s="824">
        <v>18185</v>
      </c>
      <c r="Q606" s="824">
        <v>8.6026900000000008</v>
      </c>
      <c r="R606" s="824">
        <v>47.09384</v>
      </c>
      <c r="S606" s="824">
        <v>6.8624999999999998</v>
      </c>
      <c r="T606" s="824">
        <v>64</v>
      </c>
      <c r="U606" s="824">
        <v>1</v>
      </c>
      <c r="V606" s="824">
        <v>4</v>
      </c>
      <c r="W606" s="824">
        <v>12</v>
      </c>
      <c r="X606" s="824">
        <v>7</v>
      </c>
      <c r="Y606" s="824">
        <v>3</v>
      </c>
      <c r="Z606" s="480" t="str">
        <f t="shared" si="9"/>
        <v/>
      </c>
    </row>
    <row r="607" spans="1:26">
      <c r="A607" s="825" t="s">
        <v>1103</v>
      </c>
      <c r="B607" s="826">
        <v>45482</v>
      </c>
      <c r="C607" s="827"/>
      <c r="D607" s="828">
        <v>8.7791399999999999</v>
      </c>
      <c r="E607" s="828">
        <v>7.8465100000000003</v>
      </c>
      <c r="F607" s="828">
        <v>61.567700000000002</v>
      </c>
      <c r="G607" s="828">
        <v>57</v>
      </c>
      <c r="H607" s="828">
        <v>1</v>
      </c>
      <c r="I607" s="828">
        <v>3</v>
      </c>
      <c r="J607" s="828">
        <v>12</v>
      </c>
      <c r="K607" s="828">
        <v>6</v>
      </c>
      <c r="L607" s="828">
        <v>2</v>
      </c>
      <c r="N607" s="222" t="s">
        <v>1103</v>
      </c>
      <c r="O607" s="222" t="s">
        <v>1104</v>
      </c>
      <c r="P607" s="824">
        <v>45482</v>
      </c>
      <c r="Q607" s="824">
        <v>8.7791399999999999</v>
      </c>
      <c r="R607" s="824">
        <v>61.567700000000002</v>
      </c>
      <c r="S607" s="824">
        <v>7.8465100000000003</v>
      </c>
      <c r="T607" s="824">
        <v>57</v>
      </c>
      <c r="U607" s="824">
        <v>1</v>
      </c>
      <c r="V607" s="824">
        <v>3</v>
      </c>
      <c r="W607" s="824">
        <v>12</v>
      </c>
      <c r="X607" s="824">
        <v>6</v>
      </c>
      <c r="Y607" s="824">
        <v>2</v>
      </c>
      <c r="Z607" s="480" t="str">
        <f t="shared" si="9"/>
        <v/>
      </c>
    </row>
    <row r="608" spans="1:26">
      <c r="A608" s="825" t="s">
        <v>1105</v>
      </c>
      <c r="B608" s="826">
        <v>18441</v>
      </c>
      <c r="C608" s="827"/>
      <c r="D608" s="828">
        <v>8.9593799999999995</v>
      </c>
      <c r="E608" s="828">
        <v>7.3692500000000001</v>
      </c>
      <c r="F608" s="828">
        <v>54.305889999999998</v>
      </c>
      <c r="G608" s="828">
        <v>52</v>
      </c>
      <c r="H608" s="828">
        <v>1</v>
      </c>
      <c r="I608" s="828">
        <v>4</v>
      </c>
      <c r="J608" s="828">
        <v>12</v>
      </c>
      <c r="K608" s="828">
        <v>7</v>
      </c>
      <c r="L608" s="828">
        <v>2</v>
      </c>
      <c r="N608" s="222" t="s">
        <v>1105</v>
      </c>
      <c r="O608" s="222" t="s">
        <v>1106</v>
      </c>
      <c r="P608" s="824">
        <v>18441</v>
      </c>
      <c r="Q608" s="824">
        <v>8.9593799999999995</v>
      </c>
      <c r="R608" s="824">
        <v>54.305889999999998</v>
      </c>
      <c r="S608" s="824">
        <v>7.3692500000000001</v>
      </c>
      <c r="T608" s="824">
        <v>52</v>
      </c>
      <c r="U608" s="824">
        <v>1</v>
      </c>
      <c r="V608" s="824">
        <v>4</v>
      </c>
      <c r="W608" s="824">
        <v>12</v>
      </c>
      <c r="X608" s="824">
        <v>7</v>
      </c>
      <c r="Y608" s="824">
        <v>2</v>
      </c>
      <c r="Z608" s="480" t="str">
        <f t="shared" si="9"/>
        <v/>
      </c>
    </row>
    <row r="609" spans="1:26">
      <c r="A609" s="825" t="s">
        <v>1107</v>
      </c>
      <c r="B609" s="826">
        <v>42495</v>
      </c>
      <c r="C609" s="827"/>
      <c r="D609" s="828">
        <v>8.6555599999999995</v>
      </c>
      <c r="E609" s="828">
        <v>7.4427599999999998</v>
      </c>
      <c r="F609" s="828">
        <v>55.39472</v>
      </c>
      <c r="G609" s="828">
        <v>55</v>
      </c>
      <c r="H609" s="828">
        <v>1</v>
      </c>
      <c r="I609" s="828">
        <v>3</v>
      </c>
      <c r="J609" s="828">
        <v>12</v>
      </c>
      <c r="K609" s="828">
        <v>6</v>
      </c>
      <c r="L609" s="828">
        <v>3</v>
      </c>
      <c r="N609" s="222" t="s">
        <v>1107</v>
      </c>
      <c r="O609" s="222" t="s">
        <v>2217</v>
      </c>
      <c r="P609" s="824">
        <v>42495</v>
      </c>
      <c r="Q609" s="824">
        <v>8.6555599999999995</v>
      </c>
      <c r="R609" s="824">
        <v>55.39472</v>
      </c>
      <c r="S609" s="824">
        <v>7.4427599999999998</v>
      </c>
      <c r="T609" s="824">
        <v>55</v>
      </c>
      <c r="U609" s="824">
        <v>1</v>
      </c>
      <c r="V609" s="824">
        <v>3</v>
      </c>
      <c r="W609" s="824">
        <v>12</v>
      </c>
      <c r="X609" s="824">
        <v>6</v>
      </c>
      <c r="Y609" s="824">
        <v>3</v>
      </c>
      <c r="Z609" s="480" t="str">
        <f t="shared" si="9"/>
        <v/>
      </c>
    </row>
    <row r="610" spans="1:26">
      <c r="A610" s="825" t="s">
        <v>1108</v>
      </c>
      <c r="B610" s="826">
        <v>7059</v>
      </c>
      <c r="C610" s="827"/>
      <c r="D610" s="828">
        <v>7.1031300000000002</v>
      </c>
      <c r="E610" s="828">
        <v>5.7987500000000001</v>
      </c>
      <c r="F610" s="828">
        <v>33.625520000000002</v>
      </c>
      <c r="G610" s="828">
        <v>44</v>
      </c>
      <c r="H610" s="828">
        <v>1</v>
      </c>
      <c r="I610" s="828">
        <v>3</v>
      </c>
      <c r="J610" s="828">
        <v>9</v>
      </c>
      <c r="K610" s="828">
        <v>5</v>
      </c>
      <c r="L610" s="828">
        <v>2</v>
      </c>
      <c r="N610" s="222" t="s">
        <v>1108</v>
      </c>
      <c r="O610" s="222" t="s">
        <v>1109</v>
      </c>
      <c r="P610" s="824">
        <v>7059</v>
      </c>
      <c r="Q610" s="824">
        <v>7.1031300000000002</v>
      </c>
      <c r="R610" s="824">
        <v>33.625520000000002</v>
      </c>
      <c r="S610" s="824">
        <v>5.7987500000000001</v>
      </c>
      <c r="T610" s="824">
        <v>44</v>
      </c>
      <c r="U610" s="824">
        <v>1</v>
      </c>
      <c r="V610" s="824">
        <v>3</v>
      </c>
      <c r="W610" s="824">
        <v>9</v>
      </c>
      <c r="X610" s="824">
        <v>5</v>
      </c>
      <c r="Y610" s="824">
        <v>2</v>
      </c>
      <c r="Z610" s="480" t="str">
        <f t="shared" si="9"/>
        <v/>
      </c>
    </row>
    <row r="611" spans="1:26">
      <c r="A611" s="825" t="s">
        <v>1110</v>
      </c>
      <c r="B611" s="826">
        <v>113986</v>
      </c>
      <c r="C611" s="827"/>
      <c r="D611" s="828">
        <v>7.9223100000000004</v>
      </c>
      <c r="E611" s="828">
        <v>6.6185900000000002</v>
      </c>
      <c r="F611" s="828">
        <v>43.805689999999998</v>
      </c>
      <c r="G611" s="828">
        <v>55</v>
      </c>
      <c r="H611" s="828">
        <v>1</v>
      </c>
      <c r="I611" s="828">
        <v>3</v>
      </c>
      <c r="J611" s="828">
        <v>11</v>
      </c>
      <c r="K611" s="828">
        <v>6</v>
      </c>
      <c r="L611" s="828">
        <v>2</v>
      </c>
      <c r="N611" s="222" t="s">
        <v>1110</v>
      </c>
      <c r="O611" s="222" t="s">
        <v>2218</v>
      </c>
      <c r="P611" s="824">
        <v>113986</v>
      </c>
      <c r="Q611" s="824">
        <v>7.9223100000000004</v>
      </c>
      <c r="R611" s="824">
        <v>43.805689999999998</v>
      </c>
      <c r="S611" s="824">
        <v>6.6185900000000002</v>
      </c>
      <c r="T611" s="824">
        <v>55</v>
      </c>
      <c r="U611" s="824">
        <v>1</v>
      </c>
      <c r="V611" s="824">
        <v>3</v>
      </c>
      <c r="W611" s="824">
        <v>11</v>
      </c>
      <c r="X611" s="824">
        <v>6</v>
      </c>
      <c r="Y611" s="824">
        <v>2</v>
      </c>
      <c r="Z611" s="480" t="str">
        <f t="shared" si="9"/>
        <v/>
      </c>
    </row>
    <row r="612" spans="1:26">
      <c r="A612" s="825" t="s">
        <v>1111</v>
      </c>
      <c r="B612" s="826">
        <v>34672</v>
      </c>
      <c r="C612" s="827"/>
      <c r="D612" s="828">
        <v>7.74735</v>
      </c>
      <c r="E612" s="828">
        <v>6.4508599999999996</v>
      </c>
      <c r="F612" s="828">
        <v>41.61365</v>
      </c>
      <c r="G612" s="828">
        <v>56</v>
      </c>
      <c r="H612" s="828">
        <v>1</v>
      </c>
      <c r="I612" s="828">
        <v>3</v>
      </c>
      <c r="J612" s="828">
        <v>10</v>
      </c>
      <c r="K612" s="828">
        <v>6</v>
      </c>
      <c r="L612" s="828">
        <v>2</v>
      </c>
      <c r="N612" s="222" t="s">
        <v>1111</v>
      </c>
      <c r="O612" s="222" t="s">
        <v>1112</v>
      </c>
      <c r="P612" s="824">
        <v>34672</v>
      </c>
      <c r="Q612" s="824">
        <v>7.74735</v>
      </c>
      <c r="R612" s="824">
        <v>41.61365</v>
      </c>
      <c r="S612" s="824">
        <v>6.4508599999999996</v>
      </c>
      <c r="T612" s="824">
        <v>56</v>
      </c>
      <c r="U612" s="824">
        <v>1</v>
      </c>
      <c r="V612" s="824">
        <v>3</v>
      </c>
      <c r="W612" s="824">
        <v>10</v>
      </c>
      <c r="X612" s="824">
        <v>6</v>
      </c>
      <c r="Y612" s="824">
        <v>2</v>
      </c>
      <c r="Z612" s="480" t="str">
        <f t="shared" si="9"/>
        <v/>
      </c>
    </row>
    <row r="613" spans="1:26">
      <c r="A613" s="825" t="s">
        <v>1113</v>
      </c>
      <c r="B613" s="826">
        <v>97172</v>
      </c>
      <c r="C613" s="827"/>
      <c r="D613" s="828">
        <v>8.1515000000000004</v>
      </c>
      <c r="E613" s="828">
        <v>6.68804</v>
      </c>
      <c r="F613" s="828">
        <v>44.729880000000001</v>
      </c>
      <c r="G613" s="828">
        <v>53</v>
      </c>
      <c r="H613" s="828">
        <v>1</v>
      </c>
      <c r="I613" s="828">
        <v>3</v>
      </c>
      <c r="J613" s="828">
        <v>11</v>
      </c>
      <c r="K613" s="828">
        <v>6</v>
      </c>
      <c r="L613" s="828">
        <v>2</v>
      </c>
      <c r="N613" s="222" t="s">
        <v>1113</v>
      </c>
      <c r="O613" s="222" t="s">
        <v>1114</v>
      </c>
      <c r="P613" s="824">
        <v>97172</v>
      </c>
      <c r="Q613" s="824">
        <v>8.1515000000000004</v>
      </c>
      <c r="R613" s="824">
        <v>44.729880000000001</v>
      </c>
      <c r="S613" s="824">
        <v>6.68804</v>
      </c>
      <c r="T613" s="824">
        <v>53</v>
      </c>
      <c r="U613" s="824">
        <v>1</v>
      </c>
      <c r="V613" s="824">
        <v>3</v>
      </c>
      <c r="W613" s="824">
        <v>11</v>
      </c>
      <c r="X613" s="824">
        <v>6</v>
      </c>
      <c r="Y613" s="824">
        <v>2</v>
      </c>
      <c r="Z613" s="480" t="str">
        <f t="shared" si="9"/>
        <v/>
      </c>
    </row>
    <row r="614" spans="1:26">
      <c r="A614" s="825" t="s">
        <v>1115</v>
      </c>
      <c r="B614" s="826">
        <v>362409</v>
      </c>
      <c r="C614" s="827"/>
      <c r="D614" s="828">
        <v>7.2116899999999999</v>
      </c>
      <c r="E614" s="828">
        <v>6.1376299999999997</v>
      </c>
      <c r="F614" s="828">
        <v>37.670529999999999</v>
      </c>
      <c r="G614" s="828">
        <v>64</v>
      </c>
      <c r="H614" s="828">
        <v>1</v>
      </c>
      <c r="I614" s="828">
        <v>3</v>
      </c>
      <c r="J614" s="828">
        <v>10</v>
      </c>
      <c r="K614" s="828">
        <v>5</v>
      </c>
      <c r="L614" s="828">
        <v>2</v>
      </c>
      <c r="N614" s="222" t="s">
        <v>1115</v>
      </c>
      <c r="O614" s="222" t="s">
        <v>2219</v>
      </c>
      <c r="P614" s="824">
        <v>362409</v>
      </c>
      <c r="Q614" s="824">
        <v>7.2116899999999999</v>
      </c>
      <c r="R614" s="824">
        <v>37.670529999999999</v>
      </c>
      <c r="S614" s="824">
        <v>6.1376299999999997</v>
      </c>
      <c r="T614" s="824">
        <v>64</v>
      </c>
      <c r="U614" s="824">
        <v>1</v>
      </c>
      <c r="V614" s="824">
        <v>3</v>
      </c>
      <c r="W614" s="824">
        <v>10</v>
      </c>
      <c r="X614" s="824">
        <v>5</v>
      </c>
      <c r="Y614" s="824">
        <v>2</v>
      </c>
      <c r="Z614" s="480" t="str">
        <f t="shared" si="9"/>
        <v/>
      </c>
    </row>
    <row r="615" spans="1:26">
      <c r="A615" s="825" t="s">
        <v>1116</v>
      </c>
      <c r="B615" s="826">
        <v>15516</v>
      </c>
      <c r="C615" s="827"/>
      <c r="D615" s="828">
        <v>7.9937500000000004</v>
      </c>
      <c r="E615" s="828">
        <v>6.15876</v>
      </c>
      <c r="F615" s="828">
        <v>37.930289999999999</v>
      </c>
      <c r="G615" s="828">
        <v>46</v>
      </c>
      <c r="H615" s="828">
        <v>1</v>
      </c>
      <c r="I615" s="828">
        <v>3</v>
      </c>
      <c r="J615" s="828">
        <v>11</v>
      </c>
      <c r="K615" s="828">
        <v>6</v>
      </c>
      <c r="L615" s="828">
        <v>3</v>
      </c>
      <c r="N615" s="222" t="s">
        <v>1116</v>
      </c>
      <c r="O615" s="222" t="s">
        <v>1117</v>
      </c>
      <c r="P615" s="824">
        <v>15516</v>
      </c>
      <c r="Q615" s="824">
        <v>7.9937500000000004</v>
      </c>
      <c r="R615" s="824">
        <v>37.930289999999999</v>
      </c>
      <c r="S615" s="824">
        <v>6.15876</v>
      </c>
      <c r="T615" s="824">
        <v>46</v>
      </c>
      <c r="U615" s="824">
        <v>1</v>
      </c>
      <c r="V615" s="824">
        <v>3</v>
      </c>
      <c r="W615" s="824">
        <v>11</v>
      </c>
      <c r="X615" s="824">
        <v>6</v>
      </c>
      <c r="Y615" s="824">
        <v>3</v>
      </c>
      <c r="Z615" s="480" t="str">
        <f t="shared" si="9"/>
        <v/>
      </c>
    </row>
    <row r="616" spans="1:26">
      <c r="A616" s="825" t="s">
        <v>1118</v>
      </c>
      <c r="B616" s="826">
        <v>91148</v>
      </c>
      <c r="C616" s="827"/>
      <c r="D616" s="828">
        <v>7.0337699999999996</v>
      </c>
      <c r="E616" s="828">
        <v>5.2876200000000004</v>
      </c>
      <c r="F616" s="828">
        <v>27.958880000000001</v>
      </c>
      <c r="G616" s="828">
        <v>54</v>
      </c>
      <c r="H616" s="828">
        <v>1</v>
      </c>
      <c r="I616" s="828">
        <v>3</v>
      </c>
      <c r="J616" s="828">
        <v>9</v>
      </c>
      <c r="K616" s="828">
        <v>6</v>
      </c>
      <c r="L616" s="828">
        <v>3</v>
      </c>
      <c r="N616" s="222" t="s">
        <v>1118</v>
      </c>
      <c r="O616" s="222" t="s">
        <v>1119</v>
      </c>
      <c r="P616" s="824">
        <v>91148</v>
      </c>
      <c r="Q616" s="824">
        <v>7.0337699999999996</v>
      </c>
      <c r="R616" s="824">
        <v>27.958880000000001</v>
      </c>
      <c r="S616" s="824">
        <v>5.2876200000000004</v>
      </c>
      <c r="T616" s="824">
        <v>54</v>
      </c>
      <c r="U616" s="824">
        <v>1</v>
      </c>
      <c r="V616" s="824">
        <v>3</v>
      </c>
      <c r="W616" s="824">
        <v>9</v>
      </c>
      <c r="X616" s="824">
        <v>6</v>
      </c>
      <c r="Y616" s="824">
        <v>3</v>
      </c>
      <c r="Z616" s="480" t="str">
        <f t="shared" si="9"/>
        <v/>
      </c>
    </row>
    <row r="617" spans="1:26">
      <c r="A617" s="825" t="s">
        <v>1120</v>
      </c>
      <c r="B617" s="826">
        <v>16418</v>
      </c>
      <c r="C617" s="827"/>
      <c r="D617" s="828">
        <v>8.20411</v>
      </c>
      <c r="E617" s="828">
        <v>6.4556300000000002</v>
      </c>
      <c r="F617" s="828">
        <v>41.675159999999998</v>
      </c>
      <c r="G617" s="828">
        <v>54</v>
      </c>
      <c r="H617" s="828">
        <v>1</v>
      </c>
      <c r="I617" s="828">
        <v>4</v>
      </c>
      <c r="J617" s="828">
        <v>11</v>
      </c>
      <c r="K617" s="828">
        <v>7</v>
      </c>
      <c r="L617" s="828">
        <v>4</v>
      </c>
      <c r="N617" s="222" t="s">
        <v>1120</v>
      </c>
      <c r="O617" s="222" t="s">
        <v>2220</v>
      </c>
      <c r="P617" s="824">
        <v>16418</v>
      </c>
      <c r="Q617" s="824">
        <v>8.20411</v>
      </c>
      <c r="R617" s="824">
        <v>41.675159999999998</v>
      </c>
      <c r="S617" s="824">
        <v>6.4556300000000002</v>
      </c>
      <c r="T617" s="824">
        <v>54</v>
      </c>
      <c r="U617" s="824">
        <v>1</v>
      </c>
      <c r="V617" s="824">
        <v>4</v>
      </c>
      <c r="W617" s="824">
        <v>11</v>
      </c>
      <c r="X617" s="824">
        <v>7</v>
      </c>
      <c r="Y617" s="824">
        <v>4</v>
      </c>
      <c r="Z617" s="480" t="str">
        <f t="shared" si="9"/>
        <v/>
      </c>
    </row>
    <row r="618" spans="1:26">
      <c r="A618" s="825" t="s">
        <v>1121</v>
      </c>
      <c r="B618" s="826">
        <v>517372</v>
      </c>
      <c r="C618" s="827"/>
      <c r="D618" s="828">
        <v>6.9448100000000004</v>
      </c>
      <c r="E618" s="828">
        <v>5.0865400000000003</v>
      </c>
      <c r="F618" s="828">
        <v>25.87284</v>
      </c>
      <c r="G618" s="828">
        <v>111</v>
      </c>
      <c r="H618" s="828">
        <v>1</v>
      </c>
      <c r="I618" s="828">
        <v>3</v>
      </c>
      <c r="J618" s="828">
        <v>9</v>
      </c>
      <c r="K618" s="828">
        <v>6</v>
      </c>
      <c r="L618" s="828">
        <v>3</v>
      </c>
      <c r="N618" s="222" t="s">
        <v>1121</v>
      </c>
      <c r="O618" s="222" t="s">
        <v>2221</v>
      </c>
      <c r="P618" s="824">
        <v>517372</v>
      </c>
      <c r="Q618" s="824">
        <v>6.9448100000000004</v>
      </c>
      <c r="R618" s="824">
        <v>25.87284</v>
      </c>
      <c r="S618" s="824">
        <v>5.0865400000000003</v>
      </c>
      <c r="T618" s="824">
        <v>111</v>
      </c>
      <c r="U618" s="824">
        <v>1</v>
      </c>
      <c r="V618" s="824">
        <v>3</v>
      </c>
      <c r="W618" s="824">
        <v>9</v>
      </c>
      <c r="X618" s="824">
        <v>6</v>
      </c>
      <c r="Y618" s="824">
        <v>3</v>
      </c>
      <c r="Z618" s="480" t="str">
        <f t="shared" si="9"/>
        <v/>
      </c>
    </row>
    <row r="619" spans="1:26">
      <c r="A619" s="825" t="s">
        <v>1122</v>
      </c>
      <c r="B619" s="826">
        <v>185275</v>
      </c>
      <c r="C619" s="827"/>
      <c r="D619" s="828">
        <v>7.3072600000000003</v>
      </c>
      <c r="E619" s="828">
        <v>5.4272999999999998</v>
      </c>
      <c r="F619" s="828">
        <v>29.45561</v>
      </c>
      <c r="G619" s="828">
        <v>56</v>
      </c>
      <c r="H619" s="828">
        <v>1</v>
      </c>
      <c r="I619" s="828">
        <v>3</v>
      </c>
      <c r="J619" s="828">
        <v>10</v>
      </c>
      <c r="K619" s="828">
        <v>6</v>
      </c>
      <c r="L619" s="828">
        <v>3</v>
      </c>
      <c r="N619" s="222" t="s">
        <v>1122</v>
      </c>
      <c r="O619" s="222" t="s">
        <v>1123</v>
      </c>
      <c r="P619" s="824">
        <v>185275</v>
      </c>
      <c r="Q619" s="824">
        <v>7.3072600000000003</v>
      </c>
      <c r="R619" s="824">
        <v>29.45561</v>
      </c>
      <c r="S619" s="824">
        <v>5.4272999999999998</v>
      </c>
      <c r="T619" s="824">
        <v>56</v>
      </c>
      <c r="U619" s="824">
        <v>1</v>
      </c>
      <c r="V619" s="824">
        <v>3</v>
      </c>
      <c r="W619" s="824">
        <v>10</v>
      </c>
      <c r="X619" s="824">
        <v>6</v>
      </c>
      <c r="Y619" s="824">
        <v>3</v>
      </c>
      <c r="Z619" s="480" t="str">
        <f t="shared" si="9"/>
        <v/>
      </c>
    </row>
    <row r="620" spans="1:26">
      <c r="A620" s="825" t="s">
        <v>1124</v>
      </c>
      <c r="B620" s="826">
        <v>383793</v>
      </c>
      <c r="C620" s="827"/>
      <c r="D620" s="828">
        <v>8.2520699999999998</v>
      </c>
      <c r="E620" s="828">
        <v>6.3158599999999998</v>
      </c>
      <c r="F620" s="828">
        <v>39.890099999999997</v>
      </c>
      <c r="G620" s="828">
        <v>120</v>
      </c>
      <c r="H620" s="828">
        <v>1</v>
      </c>
      <c r="I620" s="828">
        <v>4</v>
      </c>
      <c r="J620" s="828">
        <v>11</v>
      </c>
      <c r="K620" s="828">
        <v>7</v>
      </c>
      <c r="L620" s="828">
        <v>3</v>
      </c>
      <c r="N620" s="222" t="s">
        <v>1124</v>
      </c>
      <c r="O620" s="222" t="s">
        <v>2222</v>
      </c>
      <c r="P620" s="824">
        <v>383793</v>
      </c>
      <c r="Q620" s="824">
        <v>8.2520699999999998</v>
      </c>
      <c r="R620" s="824">
        <v>39.890099999999997</v>
      </c>
      <c r="S620" s="824">
        <v>6.3158599999999998</v>
      </c>
      <c r="T620" s="824">
        <v>120</v>
      </c>
      <c r="U620" s="824">
        <v>1</v>
      </c>
      <c r="V620" s="824">
        <v>4</v>
      </c>
      <c r="W620" s="824">
        <v>11</v>
      </c>
      <c r="X620" s="824">
        <v>7</v>
      </c>
      <c r="Y620" s="824">
        <v>3</v>
      </c>
      <c r="Z620" s="480" t="str">
        <f t="shared" si="9"/>
        <v/>
      </c>
    </row>
    <row r="621" spans="1:26">
      <c r="A621" s="825" t="s">
        <v>1125</v>
      </c>
      <c r="B621" s="826">
        <v>37457</v>
      </c>
      <c r="C621" s="827"/>
      <c r="D621" s="828">
        <v>7.1545800000000002</v>
      </c>
      <c r="E621" s="828">
        <v>5.9437899999999999</v>
      </c>
      <c r="F621" s="828">
        <v>35.328679999999999</v>
      </c>
      <c r="G621" s="828">
        <v>56</v>
      </c>
      <c r="H621" s="828">
        <v>1</v>
      </c>
      <c r="I621" s="828">
        <v>3</v>
      </c>
      <c r="J621" s="828">
        <v>9</v>
      </c>
      <c r="K621" s="828">
        <v>5</v>
      </c>
      <c r="L621" s="828">
        <v>3</v>
      </c>
      <c r="N621" s="222" t="s">
        <v>1125</v>
      </c>
      <c r="O621" s="222" t="s">
        <v>2223</v>
      </c>
      <c r="P621" s="824">
        <v>37457</v>
      </c>
      <c r="Q621" s="824">
        <v>7.1545800000000002</v>
      </c>
      <c r="R621" s="824">
        <v>35.328679999999999</v>
      </c>
      <c r="S621" s="824">
        <v>5.9437899999999999</v>
      </c>
      <c r="T621" s="824">
        <v>56</v>
      </c>
      <c r="U621" s="824">
        <v>1</v>
      </c>
      <c r="V621" s="824">
        <v>3</v>
      </c>
      <c r="W621" s="824">
        <v>9</v>
      </c>
      <c r="X621" s="824">
        <v>5</v>
      </c>
      <c r="Y621" s="824">
        <v>3</v>
      </c>
      <c r="Z621" s="480" t="str">
        <f t="shared" si="9"/>
        <v/>
      </c>
    </row>
    <row r="622" spans="1:26">
      <c r="A622" s="825" t="s">
        <v>1126</v>
      </c>
      <c r="B622" s="826">
        <v>49339</v>
      </c>
      <c r="C622" s="827"/>
      <c r="D622" s="828">
        <v>8.5629200000000001</v>
      </c>
      <c r="E622" s="828">
        <v>5.4812000000000003</v>
      </c>
      <c r="F622" s="828">
        <v>30.043610000000001</v>
      </c>
      <c r="G622" s="828">
        <v>21</v>
      </c>
      <c r="H622" s="828">
        <v>1</v>
      </c>
      <c r="I622" s="828">
        <v>4</v>
      </c>
      <c r="J622" s="828">
        <v>13</v>
      </c>
      <c r="K622" s="828">
        <v>8</v>
      </c>
      <c r="L622" s="828">
        <v>3</v>
      </c>
      <c r="N622" s="222" t="s">
        <v>1126</v>
      </c>
      <c r="O622" s="222" t="s">
        <v>2224</v>
      </c>
      <c r="P622" s="824">
        <v>49339</v>
      </c>
      <c r="Q622" s="824">
        <v>8.5629200000000001</v>
      </c>
      <c r="R622" s="824">
        <v>30.043610000000001</v>
      </c>
      <c r="S622" s="824">
        <v>5.4812000000000003</v>
      </c>
      <c r="T622" s="824">
        <v>21</v>
      </c>
      <c r="U622" s="824">
        <v>1</v>
      </c>
      <c r="V622" s="824">
        <v>4</v>
      </c>
      <c r="W622" s="824">
        <v>13</v>
      </c>
      <c r="X622" s="824">
        <v>8</v>
      </c>
      <c r="Y622" s="824">
        <v>3</v>
      </c>
      <c r="Z622" s="480" t="str">
        <f t="shared" si="9"/>
        <v/>
      </c>
    </row>
    <row r="623" spans="1:26">
      <c r="A623" s="825" t="s">
        <v>1127</v>
      </c>
      <c r="B623" s="826">
        <v>2474</v>
      </c>
      <c r="C623" s="827"/>
      <c r="D623" s="828">
        <v>7.4931299999999998</v>
      </c>
      <c r="E623" s="828">
        <v>6.2106300000000001</v>
      </c>
      <c r="F623" s="828">
        <v>38.571930000000002</v>
      </c>
      <c r="G623" s="828">
        <v>38</v>
      </c>
      <c r="H623" s="828">
        <v>1</v>
      </c>
      <c r="I623" s="828">
        <v>3</v>
      </c>
      <c r="J623" s="828">
        <v>10</v>
      </c>
      <c r="K623" s="828">
        <v>6</v>
      </c>
      <c r="L623" s="828">
        <v>3</v>
      </c>
      <c r="N623" s="222" t="s">
        <v>1127</v>
      </c>
      <c r="O623" s="222" t="s">
        <v>2225</v>
      </c>
      <c r="P623" s="824">
        <v>2474</v>
      </c>
      <c r="Q623" s="824">
        <v>7.4931299999999998</v>
      </c>
      <c r="R623" s="824">
        <v>38.571930000000002</v>
      </c>
      <c r="S623" s="824">
        <v>6.2106300000000001</v>
      </c>
      <c r="T623" s="824">
        <v>38</v>
      </c>
      <c r="U623" s="824">
        <v>1</v>
      </c>
      <c r="V623" s="824">
        <v>3</v>
      </c>
      <c r="W623" s="824">
        <v>10</v>
      </c>
      <c r="X623" s="824">
        <v>6</v>
      </c>
      <c r="Y623" s="824">
        <v>3</v>
      </c>
      <c r="Z623" s="480" t="str">
        <f t="shared" si="9"/>
        <v/>
      </c>
    </row>
    <row r="624" spans="1:26">
      <c r="A624" s="825" t="s">
        <v>1128</v>
      </c>
      <c r="B624" s="826">
        <v>134729</v>
      </c>
      <c r="C624" s="827"/>
      <c r="D624" s="828">
        <v>6.6718900000000003</v>
      </c>
      <c r="E624" s="828">
        <v>4.8732899999999999</v>
      </c>
      <c r="F624" s="828">
        <v>23.748940000000001</v>
      </c>
      <c r="G624" s="828">
        <v>56</v>
      </c>
      <c r="H624" s="828">
        <v>1</v>
      </c>
      <c r="I624" s="828">
        <v>3</v>
      </c>
      <c r="J624" s="828">
        <v>9</v>
      </c>
      <c r="K624" s="828">
        <v>5</v>
      </c>
      <c r="L624" s="828">
        <v>3</v>
      </c>
      <c r="N624" s="222" t="s">
        <v>1128</v>
      </c>
      <c r="O624" s="222" t="s">
        <v>2226</v>
      </c>
      <c r="P624" s="824">
        <v>134729</v>
      </c>
      <c r="Q624" s="824">
        <v>6.6718900000000003</v>
      </c>
      <c r="R624" s="824">
        <v>23.748940000000001</v>
      </c>
      <c r="S624" s="824">
        <v>4.8732899999999999</v>
      </c>
      <c r="T624" s="824">
        <v>56</v>
      </c>
      <c r="U624" s="824">
        <v>1</v>
      </c>
      <c r="V624" s="824">
        <v>3</v>
      </c>
      <c r="W624" s="824">
        <v>9</v>
      </c>
      <c r="X624" s="824">
        <v>5</v>
      </c>
      <c r="Y624" s="824">
        <v>3</v>
      </c>
      <c r="Z624" s="480" t="str">
        <f t="shared" si="9"/>
        <v/>
      </c>
    </row>
    <row r="625" spans="1:26">
      <c r="A625" s="825" t="s">
        <v>1129</v>
      </c>
      <c r="B625" s="826">
        <v>62583</v>
      </c>
      <c r="C625" s="827"/>
      <c r="D625" s="828">
        <v>7.77569</v>
      </c>
      <c r="E625" s="828">
        <v>5.1925100000000004</v>
      </c>
      <c r="F625" s="828">
        <v>26.962150000000001</v>
      </c>
      <c r="G625" s="828">
        <v>20</v>
      </c>
      <c r="H625" s="828">
        <v>1</v>
      </c>
      <c r="I625" s="828">
        <v>3</v>
      </c>
      <c r="J625" s="828">
        <v>11</v>
      </c>
      <c r="K625" s="828">
        <v>7</v>
      </c>
      <c r="L625" s="828">
        <v>2</v>
      </c>
      <c r="N625" s="222" t="s">
        <v>1129</v>
      </c>
      <c r="O625" s="222" t="s">
        <v>1130</v>
      </c>
      <c r="P625" s="824">
        <v>62583</v>
      </c>
      <c r="Q625" s="824">
        <v>7.77569</v>
      </c>
      <c r="R625" s="824">
        <v>26.962150000000001</v>
      </c>
      <c r="S625" s="824">
        <v>5.1925100000000004</v>
      </c>
      <c r="T625" s="824">
        <v>20</v>
      </c>
      <c r="U625" s="824">
        <v>1</v>
      </c>
      <c r="V625" s="824">
        <v>3</v>
      </c>
      <c r="W625" s="824">
        <v>11</v>
      </c>
      <c r="X625" s="824">
        <v>7</v>
      </c>
      <c r="Y625" s="824">
        <v>2</v>
      </c>
      <c r="Z625" s="480" t="str">
        <f t="shared" si="9"/>
        <v/>
      </c>
    </row>
    <row r="626" spans="1:26">
      <c r="A626" s="825" t="s">
        <v>1131</v>
      </c>
      <c r="B626" s="826">
        <v>181</v>
      </c>
      <c r="C626" s="827"/>
      <c r="D626" s="828">
        <v>11.01657</v>
      </c>
      <c r="E626" s="828">
        <v>5.6690899999999997</v>
      </c>
      <c r="F626" s="828">
        <v>32.13861</v>
      </c>
      <c r="G626" s="828">
        <v>22</v>
      </c>
      <c r="H626" s="828">
        <v>1</v>
      </c>
      <c r="I626" s="828">
        <v>6</v>
      </c>
      <c r="J626" s="828">
        <v>16</v>
      </c>
      <c r="K626" s="828">
        <v>11</v>
      </c>
      <c r="L626" s="828">
        <v>9</v>
      </c>
      <c r="N626" s="222" t="s">
        <v>1131</v>
      </c>
      <c r="O626" s="222" t="s">
        <v>1132</v>
      </c>
      <c r="P626" s="824">
        <v>181</v>
      </c>
      <c r="Q626" s="824">
        <v>11.01657</v>
      </c>
      <c r="R626" s="824">
        <v>32.13861</v>
      </c>
      <c r="S626" s="824">
        <v>5.6690899999999997</v>
      </c>
      <c r="T626" s="824">
        <v>22</v>
      </c>
      <c r="U626" s="824">
        <v>1</v>
      </c>
      <c r="V626" s="824">
        <v>6</v>
      </c>
      <c r="W626" s="824">
        <v>16</v>
      </c>
      <c r="X626" s="824">
        <v>11</v>
      </c>
      <c r="Y626" s="824">
        <v>9</v>
      </c>
      <c r="Z626" s="480" t="str">
        <f t="shared" si="9"/>
        <v/>
      </c>
    </row>
    <row r="627" spans="1:26">
      <c r="A627" s="825" t="s">
        <v>1133</v>
      </c>
      <c r="B627" s="826">
        <v>1455</v>
      </c>
      <c r="C627" s="827"/>
      <c r="D627" s="828">
        <v>9.9931300000000007</v>
      </c>
      <c r="E627" s="828">
        <v>6.4808399999999997</v>
      </c>
      <c r="F627" s="828">
        <v>42.001330000000003</v>
      </c>
      <c r="G627" s="828">
        <v>24</v>
      </c>
      <c r="H627" s="828">
        <v>1</v>
      </c>
      <c r="I627" s="828">
        <v>4</v>
      </c>
      <c r="J627" s="828">
        <v>14</v>
      </c>
      <c r="K627" s="828">
        <v>9</v>
      </c>
      <c r="L627" s="828">
        <v>2</v>
      </c>
      <c r="N627" s="222" t="s">
        <v>1133</v>
      </c>
      <c r="O627" s="222" t="s">
        <v>1134</v>
      </c>
      <c r="P627" s="824">
        <v>1455</v>
      </c>
      <c r="Q627" s="824">
        <v>9.9931300000000007</v>
      </c>
      <c r="R627" s="824">
        <v>42.001330000000003</v>
      </c>
      <c r="S627" s="824">
        <v>6.4808399999999997</v>
      </c>
      <c r="T627" s="824">
        <v>24</v>
      </c>
      <c r="U627" s="824">
        <v>1</v>
      </c>
      <c r="V627" s="824">
        <v>4</v>
      </c>
      <c r="W627" s="824">
        <v>14</v>
      </c>
      <c r="X627" s="824">
        <v>9</v>
      </c>
      <c r="Y627" s="824">
        <v>2</v>
      </c>
      <c r="Z627" s="480" t="str">
        <f t="shared" si="9"/>
        <v/>
      </c>
    </row>
    <row r="628" spans="1:26">
      <c r="A628" s="825" t="s">
        <v>1135</v>
      </c>
      <c r="B628" s="826">
        <v>6912</v>
      </c>
      <c r="C628" s="827"/>
      <c r="D628" s="828">
        <v>10.36863</v>
      </c>
      <c r="E628" s="828">
        <v>8.7571399999999997</v>
      </c>
      <c r="F628" s="828">
        <v>76.68741</v>
      </c>
      <c r="G628" s="828">
        <v>56</v>
      </c>
      <c r="H628" s="828">
        <v>1</v>
      </c>
      <c r="I628" s="828">
        <v>4</v>
      </c>
      <c r="J628" s="828">
        <v>14</v>
      </c>
      <c r="K628" s="828">
        <v>8</v>
      </c>
      <c r="L628" s="828">
        <v>3</v>
      </c>
      <c r="N628" s="222" t="s">
        <v>1135</v>
      </c>
      <c r="O628" s="222" t="s">
        <v>1136</v>
      </c>
      <c r="P628" s="824">
        <v>6912</v>
      </c>
      <c r="Q628" s="824">
        <v>10.36863</v>
      </c>
      <c r="R628" s="824">
        <v>76.68741</v>
      </c>
      <c r="S628" s="824">
        <v>8.7571399999999997</v>
      </c>
      <c r="T628" s="824">
        <v>56</v>
      </c>
      <c r="U628" s="824">
        <v>1</v>
      </c>
      <c r="V628" s="824">
        <v>4</v>
      </c>
      <c r="W628" s="824">
        <v>14</v>
      </c>
      <c r="X628" s="824">
        <v>8</v>
      </c>
      <c r="Y628" s="824">
        <v>3</v>
      </c>
      <c r="Z628" s="480" t="str">
        <f t="shared" si="9"/>
        <v/>
      </c>
    </row>
    <row r="629" spans="1:26">
      <c r="A629" s="831" t="s">
        <v>1137</v>
      </c>
      <c r="B629" s="832">
        <v>9809</v>
      </c>
      <c r="C629" s="833"/>
      <c r="D629" s="834">
        <v>10.694570000000001</v>
      </c>
      <c r="E629" s="834">
        <v>8.6549200000000006</v>
      </c>
      <c r="F629" s="834">
        <v>74.907719999999998</v>
      </c>
      <c r="G629" s="834">
        <v>58</v>
      </c>
      <c r="H629" s="834">
        <v>1</v>
      </c>
      <c r="I629" s="834">
        <v>4</v>
      </c>
      <c r="J629" s="834">
        <v>15</v>
      </c>
      <c r="K629" s="834">
        <v>8</v>
      </c>
      <c r="L629" s="834">
        <v>3</v>
      </c>
      <c r="N629" s="222" t="s">
        <v>1137</v>
      </c>
      <c r="O629" s="222" t="s">
        <v>2227</v>
      </c>
      <c r="P629" s="824">
        <v>9809</v>
      </c>
      <c r="Q629" s="824">
        <v>10.694570000000001</v>
      </c>
      <c r="R629" s="824">
        <v>74.907719999999998</v>
      </c>
      <c r="S629" s="824">
        <v>8.6549200000000006</v>
      </c>
      <c r="T629" s="824">
        <v>58</v>
      </c>
      <c r="U629" s="824">
        <v>1</v>
      </c>
      <c r="V629" s="824">
        <v>4</v>
      </c>
      <c r="W629" s="824">
        <v>15</v>
      </c>
      <c r="X629" s="824">
        <v>8</v>
      </c>
      <c r="Y629" s="824">
        <v>3</v>
      </c>
      <c r="Z629" s="480" t="str">
        <f t="shared" si="9"/>
        <v/>
      </c>
    </row>
    <row r="630" spans="1:26">
      <c r="A630" s="820" t="s">
        <v>1138</v>
      </c>
      <c r="B630" s="821">
        <v>170129</v>
      </c>
      <c r="C630" s="822"/>
      <c r="D630" s="823">
        <v>9.7156900000000004</v>
      </c>
      <c r="E630" s="823">
        <v>8.0896899999999992</v>
      </c>
      <c r="F630" s="823">
        <v>65.443100000000001</v>
      </c>
      <c r="G630" s="823">
        <v>83</v>
      </c>
      <c r="H630" s="823">
        <v>1</v>
      </c>
      <c r="I630" s="823">
        <v>4</v>
      </c>
      <c r="J630" s="823">
        <v>13</v>
      </c>
      <c r="K630" s="823">
        <v>8</v>
      </c>
      <c r="L630" s="823">
        <v>3</v>
      </c>
      <c r="N630" s="222" t="s">
        <v>1138</v>
      </c>
      <c r="O630" s="222" t="s">
        <v>1139</v>
      </c>
      <c r="P630" s="824">
        <v>170129</v>
      </c>
      <c r="Q630" s="824">
        <v>9.7156900000000004</v>
      </c>
      <c r="R630" s="824">
        <v>65.443100000000001</v>
      </c>
      <c r="S630" s="824">
        <v>8.0896899999999992</v>
      </c>
      <c r="T630" s="824">
        <v>83</v>
      </c>
      <c r="U630" s="824">
        <v>1</v>
      </c>
      <c r="V630" s="824">
        <v>4</v>
      </c>
      <c r="W630" s="824">
        <v>13</v>
      </c>
      <c r="X630" s="824">
        <v>8</v>
      </c>
      <c r="Y630" s="824">
        <v>3</v>
      </c>
      <c r="Z630" s="480" t="str">
        <f t="shared" si="9"/>
        <v/>
      </c>
    </row>
  </sheetData>
  <phoneticPr fontId="1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theme="1"/>
  </sheetPr>
  <dimension ref="B1:F630"/>
  <sheetViews>
    <sheetView zoomScale="115" zoomScaleNormal="115" workbookViewId="0">
      <pane xSplit="2" ySplit="2" topLeftCell="C3" activePane="bottomRight" state="frozen"/>
      <selection activeCell="C26" sqref="C26"/>
      <selection pane="topRight" activeCell="C26" sqref="C26"/>
      <selection pane="bottomLeft" activeCell="C26" sqref="C26"/>
      <selection pane="bottomRight"/>
    </sheetView>
  </sheetViews>
  <sheetFormatPr defaultRowHeight="16.5"/>
  <cols>
    <col min="1" max="1" width="2.33203125" style="222" customWidth="1"/>
    <col min="2" max="2" width="7.21875" style="470" customWidth="1"/>
    <col min="3" max="3" width="102.44140625" style="220" customWidth="1"/>
    <col min="4" max="4" width="8.88671875" style="222"/>
    <col min="5" max="5" width="0" style="222" hidden="1" customWidth="1"/>
    <col min="6" max="6" width="0" style="810" hidden="1" customWidth="1"/>
    <col min="7" max="16384" width="8.88671875" style="222"/>
  </cols>
  <sheetData>
    <row r="1" spans="2:6" ht="17.25" thickBot="1">
      <c r="B1" s="792"/>
      <c r="C1" s="835" t="s">
        <v>1530</v>
      </c>
    </row>
    <row r="2" spans="2:6">
      <c r="B2" s="836" t="s">
        <v>228</v>
      </c>
      <c r="C2" s="837" t="s">
        <v>229</v>
      </c>
      <c r="D2" s="819" t="s">
        <v>2699</v>
      </c>
      <c r="E2" s="222" t="s">
        <v>1660</v>
      </c>
      <c r="F2" s="810" t="s">
        <v>2697</v>
      </c>
    </row>
    <row r="3" spans="2:6" s="615" customFormat="1">
      <c r="B3" s="838" t="s">
        <v>230</v>
      </c>
      <c r="C3" s="839" t="s">
        <v>1885</v>
      </c>
      <c r="D3" s="840" t="str">
        <f>IF(AND(B3=E3,C3=F3),"","x")</f>
        <v/>
      </c>
      <c r="E3" s="615" t="s">
        <v>230</v>
      </c>
      <c r="F3" s="810" t="s">
        <v>1885</v>
      </c>
    </row>
    <row r="4" spans="2:6" s="615" customFormat="1">
      <c r="B4" s="838" t="s">
        <v>231</v>
      </c>
      <c r="C4" s="839" t="s">
        <v>1886</v>
      </c>
      <c r="D4" s="840" t="str">
        <f t="shared" ref="D4:D67" si="0">IF(AND(B4=E4,C4=F4),"","x")</f>
        <v/>
      </c>
      <c r="E4" s="615" t="s">
        <v>231</v>
      </c>
      <c r="F4" s="810" t="s">
        <v>1886</v>
      </c>
    </row>
    <row r="5" spans="2:6" s="615" customFormat="1">
      <c r="B5" s="838" t="s">
        <v>232</v>
      </c>
      <c r="C5" s="839" t="s">
        <v>233</v>
      </c>
      <c r="D5" s="840" t="str">
        <f t="shared" si="0"/>
        <v/>
      </c>
      <c r="E5" s="615" t="s">
        <v>232</v>
      </c>
      <c r="F5" s="810" t="s">
        <v>233</v>
      </c>
    </row>
    <row r="6" spans="2:6" s="615" customFormat="1">
      <c r="B6" s="838" t="s">
        <v>234</v>
      </c>
      <c r="C6" s="839" t="s">
        <v>1887</v>
      </c>
      <c r="D6" s="840" t="str">
        <f t="shared" si="0"/>
        <v/>
      </c>
      <c r="E6" s="615" t="s">
        <v>234</v>
      </c>
      <c r="F6" s="810" t="s">
        <v>1887</v>
      </c>
    </row>
    <row r="7" spans="2:6" s="615" customFormat="1">
      <c r="B7" s="838" t="s">
        <v>226</v>
      </c>
      <c r="C7" s="839" t="s">
        <v>1888</v>
      </c>
      <c r="D7" s="840" t="str">
        <f t="shared" si="0"/>
        <v/>
      </c>
      <c r="E7" s="615" t="s">
        <v>226</v>
      </c>
      <c r="F7" s="810" t="s">
        <v>1888</v>
      </c>
    </row>
    <row r="8" spans="2:6" s="615" customFormat="1">
      <c r="B8" s="838" t="s">
        <v>235</v>
      </c>
      <c r="C8" s="839" t="s">
        <v>1889</v>
      </c>
      <c r="D8" s="840" t="str">
        <f t="shared" si="0"/>
        <v/>
      </c>
      <c r="E8" s="615" t="s">
        <v>235</v>
      </c>
      <c r="F8" s="810" t="s">
        <v>1889</v>
      </c>
    </row>
    <row r="9" spans="2:6" s="615" customFormat="1">
      <c r="B9" s="838" t="s">
        <v>236</v>
      </c>
      <c r="C9" s="839" t="s">
        <v>1890</v>
      </c>
      <c r="D9" s="840" t="str">
        <f t="shared" si="0"/>
        <v/>
      </c>
      <c r="E9" s="615" t="s">
        <v>236</v>
      </c>
      <c r="F9" s="810" t="s">
        <v>1890</v>
      </c>
    </row>
    <row r="10" spans="2:6" s="615" customFormat="1">
      <c r="B10" s="838" t="s">
        <v>237</v>
      </c>
      <c r="C10" s="839" t="s">
        <v>238</v>
      </c>
      <c r="D10" s="840" t="str">
        <f t="shared" si="0"/>
        <v/>
      </c>
      <c r="E10" s="615" t="s">
        <v>237</v>
      </c>
      <c r="F10" s="810" t="s">
        <v>238</v>
      </c>
    </row>
    <row r="11" spans="2:6" s="615" customFormat="1">
      <c r="B11" s="838" t="s">
        <v>239</v>
      </c>
      <c r="C11" s="839" t="s">
        <v>1891</v>
      </c>
      <c r="D11" s="840" t="str">
        <f t="shared" si="0"/>
        <v/>
      </c>
      <c r="E11" s="615" t="s">
        <v>239</v>
      </c>
      <c r="F11" s="810" t="s">
        <v>1891</v>
      </c>
    </row>
    <row r="12" spans="2:6" s="615" customFormat="1">
      <c r="B12" s="838" t="s">
        <v>240</v>
      </c>
      <c r="C12" s="839" t="s">
        <v>1892</v>
      </c>
      <c r="D12" s="840" t="str">
        <f t="shared" si="0"/>
        <v/>
      </c>
      <c r="E12" s="615" t="s">
        <v>240</v>
      </c>
      <c r="F12" s="810" t="s">
        <v>1892</v>
      </c>
    </row>
    <row r="13" spans="2:6" s="615" customFormat="1">
      <c r="B13" s="838" t="s">
        <v>241</v>
      </c>
      <c r="C13" s="839" t="s">
        <v>1893</v>
      </c>
      <c r="D13" s="840" t="str">
        <f t="shared" si="0"/>
        <v/>
      </c>
      <c r="E13" s="615" t="s">
        <v>241</v>
      </c>
      <c r="F13" s="810" t="s">
        <v>1893</v>
      </c>
    </row>
    <row r="14" spans="2:6" s="615" customFormat="1">
      <c r="B14" s="838" t="s">
        <v>242</v>
      </c>
      <c r="C14" s="839" t="s">
        <v>1894</v>
      </c>
      <c r="D14" s="840" t="str">
        <f t="shared" si="0"/>
        <v/>
      </c>
      <c r="E14" s="615" t="s">
        <v>242</v>
      </c>
      <c r="F14" s="810" t="s">
        <v>1894</v>
      </c>
    </row>
    <row r="15" spans="2:6" s="615" customFormat="1">
      <c r="B15" s="838" t="s">
        <v>243</v>
      </c>
      <c r="C15" s="839" t="s">
        <v>1895</v>
      </c>
      <c r="D15" s="840" t="str">
        <f t="shared" si="0"/>
        <v/>
      </c>
      <c r="E15" s="615" t="s">
        <v>243</v>
      </c>
      <c r="F15" s="810" t="s">
        <v>1895</v>
      </c>
    </row>
    <row r="16" spans="2:6" s="615" customFormat="1">
      <c r="B16" s="838" t="s">
        <v>244</v>
      </c>
      <c r="C16" s="839" t="s">
        <v>1896</v>
      </c>
      <c r="D16" s="840" t="str">
        <f t="shared" si="0"/>
        <v/>
      </c>
      <c r="E16" s="615" t="s">
        <v>244</v>
      </c>
      <c r="F16" s="810" t="s">
        <v>1896</v>
      </c>
    </row>
    <row r="17" spans="2:6" s="615" customFormat="1">
      <c r="B17" s="838" t="s">
        <v>245</v>
      </c>
      <c r="C17" s="839" t="s">
        <v>1897</v>
      </c>
      <c r="D17" s="840" t="str">
        <f t="shared" si="0"/>
        <v/>
      </c>
      <c r="E17" s="615" t="s">
        <v>245</v>
      </c>
      <c r="F17" s="810" t="s">
        <v>1897</v>
      </c>
    </row>
    <row r="18" spans="2:6" s="615" customFormat="1">
      <c r="B18" s="838" t="s">
        <v>246</v>
      </c>
      <c r="C18" s="839" t="s">
        <v>247</v>
      </c>
      <c r="D18" s="840" t="str">
        <f t="shared" si="0"/>
        <v/>
      </c>
      <c r="E18" s="615" t="s">
        <v>246</v>
      </c>
      <c r="F18" s="810" t="s">
        <v>247</v>
      </c>
    </row>
    <row r="19" spans="2:6" s="615" customFormat="1">
      <c r="B19" s="838" t="s">
        <v>248</v>
      </c>
      <c r="C19" s="839" t="s">
        <v>1898</v>
      </c>
      <c r="D19" s="840" t="str">
        <f t="shared" si="0"/>
        <v/>
      </c>
      <c r="E19" s="615" t="s">
        <v>248</v>
      </c>
      <c r="F19" s="810" t="s">
        <v>1898</v>
      </c>
    </row>
    <row r="20" spans="2:6" s="615" customFormat="1">
      <c r="B20" s="838" t="s">
        <v>249</v>
      </c>
      <c r="C20" s="839" t="s">
        <v>250</v>
      </c>
      <c r="D20" s="840" t="str">
        <f t="shared" si="0"/>
        <v/>
      </c>
      <c r="E20" s="615" t="s">
        <v>249</v>
      </c>
      <c r="F20" s="810" t="s">
        <v>250</v>
      </c>
    </row>
    <row r="21" spans="2:6" s="615" customFormat="1">
      <c r="B21" s="838" t="s">
        <v>251</v>
      </c>
      <c r="C21" s="839" t="s">
        <v>1899</v>
      </c>
      <c r="D21" s="840" t="str">
        <f t="shared" si="0"/>
        <v/>
      </c>
      <c r="E21" s="615" t="s">
        <v>251</v>
      </c>
      <c r="F21" s="810" t="s">
        <v>1899</v>
      </c>
    </row>
    <row r="22" spans="2:6" s="615" customFormat="1">
      <c r="B22" s="838" t="s">
        <v>252</v>
      </c>
      <c r="C22" s="839" t="s">
        <v>1900</v>
      </c>
      <c r="D22" s="840" t="str">
        <f t="shared" si="0"/>
        <v/>
      </c>
      <c r="E22" s="615" t="s">
        <v>252</v>
      </c>
      <c r="F22" s="810" t="s">
        <v>1900</v>
      </c>
    </row>
    <row r="23" spans="2:6" s="615" customFormat="1">
      <c r="B23" s="838" t="s">
        <v>253</v>
      </c>
      <c r="C23" s="839" t="s">
        <v>254</v>
      </c>
      <c r="D23" s="840" t="str">
        <f t="shared" si="0"/>
        <v/>
      </c>
      <c r="E23" s="615" t="s">
        <v>253</v>
      </c>
      <c r="F23" s="810" t="s">
        <v>254</v>
      </c>
    </row>
    <row r="24" spans="2:6" s="615" customFormat="1">
      <c r="B24" s="838" t="s">
        <v>255</v>
      </c>
      <c r="C24" s="839" t="s">
        <v>1901</v>
      </c>
      <c r="D24" s="840" t="str">
        <f t="shared" si="0"/>
        <v/>
      </c>
      <c r="E24" s="615" t="s">
        <v>255</v>
      </c>
      <c r="F24" s="810" t="s">
        <v>1901</v>
      </c>
    </row>
    <row r="25" spans="2:6" s="615" customFormat="1">
      <c r="B25" s="838" t="s">
        <v>256</v>
      </c>
      <c r="C25" s="839" t="s">
        <v>1902</v>
      </c>
      <c r="D25" s="840" t="str">
        <f t="shared" si="0"/>
        <v/>
      </c>
      <c r="E25" s="615" t="s">
        <v>256</v>
      </c>
      <c r="F25" s="810" t="s">
        <v>1902</v>
      </c>
    </row>
    <row r="26" spans="2:6" s="615" customFormat="1">
      <c r="B26" s="838" t="s">
        <v>257</v>
      </c>
      <c r="C26" s="839" t="s">
        <v>258</v>
      </c>
      <c r="D26" s="840" t="str">
        <f t="shared" si="0"/>
        <v/>
      </c>
      <c r="E26" s="615" t="s">
        <v>257</v>
      </c>
      <c r="F26" s="810" t="s">
        <v>258</v>
      </c>
    </row>
    <row r="27" spans="2:6" s="615" customFormat="1">
      <c r="B27" s="838" t="s">
        <v>259</v>
      </c>
      <c r="C27" s="839" t="s">
        <v>1903</v>
      </c>
      <c r="D27" s="840" t="str">
        <f t="shared" si="0"/>
        <v/>
      </c>
      <c r="E27" s="615" t="s">
        <v>259</v>
      </c>
      <c r="F27" s="810" t="s">
        <v>1903</v>
      </c>
    </row>
    <row r="28" spans="2:6" s="615" customFormat="1">
      <c r="B28" s="838" t="s">
        <v>260</v>
      </c>
      <c r="C28" s="839" t="s">
        <v>1904</v>
      </c>
      <c r="D28" s="840" t="str">
        <f t="shared" si="0"/>
        <v/>
      </c>
      <c r="E28" s="615" t="s">
        <v>260</v>
      </c>
      <c r="F28" s="810" t="s">
        <v>1904</v>
      </c>
    </row>
    <row r="29" spans="2:6" s="615" customFormat="1">
      <c r="B29" s="838" t="s">
        <v>261</v>
      </c>
      <c r="C29" s="839" t="s">
        <v>1905</v>
      </c>
      <c r="D29" s="840" t="str">
        <f t="shared" si="0"/>
        <v/>
      </c>
      <c r="E29" s="615" t="s">
        <v>261</v>
      </c>
      <c r="F29" s="810" t="s">
        <v>1905</v>
      </c>
    </row>
    <row r="30" spans="2:6" s="615" customFormat="1">
      <c r="B30" s="838" t="s">
        <v>262</v>
      </c>
      <c r="C30" s="839" t="s">
        <v>263</v>
      </c>
      <c r="D30" s="840" t="str">
        <f t="shared" si="0"/>
        <v/>
      </c>
      <c r="E30" s="615" t="s">
        <v>262</v>
      </c>
      <c r="F30" s="810" t="s">
        <v>263</v>
      </c>
    </row>
    <row r="31" spans="2:6" s="615" customFormat="1">
      <c r="B31" s="838" t="s">
        <v>264</v>
      </c>
      <c r="C31" s="839" t="s">
        <v>265</v>
      </c>
      <c r="D31" s="840" t="str">
        <f t="shared" si="0"/>
        <v/>
      </c>
      <c r="E31" s="615" t="s">
        <v>264</v>
      </c>
      <c r="F31" s="810" t="s">
        <v>265</v>
      </c>
    </row>
    <row r="32" spans="2:6" s="615" customFormat="1">
      <c r="B32" s="838" t="s">
        <v>266</v>
      </c>
      <c r="C32" s="839" t="s">
        <v>267</v>
      </c>
      <c r="D32" s="840" t="str">
        <f t="shared" si="0"/>
        <v/>
      </c>
      <c r="E32" s="615" t="s">
        <v>266</v>
      </c>
      <c r="F32" s="810" t="s">
        <v>267</v>
      </c>
    </row>
    <row r="33" spans="2:6" s="615" customFormat="1">
      <c r="B33" s="838" t="s">
        <v>268</v>
      </c>
      <c r="C33" s="839" t="s">
        <v>1906</v>
      </c>
      <c r="D33" s="840" t="str">
        <f t="shared" si="0"/>
        <v/>
      </c>
      <c r="E33" s="615" t="s">
        <v>268</v>
      </c>
      <c r="F33" s="810" t="s">
        <v>1906</v>
      </c>
    </row>
    <row r="34" spans="2:6" s="615" customFormat="1">
      <c r="B34" s="838" t="s">
        <v>269</v>
      </c>
      <c r="C34" s="839" t="s">
        <v>270</v>
      </c>
      <c r="D34" s="840" t="str">
        <f t="shared" si="0"/>
        <v/>
      </c>
      <c r="E34" s="615" t="s">
        <v>269</v>
      </c>
      <c r="F34" s="810" t="s">
        <v>270</v>
      </c>
    </row>
    <row r="35" spans="2:6" s="615" customFormat="1">
      <c r="B35" s="838" t="s">
        <v>271</v>
      </c>
      <c r="C35" s="839" t="s">
        <v>272</v>
      </c>
      <c r="D35" s="840" t="str">
        <f t="shared" si="0"/>
        <v/>
      </c>
      <c r="E35" s="615" t="s">
        <v>271</v>
      </c>
      <c r="F35" s="810" t="s">
        <v>272</v>
      </c>
    </row>
    <row r="36" spans="2:6" s="615" customFormat="1">
      <c r="B36" s="838" t="s">
        <v>273</v>
      </c>
      <c r="C36" s="839" t="s">
        <v>1907</v>
      </c>
      <c r="D36" s="840" t="str">
        <f t="shared" si="0"/>
        <v/>
      </c>
      <c r="E36" s="615" t="s">
        <v>273</v>
      </c>
      <c r="F36" s="810" t="s">
        <v>1907</v>
      </c>
    </row>
    <row r="37" spans="2:6" s="615" customFormat="1">
      <c r="B37" s="838" t="s">
        <v>274</v>
      </c>
      <c r="C37" s="839" t="s">
        <v>1908</v>
      </c>
      <c r="D37" s="840" t="str">
        <f t="shared" si="0"/>
        <v/>
      </c>
      <c r="E37" s="615" t="s">
        <v>274</v>
      </c>
      <c r="F37" s="810" t="s">
        <v>1908</v>
      </c>
    </row>
    <row r="38" spans="2:6" s="615" customFormat="1">
      <c r="B38" s="838" t="s">
        <v>275</v>
      </c>
      <c r="C38" s="839" t="s">
        <v>276</v>
      </c>
      <c r="D38" s="840" t="str">
        <f t="shared" si="0"/>
        <v/>
      </c>
      <c r="E38" s="615" t="s">
        <v>275</v>
      </c>
      <c r="F38" s="810" t="s">
        <v>276</v>
      </c>
    </row>
    <row r="39" spans="2:6" s="615" customFormat="1">
      <c r="B39" s="838" t="s">
        <v>277</v>
      </c>
      <c r="C39" s="839" t="s">
        <v>1909</v>
      </c>
      <c r="D39" s="840" t="str">
        <f t="shared" si="0"/>
        <v/>
      </c>
      <c r="E39" s="615" t="s">
        <v>277</v>
      </c>
      <c r="F39" s="810" t="s">
        <v>1909</v>
      </c>
    </row>
    <row r="40" spans="2:6" s="615" customFormat="1">
      <c r="B40" s="838" t="s">
        <v>278</v>
      </c>
      <c r="C40" s="839" t="s">
        <v>1910</v>
      </c>
      <c r="D40" s="840" t="str">
        <f t="shared" si="0"/>
        <v/>
      </c>
      <c r="E40" s="615" t="s">
        <v>278</v>
      </c>
      <c r="F40" s="810" t="s">
        <v>1910</v>
      </c>
    </row>
    <row r="41" spans="2:6" s="615" customFormat="1">
      <c r="B41" s="838" t="s">
        <v>279</v>
      </c>
      <c r="C41" s="839" t="s">
        <v>280</v>
      </c>
      <c r="D41" s="840" t="str">
        <f t="shared" si="0"/>
        <v/>
      </c>
      <c r="E41" s="615" t="s">
        <v>279</v>
      </c>
      <c r="F41" s="810" t="s">
        <v>280</v>
      </c>
    </row>
    <row r="42" spans="2:6" s="615" customFormat="1">
      <c r="B42" s="838" t="s">
        <v>281</v>
      </c>
      <c r="C42" s="839" t="s">
        <v>282</v>
      </c>
      <c r="D42" s="840" t="str">
        <f t="shared" si="0"/>
        <v/>
      </c>
      <c r="E42" s="615" t="s">
        <v>281</v>
      </c>
      <c r="F42" s="810" t="s">
        <v>282</v>
      </c>
    </row>
    <row r="43" spans="2:6" s="615" customFormat="1">
      <c r="B43" s="838" t="s">
        <v>283</v>
      </c>
      <c r="C43" s="839" t="s">
        <v>284</v>
      </c>
      <c r="D43" s="840" t="str">
        <f t="shared" si="0"/>
        <v/>
      </c>
      <c r="E43" s="615" t="s">
        <v>283</v>
      </c>
      <c r="F43" s="810" t="s">
        <v>284</v>
      </c>
    </row>
    <row r="44" spans="2:6" s="615" customFormat="1">
      <c r="B44" s="838" t="s">
        <v>285</v>
      </c>
      <c r="C44" s="839" t="s">
        <v>286</v>
      </c>
      <c r="D44" s="840" t="str">
        <f t="shared" si="0"/>
        <v/>
      </c>
      <c r="E44" s="615" t="s">
        <v>285</v>
      </c>
      <c r="F44" s="810" t="s">
        <v>286</v>
      </c>
    </row>
    <row r="45" spans="2:6" s="615" customFormat="1">
      <c r="B45" s="838" t="s">
        <v>287</v>
      </c>
      <c r="C45" s="839" t="s">
        <v>1911</v>
      </c>
      <c r="D45" s="840" t="str">
        <f t="shared" si="0"/>
        <v/>
      </c>
      <c r="E45" s="615" t="s">
        <v>287</v>
      </c>
      <c r="F45" s="810" t="s">
        <v>1911</v>
      </c>
    </row>
    <row r="46" spans="2:6" s="615" customFormat="1">
      <c r="B46" s="838" t="s">
        <v>288</v>
      </c>
      <c r="C46" s="839" t="s">
        <v>1912</v>
      </c>
      <c r="D46" s="840" t="str">
        <f t="shared" si="0"/>
        <v/>
      </c>
      <c r="E46" s="615" t="s">
        <v>288</v>
      </c>
      <c r="F46" s="810" t="s">
        <v>1912</v>
      </c>
    </row>
    <row r="47" spans="2:6" s="615" customFormat="1">
      <c r="B47" s="838" t="s">
        <v>289</v>
      </c>
      <c r="C47" s="839" t="s">
        <v>1913</v>
      </c>
      <c r="D47" s="840" t="str">
        <f t="shared" si="0"/>
        <v/>
      </c>
      <c r="E47" s="615" t="s">
        <v>289</v>
      </c>
      <c r="F47" s="810" t="s">
        <v>1913</v>
      </c>
    </row>
    <row r="48" spans="2:6" s="615" customFormat="1">
      <c r="B48" s="838" t="s">
        <v>290</v>
      </c>
      <c r="C48" s="839" t="s">
        <v>1914</v>
      </c>
      <c r="D48" s="840" t="str">
        <f t="shared" si="0"/>
        <v/>
      </c>
      <c r="E48" s="615" t="s">
        <v>290</v>
      </c>
      <c r="F48" s="810" t="s">
        <v>1914</v>
      </c>
    </row>
    <row r="49" spans="2:6" s="615" customFormat="1">
      <c r="B49" s="838" t="s">
        <v>291</v>
      </c>
      <c r="C49" s="839" t="s">
        <v>1915</v>
      </c>
      <c r="D49" s="840" t="str">
        <f t="shared" si="0"/>
        <v/>
      </c>
      <c r="E49" s="615" t="s">
        <v>291</v>
      </c>
      <c r="F49" s="810" t="s">
        <v>1915</v>
      </c>
    </row>
    <row r="50" spans="2:6" s="615" customFormat="1">
      <c r="B50" s="838" t="s">
        <v>292</v>
      </c>
      <c r="C50" s="839" t="s">
        <v>1916</v>
      </c>
      <c r="D50" s="840" t="str">
        <f t="shared" si="0"/>
        <v/>
      </c>
      <c r="E50" s="615" t="s">
        <v>292</v>
      </c>
      <c r="F50" s="810" t="s">
        <v>1916</v>
      </c>
    </row>
    <row r="51" spans="2:6" s="615" customFormat="1">
      <c r="B51" s="838" t="s">
        <v>293</v>
      </c>
      <c r="C51" s="839" t="s">
        <v>1917</v>
      </c>
      <c r="D51" s="840" t="str">
        <f t="shared" si="0"/>
        <v/>
      </c>
      <c r="E51" s="615" t="s">
        <v>293</v>
      </c>
      <c r="F51" s="810" t="s">
        <v>1917</v>
      </c>
    </row>
    <row r="52" spans="2:6" s="615" customFormat="1">
      <c r="B52" s="838" t="s">
        <v>294</v>
      </c>
      <c r="C52" s="839" t="s">
        <v>295</v>
      </c>
      <c r="D52" s="840" t="str">
        <f t="shared" si="0"/>
        <v/>
      </c>
      <c r="E52" s="615" t="s">
        <v>294</v>
      </c>
      <c r="F52" s="810" t="s">
        <v>295</v>
      </c>
    </row>
    <row r="53" spans="2:6" s="615" customFormat="1">
      <c r="B53" s="838" t="s">
        <v>296</v>
      </c>
      <c r="C53" s="839" t="s">
        <v>1918</v>
      </c>
      <c r="D53" s="840" t="str">
        <f t="shared" si="0"/>
        <v/>
      </c>
      <c r="E53" s="615" t="s">
        <v>296</v>
      </c>
      <c r="F53" s="810" t="s">
        <v>1918</v>
      </c>
    </row>
    <row r="54" spans="2:6" s="615" customFormat="1">
      <c r="B54" s="838" t="s">
        <v>297</v>
      </c>
      <c r="C54" s="839" t="s">
        <v>1919</v>
      </c>
      <c r="D54" s="840" t="str">
        <f t="shared" si="0"/>
        <v/>
      </c>
      <c r="E54" s="615" t="s">
        <v>297</v>
      </c>
      <c r="F54" s="810" t="s">
        <v>1919</v>
      </c>
    </row>
    <row r="55" spans="2:6" s="615" customFormat="1">
      <c r="B55" s="838" t="s">
        <v>298</v>
      </c>
      <c r="C55" s="839" t="s">
        <v>1920</v>
      </c>
      <c r="D55" s="840" t="str">
        <f t="shared" si="0"/>
        <v/>
      </c>
      <c r="E55" s="615" t="s">
        <v>298</v>
      </c>
      <c r="F55" s="810" t="s">
        <v>1920</v>
      </c>
    </row>
    <row r="56" spans="2:6" s="615" customFormat="1">
      <c r="B56" s="838" t="s">
        <v>299</v>
      </c>
      <c r="C56" s="839" t="s">
        <v>1921</v>
      </c>
      <c r="D56" s="840" t="str">
        <f t="shared" si="0"/>
        <v/>
      </c>
      <c r="E56" s="615" t="s">
        <v>299</v>
      </c>
      <c r="F56" s="810" t="s">
        <v>1921</v>
      </c>
    </row>
    <row r="57" spans="2:6" s="615" customFormat="1">
      <c r="B57" s="838" t="s">
        <v>300</v>
      </c>
      <c r="C57" s="839" t="s">
        <v>1922</v>
      </c>
      <c r="D57" s="840" t="str">
        <f t="shared" si="0"/>
        <v/>
      </c>
      <c r="E57" s="615" t="s">
        <v>300</v>
      </c>
      <c r="F57" s="810" t="s">
        <v>1922</v>
      </c>
    </row>
    <row r="58" spans="2:6" s="615" customFormat="1">
      <c r="B58" s="838" t="s">
        <v>301</v>
      </c>
      <c r="C58" s="839" t="s">
        <v>1923</v>
      </c>
      <c r="D58" s="840" t="str">
        <f t="shared" si="0"/>
        <v/>
      </c>
      <c r="E58" s="615" t="s">
        <v>301</v>
      </c>
      <c r="F58" s="810" t="s">
        <v>1923</v>
      </c>
    </row>
    <row r="59" spans="2:6" s="615" customFormat="1">
      <c r="B59" s="838" t="s">
        <v>302</v>
      </c>
      <c r="C59" s="839" t="s">
        <v>1924</v>
      </c>
      <c r="D59" s="840" t="str">
        <f t="shared" si="0"/>
        <v/>
      </c>
      <c r="E59" s="615" t="s">
        <v>302</v>
      </c>
      <c r="F59" s="810" t="s">
        <v>1924</v>
      </c>
    </row>
    <row r="60" spans="2:6" s="615" customFormat="1">
      <c r="B60" s="838" t="s">
        <v>303</v>
      </c>
      <c r="C60" s="839" t="s">
        <v>1925</v>
      </c>
      <c r="D60" s="840" t="str">
        <f t="shared" si="0"/>
        <v/>
      </c>
      <c r="E60" s="615" t="s">
        <v>303</v>
      </c>
      <c r="F60" s="810" t="s">
        <v>1925</v>
      </c>
    </row>
    <row r="61" spans="2:6" s="615" customFormat="1">
      <c r="B61" s="838" t="s">
        <v>304</v>
      </c>
      <c r="C61" s="839" t="s">
        <v>1926</v>
      </c>
      <c r="D61" s="840" t="str">
        <f t="shared" si="0"/>
        <v/>
      </c>
      <c r="E61" s="615" t="s">
        <v>304</v>
      </c>
      <c r="F61" s="810" t="s">
        <v>1926</v>
      </c>
    </row>
    <row r="62" spans="2:6" s="615" customFormat="1">
      <c r="B62" s="838" t="s">
        <v>305</v>
      </c>
      <c r="C62" s="839" t="s">
        <v>1927</v>
      </c>
      <c r="D62" s="840" t="str">
        <f t="shared" si="0"/>
        <v/>
      </c>
      <c r="E62" s="615" t="s">
        <v>305</v>
      </c>
      <c r="F62" s="810" t="s">
        <v>1927</v>
      </c>
    </row>
    <row r="63" spans="2:6" s="615" customFormat="1">
      <c r="B63" s="838" t="s">
        <v>306</v>
      </c>
      <c r="C63" s="839" t="s">
        <v>1928</v>
      </c>
      <c r="D63" s="840" t="str">
        <f t="shared" si="0"/>
        <v/>
      </c>
      <c r="E63" s="615" t="s">
        <v>306</v>
      </c>
      <c r="F63" s="810" t="s">
        <v>1928</v>
      </c>
    </row>
    <row r="64" spans="2:6" s="615" customFormat="1">
      <c r="B64" s="838" t="s">
        <v>307</v>
      </c>
      <c r="C64" s="839" t="s">
        <v>308</v>
      </c>
      <c r="D64" s="840" t="str">
        <f t="shared" si="0"/>
        <v/>
      </c>
      <c r="E64" s="615" t="s">
        <v>307</v>
      </c>
      <c r="F64" s="810" t="s">
        <v>308</v>
      </c>
    </row>
    <row r="65" spans="2:6" s="615" customFormat="1">
      <c r="B65" s="838" t="s">
        <v>309</v>
      </c>
      <c r="C65" s="839" t="s">
        <v>1929</v>
      </c>
      <c r="D65" s="840" t="str">
        <f t="shared" si="0"/>
        <v/>
      </c>
      <c r="E65" s="615" t="s">
        <v>309</v>
      </c>
      <c r="F65" s="810" t="s">
        <v>1929</v>
      </c>
    </row>
    <row r="66" spans="2:6" s="615" customFormat="1">
      <c r="B66" s="838" t="s">
        <v>310</v>
      </c>
      <c r="C66" s="839" t="s">
        <v>1930</v>
      </c>
      <c r="D66" s="840" t="str">
        <f t="shared" si="0"/>
        <v/>
      </c>
      <c r="E66" s="615" t="s">
        <v>310</v>
      </c>
      <c r="F66" s="810" t="s">
        <v>1930</v>
      </c>
    </row>
    <row r="67" spans="2:6" s="615" customFormat="1">
      <c r="B67" s="838" t="s">
        <v>311</v>
      </c>
      <c r="C67" s="839" t="s">
        <v>1931</v>
      </c>
      <c r="D67" s="840" t="str">
        <f t="shared" si="0"/>
        <v/>
      </c>
      <c r="E67" s="615" t="s">
        <v>311</v>
      </c>
      <c r="F67" s="810" t="s">
        <v>1931</v>
      </c>
    </row>
    <row r="68" spans="2:6" s="615" customFormat="1">
      <c r="B68" s="838" t="s">
        <v>312</v>
      </c>
      <c r="C68" s="839" t="s">
        <v>313</v>
      </c>
      <c r="D68" s="840" t="str">
        <f t="shared" ref="D68:D131" si="1">IF(AND(B68=E68,C68=F68),"","x")</f>
        <v/>
      </c>
      <c r="E68" s="615" t="s">
        <v>312</v>
      </c>
      <c r="F68" s="810" t="s">
        <v>313</v>
      </c>
    </row>
    <row r="69" spans="2:6" s="615" customFormat="1">
      <c r="B69" s="838" t="s">
        <v>314</v>
      </c>
      <c r="C69" s="839" t="s">
        <v>1932</v>
      </c>
      <c r="D69" s="840" t="str">
        <f t="shared" si="1"/>
        <v/>
      </c>
      <c r="E69" s="615" t="s">
        <v>314</v>
      </c>
      <c r="F69" s="810" t="s">
        <v>1932</v>
      </c>
    </row>
    <row r="70" spans="2:6" s="615" customFormat="1">
      <c r="B70" s="838" t="s">
        <v>315</v>
      </c>
      <c r="C70" s="839" t="s">
        <v>1933</v>
      </c>
      <c r="D70" s="840" t="str">
        <f t="shared" si="1"/>
        <v/>
      </c>
      <c r="E70" s="615" t="s">
        <v>315</v>
      </c>
      <c r="F70" s="810" t="s">
        <v>1933</v>
      </c>
    </row>
    <row r="71" spans="2:6" s="615" customFormat="1">
      <c r="B71" s="838" t="s">
        <v>316</v>
      </c>
      <c r="C71" s="839" t="s">
        <v>1934</v>
      </c>
      <c r="D71" s="840" t="str">
        <f t="shared" si="1"/>
        <v/>
      </c>
      <c r="E71" s="615" t="s">
        <v>316</v>
      </c>
      <c r="F71" s="810" t="s">
        <v>1934</v>
      </c>
    </row>
    <row r="72" spans="2:6" s="615" customFormat="1">
      <c r="B72" s="838" t="s">
        <v>317</v>
      </c>
      <c r="C72" s="839" t="s">
        <v>1935</v>
      </c>
      <c r="D72" s="840" t="str">
        <f t="shared" si="1"/>
        <v/>
      </c>
      <c r="E72" s="615" t="s">
        <v>317</v>
      </c>
      <c r="F72" s="810" t="s">
        <v>1935</v>
      </c>
    </row>
    <row r="73" spans="2:6" s="615" customFormat="1">
      <c r="B73" s="838" t="s">
        <v>318</v>
      </c>
      <c r="C73" s="839" t="s">
        <v>319</v>
      </c>
      <c r="D73" s="840" t="str">
        <f t="shared" si="1"/>
        <v/>
      </c>
      <c r="E73" s="615" t="s">
        <v>318</v>
      </c>
      <c r="F73" s="810" t="s">
        <v>319</v>
      </c>
    </row>
    <row r="74" spans="2:6" s="615" customFormat="1">
      <c r="B74" s="838" t="s">
        <v>320</v>
      </c>
      <c r="C74" s="839" t="s">
        <v>321</v>
      </c>
      <c r="D74" s="840" t="str">
        <f t="shared" si="1"/>
        <v/>
      </c>
      <c r="E74" s="615" t="s">
        <v>320</v>
      </c>
      <c r="F74" s="810" t="s">
        <v>321</v>
      </c>
    </row>
    <row r="75" spans="2:6" s="615" customFormat="1">
      <c r="B75" s="838" t="s">
        <v>322</v>
      </c>
      <c r="C75" s="839" t="s">
        <v>1936</v>
      </c>
      <c r="D75" s="840" t="str">
        <f t="shared" si="1"/>
        <v/>
      </c>
      <c r="E75" s="615" t="s">
        <v>322</v>
      </c>
      <c r="F75" s="810" t="s">
        <v>1936</v>
      </c>
    </row>
    <row r="76" spans="2:6" s="615" customFormat="1">
      <c r="B76" s="838" t="s">
        <v>323</v>
      </c>
      <c r="C76" s="839" t="s">
        <v>1937</v>
      </c>
      <c r="D76" s="840" t="str">
        <f t="shared" si="1"/>
        <v/>
      </c>
      <c r="E76" s="615" t="s">
        <v>323</v>
      </c>
      <c r="F76" s="810" t="s">
        <v>1937</v>
      </c>
    </row>
    <row r="77" spans="2:6" s="615" customFormat="1">
      <c r="B77" s="838" t="s">
        <v>324</v>
      </c>
      <c r="C77" s="839" t="s">
        <v>1938</v>
      </c>
      <c r="D77" s="840" t="str">
        <f t="shared" si="1"/>
        <v/>
      </c>
      <c r="E77" s="615" t="s">
        <v>324</v>
      </c>
      <c r="F77" s="810" t="s">
        <v>1938</v>
      </c>
    </row>
    <row r="78" spans="2:6" s="615" customFormat="1">
      <c r="B78" s="838" t="s">
        <v>325</v>
      </c>
      <c r="C78" s="839" t="s">
        <v>326</v>
      </c>
      <c r="D78" s="840" t="str">
        <f t="shared" si="1"/>
        <v/>
      </c>
      <c r="E78" s="615" t="s">
        <v>325</v>
      </c>
      <c r="F78" s="810" t="s">
        <v>326</v>
      </c>
    </row>
    <row r="79" spans="2:6" s="615" customFormat="1">
      <c r="B79" s="838" t="s">
        <v>327</v>
      </c>
      <c r="C79" s="839" t="s">
        <v>1939</v>
      </c>
      <c r="D79" s="840" t="str">
        <f t="shared" si="1"/>
        <v/>
      </c>
      <c r="E79" s="615" t="s">
        <v>327</v>
      </c>
      <c r="F79" s="810" t="s">
        <v>1939</v>
      </c>
    </row>
    <row r="80" spans="2:6" s="615" customFormat="1">
      <c r="B80" s="838" t="s">
        <v>328</v>
      </c>
      <c r="C80" s="839" t="s">
        <v>1940</v>
      </c>
      <c r="D80" s="840" t="str">
        <f t="shared" si="1"/>
        <v/>
      </c>
      <c r="E80" s="615" t="s">
        <v>328</v>
      </c>
      <c r="F80" s="810" t="s">
        <v>1940</v>
      </c>
    </row>
    <row r="81" spans="2:6" s="615" customFormat="1">
      <c r="B81" s="838" t="s">
        <v>329</v>
      </c>
      <c r="C81" s="839" t="s">
        <v>1941</v>
      </c>
      <c r="D81" s="840" t="str">
        <f t="shared" si="1"/>
        <v/>
      </c>
      <c r="E81" s="615" t="s">
        <v>329</v>
      </c>
      <c r="F81" s="810" t="s">
        <v>1941</v>
      </c>
    </row>
    <row r="82" spans="2:6" s="615" customFormat="1">
      <c r="B82" s="838" t="s">
        <v>330</v>
      </c>
      <c r="C82" s="839" t="s">
        <v>1942</v>
      </c>
      <c r="D82" s="840" t="str">
        <f t="shared" si="1"/>
        <v/>
      </c>
      <c r="E82" s="615" t="s">
        <v>330</v>
      </c>
      <c r="F82" s="810" t="s">
        <v>1942</v>
      </c>
    </row>
    <row r="83" spans="2:6" s="615" customFormat="1">
      <c r="B83" s="838" t="s">
        <v>331</v>
      </c>
      <c r="C83" s="839" t="s">
        <v>1943</v>
      </c>
      <c r="D83" s="840" t="str">
        <f t="shared" si="1"/>
        <v/>
      </c>
      <c r="E83" s="615" t="s">
        <v>331</v>
      </c>
      <c r="F83" s="810" t="s">
        <v>1943</v>
      </c>
    </row>
    <row r="84" spans="2:6" s="615" customFormat="1">
      <c r="B84" s="838" t="s">
        <v>332</v>
      </c>
      <c r="C84" s="839" t="s">
        <v>333</v>
      </c>
      <c r="D84" s="840" t="str">
        <f t="shared" si="1"/>
        <v/>
      </c>
      <c r="E84" s="615" t="s">
        <v>332</v>
      </c>
      <c r="F84" s="810" t="s">
        <v>333</v>
      </c>
    </row>
    <row r="85" spans="2:6" s="615" customFormat="1">
      <c r="B85" s="838" t="s">
        <v>334</v>
      </c>
      <c r="C85" s="839" t="s">
        <v>1944</v>
      </c>
      <c r="D85" s="840" t="str">
        <f t="shared" si="1"/>
        <v/>
      </c>
      <c r="E85" s="615" t="s">
        <v>334</v>
      </c>
      <c r="F85" s="810" t="s">
        <v>1944</v>
      </c>
    </row>
    <row r="86" spans="2:6" s="615" customFormat="1">
      <c r="B86" s="838" t="s">
        <v>335</v>
      </c>
      <c r="C86" s="839" t="s">
        <v>336</v>
      </c>
      <c r="D86" s="840" t="str">
        <f t="shared" si="1"/>
        <v/>
      </c>
      <c r="E86" s="615" t="s">
        <v>335</v>
      </c>
      <c r="F86" s="810" t="s">
        <v>336</v>
      </c>
    </row>
    <row r="87" spans="2:6" s="615" customFormat="1">
      <c r="B87" s="838" t="s">
        <v>337</v>
      </c>
      <c r="C87" s="839" t="s">
        <v>1945</v>
      </c>
      <c r="D87" s="840" t="str">
        <f t="shared" si="1"/>
        <v/>
      </c>
      <c r="E87" s="615" t="s">
        <v>337</v>
      </c>
      <c r="F87" s="810" t="s">
        <v>1945</v>
      </c>
    </row>
    <row r="88" spans="2:6" s="615" customFormat="1">
      <c r="B88" s="838" t="s">
        <v>338</v>
      </c>
      <c r="C88" s="839" t="s">
        <v>1946</v>
      </c>
      <c r="D88" s="840" t="str">
        <f t="shared" si="1"/>
        <v/>
      </c>
      <c r="E88" s="615" t="s">
        <v>338</v>
      </c>
      <c r="F88" s="810" t="s">
        <v>1946</v>
      </c>
    </row>
    <row r="89" spans="2:6" s="615" customFormat="1">
      <c r="B89" s="838" t="s">
        <v>339</v>
      </c>
      <c r="C89" s="839" t="s">
        <v>1947</v>
      </c>
      <c r="D89" s="840" t="str">
        <f t="shared" si="1"/>
        <v/>
      </c>
      <c r="E89" s="615" t="s">
        <v>339</v>
      </c>
      <c r="F89" s="810" t="s">
        <v>1947</v>
      </c>
    </row>
    <row r="90" spans="2:6" s="615" customFormat="1">
      <c r="B90" s="838" t="s">
        <v>340</v>
      </c>
      <c r="C90" s="839" t="s">
        <v>1948</v>
      </c>
      <c r="D90" s="840" t="str">
        <f t="shared" si="1"/>
        <v/>
      </c>
      <c r="E90" s="615" t="s">
        <v>340</v>
      </c>
      <c r="F90" s="810" t="s">
        <v>1948</v>
      </c>
    </row>
    <row r="91" spans="2:6" s="615" customFormat="1">
      <c r="B91" s="838" t="s">
        <v>341</v>
      </c>
      <c r="C91" s="839" t="s">
        <v>1949</v>
      </c>
      <c r="D91" s="840" t="str">
        <f t="shared" si="1"/>
        <v/>
      </c>
      <c r="E91" s="615" t="s">
        <v>341</v>
      </c>
      <c r="F91" s="810" t="s">
        <v>1949</v>
      </c>
    </row>
    <row r="92" spans="2:6" s="615" customFormat="1">
      <c r="B92" s="838" t="s">
        <v>342</v>
      </c>
      <c r="C92" s="839" t="s">
        <v>1950</v>
      </c>
      <c r="D92" s="840" t="str">
        <f t="shared" si="1"/>
        <v/>
      </c>
      <c r="E92" s="615" t="s">
        <v>342</v>
      </c>
      <c r="F92" s="810" t="s">
        <v>1950</v>
      </c>
    </row>
    <row r="93" spans="2:6" s="615" customFormat="1">
      <c r="B93" s="838" t="s">
        <v>343</v>
      </c>
      <c r="C93" s="839" t="s">
        <v>1951</v>
      </c>
      <c r="D93" s="840" t="str">
        <f t="shared" si="1"/>
        <v/>
      </c>
      <c r="E93" s="615" t="s">
        <v>343</v>
      </c>
      <c r="F93" s="810" t="s">
        <v>1951</v>
      </c>
    </row>
    <row r="94" spans="2:6" s="615" customFormat="1">
      <c r="B94" s="838" t="s">
        <v>344</v>
      </c>
      <c r="C94" s="839" t="s">
        <v>1952</v>
      </c>
      <c r="D94" s="840" t="str">
        <f t="shared" si="1"/>
        <v/>
      </c>
      <c r="E94" s="615" t="s">
        <v>344</v>
      </c>
      <c r="F94" s="810" t="s">
        <v>1952</v>
      </c>
    </row>
    <row r="95" spans="2:6" s="615" customFormat="1">
      <c r="B95" s="838" t="s">
        <v>345</v>
      </c>
      <c r="C95" s="839" t="s">
        <v>1953</v>
      </c>
      <c r="D95" s="840" t="str">
        <f t="shared" si="1"/>
        <v/>
      </c>
      <c r="E95" s="615" t="s">
        <v>345</v>
      </c>
      <c r="F95" s="810" t="s">
        <v>1953</v>
      </c>
    </row>
    <row r="96" spans="2:6" s="615" customFormat="1">
      <c r="B96" s="838" t="s">
        <v>346</v>
      </c>
      <c r="C96" s="839" t="s">
        <v>1954</v>
      </c>
      <c r="D96" s="840" t="str">
        <f t="shared" si="1"/>
        <v/>
      </c>
      <c r="E96" s="615" t="s">
        <v>346</v>
      </c>
      <c r="F96" s="810" t="s">
        <v>1954</v>
      </c>
    </row>
    <row r="97" spans="2:6" s="615" customFormat="1">
      <c r="B97" s="838" t="s">
        <v>347</v>
      </c>
      <c r="C97" s="839" t="s">
        <v>1955</v>
      </c>
      <c r="D97" s="840" t="str">
        <f t="shared" si="1"/>
        <v/>
      </c>
      <c r="E97" s="615" t="s">
        <v>347</v>
      </c>
      <c r="F97" s="810" t="s">
        <v>1955</v>
      </c>
    </row>
    <row r="98" spans="2:6" s="615" customFormat="1">
      <c r="B98" s="838" t="s">
        <v>348</v>
      </c>
      <c r="C98" s="839" t="s">
        <v>1956</v>
      </c>
      <c r="D98" s="840" t="str">
        <f t="shared" si="1"/>
        <v/>
      </c>
      <c r="E98" s="615" t="s">
        <v>348</v>
      </c>
      <c r="F98" s="810" t="s">
        <v>1956</v>
      </c>
    </row>
    <row r="99" spans="2:6" s="615" customFormat="1">
      <c r="B99" s="838" t="s">
        <v>349</v>
      </c>
      <c r="C99" s="839" t="s">
        <v>1957</v>
      </c>
      <c r="D99" s="840" t="str">
        <f t="shared" si="1"/>
        <v/>
      </c>
      <c r="E99" s="615" t="s">
        <v>349</v>
      </c>
      <c r="F99" s="810" t="s">
        <v>1957</v>
      </c>
    </row>
    <row r="100" spans="2:6" s="615" customFormat="1">
      <c r="B100" s="838" t="s">
        <v>350</v>
      </c>
      <c r="C100" s="839" t="s">
        <v>1958</v>
      </c>
      <c r="D100" s="840" t="str">
        <f t="shared" si="1"/>
        <v/>
      </c>
      <c r="E100" s="615" t="s">
        <v>350</v>
      </c>
      <c r="F100" s="810" t="s">
        <v>1958</v>
      </c>
    </row>
    <row r="101" spans="2:6" s="615" customFormat="1">
      <c r="B101" s="838" t="s">
        <v>351</v>
      </c>
      <c r="C101" s="839" t="s">
        <v>1959</v>
      </c>
      <c r="D101" s="840" t="str">
        <f t="shared" si="1"/>
        <v/>
      </c>
      <c r="E101" s="615" t="s">
        <v>351</v>
      </c>
      <c r="F101" s="810" t="s">
        <v>1959</v>
      </c>
    </row>
    <row r="102" spans="2:6" s="615" customFormat="1">
      <c r="B102" s="838" t="s">
        <v>352</v>
      </c>
      <c r="C102" s="839" t="s">
        <v>1960</v>
      </c>
      <c r="D102" s="840" t="str">
        <f t="shared" si="1"/>
        <v/>
      </c>
      <c r="E102" s="615" t="s">
        <v>352</v>
      </c>
      <c r="F102" s="810" t="s">
        <v>1960</v>
      </c>
    </row>
    <row r="103" spans="2:6" s="615" customFormat="1">
      <c r="B103" s="838" t="s">
        <v>353</v>
      </c>
      <c r="C103" s="839" t="s">
        <v>1961</v>
      </c>
      <c r="D103" s="840" t="str">
        <f t="shared" si="1"/>
        <v/>
      </c>
      <c r="E103" s="615" t="s">
        <v>353</v>
      </c>
      <c r="F103" s="810" t="s">
        <v>1961</v>
      </c>
    </row>
    <row r="104" spans="2:6" s="615" customFormat="1">
      <c r="B104" s="838" t="s">
        <v>354</v>
      </c>
      <c r="C104" s="839" t="s">
        <v>1962</v>
      </c>
      <c r="D104" s="840" t="str">
        <f t="shared" si="1"/>
        <v/>
      </c>
      <c r="E104" s="615" t="s">
        <v>354</v>
      </c>
      <c r="F104" s="810" t="s">
        <v>1962</v>
      </c>
    </row>
    <row r="105" spans="2:6" s="615" customFormat="1">
      <c r="B105" s="838" t="s">
        <v>1146</v>
      </c>
      <c r="C105" s="839" t="s">
        <v>1963</v>
      </c>
      <c r="D105" s="840" t="str">
        <f t="shared" si="1"/>
        <v/>
      </c>
      <c r="E105" s="615" t="s">
        <v>1146</v>
      </c>
      <c r="F105" s="810" t="s">
        <v>1963</v>
      </c>
    </row>
    <row r="106" spans="2:6" s="615" customFormat="1">
      <c r="B106" s="838" t="s">
        <v>355</v>
      </c>
      <c r="C106" s="839" t="s">
        <v>1964</v>
      </c>
      <c r="D106" s="840" t="str">
        <f t="shared" si="1"/>
        <v/>
      </c>
      <c r="E106" s="615" t="s">
        <v>355</v>
      </c>
      <c r="F106" s="810" t="s">
        <v>1964</v>
      </c>
    </row>
    <row r="107" spans="2:6" s="615" customFormat="1">
      <c r="B107" s="838" t="s">
        <v>356</v>
      </c>
      <c r="C107" s="839" t="s">
        <v>1965</v>
      </c>
      <c r="D107" s="840" t="str">
        <f t="shared" si="1"/>
        <v/>
      </c>
      <c r="E107" s="615" t="s">
        <v>356</v>
      </c>
      <c r="F107" s="810" t="s">
        <v>1965</v>
      </c>
    </row>
    <row r="108" spans="2:6" s="615" customFormat="1">
      <c r="B108" s="838" t="s">
        <v>357</v>
      </c>
      <c r="C108" s="839" t="s">
        <v>358</v>
      </c>
      <c r="D108" s="840" t="str">
        <f t="shared" si="1"/>
        <v/>
      </c>
      <c r="E108" s="615" t="s">
        <v>357</v>
      </c>
      <c r="F108" s="810" t="s">
        <v>358</v>
      </c>
    </row>
    <row r="109" spans="2:6" s="615" customFormat="1">
      <c r="B109" s="838" t="s">
        <v>359</v>
      </c>
      <c r="C109" s="839" t="s">
        <v>1966</v>
      </c>
      <c r="D109" s="840" t="str">
        <f t="shared" si="1"/>
        <v/>
      </c>
      <c r="E109" s="615" t="s">
        <v>359</v>
      </c>
      <c r="F109" s="810" t="s">
        <v>1966</v>
      </c>
    </row>
    <row r="110" spans="2:6" s="615" customFormat="1">
      <c r="B110" s="838" t="s">
        <v>360</v>
      </c>
      <c r="C110" s="839" t="s">
        <v>1967</v>
      </c>
      <c r="D110" s="840" t="str">
        <f t="shared" si="1"/>
        <v/>
      </c>
      <c r="E110" s="615" t="s">
        <v>360</v>
      </c>
      <c r="F110" s="810" t="s">
        <v>1967</v>
      </c>
    </row>
    <row r="111" spans="2:6" s="615" customFormat="1">
      <c r="B111" s="838" t="s">
        <v>361</v>
      </c>
      <c r="C111" s="839" t="s">
        <v>1968</v>
      </c>
      <c r="D111" s="840" t="str">
        <f t="shared" si="1"/>
        <v/>
      </c>
      <c r="E111" s="615" t="s">
        <v>361</v>
      </c>
      <c r="F111" s="810" t="s">
        <v>1968</v>
      </c>
    </row>
    <row r="112" spans="2:6" s="615" customFormat="1">
      <c r="B112" s="838" t="s">
        <v>362</v>
      </c>
      <c r="C112" s="839" t="s">
        <v>1969</v>
      </c>
      <c r="D112" s="840" t="str">
        <f t="shared" si="1"/>
        <v/>
      </c>
      <c r="E112" s="615" t="s">
        <v>362</v>
      </c>
      <c r="F112" s="810" t="s">
        <v>1969</v>
      </c>
    </row>
    <row r="113" spans="2:6" s="615" customFormat="1">
      <c r="B113" s="838" t="s">
        <v>363</v>
      </c>
      <c r="C113" s="839" t="s">
        <v>1970</v>
      </c>
      <c r="D113" s="840" t="str">
        <f t="shared" si="1"/>
        <v/>
      </c>
      <c r="E113" s="615" t="s">
        <v>363</v>
      </c>
      <c r="F113" s="810" t="s">
        <v>1970</v>
      </c>
    </row>
    <row r="114" spans="2:6" s="615" customFormat="1">
      <c r="B114" s="838" t="s">
        <v>364</v>
      </c>
      <c r="C114" s="839" t="s">
        <v>1971</v>
      </c>
      <c r="D114" s="840" t="str">
        <f t="shared" si="1"/>
        <v/>
      </c>
      <c r="E114" s="615" t="s">
        <v>364</v>
      </c>
      <c r="F114" s="810" t="s">
        <v>1971</v>
      </c>
    </row>
    <row r="115" spans="2:6" s="615" customFormat="1">
      <c r="B115" s="838" t="s">
        <v>365</v>
      </c>
      <c r="C115" s="839" t="s">
        <v>1972</v>
      </c>
      <c r="D115" s="840" t="str">
        <f t="shared" si="1"/>
        <v/>
      </c>
      <c r="E115" s="615" t="s">
        <v>365</v>
      </c>
      <c r="F115" s="810" t="s">
        <v>1972</v>
      </c>
    </row>
    <row r="116" spans="2:6" s="615" customFormat="1">
      <c r="B116" s="838" t="s">
        <v>366</v>
      </c>
      <c r="C116" s="839" t="s">
        <v>1973</v>
      </c>
      <c r="D116" s="840" t="str">
        <f t="shared" si="1"/>
        <v/>
      </c>
      <c r="E116" s="615" t="s">
        <v>366</v>
      </c>
      <c r="F116" s="810" t="s">
        <v>1973</v>
      </c>
    </row>
    <row r="117" spans="2:6" s="615" customFormat="1">
      <c r="B117" s="838" t="s">
        <v>367</v>
      </c>
      <c r="C117" s="839" t="s">
        <v>1974</v>
      </c>
      <c r="D117" s="840" t="str">
        <f t="shared" si="1"/>
        <v/>
      </c>
      <c r="E117" s="615" t="s">
        <v>367</v>
      </c>
      <c r="F117" s="810" t="s">
        <v>1974</v>
      </c>
    </row>
    <row r="118" spans="2:6" s="615" customFormat="1">
      <c r="B118" s="838" t="s">
        <v>368</v>
      </c>
      <c r="C118" s="839" t="s">
        <v>1975</v>
      </c>
      <c r="D118" s="840" t="str">
        <f t="shared" si="1"/>
        <v/>
      </c>
      <c r="E118" s="615" t="s">
        <v>368</v>
      </c>
      <c r="F118" s="810" t="s">
        <v>1975</v>
      </c>
    </row>
    <row r="119" spans="2:6" s="615" customFormat="1">
      <c r="B119" s="838" t="s">
        <v>369</v>
      </c>
      <c r="C119" s="839" t="s">
        <v>1976</v>
      </c>
      <c r="D119" s="840" t="str">
        <f t="shared" si="1"/>
        <v/>
      </c>
      <c r="E119" s="615" t="s">
        <v>369</v>
      </c>
      <c r="F119" s="810" t="s">
        <v>1976</v>
      </c>
    </row>
    <row r="120" spans="2:6" s="615" customFormat="1">
      <c r="B120" s="838" t="s">
        <v>370</v>
      </c>
      <c r="C120" s="839" t="s">
        <v>1977</v>
      </c>
      <c r="D120" s="840" t="str">
        <f t="shared" si="1"/>
        <v/>
      </c>
      <c r="E120" s="615" t="s">
        <v>370</v>
      </c>
      <c r="F120" s="810" t="s">
        <v>1977</v>
      </c>
    </row>
    <row r="121" spans="2:6" s="615" customFormat="1">
      <c r="B121" s="838" t="s">
        <v>371</v>
      </c>
      <c r="C121" s="839" t="s">
        <v>1978</v>
      </c>
      <c r="D121" s="840" t="str">
        <f t="shared" si="1"/>
        <v/>
      </c>
      <c r="E121" s="615" t="s">
        <v>371</v>
      </c>
      <c r="F121" s="810" t="s">
        <v>1978</v>
      </c>
    </row>
    <row r="122" spans="2:6" s="615" customFormat="1">
      <c r="B122" s="838" t="s">
        <v>372</v>
      </c>
      <c r="C122" s="839" t="s">
        <v>1979</v>
      </c>
      <c r="D122" s="840" t="str">
        <f t="shared" si="1"/>
        <v/>
      </c>
      <c r="E122" s="615" t="s">
        <v>372</v>
      </c>
      <c r="F122" s="810" t="s">
        <v>1979</v>
      </c>
    </row>
    <row r="123" spans="2:6" s="615" customFormat="1">
      <c r="B123" s="838" t="s">
        <v>373</v>
      </c>
      <c r="C123" s="839" t="s">
        <v>1980</v>
      </c>
      <c r="D123" s="840" t="str">
        <f t="shared" si="1"/>
        <v/>
      </c>
      <c r="E123" s="615" t="s">
        <v>373</v>
      </c>
      <c r="F123" s="810" t="s">
        <v>1980</v>
      </c>
    </row>
    <row r="124" spans="2:6" s="615" customFormat="1">
      <c r="B124" s="838" t="s">
        <v>374</v>
      </c>
      <c r="C124" s="839" t="s">
        <v>1981</v>
      </c>
      <c r="D124" s="840" t="str">
        <f t="shared" si="1"/>
        <v/>
      </c>
      <c r="E124" s="615" t="s">
        <v>374</v>
      </c>
      <c r="F124" s="810" t="s">
        <v>1981</v>
      </c>
    </row>
    <row r="125" spans="2:6" s="615" customFormat="1">
      <c r="B125" s="838" t="s">
        <v>375</v>
      </c>
      <c r="C125" s="839" t="s">
        <v>1982</v>
      </c>
      <c r="D125" s="840" t="str">
        <f t="shared" si="1"/>
        <v/>
      </c>
      <c r="E125" s="615" t="s">
        <v>375</v>
      </c>
      <c r="F125" s="810" t="s">
        <v>1982</v>
      </c>
    </row>
    <row r="126" spans="2:6" s="615" customFormat="1">
      <c r="B126" s="838" t="s">
        <v>376</v>
      </c>
      <c r="C126" s="839" t="s">
        <v>1983</v>
      </c>
      <c r="D126" s="840" t="str">
        <f t="shared" si="1"/>
        <v/>
      </c>
      <c r="E126" s="615" t="s">
        <v>376</v>
      </c>
      <c r="F126" s="810" t="s">
        <v>1983</v>
      </c>
    </row>
    <row r="127" spans="2:6" s="615" customFormat="1">
      <c r="B127" s="838" t="s">
        <v>377</v>
      </c>
      <c r="C127" s="839" t="s">
        <v>1984</v>
      </c>
      <c r="D127" s="840" t="str">
        <f t="shared" si="1"/>
        <v/>
      </c>
      <c r="E127" s="615" t="s">
        <v>377</v>
      </c>
      <c r="F127" s="810" t="s">
        <v>1984</v>
      </c>
    </row>
    <row r="128" spans="2:6" s="615" customFormat="1">
      <c r="B128" s="838" t="s">
        <v>378</v>
      </c>
      <c r="C128" s="839" t="s">
        <v>1985</v>
      </c>
      <c r="D128" s="840" t="str">
        <f t="shared" si="1"/>
        <v/>
      </c>
      <c r="E128" s="615" t="s">
        <v>378</v>
      </c>
      <c r="F128" s="810" t="s">
        <v>1985</v>
      </c>
    </row>
    <row r="129" spans="2:6" s="615" customFormat="1">
      <c r="B129" s="838" t="s">
        <v>379</v>
      </c>
      <c r="C129" s="839" t="s">
        <v>1986</v>
      </c>
      <c r="D129" s="840" t="str">
        <f t="shared" si="1"/>
        <v/>
      </c>
      <c r="E129" s="615" t="s">
        <v>379</v>
      </c>
      <c r="F129" s="810" t="s">
        <v>1986</v>
      </c>
    </row>
    <row r="130" spans="2:6" s="615" customFormat="1">
      <c r="B130" s="838" t="s">
        <v>380</v>
      </c>
      <c r="C130" s="839" t="s">
        <v>1987</v>
      </c>
      <c r="D130" s="840" t="str">
        <f t="shared" si="1"/>
        <v/>
      </c>
      <c r="E130" s="615" t="s">
        <v>380</v>
      </c>
      <c r="F130" s="810" t="s">
        <v>1987</v>
      </c>
    </row>
    <row r="131" spans="2:6" s="615" customFormat="1">
      <c r="B131" s="838" t="s">
        <v>381</v>
      </c>
      <c r="C131" s="839" t="s">
        <v>382</v>
      </c>
      <c r="D131" s="840" t="str">
        <f t="shared" si="1"/>
        <v/>
      </c>
      <c r="E131" s="615" t="s">
        <v>381</v>
      </c>
      <c r="F131" s="810" t="s">
        <v>382</v>
      </c>
    </row>
    <row r="132" spans="2:6" s="615" customFormat="1">
      <c r="B132" s="838" t="s">
        <v>383</v>
      </c>
      <c r="C132" s="839" t="s">
        <v>1988</v>
      </c>
      <c r="D132" s="840" t="str">
        <f t="shared" ref="D132:D195" si="2">IF(AND(B132=E132,C132=F132),"","x")</f>
        <v/>
      </c>
      <c r="E132" s="615" t="s">
        <v>383</v>
      </c>
      <c r="F132" s="810" t="s">
        <v>1988</v>
      </c>
    </row>
    <row r="133" spans="2:6" s="615" customFormat="1">
      <c r="B133" s="838" t="s">
        <v>384</v>
      </c>
      <c r="C133" s="839" t="s">
        <v>1989</v>
      </c>
      <c r="D133" s="840" t="str">
        <f t="shared" si="2"/>
        <v/>
      </c>
      <c r="E133" s="615" t="s">
        <v>384</v>
      </c>
      <c r="F133" s="810" t="s">
        <v>1989</v>
      </c>
    </row>
    <row r="134" spans="2:6" s="615" customFormat="1">
      <c r="B134" s="838" t="s">
        <v>385</v>
      </c>
      <c r="C134" s="839" t="s">
        <v>1990</v>
      </c>
      <c r="D134" s="840" t="str">
        <f t="shared" si="2"/>
        <v/>
      </c>
      <c r="E134" s="615" t="s">
        <v>385</v>
      </c>
      <c r="F134" s="810" t="s">
        <v>1990</v>
      </c>
    </row>
    <row r="135" spans="2:6" s="615" customFormat="1">
      <c r="B135" s="838" t="s">
        <v>386</v>
      </c>
      <c r="C135" s="839" t="s">
        <v>1991</v>
      </c>
      <c r="D135" s="840" t="str">
        <f t="shared" si="2"/>
        <v/>
      </c>
      <c r="E135" s="615" t="s">
        <v>386</v>
      </c>
      <c r="F135" s="810" t="s">
        <v>1991</v>
      </c>
    </row>
    <row r="136" spans="2:6" s="615" customFormat="1">
      <c r="B136" s="838" t="s">
        <v>387</v>
      </c>
      <c r="C136" s="839" t="s">
        <v>1992</v>
      </c>
      <c r="D136" s="840" t="str">
        <f t="shared" si="2"/>
        <v/>
      </c>
      <c r="E136" s="615" t="s">
        <v>387</v>
      </c>
      <c r="F136" s="810" t="s">
        <v>1992</v>
      </c>
    </row>
    <row r="137" spans="2:6" s="615" customFormat="1">
      <c r="B137" s="838" t="s">
        <v>388</v>
      </c>
      <c r="C137" s="839" t="s">
        <v>1993</v>
      </c>
      <c r="D137" s="840" t="str">
        <f t="shared" si="2"/>
        <v/>
      </c>
      <c r="E137" s="615" t="s">
        <v>388</v>
      </c>
      <c r="F137" s="810" t="s">
        <v>1993</v>
      </c>
    </row>
    <row r="138" spans="2:6" s="615" customFormat="1">
      <c r="B138" s="838" t="s">
        <v>389</v>
      </c>
      <c r="C138" s="839" t="s">
        <v>1994</v>
      </c>
      <c r="D138" s="840" t="str">
        <f t="shared" si="2"/>
        <v/>
      </c>
      <c r="E138" s="615" t="s">
        <v>389</v>
      </c>
      <c r="F138" s="810" t="s">
        <v>1994</v>
      </c>
    </row>
    <row r="139" spans="2:6" s="615" customFormat="1">
      <c r="B139" s="838" t="s">
        <v>390</v>
      </c>
      <c r="C139" s="839" t="s">
        <v>1995</v>
      </c>
      <c r="D139" s="840" t="str">
        <f t="shared" si="2"/>
        <v/>
      </c>
      <c r="E139" s="615" t="s">
        <v>390</v>
      </c>
      <c r="F139" s="810" t="s">
        <v>1995</v>
      </c>
    </row>
    <row r="140" spans="2:6" s="615" customFormat="1">
      <c r="B140" s="838" t="s">
        <v>391</v>
      </c>
      <c r="C140" s="839" t="s">
        <v>1996</v>
      </c>
      <c r="D140" s="840" t="str">
        <f t="shared" si="2"/>
        <v/>
      </c>
      <c r="E140" s="615" t="s">
        <v>391</v>
      </c>
      <c r="F140" s="810" t="s">
        <v>1996</v>
      </c>
    </row>
    <row r="141" spans="2:6" s="615" customFormat="1">
      <c r="B141" s="838" t="s">
        <v>392</v>
      </c>
      <c r="C141" s="839" t="s">
        <v>1997</v>
      </c>
      <c r="D141" s="840" t="str">
        <f t="shared" si="2"/>
        <v/>
      </c>
      <c r="E141" s="615" t="s">
        <v>392</v>
      </c>
      <c r="F141" s="810" t="s">
        <v>1997</v>
      </c>
    </row>
    <row r="142" spans="2:6" s="615" customFormat="1">
      <c r="B142" s="838" t="s">
        <v>393</v>
      </c>
      <c r="C142" s="839" t="s">
        <v>1998</v>
      </c>
      <c r="D142" s="840" t="str">
        <f t="shared" si="2"/>
        <v/>
      </c>
      <c r="E142" s="615" t="s">
        <v>393</v>
      </c>
      <c r="F142" s="810" t="s">
        <v>1998</v>
      </c>
    </row>
    <row r="143" spans="2:6" s="615" customFormat="1">
      <c r="B143" s="838" t="s">
        <v>394</v>
      </c>
      <c r="C143" s="839" t="s">
        <v>1999</v>
      </c>
      <c r="D143" s="840" t="str">
        <f t="shared" si="2"/>
        <v/>
      </c>
      <c r="E143" s="615" t="s">
        <v>394</v>
      </c>
      <c r="F143" s="810" t="s">
        <v>1999</v>
      </c>
    </row>
    <row r="144" spans="2:6" s="615" customFormat="1">
      <c r="B144" s="838" t="s">
        <v>395</v>
      </c>
      <c r="C144" s="839" t="s">
        <v>2000</v>
      </c>
      <c r="D144" s="840" t="str">
        <f t="shared" si="2"/>
        <v/>
      </c>
      <c r="E144" s="615" t="s">
        <v>395</v>
      </c>
      <c r="F144" s="810" t="s">
        <v>2000</v>
      </c>
    </row>
    <row r="145" spans="2:6" s="615" customFormat="1">
      <c r="B145" s="838" t="s">
        <v>396</v>
      </c>
      <c r="C145" s="839" t="s">
        <v>2001</v>
      </c>
      <c r="D145" s="840" t="str">
        <f t="shared" si="2"/>
        <v/>
      </c>
      <c r="E145" s="615" t="s">
        <v>396</v>
      </c>
      <c r="F145" s="810" t="s">
        <v>2001</v>
      </c>
    </row>
    <row r="146" spans="2:6" s="615" customFormat="1">
      <c r="B146" s="838" t="s">
        <v>397</v>
      </c>
      <c r="C146" s="839" t="s">
        <v>2002</v>
      </c>
      <c r="D146" s="840" t="str">
        <f t="shared" si="2"/>
        <v/>
      </c>
      <c r="E146" s="615" t="s">
        <v>397</v>
      </c>
      <c r="F146" s="810" t="s">
        <v>2002</v>
      </c>
    </row>
    <row r="147" spans="2:6" s="615" customFormat="1">
      <c r="B147" s="838" t="s">
        <v>398</v>
      </c>
      <c r="C147" s="839" t="s">
        <v>399</v>
      </c>
      <c r="D147" s="840" t="str">
        <f t="shared" si="2"/>
        <v/>
      </c>
      <c r="E147" s="615" t="s">
        <v>398</v>
      </c>
      <c r="F147" s="810" t="s">
        <v>399</v>
      </c>
    </row>
    <row r="148" spans="2:6" s="615" customFormat="1">
      <c r="B148" s="838" t="s">
        <v>400</v>
      </c>
      <c r="C148" s="839" t="s">
        <v>2003</v>
      </c>
      <c r="D148" s="840" t="str">
        <f t="shared" si="2"/>
        <v/>
      </c>
      <c r="E148" s="615" t="s">
        <v>400</v>
      </c>
      <c r="F148" s="810" t="s">
        <v>2003</v>
      </c>
    </row>
    <row r="149" spans="2:6" s="615" customFormat="1">
      <c r="B149" s="838" t="s">
        <v>401</v>
      </c>
      <c r="C149" s="839" t="s">
        <v>402</v>
      </c>
      <c r="D149" s="840" t="str">
        <f t="shared" si="2"/>
        <v/>
      </c>
      <c r="E149" s="615" t="s">
        <v>401</v>
      </c>
      <c r="F149" s="810" t="s">
        <v>402</v>
      </c>
    </row>
    <row r="150" spans="2:6" s="615" customFormat="1">
      <c r="B150" s="838" t="s">
        <v>403</v>
      </c>
      <c r="C150" s="839" t="s">
        <v>404</v>
      </c>
      <c r="D150" s="840" t="str">
        <f t="shared" si="2"/>
        <v/>
      </c>
      <c r="E150" s="615" t="s">
        <v>403</v>
      </c>
      <c r="F150" s="810" t="s">
        <v>404</v>
      </c>
    </row>
    <row r="151" spans="2:6" s="615" customFormat="1">
      <c r="B151" s="838" t="s">
        <v>405</v>
      </c>
      <c r="C151" s="839" t="s">
        <v>2004</v>
      </c>
      <c r="D151" s="840" t="str">
        <f t="shared" si="2"/>
        <v/>
      </c>
      <c r="E151" s="615" t="s">
        <v>405</v>
      </c>
      <c r="F151" s="810" t="s">
        <v>2004</v>
      </c>
    </row>
    <row r="152" spans="2:6" s="615" customFormat="1">
      <c r="B152" s="838" t="s">
        <v>406</v>
      </c>
      <c r="C152" s="839" t="s">
        <v>2005</v>
      </c>
      <c r="D152" s="840" t="str">
        <f t="shared" si="2"/>
        <v/>
      </c>
      <c r="E152" s="615" t="s">
        <v>406</v>
      </c>
      <c r="F152" s="810" t="s">
        <v>2005</v>
      </c>
    </row>
    <row r="153" spans="2:6" s="615" customFormat="1">
      <c r="B153" s="838" t="s">
        <v>407</v>
      </c>
      <c r="C153" s="839" t="s">
        <v>2006</v>
      </c>
      <c r="D153" s="840" t="str">
        <f t="shared" si="2"/>
        <v/>
      </c>
      <c r="E153" s="615" t="s">
        <v>407</v>
      </c>
      <c r="F153" s="810" t="s">
        <v>2006</v>
      </c>
    </row>
    <row r="154" spans="2:6" s="615" customFormat="1">
      <c r="B154" s="838" t="s">
        <v>408</v>
      </c>
      <c r="C154" s="839" t="s">
        <v>2007</v>
      </c>
      <c r="D154" s="840" t="str">
        <f t="shared" si="2"/>
        <v/>
      </c>
      <c r="E154" s="615" t="s">
        <v>408</v>
      </c>
      <c r="F154" s="810" t="s">
        <v>2007</v>
      </c>
    </row>
    <row r="155" spans="2:6" s="615" customFormat="1">
      <c r="B155" s="838" t="s">
        <v>409</v>
      </c>
      <c r="C155" s="839" t="s">
        <v>410</v>
      </c>
      <c r="D155" s="840" t="str">
        <f t="shared" si="2"/>
        <v/>
      </c>
      <c r="E155" s="615" t="s">
        <v>409</v>
      </c>
      <c r="F155" s="810" t="s">
        <v>410</v>
      </c>
    </row>
    <row r="156" spans="2:6" s="615" customFormat="1">
      <c r="B156" s="838" t="s">
        <v>411</v>
      </c>
      <c r="C156" s="839" t="s">
        <v>2008</v>
      </c>
      <c r="D156" s="840" t="str">
        <f t="shared" si="2"/>
        <v/>
      </c>
      <c r="E156" s="615" t="s">
        <v>411</v>
      </c>
      <c r="F156" s="810" t="s">
        <v>2008</v>
      </c>
    </row>
    <row r="157" spans="2:6" s="615" customFormat="1">
      <c r="B157" s="838" t="s">
        <v>412</v>
      </c>
      <c r="C157" s="839" t="s">
        <v>2009</v>
      </c>
      <c r="D157" s="840" t="str">
        <f t="shared" si="2"/>
        <v/>
      </c>
      <c r="E157" s="615" t="s">
        <v>412</v>
      </c>
      <c r="F157" s="810" t="s">
        <v>2009</v>
      </c>
    </row>
    <row r="158" spans="2:6" s="615" customFormat="1">
      <c r="B158" s="838" t="s">
        <v>413</v>
      </c>
      <c r="C158" s="839" t="s">
        <v>2010</v>
      </c>
      <c r="D158" s="840" t="str">
        <f t="shared" si="2"/>
        <v/>
      </c>
      <c r="E158" s="615" t="s">
        <v>413</v>
      </c>
      <c r="F158" s="810" t="s">
        <v>2010</v>
      </c>
    </row>
    <row r="159" spans="2:6" s="615" customFormat="1">
      <c r="B159" s="838" t="s">
        <v>414</v>
      </c>
      <c r="C159" s="839" t="s">
        <v>2011</v>
      </c>
      <c r="D159" s="840" t="str">
        <f t="shared" si="2"/>
        <v/>
      </c>
      <c r="E159" s="615" t="s">
        <v>414</v>
      </c>
      <c r="F159" s="810" t="s">
        <v>2011</v>
      </c>
    </row>
    <row r="160" spans="2:6" s="615" customFormat="1">
      <c r="B160" s="838" t="s">
        <v>415</v>
      </c>
      <c r="C160" s="839" t="s">
        <v>2012</v>
      </c>
      <c r="D160" s="840" t="str">
        <f t="shared" si="2"/>
        <v/>
      </c>
      <c r="E160" s="615" t="s">
        <v>415</v>
      </c>
      <c r="F160" s="810" t="s">
        <v>2012</v>
      </c>
    </row>
    <row r="161" spans="2:6" s="615" customFormat="1">
      <c r="B161" s="838" t="s">
        <v>416</v>
      </c>
      <c r="C161" s="839" t="s">
        <v>2013</v>
      </c>
      <c r="D161" s="840" t="str">
        <f t="shared" si="2"/>
        <v/>
      </c>
      <c r="E161" s="615" t="s">
        <v>416</v>
      </c>
      <c r="F161" s="810" t="s">
        <v>2013</v>
      </c>
    </row>
    <row r="162" spans="2:6" s="615" customFormat="1">
      <c r="B162" s="838" t="s">
        <v>417</v>
      </c>
      <c r="C162" s="839" t="s">
        <v>2014</v>
      </c>
      <c r="D162" s="840" t="str">
        <f t="shared" si="2"/>
        <v/>
      </c>
      <c r="E162" s="615" t="s">
        <v>417</v>
      </c>
      <c r="F162" s="810" t="s">
        <v>2014</v>
      </c>
    </row>
    <row r="163" spans="2:6" s="615" customFormat="1">
      <c r="B163" s="838" t="s">
        <v>418</v>
      </c>
      <c r="C163" s="839" t="s">
        <v>2015</v>
      </c>
      <c r="D163" s="840" t="str">
        <f t="shared" si="2"/>
        <v/>
      </c>
      <c r="E163" s="615" t="s">
        <v>418</v>
      </c>
      <c r="F163" s="810" t="s">
        <v>2015</v>
      </c>
    </row>
    <row r="164" spans="2:6" s="615" customFormat="1">
      <c r="B164" s="838" t="s">
        <v>419</v>
      </c>
      <c r="C164" s="839" t="s">
        <v>2016</v>
      </c>
      <c r="D164" s="840" t="str">
        <f t="shared" si="2"/>
        <v/>
      </c>
      <c r="E164" s="615" t="s">
        <v>419</v>
      </c>
      <c r="F164" s="810" t="s">
        <v>2016</v>
      </c>
    </row>
    <row r="165" spans="2:6" s="615" customFormat="1">
      <c r="B165" s="838" t="s">
        <v>420</v>
      </c>
      <c r="C165" s="839" t="s">
        <v>421</v>
      </c>
      <c r="D165" s="840" t="str">
        <f t="shared" si="2"/>
        <v/>
      </c>
      <c r="E165" s="615" t="s">
        <v>420</v>
      </c>
      <c r="F165" s="810" t="s">
        <v>421</v>
      </c>
    </row>
    <row r="166" spans="2:6" s="615" customFormat="1">
      <c r="B166" s="838" t="s">
        <v>422</v>
      </c>
      <c r="C166" s="839" t="s">
        <v>423</v>
      </c>
      <c r="D166" s="840" t="str">
        <f t="shared" si="2"/>
        <v/>
      </c>
      <c r="E166" s="615" t="s">
        <v>422</v>
      </c>
      <c r="F166" s="810" t="s">
        <v>423</v>
      </c>
    </row>
    <row r="167" spans="2:6" s="615" customFormat="1">
      <c r="B167" s="838" t="s">
        <v>424</v>
      </c>
      <c r="C167" s="839" t="s">
        <v>2017</v>
      </c>
      <c r="D167" s="840" t="str">
        <f t="shared" si="2"/>
        <v/>
      </c>
      <c r="E167" s="615" t="s">
        <v>424</v>
      </c>
      <c r="F167" s="810" t="s">
        <v>2017</v>
      </c>
    </row>
    <row r="168" spans="2:6" s="615" customFormat="1">
      <c r="B168" s="838" t="s">
        <v>425</v>
      </c>
      <c r="C168" s="839" t="s">
        <v>2018</v>
      </c>
      <c r="D168" s="840" t="str">
        <f t="shared" si="2"/>
        <v/>
      </c>
      <c r="E168" s="615" t="s">
        <v>425</v>
      </c>
      <c r="F168" s="810" t="s">
        <v>2018</v>
      </c>
    </row>
    <row r="169" spans="2:6" s="615" customFormat="1">
      <c r="B169" s="838" t="s">
        <v>426</v>
      </c>
      <c r="C169" s="839" t="s">
        <v>2019</v>
      </c>
      <c r="D169" s="840" t="str">
        <f t="shared" si="2"/>
        <v/>
      </c>
      <c r="E169" s="615" t="s">
        <v>426</v>
      </c>
      <c r="F169" s="810" t="s">
        <v>2019</v>
      </c>
    </row>
    <row r="170" spans="2:6" s="615" customFormat="1">
      <c r="B170" s="838" t="s">
        <v>427</v>
      </c>
      <c r="C170" s="839" t="s">
        <v>2020</v>
      </c>
      <c r="D170" s="840" t="str">
        <f t="shared" si="2"/>
        <v/>
      </c>
      <c r="E170" s="615" t="s">
        <v>427</v>
      </c>
      <c r="F170" s="810" t="s">
        <v>2020</v>
      </c>
    </row>
    <row r="171" spans="2:6" s="615" customFormat="1">
      <c r="B171" s="838" t="s">
        <v>428</v>
      </c>
      <c r="C171" s="839" t="s">
        <v>2021</v>
      </c>
      <c r="D171" s="840" t="str">
        <f t="shared" si="2"/>
        <v/>
      </c>
      <c r="E171" s="615" t="s">
        <v>428</v>
      </c>
      <c r="F171" s="810" t="s">
        <v>2021</v>
      </c>
    </row>
    <row r="172" spans="2:6" s="615" customFormat="1">
      <c r="B172" s="838" t="s">
        <v>429</v>
      </c>
      <c r="C172" s="839" t="s">
        <v>2022</v>
      </c>
      <c r="D172" s="840" t="str">
        <f t="shared" si="2"/>
        <v/>
      </c>
      <c r="E172" s="615" t="s">
        <v>429</v>
      </c>
      <c r="F172" s="810" t="s">
        <v>2022</v>
      </c>
    </row>
    <row r="173" spans="2:6" s="615" customFormat="1">
      <c r="B173" s="838" t="s">
        <v>430</v>
      </c>
      <c r="C173" s="839" t="s">
        <v>431</v>
      </c>
      <c r="D173" s="840" t="str">
        <f t="shared" si="2"/>
        <v/>
      </c>
      <c r="E173" s="615" t="s">
        <v>430</v>
      </c>
      <c r="F173" s="810" t="s">
        <v>431</v>
      </c>
    </row>
    <row r="174" spans="2:6" s="615" customFormat="1">
      <c r="B174" s="838" t="s">
        <v>432</v>
      </c>
      <c r="C174" s="839" t="s">
        <v>2023</v>
      </c>
      <c r="D174" s="840" t="str">
        <f t="shared" si="2"/>
        <v/>
      </c>
      <c r="E174" s="615" t="s">
        <v>432</v>
      </c>
      <c r="F174" s="810" t="s">
        <v>2023</v>
      </c>
    </row>
    <row r="175" spans="2:6" s="615" customFormat="1">
      <c r="B175" s="838" t="s">
        <v>433</v>
      </c>
      <c r="C175" s="839" t="s">
        <v>434</v>
      </c>
      <c r="D175" s="840" t="str">
        <f t="shared" si="2"/>
        <v/>
      </c>
      <c r="E175" s="615" t="s">
        <v>433</v>
      </c>
      <c r="F175" s="810" t="s">
        <v>434</v>
      </c>
    </row>
    <row r="176" spans="2:6" s="615" customFormat="1">
      <c r="B176" s="838" t="s">
        <v>435</v>
      </c>
      <c r="C176" s="839" t="s">
        <v>436</v>
      </c>
      <c r="D176" s="840" t="str">
        <f t="shared" si="2"/>
        <v/>
      </c>
      <c r="E176" s="615" t="s">
        <v>435</v>
      </c>
      <c r="F176" s="810" t="s">
        <v>436</v>
      </c>
    </row>
    <row r="177" spans="2:6" s="615" customFormat="1">
      <c r="B177" s="838" t="s">
        <v>437</v>
      </c>
      <c r="C177" s="839" t="s">
        <v>438</v>
      </c>
      <c r="D177" s="840" t="str">
        <f t="shared" si="2"/>
        <v/>
      </c>
      <c r="E177" s="615" t="s">
        <v>437</v>
      </c>
      <c r="F177" s="810" t="s">
        <v>438</v>
      </c>
    </row>
    <row r="178" spans="2:6" s="615" customFormat="1">
      <c r="B178" s="838" t="s">
        <v>439</v>
      </c>
      <c r="C178" s="839" t="s">
        <v>2024</v>
      </c>
      <c r="D178" s="840" t="str">
        <f t="shared" si="2"/>
        <v/>
      </c>
      <c r="E178" s="615" t="s">
        <v>439</v>
      </c>
      <c r="F178" s="810" t="s">
        <v>2024</v>
      </c>
    </row>
    <row r="179" spans="2:6" s="615" customFormat="1">
      <c r="B179" s="838" t="s">
        <v>440</v>
      </c>
      <c r="C179" s="839" t="s">
        <v>441</v>
      </c>
      <c r="D179" s="840" t="str">
        <f t="shared" si="2"/>
        <v/>
      </c>
      <c r="E179" s="615" t="s">
        <v>440</v>
      </c>
      <c r="F179" s="810" t="s">
        <v>441</v>
      </c>
    </row>
    <row r="180" spans="2:6" s="615" customFormat="1">
      <c r="B180" s="838" t="s">
        <v>442</v>
      </c>
      <c r="C180" s="839" t="s">
        <v>2025</v>
      </c>
      <c r="D180" s="840" t="str">
        <f t="shared" si="2"/>
        <v/>
      </c>
      <c r="E180" s="615" t="s">
        <v>442</v>
      </c>
      <c r="F180" s="810" t="s">
        <v>2025</v>
      </c>
    </row>
    <row r="181" spans="2:6" s="615" customFormat="1">
      <c r="B181" s="838" t="s">
        <v>443</v>
      </c>
      <c r="C181" s="839" t="s">
        <v>444</v>
      </c>
      <c r="D181" s="840" t="str">
        <f t="shared" si="2"/>
        <v/>
      </c>
      <c r="E181" s="615" t="s">
        <v>443</v>
      </c>
      <c r="F181" s="810" t="s">
        <v>444</v>
      </c>
    </row>
    <row r="182" spans="2:6" s="615" customFormat="1">
      <c r="B182" s="838" t="s">
        <v>445</v>
      </c>
      <c r="C182" s="839" t="s">
        <v>446</v>
      </c>
      <c r="D182" s="840" t="str">
        <f t="shared" si="2"/>
        <v/>
      </c>
      <c r="E182" s="615" t="s">
        <v>445</v>
      </c>
      <c r="F182" s="810" t="s">
        <v>446</v>
      </c>
    </row>
    <row r="183" spans="2:6" s="615" customFormat="1">
      <c r="B183" s="838" t="s">
        <v>447</v>
      </c>
      <c r="C183" s="839" t="s">
        <v>2026</v>
      </c>
      <c r="D183" s="840" t="str">
        <f t="shared" si="2"/>
        <v/>
      </c>
      <c r="E183" s="615" t="s">
        <v>447</v>
      </c>
      <c r="F183" s="810" t="s">
        <v>2026</v>
      </c>
    </row>
    <row r="184" spans="2:6" s="615" customFormat="1">
      <c r="B184" s="838" t="s">
        <v>448</v>
      </c>
      <c r="C184" s="839" t="s">
        <v>2027</v>
      </c>
      <c r="D184" s="840" t="str">
        <f t="shared" si="2"/>
        <v/>
      </c>
      <c r="E184" s="615" t="s">
        <v>448</v>
      </c>
      <c r="F184" s="810" t="s">
        <v>2027</v>
      </c>
    </row>
    <row r="185" spans="2:6" s="615" customFormat="1">
      <c r="B185" s="838" t="s">
        <v>449</v>
      </c>
      <c r="C185" s="839" t="s">
        <v>2028</v>
      </c>
      <c r="D185" s="840" t="str">
        <f t="shared" si="2"/>
        <v/>
      </c>
      <c r="E185" s="615" t="s">
        <v>449</v>
      </c>
      <c r="F185" s="810" t="s">
        <v>2028</v>
      </c>
    </row>
    <row r="186" spans="2:6" s="615" customFormat="1">
      <c r="B186" s="838" t="s">
        <v>450</v>
      </c>
      <c r="C186" s="839" t="s">
        <v>451</v>
      </c>
      <c r="D186" s="840" t="str">
        <f t="shared" si="2"/>
        <v/>
      </c>
      <c r="E186" s="615" t="s">
        <v>450</v>
      </c>
      <c r="F186" s="810" t="s">
        <v>451</v>
      </c>
    </row>
    <row r="187" spans="2:6" s="615" customFormat="1">
      <c r="B187" s="838" t="s">
        <v>452</v>
      </c>
      <c r="C187" s="839" t="s">
        <v>2029</v>
      </c>
      <c r="D187" s="840" t="str">
        <f t="shared" si="2"/>
        <v/>
      </c>
      <c r="E187" s="615" t="s">
        <v>452</v>
      </c>
      <c r="F187" s="810" t="s">
        <v>2029</v>
      </c>
    </row>
    <row r="188" spans="2:6" s="615" customFormat="1">
      <c r="B188" s="838" t="s">
        <v>453</v>
      </c>
      <c r="C188" s="839" t="s">
        <v>2030</v>
      </c>
      <c r="D188" s="840" t="str">
        <f t="shared" si="2"/>
        <v/>
      </c>
      <c r="E188" s="615" t="s">
        <v>453</v>
      </c>
      <c r="F188" s="810" t="s">
        <v>2030</v>
      </c>
    </row>
    <row r="189" spans="2:6" s="615" customFormat="1">
      <c r="B189" s="838" t="s">
        <v>454</v>
      </c>
      <c r="C189" s="839" t="s">
        <v>455</v>
      </c>
      <c r="D189" s="840" t="str">
        <f t="shared" si="2"/>
        <v/>
      </c>
      <c r="E189" s="615" t="s">
        <v>454</v>
      </c>
      <c r="F189" s="810" t="s">
        <v>455</v>
      </c>
    </row>
    <row r="190" spans="2:6" s="615" customFormat="1">
      <c r="B190" s="838" t="s">
        <v>456</v>
      </c>
      <c r="C190" s="839" t="s">
        <v>2031</v>
      </c>
      <c r="D190" s="840" t="str">
        <f t="shared" si="2"/>
        <v/>
      </c>
      <c r="E190" s="615" t="s">
        <v>456</v>
      </c>
      <c r="F190" s="810" t="s">
        <v>2031</v>
      </c>
    </row>
    <row r="191" spans="2:6" s="615" customFormat="1">
      <c r="B191" s="838" t="s">
        <v>457</v>
      </c>
      <c r="C191" s="839" t="s">
        <v>458</v>
      </c>
      <c r="D191" s="840" t="str">
        <f t="shared" si="2"/>
        <v/>
      </c>
      <c r="E191" s="615" t="s">
        <v>457</v>
      </c>
      <c r="F191" s="810" t="s">
        <v>458</v>
      </c>
    </row>
    <row r="192" spans="2:6" s="615" customFormat="1">
      <c r="B192" s="838" t="s">
        <v>459</v>
      </c>
      <c r="C192" s="839" t="s">
        <v>460</v>
      </c>
      <c r="D192" s="840" t="str">
        <f t="shared" si="2"/>
        <v/>
      </c>
      <c r="E192" s="615" t="s">
        <v>459</v>
      </c>
      <c r="F192" s="810" t="s">
        <v>460</v>
      </c>
    </row>
    <row r="193" spans="2:6" s="615" customFormat="1">
      <c r="B193" s="838" t="s">
        <v>461</v>
      </c>
      <c r="C193" s="839" t="s">
        <v>462</v>
      </c>
      <c r="D193" s="840" t="str">
        <f t="shared" si="2"/>
        <v/>
      </c>
      <c r="E193" s="615" t="s">
        <v>461</v>
      </c>
      <c r="F193" s="810" t="s">
        <v>462</v>
      </c>
    </row>
    <row r="194" spans="2:6" s="615" customFormat="1">
      <c r="B194" s="838" t="s">
        <v>463</v>
      </c>
      <c r="C194" s="839" t="s">
        <v>2032</v>
      </c>
      <c r="D194" s="840" t="str">
        <f t="shared" si="2"/>
        <v/>
      </c>
      <c r="E194" s="615" t="s">
        <v>463</v>
      </c>
      <c r="F194" s="810" t="s">
        <v>2032</v>
      </c>
    </row>
    <row r="195" spans="2:6" s="615" customFormat="1">
      <c r="B195" s="838" t="s">
        <v>464</v>
      </c>
      <c r="C195" s="839" t="s">
        <v>2033</v>
      </c>
      <c r="D195" s="840" t="str">
        <f t="shared" si="2"/>
        <v/>
      </c>
      <c r="E195" s="615" t="s">
        <v>464</v>
      </c>
      <c r="F195" s="810" t="s">
        <v>2033</v>
      </c>
    </row>
    <row r="196" spans="2:6" s="615" customFormat="1">
      <c r="B196" s="838" t="s">
        <v>465</v>
      </c>
      <c r="C196" s="839" t="s">
        <v>466</v>
      </c>
      <c r="D196" s="840" t="str">
        <f t="shared" ref="D196:D259" si="3">IF(AND(B196=E196,C196=F196),"","x")</f>
        <v/>
      </c>
      <c r="E196" s="615" t="s">
        <v>465</v>
      </c>
      <c r="F196" s="810" t="s">
        <v>466</v>
      </c>
    </row>
    <row r="197" spans="2:6" s="615" customFormat="1">
      <c r="B197" s="838" t="s">
        <v>467</v>
      </c>
      <c r="C197" s="839" t="s">
        <v>468</v>
      </c>
      <c r="D197" s="840" t="str">
        <f t="shared" si="3"/>
        <v/>
      </c>
      <c r="E197" s="615" t="s">
        <v>467</v>
      </c>
      <c r="F197" s="810" t="s">
        <v>468</v>
      </c>
    </row>
    <row r="198" spans="2:6" s="615" customFormat="1">
      <c r="B198" s="838" t="s">
        <v>469</v>
      </c>
      <c r="C198" s="839" t="s">
        <v>470</v>
      </c>
      <c r="D198" s="840" t="str">
        <f t="shared" si="3"/>
        <v/>
      </c>
      <c r="E198" s="615" t="s">
        <v>469</v>
      </c>
      <c r="F198" s="810" t="s">
        <v>470</v>
      </c>
    </row>
    <row r="199" spans="2:6" s="615" customFormat="1">
      <c r="B199" s="838" t="s">
        <v>471</v>
      </c>
      <c r="C199" s="839" t="s">
        <v>2034</v>
      </c>
      <c r="D199" s="840" t="str">
        <f t="shared" si="3"/>
        <v/>
      </c>
      <c r="E199" s="615" t="s">
        <v>471</v>
      </c>
      <c r="F199" s="810" t="s">
        <v>2034</v>
      </c>
    </row>
    <row r="200" spans="2:6" s="615" customFormat="1">
      <c r="B200" s="838" t="s">
        <v>472</v>
      </c>
      <c r="C200" s="839" t="s">
        <v>473</v>
      </c>
      <c r="D200" s="840" t="str">
        <f t="shared" si="3"/>
        <v/>
      </c>
      <c r="E200" s="615" t="s">
        <v>472</v>
      </c>
      <c r="F200" s="810" t="s">
        <v>473</v>
      </c>
    </row>
    <row r="201" spans="2:6" s="615" customFormat="1">
      <c r="B201" s="838" t="s">
        <v>474</v>
      </c>
      <c r="C201" s="839" t="s">
        <v>475</v>
      </c>
      <c r="D201" s="840" t="str">
        <f t="shared" si="3"/>
        <v/>
      </c>
      <c r="E201" s="615" t="s">
        <v>474</v>
      </c>
      <c r="F201" s="810" t="s">
        <v>475</v>
      </c>
    </row>
    <row r="202" spans="2:6" s="615" customFormat="1">
      <c r="B202" s="838" t="s">
        <v>476</v>
      </c>
      <c r="C202" s="839" t="s">
        <v>2035</v>
      </c>
      <c r="D202" s="840" t="str">
        <f t="shared" si="3"/>
        <v/>
      </c>
      <c r="E202" s="615" t="s">
        <v>476</v>
      </c>
      <c r="F202" s="810" t="s">
        <v>2035</v>
      </c>
    </row>
    <row r="203" spans="2:6" s="615" customFormat="1">
      <c r="B203" s="838" t="s">
        <v>477</v>
      </c>
      <c r="C203" s="839" t="s">
        <v>478</v>
      </c>
      <c r="D203" s="840" t="str">
        <f t="shared" si="3"/>
        <v/>
      </c>
      <c r="E203" s="615" t="s">
        <v>477</v>
      </c>
      <c r="F203" s="810" t="s">
        <v>478</v>
      </c>
    </row>
    <row r="204" spans="2:6" s="615" customFormat="1">
      <c r="B204" s="838" t="s">
        <v>479</v>
      </c>
      <c r="C204" s="839" t="s">
        <v>2036</v>
      </c>
      <c r="D204" s="840" t="str">
        <f t="shared" si="3"/>
        <v/>
      </c>
      <c r="E204" s="615" t="s">
        <v>479</v>
      </c>
      <c r="F204" s="810" t="s">
        <v>2036</v>
      </c>
    </row>
    <row r="205" spans="2:6" s="615" customFormat="1">
      <c r="B205" s="838" t="s">
        <v>480</v>
      </c>
      <c r="C205" s="839" t="s">
        <v>481</v>
      </c>
      <c r="D205" s="840" t="str">
        <f t="shared" si="3"/>
        <v/>
      </c>
      <c r="E205" s="615" t="s">
        <v>480</v>
      </c>
      <c r="F205" s="810" t="s">
        <v>481</v>
      </c>
    </row>
    <row r="206" spans="2:6" s="615" customFormat="1">
      <c r="B206" s="838" t="s">
        <v>482</v>
      </c>
      <c r="C206" s="839" t="s">
        <v>483</v>
      </c>
      <c r="D206" s="840" t="str">
        <f t="shared" si="3"/>
        <v/>
      </c>
      <c r="E206" s="615" t="s">
        <v>482</v>
      </c>
      <c r="F206" s="810" t="s">
        <v>483</v>
      </c>
    </row>
    <row r="207" spans="2:6" s="615" customFormat="1">
      <c r="B207" s="838" t="s">
        <v>484</v>
      </c>
      <c r="C207" s="839" t="s">
        <v>485</v>
      </c>
      <c r="D207" s="840" t="str">
        <f t="shared" si="3"/>
        <v/>
      </c>
      <c r="E207" s="615" t="s">
        <v>484</v>
      </c>
      <c r="F207" s="810" t="s">
        <v>485</v>
      </c>
    </row>
    <row r="208" spans="2:6" s="615" customFormat="1">
      <c r="B208" s="838" t="s">
        <v>486</v>
      </c>
      <c r="C208" s="839" t="s">
        <v>487</v>
      </c>
      <c r="D208" s="840" t="str">
        <f t="shared" si="3"/>
        <v/>
      </c>
      <c r="E208" s="615" t="s">
        <v>486</v>
      </c>
      <c r="F208" s="810" t="s">
        <v>487</v>
      </c>
    </row>
    <row r="209" spans="2:6" s="615" customFormat="1">
      <c r="B209" s="838" t="s">
        <v>488</v>
      </c>
      <c r="C209" s="839" t="s">
        <v>489</v>
      </c>
      <c r="D209" s="840" t="str">
        <f t="shared" si="3"/>
        <v/>
      </c>
      <c r="E209" s="615" t="s">
        <v>488</v>
      </c>
      <c r="F209" s="810" t="s">
        <v>489</v>
      </c>
    </row>
    <row r="210" spans="2:6" s="615" customFormat="1">
      <c r="B210" s="838" t="s">
        <v>490</v>
      </c>
      <c r="C210" s="839" t="s">
        <v>2037</v>
      </c>
      <c r="D210" s="840" t="str">
        <f t="shared" si="3"/>
        <v/>
      </c>
      <c r="E210" s="615" t="s">
        <v>490</v>
      </c>
      <c r="F210" s="810" t="s">
        <v>2037</v>
      </c>
    </row>
    <row r="211" spans="2:6" s="615" customFormat="1">
      <c r="B211" s="838" t="s">
        <v>491</v>
      </c>
      <c r="C211" s="839" t="s">
        <v>492</v>
      </c>
      <c r="D211" s="840" t="str">
        <f t="shared" si="3"/>
        <v/>
      </c>
      <c r="E211" s="615" t="s">
        <v>491</v>
      </c>
      <c r="F211" s="810" t="s">
        <v>492</v>
      </c>
    </row>
    <row r="212" spans="2:6" s="615" customFormat="1">
      <c r="B212" s="838" t="s">
        <v>493</v>
      </c>
      <c r="C212" s="839" t="s">
        <v>494</v>
      </c>
      <c r="D212" s="840" t="str">
        <f t="shared" si="3"/>
        <v/>
      </c>
      <c r="E212" s="615" t="s">
        <v>493</v>
      </c>
      <c r="F212" s="810" t="s">
        <v>494</v>
      </c>
    </row>
    <row r="213" spans="2:6" s="615" customFormat="1">
      <c r="B213" s="838" t="s">
        <v>495</v>
      </c>
      <c r="C213" s="839" t="s">
        <v>496</v>
      </c>
      <c r="D213" s="840" t="str">
        <f t="shared" si="3"/>
        <v/>
      </c>
      <c r="E213" s="615" t="s">
        <v>495</v>
      </c>
      <c r="F213" s="810" t="s">
        <v>496</v>
      </c>
    </row>
    <row r="214" spans="2:6" s="615" customFormat="1">
      <c r="B214" s="838" t="s">
        <v>497</v>
      </c>
      <c r="C214" s="839" t="s">
        <v>498</v>
      </c>
      <c r="D214" s="840" t="str">
        <f t="shared" si="3"/>
        <v/>
      </c>
      <c r="E214" s="615" t="s">
        <v>497</v>
      </c>
      <c r="F214" s="810" t="s">
        <v>498</v>
      </c>
    </row>
    <row r="215" spans="2:6" s="615" customFormat="1">
      <c r="B215" s="838" t="s">
        <v>499</v>
      </c>
      <c r="C215" s="839" t="s">
        <v>500</v>
      </c>
      <c r="D215" s="840" t="str">
        <f t="shared" si="3"/>
        <v/>
      </c>
      <c r="E215" s="615" t="s">
        <v>499</v>
      </c>
      <c r="F215" s="810" t="s">
        <v>500</v>
      </c>
    </row>
    <row r="216" spans="2:6" s="615" customFormat="1">
      <c r="B216" s="838" t="s">
        <v>501</v>
      </c>
      <c r="C216" s="839" t="s">
        <v>2038</v>
      </c>
      <c r="D216" s="840" t="str">
        <f t="shared" si="3"/>
        <v/>
      </c>
      <c r="E216" s="615" t="s">
        <v>501</v>
      </c>
      <c r="F216" s="810" t="s">
        <v>2038</v>
      </c>
    </row>
    <row r="217" spans="2:6" s="615" customFormat="1">
      <c r="B217" s="838" t="s">
        <v>502</v>
      </c>
      <c r="C217" s="839" t="s">
        <v>503</v>
      </c>
      <c r="D217" s="840" t="str">
        <f t="shared" si="3"/>
        <v/>
      </c>
      <c r="E217" s="615" t="s">
        <v>502</v>
      </c>
      <c r="F217" s="810" t="s">
        <v>503</v>
      </c>
    </row>
    <row r="218" spans="2:6" s="615" customFormat="1">
      <c r="B218" s="838" t="s">
        <v>504</v>
      </c>
      <c r="C218" s="839" t="s">
        <v>505</v>
      </c>
      <c r="D218" s="840" t="str">
        <f t="shared" si="3"/>
        <v/>
      </c>
      <c r="E218" s="615" t="s">
        <v>504</v>
      </c>
      <c r="F218" s="810" t="s">
        <v>505</v>
      </c>
    </row>
    <row r="219" spans="2:6" s="615" customFormat="1">
      <c r="B219" s="838" t="s">
        <v>506</v>
      </c>
      <c r="C219" s="839" t="s">
        <v>507</v>
      </c>
      <c r="D219" s="840" t="str">
        <f t="shared" si="3"/>
        <v/>
      </c>
      <c r="E219" s="615" t="s">
        <v>506</v>
      </c>
      <c r="F219" s="810" t="s">
        <v>507</v>
      </c>
    </row>
    <row r="220" spans="2:6" s="615" customFormat="1">
      <c r="B220" s="838" t="s">
        <v>508</v>
      </c>
      <c r="C220" s="839" t="s">
        <v>509</v>
      </c>
      <c r="D220" s="840" t="str">
        <f t="shared" si="3"/>
        <v/>
      </c>
      <c r="E220" s="615" t="s">
        <v>508</v>
      </c>
      <c r="F220" s="810" t="s">
        <v>509</v>
      </c>
    </row>
    <row r="221" spans="2:6" s="615" customFormat="1">
      <c r="B221" s="838" t="s">
        <v>510</v>
      </c>
      <c r="C221" s="839" t="s">
        <v>511</v>
      </c>
      <c r="D221" s="840" t="str">
        <f t="shared" si="3"/>
        <v/>
      </c>
      <c r="E221" s="615" t="s">
        <v>510</v>
      </c>
      <c r="F221" s="810" t="s">
        <v>511</v>
      </c>
    </row>
    <row r="222" spans="2:6" s="615" customFormat="1">
      <c r="B222" s="838" t="s">
        <v>512</v>
      </c>
      <c r="C222" s="839" t="s">
        <v>2039</v>
      </c>
      <c r="D222" s="840" t="str">
        <f t="shared" si="3"/>
        <v/>
      </c>
      <c r="E222" s="615" t="s">
        <v>512</v>
      </c>
      <c r="F222" s="810" t="s">
        <v>2039</v>
      </c>
    </row>
    <row r="223" spans="2:6" s="615" customFormat="1">
      <c r="B223" s="838" t="s">
        <v>513</v>
      </c>
      <c r="C223" s="839" t="s">
        <v>514</v>
      </c>
      <c r="D223" s="840" t="str">
        <f t="shared" si="3"/>
        <v/>
      </c>
      <c r="E223" s="615" t="s">
        <v>513</v>
      </c>
      <c r="F223" s="810" t="s">
        <v>514</v>
      </c>
    </row>
    <row r="224" spans="2:6" s="615" customFormat="1">
      <c r="B224" s="838" t="s">
        <v>515</v>
      </c>
      <c r="C224" s="839" t="s">
        <v>516</v>
      </c>
      <c r="D224" s="840" t="str">
        <f t="shared" si="3"/>
        <v/>
      </c>
      <c r="E224" s="615" t="s">
        <v>515</v>
      </c>
      <c r="F224" s="810" t="s">
        <v>516</v>
      </c>
    </row>
    <row r="225" spans="2:6" s="615" customFormat="1">
      <c r="B225" s="838" t="s">
        <v>517</v>
      </c>
      <c r="C225" s="839" t="s">
        <v>518</v>
      </c>
      <c r="D225" s="840" t="str">
        <f t="shared" si="3"/>
        <v/>
      </c>
      <c r="E225" s="615" t="s">
        <v>517</v>
      </c>
      <c r="F225" s="810" t="s">
        <v>518</v>
      </c>
    </row>
    <row r="226" spans="2:6" s="615" customFormat="1">
      <c r="B226" s="838" t="s">
        <v>519</v>
      </c>
      <c r="C226" s="839" t="s">
        <v>520</v>
      </c>
      <c r="D226" s="840" t="str">
        <f t="shared" si="3"/>
        <v/>
      </c>
      <c r="E226" s="615" t="s">
        <v>519</v>
      </c>
      <c r="F226" s="810" t="s">
        <v>520</v>
      </c>
    </row>
    <row r="227" spans="2:6" s="615" customFormat="1">
      <c r="B227" s="838" t="s">
        <v>521</v>
      </c>
      <c r="C227" s="839" t="s">
        <v>522</v>
      </c>
      <c r="D227" s="840" t="str">
        <f t="shared" si="3"/>
        <v/>
      </c>
      <c r="E227" s="615" t="s">
        <v>521</v>
      </c>
      <c r="F227" s="810" t="s">
        <v>522</v>
      </c>
    </row>
    <row r="228" spans="2:6" s="615" customFormat="1">
      <c r="B228" s="838" t="s">
        <v>523</v>
      </c>
      <c r="C228" s="839" t="s">
        <v>524</v>
      </c>
      <c r="D228" s="840" t="str">
        <f t="shared" si="3"/>
        <v/>
      </c>
      <c r="E228" s="615" t="s">
        <v>523</v>
      </c>
      <c r="F228" s="810" t="s">
        <v>524</v>
      </c>
    </row>
    <row r="229" spans="2:6" s="615" customFormat="1">
      <c r="B229" s="838" t="s">
        <v>525</v>
      </c>
      <c r="C229" s="839" t="s">
        <v>2040</v>
      </c>
      <c r="D229" s="840" t="str">
        <f t="shared" si="3"/>
        <v/>
      </c>
      <c r="E229" s="615" t="s">
        <v>525</v>
      </c>
      <c r="F229" s="810" t="s">
        <v>2040</v>
      </c>
    </row>
    <row r="230" spans="2:6" s="615" customFormat="1">
      <c r="B230" s="838" t="s">
        <v>526</v>
      </c>
      <c r="C230" s="839" t="s">
        <v>2041</v>
      </c>
      <c r="D230" s="840" t="str">
        <f t="shared" si="3"/>
        <v/>
      </c>
      <c r="E230" s="615" t="s">
        <v>526</v>
      </c>
      <c r="F230" s="810" t="s">
        <v>2041</v>
      </c>
    </row>
    <row r="231" spans="2:6" s="615" customFormat="1">
      <c r="B231" s="838" t="s">
        <v>527</v>
      </c>
      <c r="C231" s="839" t="s">
        <v>528</v>
      </c>
      <c r="D231" s="840" t="str">
        <f t="shared" si="3"/>
        <v/>
      </c>
      <c r="E231" s="615" t="s">
        <v>527</v>
      </c>
      <c r="F231" s="810" t="s">
        <v>528</v>
      </c>
    </row>
    <row r="232" spans="2:6" s="615" customFormat="1">
      <c r="B232" s="838" t="s">
        <v>529</v>
      </c>
      <c r="C232" s="839" t="s">
        <v>2042</v>
      </c>
      <c r="D232" s="840" t="str">
        <f t="shared" si="3"/>
        <v/>
      </c>
      <c r="E232" s="615" t="s">
        <v>529</v>
      </c>
      <c r="F232" s="810" t="s">
        <v>2042</v>
      </c>
    </row>
    <row r="233" spans="2:6" s="615" customFormat="1">
      <c r="B233" s="838" t="s">
        <v>530</v>
      </c>
      <c r="C233" s="839" t="s">
        <v>531</v>
      </c>
      <c r="D233" s="840" t="str">
        <f t="shared" si="3"/>
        <v/>
      </c>
      <c r="E233" s="615" t="s">
        <v>530</v>
      </c>
      <c r="F233" s="810" t="s">
        <v>531</v>
      </c>
    </row>
    <row r="234" spans="2:6" s="615" customFormat="1">
      <c r="B234" s="838" t="s">
        <v>532</v>
      </c>
      <c r="C234" s="839" t="s">
        <v>533</v>
      </c>
      <c r="D234" s="840" t="str">
        <f t="shared" si="3"/>
        <v/>
      </c>
      <c r="E234" s="615" t="s">
        <v>532</v>
      </c>
      <c r="F234" s="810" t="s">
        <v>533</v>
      </c>
    </row>
    <row r="235" spans="2:6" s="615" customFormat="1">
      <c r="B235" s="838" t="s">
        <v>534</v>
      </c>
      <c r="C235" s="839" t="s">
        <v>535</v>
      </c>
      <c r="D235" s="840" t="str">
        <f t="shared" si="3"/>
        <v/>
      </c>
      <c r="E235" s="615" t="s">
        <v>534</v>
      </c>
      <c r="F235" s="810" t="s">
        <v>535</v>
      </c>
    </row>
    <row r="236" spans="2:6" s="615" customFormat="1">
      <c r="B236" s="838" t="s">
        <v>536</v>
      </c>
      <c r="C236" s="839" t="s">
        <v>2043</v>
      </c>
      <c r="D236" s="840" t="str">
        <f t="shared" si="3"/>
        <v/>
      </c>
      <c r="E236" s="615" t="s">
        <v>536</v>
      </c>
      <c r="F236" s="810" t="s">
        <v>2043</v>
      </c>
    </row>
    <row r="237" spans="2:6" s="615" customFormat="1">
      <c r="B237" s="838" t="s">
        <v>537</v>
      </c>
      <c r="C237" s="839" t="s">
        <v>538</v>
      </c>
      <c r="D237" s="840" t="str">
        <f t="shared" si="3"/>
        <v/>
      </c>
      <c r="E237" s="615" t="s">
        <v>537</v>
      </c>
      <c r="F237" s="810" t="s">
        <v>538</v>
      </c>
    </row>
    <row r="238" spans="2:6" s="615" customFormat="1">
      <c r="B238" s="838" t="s">
        <v>539</v>
      </c>
      <c r="C238" s="839" t="s">
        <v>2044</v>
      </c>
      <c r="D238" s="840" t="str">
        <f t="shared" si="3"/>
        <v/>
      </c>
      <c r="E238" s="615" t="s">
        <v>539</v>
      </c>
      <c r="F238" s="810" t="s">
        <v>2044</v>
      </c>
    </row>
    <row r="239" spans="2:6" s="615" customFormat="1">
      <c r="B239" s="838" t="s">
        <v>540</v>
      </c>
      <c r="C239" s="839" t="s">
        <v>541</v>
      </c>
      <c r="D239" s="840" t="str">
        <f t="shared" si="3"/>
        <v/>
      </c>
      <c r="E239" s="615" t="s">
        <v>540</v>
      </c>
      <c r="F239" s="810" t="s">
        <v>541</v>
      </c>
    </row>
    <row r="240" spans="2:6" s="615" customFormat="1">
      <c r="B240" s="838" t="s">
        <v>542</v>
      </c>
      <c r="C240" s="839" t="s">
        <v>2045</v>
      </c>
      <c r="D240" s="840" t="str">
        <f t="shared" si="3"/>
        <v/>
      </c>
      <c r="E240" s="615" t="s">
        <v>542</v>
      </c>
      <c r="F240" s="810" t="s">
        <v>2045</v>
      </c>
    </row>
    <row r="241" spans="2:6" s="615" customFormat="1">
      <c r="B241" s="838" t="s">
        <v>543</v>
      </c>
      <c r="C241" s="839" t="s">
        <v>2046</v>
      </c>
      <c r="D241" s="840" t="str">
        <f t="shared" si="3"/>
        <v/>
      </c>
      <c r="E241" s="615" t="s">
        <v>543</v>
      </c>
      <c r="F241" s="810" t="s">
        <v>2046</v>
      </c>
    </row>
    <row r="242" spans="2:6" s="615" customFormat="1">
      <c r="B242" s="838" t="s">
        <v>544</v>
      </c>
      <c r="C242" s="839" t="s">
        <v>545</v>
      </c>
      <c r="D242" s="840" t="str">
        <f t="shared" si="3"/>
        <v/>
      </c>
      <c r="E242" s="615" t="s">
        <v>544</v>
      </c>
      <c r="F242" s="810" t="s">
        <v>545</v>
      </c>
    </row>
    <row r="243" spans="2:6" s="615" customFormat="1">
      <c r="B243" s="838" t="s">
        <v>546</v>
      </c>
      <c r="C243" s="839" t="s">
        <v>547</v>
      </c>
      <c r="D243" s="840" t="str">
        <f t="shared" si="3"/>
        <v/>
      </c>
      <c r="E243" s="615" t="s">
        <v>546</v>
      </c>
      <c r="F243" s="810" t="s">
        <v>547</v>
      </c>
    </row>
    <row r="244" spans="2:6" s="615" customFormat="1">
      <c r="B244" s="838" t="s">
        <v>548</v>
      </c>
      <c r="C244" s="839" t="s">
        <v>549</v>
      </c>
      <c r="D244" s="840" t="str">
        <f t="shared" si="3"/>
        <v/>
      </c>
      <c r="E244" s="615" t="s">
        <v>548</v>
      </c>
      <c r="F244" s="810" t="s">
        <v>549</v>
      </c>
    </row>
    <row r="245" spans="2:6" s="615" customFormat="1">
      <c r="B245" s="838" t="s">
        <v>550</v>
      </c>
      <c r="C245" s="839" t="s">
        <v>551</v>
      </c>
      <c r="D245" s="840" t="str">
        <f t="shared" si="3"/>
        <v/>
      </c>
      <c r="E245" s="615" t="s">
        <v>550</v>
      </c>
      <c r="F245" s="810" t="s">
        <v>551</v>
      </c>
    </row>
    <row r="246" spans="2:6" s="615" customFormat="1">
      <c r="B246" s="838" t="s">
        <v>552</v>
      </c>
      <c r="C246" s="839" t="s">
        <v>553</v>
      </c>
      <c r="D246" s="840" t="str">
        <f t="shared" si="3"/>
        <v/>
      </c>
      <c r="E246" s="615" t="s">
        <v>552</v>
      </c>
      <c r="F246" s="810" t="s">
        <v>553</v>
      </c>
    </row>
    <row r="247" spans="2:6" s="615" customFormat="1">
      <c r="B247" s="838" t="s">
        <v>554</v>
      </c>
      <c r="C247" s="839" t="s">
        <v>2047</v>
      </c>
      <c r="D247" s="840" t="str">
        <f t="shared" si="3"/>
        <v/>
      </c>
      <c r="E247" s="615" t="s">
        <v>554</v>
      </c>
      <c r="F247" s="810" t="s">
        <v>2047</v>
      </c>
    </row>
    <row r="248" spans="2:6" s="615" customFormat="1">
      <c r="B248" s="838" t="s">
        <v>555</v>
      </c>
      <c r="C248" s="839" t="s">
        <v>556</v>
      </c>
      <c r="D248" s="840" t="str">
        <f t="shared" si="3"/>
        <v/>
      </c>
      <c r="E248" s="615" t="s">
        <v>555</v>
      </c>
      <c r="F248" s="810" t="s">
        <v>556</v>
      </c>
    </row>
    <row r="249" spans="2:6" s="615" customFormat="1">
      <c r="B249" s="838" t="s">
        <v>557</v>
      </c>
      <c r="C249" s="839" t="s">
        <v>2048</v>
      </c>
      <c r="D249" s="840" t="str">
        <f t="shared" si="3"/>
        <v/>
      </c>
      <c r="E249" s="615" t="s">
        <v>557</v>
      </c>
      <c r="F249" s="810" t="s">
        <v>2048</v>
      </c>
    </row>
    <row r="250" spans="2:6" s="615" customFormat="1">
      <c r="B250" s="838" t="s">
        <v>558</v>
      </c>
      <c r="C250" s="839" t="s">
        <v>2049</v>
      </c>
      <c r="D250" s="840" t="str">
        <f t="shared" si="3"/>
        <v/>
      </c>
      <c r="E250" s="615" t="s">
        <v>558</v>
      </c>
      <c r="F250" s="810" t="s">
        <v>2049</v>
      </c>
    </row>
    <row r="251" spans="2:6" s="615" customFormat="1">
      <c r="B251" s="838" t="s">
        <v>559</v>
      </c>
      <c r="C251" s="839" t="s">
        <v>2050</v>
      </c>
      <c r="D251" s="840" t="str">
        <f t="shared" si="3"/>
        <v/>
      </c>
      <c r="E251" s="615" t="s">
        <v>559</v>
      </c>
      <c r="F251" s="810" t="s">
        <v>2050</v>
      </c>
    </row>
    <row r="252" spans="2:6" s="615" customFormat="1">
      <c r="B252" s="838" t="s">
        <v>560</v>
      </c>
      <c r="C252" s="839" t="s">
        <v>2051</v>
      </c>
      <c r="D252" s="840" t="str">
        <f t="shared" si="3"/>
        <v/>
      </c>
      <c r="E252" s="615" t="s">
        <v>560</v>
      </c>
      <c r="F252" s="810" t="s">
        <v>2051</v>
      </c>
    </row>
    <row r="253" spans="2:6" s="615" customFormat="1">
      <c r="B253" s="838" t="s">
        <v>561</v>
      </c>
      <c r="C253" s="839" t="s">
        <v>562</v>
      </c>
      <c r="D253" s="840" t="str">
        <f t="shared" si="3"/>
        <v/>
      </c>
      <c r="E253" s="615" t="s">
        <v>561</v>
      </c>
      <c r="F253" s="810" t="s">
        <v>562</v>
      </c>
    </row>
    <row r="254" spans="2:6" s="615" customFormat="1">
      <c r="B254" s="838" t="s">
        <v>563</v>
      </c>
      <c r="C254" s="839" t="s">
        <v>2052</v>
      </c>
      <c r="D254" s="840" t="str">
        <f t="shared" si="3"/>
        <v/>
      </c>
      <c r="E254" s="615" t="s">
        <v>563</v>
      </c>
      <c r="F254" s="810" t="s">
        <v>2052</v>
      </c>
    </row>
    <row r="255" spans="2:6" s="615" customFormat="1">
      <c r="B255" s="838" t="s">
        <v>564</v>
      </c>
      <c r="C255" s="839" t="s">
        <v>2053</v>
      </c>
      <c r="D255" s="840" t="str">
        <f t="shared" si="3"/>
        <v/>
      </c>
      <c r="E255" s="615" t="s">
        <v>564</v>
      </c>
      <c r="F255" s="810" t="s">
        <v>2053</v>
      </c>
    </row>
    <row r="256" spans="2:6" s="615" customFormat="1">
      <c r="B256" s="838" t="s">
        <v>565</v>
      </c>
      <c r="C256" s="839" t="s">
        <v>2054</v>
      </c>
      <c r="D256" s="840" t="str">
        <f t="shared" si="3"/>
        <v/>
      </c>
      <c r="E256" s="615" t="s">
        <v>565</v>
      </c>
      <c r="F256" s="810" t="s">
        <v>2054</v>
      </c>
    </row>
    <row r="257" spans="2:6" s="615" customFormat="1">
      <c r="B257" s="838" t="s">
        <v>566</v>
      </c>
      <c r="C257" s="839" t="s">
        <v>2055</v>
      </c>
      <c r="D257" s="840" t="str">
        <f t="shared" si="3"/>
        <v/>
      </c>
      <c r="E257" s="615" t="s">
        <v>566</v>
      </c>
      <c r="F257" s="810" t="s">
        <v>2055</v>
      </c>
    </row>
    <row r="258" spans="2:6" s="615" customFormat="1">
      <c r="B258" s="838" t="s">
        <v>567</v>
      </c>
      <c r="C258" s="839" t="s">
        <v>2056</v>
      </c>
      <c r="D258" s="840" t="str">
        <f t="shared" si="3"/>
        <v/>
      </c>
      <c r="E258" s="615" t="s">
        <v>567</v>
      </c>
      <c r="F258" s="810" t="s">
        <v>2056</v>
      </c>
    </row>
    <row r="259" spans="2:6" s="615" customFormat="1">
      <c r="B259" s="838" t="s">
        <v>568</v>
      </c>
      <c r="C259" s="839" t="s">
        <v>569</v>
      </c>
      <c r="D259" s="840" t="str">
        <f t="shared" si="3"/>
        <v/>
      </c>
      <c r="E259" s="615" t="s">
        <v>568</v>
      </c>
      <c r="F259" s="810" t="s">
        <v>569</v>
      </c>
    </row>
    <row r="260" spans="2:6" s="615" customFormat="1">
      <c r="B260" s="838" t="s">
        <v>570</v>
      </c>
      <c r="C260" s="839" t="s">
        <v>571</v>
      </c>
      <c r="D260" s="840" t="str">
        <f t="shared" ref="D260:D323" si="4">IF(AND(B260=E260,C260=F260),"","x")</f>
        <v/>
      </c>
      <c r="E260" s="615" t="s">
        <v>570</v>
      </c>
      <c r="F260" s="810" t="s">
        <v>571</v>
      </c>
    </row>
    <row r="261" spans="2:6" s="615" customFormat="1">
      <c r="B261" s="838" t="s">
        <v>572</v>
      </c>
      <c r="C261" s="839" t="s">
        <v>2057</v>
      </c>
      <c r="D261" s="840" t="str">
        <f t="shared" si="4"/>
        <v/>
      </c>
      <c r="E261" s="615" t="s">
        <v>572</v>
      </c>
      <c r="F261" s="810" t="s">
        <v>2057</v>
      </c>
    </row>
    <row r="262" spans="2:6" s="615" customFormat="1">
      <c r="B262" s="838" t="s">
        <v>573</v>
      </c>
      <c r="C262" s="839" t="s">
        <v>574</v>
      </c>
      <c r="D262" s="840" t="str">
        <f t="shared" si="4"/>
        <v/>
      </c>
      <c r="E262" s="615" t="s">
        <v>573</v>
      </c>
      <c r="F262" s="810" t="s">
        <v>574</v>
      </c>
    </row>
    <row r="263" spans="2:6" s="615" customFormat="1">
      <c r="B263" s="838" t="s">
        <v>575</v>
      </c>
      <c r="C263" s="839" t="s">
        <v>576</v>
      </c>
      <c r="D263" s="840" t="str">
        <f t="shared" si="4"/>
        <v/>
      </c>
      <c r="E263" s="615" t="s">
        <v>575</v>
      </c>
      <c r="F263" s="810" t="s">
        <v>576</v>
      </c>
    </row>
    <row r="264" spans="2:6" s="615" customFormat="1">
      <c r="B264" s="838" t="s">
        <v>577</v>
      </c>
      <c r="C264" s="839" t="s">
        <v>578</v>
      </c>
      <c r="D264" s="840" t="str">
        <f t="shared" si="4"/>
        <v/>
      </c>
      <c r="E264" s="615" t="s">
        <v>577</v>
      </c>
      <c r="F264" s="810" t="s">
        <v>578</v>
      </c>
    </row>
    <row r="265" spans="2:6" s="615" customFormat="1">
      <c r="B265" s="838" t="s">
        <v>579</v>
      </c>
      <c r="C265" s="839" t="s">
        <v>580</v>
      </c>
      <c r="D265" s="840" t="str">
        <f t="shared" si="4"/>
        <v/>
      </c>
      <c r="E265" s="615" t="s">
        <v>579</v>
      </c>
      <c r="F265" s="810" t="s">
        <v>580</v>
      </c>
    </row>
    <row r="266" spans="2:6" s="615" customFormat="1">
      <c r="B266" s="838" t="s">
        <v>581</v>
      </c>
      <c r="C266" s="839" t="s">
        <v>582</v>
      </c>
      <c r="D266" s="840" t="str">
        <f t="shared" si="4"/>
        <v/>
      </c>
      <c r="E266" s="615" t="s">
        <v>581</v>
      </c>
      <c r="F266" s="810" t="s">
        <v>582</v>
      </c>
    </row>
    <row r="267" spans="2:6" s="615" customFormat="1">
      <c r="B267" s="838" t="s">
        <v>583</v>
      </c>
      <c r="C267" s="839" t="s">
        <v>2058</v>
      </c>
      <c r="D267" s="840" t="str">
        <f t="shared" si="4"/>
        <v/>
      </c>
      <c r="E267" s="615" t="s">
        <v>583</v>
      </c>
      <c r="F267" s="810" t="s">
        <v>2058</v>
      </c>
    </row>
    <row r="268" spans="2:6" s="615" customFormat="1">
      <c r="B268" s="838" t="s">
        <v>584</v>
      </c>
      <c r="C268" s="839" t="s">
        <v>2059</v>
      </c>
      <c r="D268" s="840" t="str">
        <f t="shared" si="4"/>
        <v/>
      </c>
      <c r="E268" s="615" t="s">
        <v>584</v>
      </c>
      <c r="F268" s="810" t="s">
        <v>2059</v>
      </c>
    </row>
    <row r="269" spans="2:6" s="615" customFormat="1">
      <c r="B269" s="838" t="s">
        <v>585</v>
      </c>
      <c r="C269" s="839" t="s">
        <v>2060</v>
      </c>
      <c r="D269" s="840" t="str">
        <f t="shared" si="4"/>
        <v/>
      </c>
      <c r="E269" s="615" t="s">
        <v>585</v>
      </c>
      <c r="F269" s="810" t="s">
        <v>2060</v>
      </c>
    </row>
    <row r="270" spans="2:6" s="615" customFormat="1">
      <c r="B270" s="838" t="s">
        <v>586</v>
      </c>
      <c r="C270" s="839" t="s">
        <v>587</v>
      </c>
      <c r="D270" s="840" t="str">
        <f t="shared" si="4"/>
        <v/>
      </c>
      <c r="E270" s="615" t="s">
        <v>586</v>
      </c>
      <c r="F270" s="810" t="s">
        <v>587</v>
      </c>
    </row>
    <row r="271" spans="2:6" s="615" customFormat="1">
      <c r="B271" s="838" t="s">
        <v>588</v>
      </c>
      <c r="C271" s="839" t="s">
        <v>589</v>
      </c>
      <c r="D271" s="840" t="str">
        <f t="shared" si="4"/>
        <v/>
      </c>
      <c r="E271" s="615" t="s">
        <v>588</v>
      </c>
      <c r="F271" s="810" t="s">
        <v>589</v>
      </c>
    </row>
    <row r="272" spans="2:6" s="615" customFormat="1">
      <c r="B272" s="838" t="s">
        <v>590</v>
      </c>
      <c r="C272" s="839" t="s">
        <v>591</v>
      </c>
      <c r="D272" s="840" t="str">
        <f t="shared" si="4"/>
        <v/>
      </c>
      <c r="E272" s="615" t="s">
        <v>590</v>
      </c>
      <c r="F272" s="810" t="s">
        <v>591</v>
      </c>
    </row>
    <row r="273" spans="2:6" s="615" customFormat="1">
      <c r="B273" s="838" t="s">
        <v>592</v>
      </c>
      <c r="C273" s="839" t="s">
        <v>2061</v>
      </c>
      <c r="D273" s="840" t="str">
        <f t="shared" si="4"/>
        <v/>
      </c>
      <c r="E273" s="615" t="s">
        <v>592</v>
      </c>
      <c r="F273" s="810" t="s">
        <v>2061</v>
      </c>
    </row>
    <row r="274" spans="2:6" s="615" customFormat="1">
      <c r="B274" s="838" t="s">
        <v>593</v>
      </c>
      <c r="C274" s="839" t="s">
        <v>594</v>
      </c>
      <c r="D274" s="840" t="str">
        <f t="shared" si="4"/>
        <v/>
      </c>
      <c r="E274" s="615" t="s">
        <v>593</v>
      </c>
      <c r="F274" s="810" t="s">
        <v>594</v>
      </c>
    </row>
    <row r="275" spans="2:6" s="615" customFormat="1">
      <c r="B275" s="838" t="s">
        <v>595</v>
      </c>
      <c r="C275" s="839" t="s">
        <v>596</v>
      </c>
      <c r="D275" s="840" t="str">
        <f t="shared" si="4"/>
        <v/>
      </c>
      <c r="E275" s="615" t="s">
        <v>595</v>
      </c>
      <c r="F275" s="810" t="s">
        <v>596</v>
      </c>
    </row>
    <row r="276" spans="2:6" s="615" customFormat="1">
      <c r="B276" s="838" t="s">
        <v>597</v>
      </c>
      <c r="C276" s="839" t="s">
        <v>598</v>
      </c>
      <c r="D276" s="840" t="str">
        <f t="shared" si="4"/>
        <v/>
      </c>
      <c r="E276" s="615" t="s">
        <v>597</v>
      </c>
      <c r="F276" s="810" t="s">
        <v>598</v>
      </c>
    </row>
    <row r="277" spans="2:6" s="615" customFormat="1">
      <c r="B277" s="838" t="s">
        <v>599</v>
      </c>
      <c r="C277" s="839" t="s">
        <v>600</v>
      </c>
      <c r="D277" s="840" t="str">
        <f t="shared" si="4"/>
        <v/>
      </c>
      <c r="E277" s="615" t="s">
        <v>599</v>
      </c>
      <c r="F277" s="810" t="s">
        <v>600</v>
      </c>
    </row>
    <row r="278" spans="2:6" s="615" customFormat="1">
      <c r="B278" s="838" t="s">
        <v>601</v>
      </c>
      <c r="C278" s="839" t="s">
        <v>2062</v>
      </c>
      <c r="D278" s="840" t="str">
        <f t="shared" si="4"/>
        <v/>
      </c>
      <c r="E278" s="615" t="s">
        <v>601</v>
      </c>
      <c r="F278" s="810" t="s">
        <v>2062</v>
      </c>
    </row>
    <row r="279" spans="2:6" s="615" customFormat="1">
      <c r="B279" s="838" t="s">
        <v>602</v>
      </c>
      <c r="C279" s="839" t="s">
        <v>603</v>
      </c>
      <c r="D279" s="840" t="str">
        <f t="shared" si="4"/>
        <v/>
      </c>
      <c r="E279" s="615" t="s">
        <v>602</v>
      </c>
      <c r="F279" s="810" t="s">
        <v>603</v>
      </c>
    </row>
    <row r="280" spans="2:6" s="615" customFormat="1">
      <c r="B280" s="838" t="s">
        <v>604</v>
      </c>
      <c r="C280" s="839" t="s">
        <v>605</v>
      </c>
      <c r="D280" s="840" t="str">
        <f t="shared" si="4"/>
        <v/>
      </c>
      <c r="E280" s="615" t="s">
        <v>604</v>
      </c>
      <c r="F280" s="810" t="s">
        <v>605</v>
      </c>
    </row>
    <row r="281" spans="2:6" s="615" customFormat="1">
      <c r="B281" s="838" t="s">
        <v>606</v>
      </c>
      <c r="C281" s="839" t="s">
        <v>2063</v>
      </c>
      <c r="D281" s="840" t="str">
        <f t="shared" si="4"/>
        <v/>
      </c>
      <c r="E281" s="615" t="s">
        <v>606</v>
      </c>
      <c r="F281" s="810" t="s">
        <v>2063</v>
      </c>
    </row>
    <row r="282" spans="2:6" s="615" customFormat="1">
      <c r="B282" s="838" t="s">
        <v>607</v>
      </c>
      <c r="C282" s="839" t="s">
        <v>2064</v>
      </c>
      <c r="D282" s="840" t="str">
        <f t="shared" si="4"/>
        <v/>
      </c>
      <c r="E282" s="615" t="s">
        <v>607</v>
      </c>
      <c r="F282" s="810" t="s">
        <v>2064</v>
      </c>
    </row>
    <row r="283" spans="2:6" s="615" customFormat="1">
      <c r="B283" s="838" t="s">
        <v>608</v>
      </c>
      <c r="C283" s="839" t="s">
        <v>609</v>
      </c>
      <c r="D283" s="840" t="str">
        <f t="shared" si="4"/>
        <v/>
      </c>
      <c r="E283" s="615" t="s">
        <v>608</v>
      </c>
      <c r="F283" s="810" t="s">
        <v>609</v>
      </c>
    </row>
    <row r="284" spans="2:6" s="615" customFormat="1">
      <c r="B284" s="838" t="s">
        <v>610</v>
      </c>
      <c r="C284" s="839" t="s">
        <v>2065</v>
      </c>
      <c r="D284" s="840" t="str">
        <f t="shared" si="4"/>
        <v/>
      </c>
      <c r="E284" s="615" t="s">
        <v>610</v>
      </c>
      <c r="F284" s="810" t="s">
        <v>2065</v>
      </c>
    </row>
    <row r="285" spans="2:6" s="615" customFormat="1">
      <c r="B285" s="838" t="s">
        <v>611</v>
      </c>
      <c r="C285" s="839" t="s">
        <v>2066</v>
      </c>
      <c r="D285" s="840" t="str">
        <f t="shared" si="4"/>
        <v/>
      </c>
      <c r="E285" s="615" t="s">
        <v>611</v>
      </c>
      <c r="F285" s="810" t="s">
        <v>2066</v>
      </c>
    </row>
    <row r="286" spans="2:6" s="615" customFormat="1">
      <c r="B286" s="838" t="s">
        <v>612</v>
      </c>
      <c r="C286" s="839" t="s">
        <v>2067</v>
      </c>
      <c r="D286" s="840" t="str">
        <f t="shared" si="4"/>
        <v/>
      </c>
      <c r="E286" s="615" t="s">
        <v>612</v>
      </c>
      <c r="F286" s="810" t="s">
        <v>2067</v>
      </c>
    </row>
    <row r="287" spans="2:6" s="615" customFormat="1">
      <c r="B287" s="838" t="s">
        <v>613</v>
      </c>
      <c r="C287" s="839" t="s">
        <v>614</v>
      </c>
      <c r="D287" s="840" t="str">
        <f t="shared" si="4"/>
        <v/>
      </c>
      <c r="E287" s="615" t="s">
        <v>613</v>
      </c>
      <c r="F287" s="810" t="s">
        <v>614</v>
      </c>
    </row>
    <row r="288" spans="2:6" s="615" customFormat="1">
      <c r="B288" s="838" t="s">
        <v>615</v>
      </c>
      <c r="C288" s="839" t="s">
        <v>616</v>
      </c>
      <c r="D288" s="840" t="str">
        <f t="shared" si="4"/>
        <v/>
      </c>
      <c r="E288" s="615" t="s">
        <v>615</v>
      </c>
      <c r="F288" s="810" t="s">
        <v>616</v>
      </c>
    </row>
    <row r="289" spans="2:6" s="615" customFormat="1">
      <c r="B289" s="838" t="s">
        <v>617</v>
      </c>
      <c r="C289" s="839" t="s">
        <v>2068</v>
      </c>
      <c r="D289" s="840" t="str">
        <f t="shared" si="4"/>
        <v/>
      </c>
      <c r="E289" s="615" t="s">
        <v>617</v>
      </c>
      <c r="F289" s="810" t="s">
        <v>2068</v>
      </c>
    </row>
    <row r="290" spans="2:6" s="615" customFormat="1">
      <c r="B290" s="838" t="s">
        <v>618</v>
      </c>
      <c r="C290" s="839" t="s">
        <v>619</v>
      </c>
      <c r="D290" s="840" t="str">
        <f t="shared" si="4"/>
        <v/>
      </c>
      <c r="E290" s="615" t="s">
        <v>618</v>
      </c>
      <c r="F290" s="810" t="s">
        <v>619</v>
      </c>
    </row>
    <row r="291" spans="2:6" s="615" customFormat="1">
      <c r="B291" s="838" t="s">
        <v>620</v>
      </c>
      <c r="C291" s="839" t="s">
        <v>621</v>
      </c>
      <c r="D291" s="840" t="str">
        <f t="shared" si="4"/>
        <v/>
      </c>
      <c r="E291" s="615" t="s">
        <v>620</v>
      </c>
      <c r="F291" s="810" t="s">
        <v>621</v>
      </c>
    </row>
    <row r="292" spans="2:6" s="615" customFormat="1">
      <c r="B292" s="838" t="s">
        <v>622</v>
      </c>
      <c r="C292" s="839" t="s">
        <v>623</v>
      </c>
      <c r="D292" s="840" t="str">
        <f t="shared" si="4"/>
        <v/>
      </c>
      <c r="E292" s="615" t="s">
        <v>622</v>
      </c>
      <c r="F292" s="810" t="s">
        <v>623</v>
      </c>
    </row>
    <row r="293" spans="2:6" s="615" customFormat="1">
      <c r="B293" s="838" t="s">
        <v>624</v>
      </c>
      <c r="C293" s="839" t="s">
        <v>2069</v>
      </c>
      <c r="D293" s="840" t="str">
        <f t="shared" si="4"/>
        <v/>
      </c>
      <c r="E293" s="615" t="s">
        <v>624</v>
      </c>
      <c r="F293" s="810" t="s">
        <v>2069</v>
      </c>
    </row>
    <row r="294" spans="2:6" s="615" customFormat="1">
      <c r="B294" s="838" t="s">
        <v>625</v>
      </c>
      <c r="C294" s="839" t="s">
        <v>626</v>
      </c>
      <c r="D294" s="840" t="str">
        <f t="shared" si="4"/>
        <v/>
      </c>
      <c r="E294" s="615" t="s">
        <v>625</v>
      </c>
      <c r="F294" s="810" t="s">
        <v>626</v>
      </c>
    </row>
    <row r="295" spans="2:6" s="615" customFormat="1">
      <c r="B295" s="838" t="s">
        <v>627</v>
      </c>
      <c r="C295" s="839" t="s">
        <v>2070</v>
      </c>
      <c r="D295" s="840" t="str">
        <f t="shared" si="4"/>
        <v/>
      </c>
      <c r="E295" s="615" t="s">
        <v>627</v>
      </c>
      <c r="F295" s="810" t="s">
        <v>2070</v>
      </c>
    </row>
    <row r="296" spans="2:6" s="615" customFormat="1">
      <c r="B296" s="838" t="s">
        <v>628</v>
      </c>
      <c r="C296" s="839" t="s">
        <v>629</v>
      </c>
      <c r="D296" s="840" t="str">
        <f t="shared" si="4"/>
        <v/>
      </c>
      <c r="E296" s="615" t="s">
        <v>628</v>
      </c>
      <c r="F296" s="810" t="s">
        <v>629</v>
      </c>
    </row>
    <row r="297" spans="2:6" s="615" customFormat="1">
      <c r="B297" s="838" t="s">
        <v>630</v>
      </c>
      <c r="C297" s="839" t="s">
        <v>631</v>
      </c>
      <c r="D297" s="840" t="str">
        <f t="shared" si="4"/>
        <v/>
      </c>
      <c r="E297" s="615" t="s">
        <v>630</v>
      </c>
      <c r="F297" s="810" t="s">
        <v>631</v>
      </c>
    </row>
    <row r="298" spans="2:6" s="615" customFormat="1">
      <c r="B298" s="838" t="s">
        <v>632</v>
      </c>
      <c r="C298" s="839" t="s">
        <v>2071</v>
      </c>
      <c r="D298" s="840" t="str">
        <f t="shared" si="4"/>
        <v/>
      </c>
      <c r="E298" s="615" t="s">
        <v>632</v>
      </c>
      <c r="F298" s="810" t="s">
        <v>2071</v>
      </c>
    </row>
    <row r="299" spans="2:6" s="615" customFormat="1">
      <c r="B299" s="838" t="s">
        <v>633</v>
      </c>
      <c r="C299" s="839" t="s">
        <v>2072</v>
      </c>
      <c r="D299" s="840" t="str">
        <f t="shared" si="4"/>
        <v/>
      </c>
      <c r="E299" s="615" t="s">
        <v>633</v>
      </c>
      <c r="F299" s="810" t="s">
        <v>2072</v>
      </c>
    </row>
    <row r="300" spans="2:6" s="615" customFormat="1">
      <c r="B300" s="838" t="s">
        <v>634</v>
      </c>
      <c r="C300" s="839" t="s">
        <v>2073</v>
      </c>
      <c r="D300" s="840" t="str">
        <f t="shared" si="4"/>
        <v/>
      </c>
      <c r="E300" s="615" t="s">
        <v>634</v>
      </c>
      <c r="F300" s="810" t="s">
        <v>2073</v>
      </c>
    </row>
    <row r="301" spans="2:6" s="615" customFormat="1">
      <c r="B301" s="838" t="s">
        <v>635</v>
      </c>
      <c r="C301" s="839" t="s">
        <v>636</v>
      </c>
      <c r="D301" s="840" t="str">
        <f t="shared" si="4"/>
        <v/>
      </c>
      <c r="E301" s="615" t="s">
        <v>635</v>
      </c>
      <c r="F301" s="810" t="s">
        <v>636</v>
      </c>
    </row>
    <row r="302" spans="2:6" s="615" customFormat="1">
      <c r="B302" s="838" t="s">
        <v>637</v>
      </c>
      <c r="C302" s="839" t="s">
        <v>638</v>
      </c>
      <c r="D302" s="840" t="str">
        <f t="shared" si="4"/>
        <v/>
      </c>
      <c r="E302" s="615" t="s">
        <v>637</v>
      </c>
      <c r="F302" s="810" t="s">
        <v>638</v>
      </c>
    </row>
    <row r="303" spans="2:6" s="615" customFormat="1">
      <c r="B303" s="838" t="s">
        <v>639</v>
      </c>
      <c r="C303" s="839" t="s">
        <v>2074</v>
      </c>
      <c r="D303" s="840" t="str">
        <f t="shared" si="4"/>
        <v/>
      </c>
      <c r="E303" s="615" t="s">
        <v>639</v>
      </c>
      <c r="F303" s="810" t="s">
        <v>2074</v>
      </c>
    </row>
    <row r="304" spans="2:6" s="615" customFormat="1">
      <c r="B304" s="838" t="s">
        <v>640</v>
      </c>
      <c r="C304" s="839" t="s">
        <v>641</v>
      </c>
      <c r="D304" s="840" t="str">
        <f t="shared" si="4"/>
        <v/>
      </c>
      <c r="E304" s="615" t="s">
        <v>640</v>
      </c>
      <c r="F304" s="810" t="s">
        <v>641</v>
      </c>
    </row>
    <row r="305" spans="2:6" s="615" customFormat="1">
      <c r="B305" s="838" t="s">
        <v>642</v>
      </c>
      <c r="C305" s="839" t="s">
        <v>2075</v>
      </c>
      <c r="D305" s="840" t="str">
        <f t="shared" si="4"/>
        <v/>
      </c>
      <c r="E305" s="615" t="s">
        <v>642</v>
      </c>
      <c r="F305" s="810" t="s">
        <v>2075</v>
      </c>
    </row>
    <row r="306" spans="2:6" s="615" customFormat="1">
      <c r="B306" s="838" t="s">
        <v>643</v>
      </c>
      <c r="C306" s="839" t="s">
        <v>644</v>
      </c>
      <c r="D306" s="840" t="str">
        <f t="shared" si="4"/>
        <v/>
      </c>
      <c r="E306" s="615" t="s">
        <v>643</v>
      </c>
      <c r="F306" s="810" t="s">
        <v>644</v>
      </c>
    </row>
    <row r="307" spans="2:6" s="615" customFormat="1">
      <c r="B307" s="838" t="s">
        <v>645</v>
      </c>
      <c r="C307" s="839" t="s">
        <v>646</v>
      </c>
      <c r="D307" s="840" t="str">
        <f t="shared" si="4"/>
        <v/>
      </c>
      <c r="E307" s="615" t="s">
        <v>645</v>
      </c>
      <c r="F307" s="810" t="s">
        <v>646</v>
      </c>
    </row>
    <row r="308" spans="2:6" s="615" customFormat="1">
      <c r="B308" s="838" t="s">
        <v>647</v>
      </c>
      <c r="C308" s="839" t="s">
        <v>648</v>
      </c>
      <c r="D308" s="840" t="str">
        <f t="shared" si="4"/>
        <v/>
      </c>
      <c r="E308" s="615" t="s">
        <v>647</v>
      </c>
      <c r="F308" s="810" t="s">
        <v>648</v>
      </c>
    </row>
    <row r="309" spans="2:6" s="615" customFormat="1">
      <c r="B309" s="838" t="s">
        <v>649</v>
      </c>
      <c r="C309" s="839" t="s">
        <v>650</v>
      </c>
      <c r="D309" s="840" t="str">
        <f t="shared" si="4"/>
        <v/>
      </c>
      <c r="E309" s="615" t="s">
        <v>649</v>
      </c>
      <c r="F309" s="810" t="s">
        <v>650</v>
      </c>
    </row>
    <row r="310" spans="2:6" s="615" customFormat="1">
      <c r="B310" s="838" t="s">
        <v>651</v>
      </c>
      <c r="C310" s="839" t="s">
        <v>652</v>
      </c>
      <c r="D310" s="840" t="str">
        <f t="shared" si="4"/>
        <v/>
      </c>
      <c r="E310" s="615" t="s">
        <v>651</v>
      </c>
      <c r="F310" s="810" t="s">
        <v>652</v>
      </c>
    </row>
    <row r="311" spans="2:6" s="615" customFormat="1">
      <c r="B311" s="838" t="s">
        <v>653</v>
      </c>
      <c r="C311" s="839" t="s">
        <v>654</v>
      </c>
      <c r="D311" s="840" t="str">
        <f t="shared" si="4"/>
        <v/>
      </c>
      <c r="E311" s="615" t="s">
        <v>653</v>
      </c>
      <c r="F311" s="810" t="s">
        <v>654</v>
      </c>
    </row>
    <row r="312" spans="2:6" s="615" customFormat="1">
      <c r="B312" s="838" t="s">
        <v>655</v>
      </c>
      <c r="C312" s="839" t="s">
        <v>2076</v>
      </c>
      <c r="D312" s="840" t="str">
        <f t="shared" si="4"/>
        <v/>
      </c>
      <c r="E312" s="615" t="s">
        <v>655</v>
      </c>
      <c r="F312" s="810" t="s">
        <v>2076</v>
      </c>
    </row>
    <row r="313" spans="2:6" s="615" customFormat="1">
      <c r="B313" s="838" t="s">
        <v>656</v>
      </c>
      <c r="C313" s="839" t="s">
        <v>2077</v>
      </c>
      <c r="D313" s="840" t="str">
        <f t="shared" si="4"/>
        <v/>
      </c>
      <c r="E313" s="615" t="s">
        <v>656</v>
      </c>
      <c r="F313" s="810" t="s">
        <v>2077</v>
      </c>
    </row>
    <row r="314" spans="2:6" s="615" customFormat="1">
      <c r="B314" s="838" t="s">
        <v>657</v>
      </c>
      <c r="C314" s="839" t="s">
        <v>2078</v>
      </c>
      <c r="D314" s="840" t="str">
        <f t="shared" si="4"/>
        <v/>
      </c>
      <c r="E314" s="615" t="s">
        <v>657</v>
      </c>
      <c r="F314" s="810" t="s">
        <v>2078</v>
      </c>
    </row>
    <row r="315" spans="2:6" s="615" customFormat="1">
      <c r="B315" s="838" t="s">
        <v>658</v>
      </c>
      <c r="C315" s="839" t="s">
        <v>2079</v>
      </c>
      <c r="D315" s="840" t="str">
        <f t="shared" si="4"/>
        <v/>
      </c>
      <c r="E315" s="615" t="s">
        <v>658</v>
      </c>
      <c r="F315" s="810" t="s">
        <v>2079</v>
      </c>
    </row>
    <row r="316" spans="2:6" s="615" customFormat="1">
      <c r="B316" s="838" t="s">
        <v>659</v>
      </c>
      <c r="C316" s="839" t="s">
        <v>2080</v>
      </c>
      <c r="D316" s="840" t="str">
        <f t="shared" si="4"/>
        <v/>
      </c>
      <c r="E316" s="615" t="s">
        <v>659</v>
      </c>
      <c r="F316" s="810" t="s">
        <v>2080</v>
      </c>
    </row>
    <row r="317" spans="2:6" s="615" customFormat="1">
      <c r="B317" s="838" t="s">
        <v>1147</v>
      </c>
      <c r="C317" s="839" t="s">
        <v>2081</v>
      </c>
      <c r="D317" s="840" t="str">
        <f t="shared" si="4"/>
        <v/>
      </c>
      <c r="E317" s="615" t="s">
        <v>1147</v>
      </c>
      <c r="F317" s="810" t="s">
        <v>2081</v>
      </c>
    </row>
    <row r="318" spans="2:6" s="615" customFormat="1">
      <c r="B318" s="838" t="s">
        <v>660</v>
      </c>
      <c r="C318" s="839" t="s">
        <v>2082</v>
      </c>
      <c r="D318" s="840" t="str">
        <f t="shared" si="4"/>
        <v/>
      </c>
      <c r="E318" s="615" t="s">
        <v>660</v>
      </c>
      <c r="F318" s="810" t="s">
        <v>2082</v>
      </c>
    </row>
    <row r="319" spans="2:6" s="615" customFormat="1">
      <c r="B319" s="838" t="s">
        <v>661</v>
      </c>
      <c r="C319" s="839" t="s">
        <v>662</v>
      </c>
      <c r="D319" s="840" t="str">
        <f t="shared" si="4"/>
        <v/>
      </c>
      <c r="E319" s="615" t="s">
        <v>661</v>
      </c>
      <c r="F319" s="810" t="s">
        <v>662</v>
      </c>
    </row>
    <row r="320" spans="2:6" s="615" customFormat="1">
      <c r="B320" s="838" t="s">
        <v>663</v>
      </c>
      <c r="C320" s="839" t="s">
        <v>664</v>
      </c>
      <c r="D320" s="840" t="str">
        <f t="shared" si="4"/>
        <v/>
      </c>
      <c r="E320" s="615" t="s">
        <v>663</v>
      </c>
      <c r="F320" s="810" t="s">
        <v>664</v>
      </c>
    </row>
    <row r="321" spans="2:6" s="615" customFormat="1">
      <c r="B321" s="838" t="s">
        <v>665</v>
      </c>
      <c r="C321" s="839" t="s">
        <v>2083</v>
      </c>
      <c r="D321" s="840" t="str">
        <f t="shared" si="4"/>
        <v/>
      </c>
      <c r="E321" s="615" t="s">
        <v>665</v>
      </c>
      <c r="F321" s="810" t="s">
        <v>2083</v>
      </c>
    </row>
    <row r="322" spans="2:6" s="615" customFormat="1">
      <c r="B322" s="838" t="s">
        <v>666</v>
      </c>
      <c r="C322" s="839" t="s">
        <v>2084</v>
      </c>
      <c r="D322" s="840" t="str">
        <f t="shared" si="4"/>
        <v/>
      </c>
      <c r="E322" s="615" t="s">
        <v>666</v>
      </c>
      <c r="F322" s="810" t="s">
        <v>2084</v>
      </c>
    </row>
    <row r="323" spans="2:6" s="615" customFormat="1">
      <c r="B323" s="838" t="s">
        <v>667</v>
      </c>
      <c r="C323" s="839" t="s">
        <v>2085</v>
      </c>
      <c r="D323" s="840" t="str">
        <f t="shared" si="4"/>
        <v/>
      </c>
      <c r="E323" s="615" t="s">
        <v>667</v>
      </c>
      <c r="F323" s="810" t="s">
        <v>2085</v>
      </c>
    </row>
    <row r="324" spans="2:6" s="615" customFormat="1">
      <c r="B324" s="838" t="s">
        <v>668</v>
      </c>
      <c r="C324" s="839" t="s">
        <v>669</v>
      </c>
      <c r="D324" s="840" t="str">
        <f t="shared" ref="D324:D387" si="5">IF(AND(B324=E324,C324=F324),"","x")</f>
        <v/>
      </c>
      <c r="E324" s="615" t="s">
        <v>668</v>
      </c>
      <c r="F324" s="810" t="s">
        <v>669</v>
      </c>
    </row>
    <row r="325" spans="2:6" s="615" customFormat="1">
      <c r="B325" s="838" t="s">
        <v>670</v>
      </c>
      <c r="C325" s="839" t="s">
        <v>671</v>
      </c>
      <c r="D325" s="840" t="str">
        <f t="shared" si="5"/>
        <v/>
      </c>
      <c r="E325" s="615" t="s">
        <v>670</v>
      </c>
      <c r="F325" s="810" t="s">
        <v>671</v>
      </c>
    </row>
    <row r="326" spans="2:6" s="615" customFormat="1">
      <c r="B326" s="838" t="s">
        <v>672</v>
      </c>
      <c r="C326" s="839" t="s">
        <v>673</v>
      </c>
      <c r="D326" s="840" t="str">
        <f t="shared" si="5"/>
        <v/>
      </c>
      <c r="E326" s="615" t="s">
        <v>672</v>
      </c>
      <c r="F326" s="810" t="s">
        <v>673</v>
      </c>
    </row>
    <row r="327" spans="2:6" s="615" customFormat="1">
      <c r="B327" s="838" t="s">
        <v>674</v>
      </c>
      <c r="C327" s="839" t="s">
        <v>675</v>
      </c>
      <c r="D327" s="840" t="str">
        <f t="shared" si="5"/>
        <v/>
      </c>
      <c r="E327" s="615" t="s">
        <v>674</v>
      </c>
      <c r="F327" s="810" t="s">
        <v>675</v>
      </c>
    </row>
    <row r="328" spans="2:6" s="615" customFormat="1">
      <c r="B328" s="838" t="s">
        <v>676</v>
      </c>
      <c r="C328" s="839" t="s">
        <v>2086</v>
      </c>
      <c r="D328" s="840" t="str">
        <f t="shared" si="5"/>
        <v/>
      </c>
      <c r="E328" s="615" t="s">
        <v>676</v>
      </c>
      <c r="F328" s="810" t="s">
        <v>2086</v>
      </c>
    </row>
    <row r="329" spans="2:6" s="615" customFormat="1">
      <c r="B329" s="838" t="s">
        <v>677</v>
      </c>
      <c r="C329" s="839" t="s">
        <v>678</v>
      </c>
      <c r="D329" s="840" t="str">
        <f t="shared" si="5"/>
        <v/>
      </c>
      <c r="E329" s="615" t="s">
        <v>677</v>
      </c>
      <c r="F329" s="810" t="s">
        <v>678</v>
      </c>
    </row>
    <row r="330" spans="2:6" s="615" customFormat="1">
      <c r="B330" s="838" t="s">
        <v>679</v>
      </c>
      <c r="C330" s="839" t="s">
        <v>2087</v>
      </c>
      <c r="D330" s="840" t="str">
        <f t="shared" si="5"/>
        <v/>
      </c>
      <c r="E330" s="615" t="s">
        <v>679</v>
      </c>
      <c r="F330" s="810" t="s">
        <v>2087</v>
      </c>
    </row>
    <row r="331" spans="2:6" s="615" customFormat="1">
      <c r="B331" s="838" t="s">
        <v>680</v>
      </c>
      <c r="C331" s="839" t="s">
        <v>681</v>
      </c>
      <c r="D331" s="840" t="str">
        <f t="shared" si="5"/>
        <v/>
      </c>
      <c r="E331" s="615" t="s">
        <v>680</v>
      </c>
      <c r="F331" s="810" t="s">
        <v>681</v>
      </c>
    </row>
    <row r="332" spans="2:6" s="615" customFormat="1">
      <c r="B332" s="838" t="s">
        <v>682</v>
      </c>
      <c r="C332" s="839" t="s">
        <v>2088</v>
      </c>
      <c r="D332" s="840" t="str">
        <f t="shared" si="5"/>
        <v/>
      </c>
      <c r="E332" s="615" t="s">
        <v>682</v>
      </c>
      <c r="F332" s="810" t="s">
        <v>2088</v>
      </c>
    </row>
    <row r="333" spans="2:6" s="615" customFormat="1">
      <c r="B333" s="838" t="s">
        <v>683</v>
      </c>
      <c r="C333" s="839" t="s">
        <v>2089</v>
      </c>
      <c r="D333" s="840" t="str">
        <f t="shared" si="5"/>
        <v/>
      </c>
      <c r="E333" s="615" t="s">
        <v>683</v>
      </c>
      <c r="F333" s="810" t="s">
        <v>2089</v>
      </c>
    </row>
    <row r="334" spans="2:6" s="615" customFormat="1">
      <c r="B334" s="838" t="s">
        <v>684</v>
      </c>
      <c r="C334" s="839" t="s">
        <v>2090</v>
      </c>
      <c r="D334" s="840" t="str">
        <f t="shared" si="5"/>
        <v/>
      </c>
      <c r="E334" s="615" t="s">
        <v>684</v>
      </c>
      <c r="F334" s="810" t="s">
        <v>2090</v>
      </c>
    </row>
    <row r="335" spans="2:6" s="615" customFormat="1">
      <c r="B335" s="838" t="s">
        <v>685</v>
      </c>
      <c r="C335" s="839" t="s">
        <v>2091</v>
      </c>
      <c r="D335" s="840" t="str">
        <f t="shared" si="5"/>
        <v/>
      </c>
      <c r="E335" s="615" t="s">
        <v>685</v>
      </c>
      <c r="F335" s="810" t="s">
        <v>2091</v>
      </c>
    </row>
    <row r="336" spans="2:6" s="615" customFormat="1">
      <c r="B336" s="838" t="s">
        <v>686</v>
      </c>
      <c r="C336" s="839" t="s">
        <v>2092</v>
      </c>
      <c r="D336" s="840" t="str">
        <f t="shared" si="5"/>
        <v/>
      </c>
      <c r="E336" s="615" t="s">
        <v>686</v>
      </c>
      <c r="F336" s="810" t="s">
        <v>2092</v>
      </c>
    </row>
    <row r="337" spans="2:6" s="615" customFormat="1">
      <c r="B337" s="838" t="s">
        <v>687</v>
      </c>
      <c r="C337" s="839" t="s">
        <v>2093</v>
      </c>
      <c r="D337" s="840" t="str">
        <f t="shared" si="5"/>
        <v/>
      </c>
      <c r="E337" s="615" t="s">
        <v>687</v>
      </c>
      <c r="F337" s="810" t="s">
        <v>2093</v>
      </c>
    </row>
    <row r="338" spans="2:6" s="615" customFormat="1">
      <c r="B338" s="838" t="s">
        <v>688</v>
      </c>
      <c r="C338" s="839" t="s">
        <v>689</v>
      </c>
      <c r="D338" s="840" t="str">
        <f t="shared" si="5"/>
        <v/>
      </c>
      <c r="E338" s="615" t="s">
        <v>688</v>
      </c>
      <c r="F338" s="810" t="s">
        <v>689</v>
      </c>
    </row>
    <row r="339" spans="2:6" s="615" customFormat="1">
      <c r="B339" s="838" t="s">
        <v>690</v>
      </c>
      <c r="C339" s="839" t="s">
        <v>2094</v>
      </c>
      <c r="D339" s="840" t="str">
        <f t="shared" si="5"/>
        <v/>
      </c>
      <c r="E339" s="615" t="s">
        <v>690</v>
      </c>
      <c r="F339" s="810" t="s">
        <v>2094</v>
      </c>
    </row>
    <row r="340" spans="2:6" s="615" customFormat="1">
      <c r="B340" s="838" t="s">
        <v>691</v>
      </c>
      <c r="C340" s="839" t="s">
        <v>2095</v>
      </c>
      <c r="D340" s="840" t="str">
        <f t="shared" si="5"/>
        <v/>
      </c>
      <c r="E340" s="615" t="s">
        <v>691</v>
      </c>
      <c r="F340" s="810" t="s">
        <v>2095</v>
      </c>
    </row>
    <row r="341" spans="2:6" s="615" customFormat="1">
      <c r="B341" s="838" t="s">
        <v>692</v>
      </c>
      <c r="C341" s="839" t="s">
        <v>693</v>
      </c>
      <c r="D341" s="840" t="str">
        <f t="shared" si="5"/>
        <v/>
      </c>
      <c r="E341" s="615" t="s">
        <v>692</v>
      </c>
      <c r="F341" s="810" t="s">
        <v>693</v>
      </c>
    </row>
    <row r="342" spans="2:6" s="615" customFormat="1">
      <c r="B342" s="838" t="s">
        <v>694</v>
      </c>
      <c r="C342" s="839" t="s">
        <v>695</v>
      </c>
      <c r="D342" s="840" t="str">
        <f t="shared" si="5"/>
        <v/>
      </c>
      <c r="E342" s="615" t="s">
        <v>694</v>
      </c>
      <c r="F342" s="810" t="s">
        <v>695</v>
      </c>
    </row>
    <row r="343" spans="2:6" s="615" customFormat="1">
      <c r="B343" s="838" t="s">
        <v>696</v>
      </c>
      <c r="C343" s="839" t="s">
        <v>697</v>
      </c>
      <c r="D343" s="840" t="str">
        <f t="shared" si="5"/>
        <v/>
      </c>
      <c r="E343" s="615" t="s">
        <v>696</v>
      </c>
      <c r="F343" s="810" t="s">
        <v>697</v>
      </c>
    </row>
    <row r="344" spans="2:6" s="615" customFormat="1">
      <c r="B344" s="838" t="s">
        <v>698</v>
      </c>
      <c r="C344" s="839" t="s">
        <v>699</v>
      </c>
      <c r="D344" s="840" t="str">
        <f t="shared" si="5"/>
        <v/>
      </c>
      <c r="E344" s="615" t="s">
        <v>698</v>
      </c>
      <c r="F344" s="810" t="s">
        <v>699</v>
      </c>
    </row>
    <row r="345" spans="2:6" s="615" customFormat="1">
      <c r="B345" s="838" t="s">
        <v>700</v>
      </c>
      <c r="C345" s="839" t="s">
        <v>701</v>
      </c>
      <c r="D345" s="840" t="str">
        <f t="shared" si="5"/>
        <v/>
      </c>
      <c r="E345" s="615" t="s">
        <v>700</v>
      </c>
      <c r="F345" s="810" t="s">
        <v>701</v>
      </c>
    </row>
    <row r="346" spans="2:6" s="615" customFormat="1">
      <c r="B346" s="838" t="s">
        <v>702</v>
      </c>
      <c r="C346" s="839" t="s">
        <v>703</v>
      </c>
      <c r="D346" s="840" t="str">
        <f t="shared" si="5"/>
        <v/>
      </c>
      <c r="E346" s="615" t="s">
        <v>702</v>
      </c>
      <c r="F346" s="810" t="s">
        <v>703</v>
      </c>
    </row>
    <row r="347" spans="2:6" s="615" customFormat="1">
      <c r="B347" s="838" t="s">
        <v>704</v>
      </c>
      <c r="C347" s="839" t="s">
        <v>705</v>
      </c>
      <c r="D347" s="840" t="str">
        <f t="shared" si="5"/>
        <v/>
      </c>
      <c r="E347" s="615" t="s">
        <v>704</v>
      </c>
      <c r="F347" s="810" t="s">
        <v>705</v>
      </c>
    </row>
    <row r="348" spans="2:6" s="615" customFormat="1">
      <c r="B348" s="838" t="s">
        <v>706</v>
      </c>
      <c r="C348" s="839" t="s">
        <v>707</v>
      </c>
      <c r="D348" s="840" t="str">
        <f t="shared" si="5"/>
        <v/>
      </c>
      <c r="E348" s="615" t="s">
        <v>706</v>
      </c>
      <c r="F348" s="810" t="s">
        <v>707</v>
      </c>
    </row>
    <row r="349" spans="2:6" s="615" customFormat="1">
      <c r="B349" s="838" t="s">
        <v>708</v>
      </c>
      <c r="C349" s="839" t="s">
        <v>709</v>
      </c>
      <c r="D349" s="840" t="str">
        <f t="shared" si="5"/>
        <v/>
      </c>
      <c r="E349" s="615" t="s">
        <v>708</v>
      </c>
      <c r="F349" s="810" t="s">
        <v>709</v>
      </c>
    </row>
    <row r="350" spans="2:6" s="615" customFormat="1">
      <c r="B350" s="838" t="s">
        <v>710</v>
      </c>
      <c r="C350" s="839" t="s">
        <v>711</v>
      </c>
      <c r="D350" s="840" t="str">
        <f t="shared" si="5"/>
        <v/>
      </c>
      <c r="E350" s="615" t="s">
        <v>710</v>
      </c>
      <c r="F350" s="810" t="s">
        <v>711</v>
      </c>
    </row>
    <row r="351" spans="2:6" s="615" customFormat="1">
      <c r="B351" s="838" t="s">
        <v>712</v>
      </c>
      <c r="C351" s="839" t="s">
        <v>713</v>
      </c>
      <c r="D351" s="840" t="str">
        <f t="shared" si="5"/>
        <v/>
      </c>
      <c r="E351" s="615" t="s">
        <v>712</v>
      </c>
      <c r="F351" s="810" t="s">
        <v>713</v>
      </c>
    </row>
    <row r="352" spans="2:6" s="615" customFormat="1">
      <c r="B352" s="838" t="s">
        <v>714</v>
      </c>
      <c r="C352" s="839" t="s">
        <v>715</v>
      </c>
      <c r="D352" s="840" t="str">
        <f t="shared" si="5"/>
        <v/>
      </c>
      <c r="E352" s="615" t="s">
        <v>714</v>
      </c>
      <c r="F352" s="810" t="s">
        <v>715</v>
      </c>
    </row>
    <row r="353" spans="2:6" s="615" customFormat="1">
      <c r="B353" s="838" t="s">
        <v>716</v>
      </c>
      <c r="C353" s="839" t="s">
        <v>717</v>
      </c>
      <c r="D353" s="840" t="str">
        <f t="shared" si="5"/>
        <v/>
      </c>
      <c r="E353" s="615" t="s">
        <v>716</v>
      </c>
      <c r="F353" s="810" t="s">
        <v>717</v>
      </c>
    </row>
    <row r="354" spans="2:6" s="615" customFormat="1">
      <c r="B354" s="838" t="s">
        <v>718</v>
      </c>
      <c r="C354" s="839" t="s">
        <v>719</v>
      </c>
      <c r="D354" s="840" t="str">
        <f t="shared" si="5"/>
        <v/>
      </c>
      <c r="E354" s="615" t="s">
        <v>718</v>
      </c>
      <c r="F354" s="810" t="s">
        <v>719</v>
      </c>
    </row>
    <row r="355" spans="2:6" s="615" customFormat="1">
      <c r="B355" s="838" t="s">
        <v>720</v>
      </c>
      <c r="C355" s="839" t="s">
        <v>721</v>
      </c>
      <c r="D355" s="840" t="str">
        <f t="shared" si="5"/>
        <v/>
      </c>
      <c r="E355" s="615" t="s">
        <v>720</v>
      </c>
      <c r="F355" s="810" t="s">
        <v>721</v>
      </c>
    </row>
    <row r="356" spans="2:6" s="615" customFormat="1">
      <c r="B356" s="838" t="s">
        <v>722</v>
      </c>
      <c r="C356" s="839" t="s">
        <v>723</v>
      </c>
      <c r="D356" s="840" t="str">
        <f t="shared" si="5"/>
        <v/>
      </c>
      <c r="E356" s="615" t="s">
        <v>722</v>
      </c>
      <c r="F356" s="810" t="s">
        <v>723</v>
      </c>
    </row>
    <row r="357" spans="2:6" s="615" customFormat="1">
      <c r="B357" s="838" t="s">
        <v>724</v>
      </c>
      <c r="C357" s="839" t="s">
        <v>725</v>
      </c>
      <c r="D357" s="840" t="str">
        <f t="shared" si="5"/>
        <v/>
      </c>
      <c r="E357" s="615" t="s">
        <v>724</v>
      </c>
      <c r="F357" s="810" t="s">
        <v>725</v>
      </c>
    </row>
    <row r="358" spans="2:6" s="615" customFormat="1">
      <c r="B358" s="838" t="s">
        <v>726</v>
      </c>
      <c r="C358" s="839" t="s">
        <v>727</v>
      </c>
      <c r="D358" s="840" t="str">
        <f t="shared" si="5"/>
        <v/>
      </c>
      <c r="E358" s="615" t="s">
        <v>726</v>
      </c>
      <c r="F358" s="810" t="s">
        <v>727</v>
      </c>
    </row>
    <row r="359" spans="2:6" s="615" customFormat="1">
      <c r="B359" s="838" t="s">
        <v>728</v>
      </c>
      <c r="C359" s="839" t="s">
        <v>729</v>
      </c>
      <c r="D359" s="840" t="str">
        <f t="shared" si="5"/>
        <v/>
      </c>
      <c r="E359" s="615" t="s">
        <v>728</v>
      </c>
      <c r="F359" s="810" t="s">
        <v>729</v>
      </c>
    </row>
    <row r="360" spans="2:6" s="615" customFormat="1">
      <c r="B360" s="838" t="s">
        <v>730</v>
      </c>
      <c r="C360" s="839" t="s">
        <v>731</v>
      </c>
      <c r="D360" s="840" t="str">
        <f t="shared" si="5"/>
        <v/>
      </c>
      <c r="E360" s="615" t="s">
        <v>730</v>
      </c>
      <c r="F360" s="810" t="s">
        <v>731</v>
      </c>
    </row>
    <row r="361" spans="2:6" s="615" customFormat="1">
      <c r="B361" s="838" t="s">
        <v>732</v>
      </c>
      <c r="C361" s="839" t="s">
        <v>733</v>
      </c>
      <c r="D361" s="840" t="str">
        <f t="shared" si="5"/>
        <v/>
      </c>
      <c r="E361" s="615" t="s">
        <v>732</v>
      </c>
      <c r="F361" s="810" t="s">
        <v>733</v>
      </c>
    </row>
    <row r="362" spans="2:6" s="615" customFormat="1">
      <c r="B362" s="838" t="s">
        <v>734</v>
      </c>
      <c r="C362" s="839" t="s">
        <v>2096</v>
      </c>
      <c r="D362" s="840" t="str">
        <f t="shared" si="5"/>
        <v/>
      </c>
      <c r="E362" s="615" t="s">
        <v>734</v>
      </c>
      <c r="F362" s="810" t="s">
        <v>2096</v>
      </c>
    </row>
    <row r="363" spans="2:6" s="615" customFormat="1">
      <c r="B363" s="838" t="s">
        <v>735</v>
      </c>
      <c r="C363" s="839" t="s">
        <v>2097</v>
      </c>
      <c r="D363" s="840" t="str">
        <f t="shared" si="5"/>
        <v/>
      </c>
      <c r="E363" s="615" t="s">
        <v>735</v>
      </c>
      <c r="F363" s="810" t="s">
        <v>2097</v>
      </c>
    </row>
    <row r="364" spans="2:6" s="615" customFormat="1">
      <c r="B364" s="838" t="s">
        <v>736</v>
      </c>
      <c r="C364" s="839" t="s">
        <v>2098</v>
      </c>
      <c r="D364" s="840" t="str">
        <f t="shared" si="5"/>
        <v/>
      </c>
      <c r="E364" s="615" t="s">
        <v>736</v>
      </c>
      <c r="F364" s="810" t="s">
        <v>2098</v>
      </c>
    </row>
    <row r="365" spans="2:6" s="615" customFormat="1">
      <c r="B365" s="838" t="s">
        <v>737</v>
      </c>
      <c r="C365" s="839" t="s">
        <v>2099</v>
      </c>
      <c r="D365" s="840" t="str">
        <f t="shared" si="5"/>
        <v/>
      </c>
      <c r="E365" s="615" t="s">
        <v>737</v>
      </c>
      <c r="F365" s="810" t="s">
        <v>2099</v>
      </c>
    </row>
    <row r="366" spans="2:6" s="615" customFormat="1">
      <c r="B366" s="838" t="s">
        <v>738</v>
      </c>
      <c r="C366" s="839" t="s">
        <v>739</v>
      </c>
      <c r="D366" s="840" t="str">
        <f t="shared" si="5"/>
        <v/>
      </c>
      <c r="E366" s="615" t="s">
        <v>738</v>
      </c>
      <c r="F366" s="810" t="s">
        <v>739</v>
      </c>
    </row>
    <row r="367" spans="2:6" s="615" customFormat="1">
      <c r="B367" s="838" t="s">
        <v>740</v>
      </c>
      <c r="C367" s="839" t="s">
        <v>741</v>
      </c>
      <c r="D367" s="840" t="str">
        <f t="shared" si="5"/>
        <v/>
      </c>
      <c r="E367" s="615" t="s">
        <v>740</v>
      </c>
      <c r="F367" s="810" t="s">
        <v>741</v>
      </c>
    </row>
    <row r="368" spans="2:6" s="615" customFormat="1">
      <c r="B368" s="838" t="s">
        <v>742</v>
      </c>
      <c r="C368" s="839" t="s">
        <v>743</v>
      </c>
      <c r="D368" s="840" t="str">
        <f t="shared" si="5"/>
        <v/>
      </c>
      <c r="E368" s="615" t="s">
        <v>742</v>
      </c>
      <c r="F368" s="810" t="s">
        <v>743</v>
      </c>
    </row>
    <row r="369" spans="2:6" s="615" customFormat="1">
      <c r="B369" s="838" t="s">
        <v>744</v>
      </c>
      <c r="C369" s="839" t="s">
        <v>745</v>
      </c>
      <c r="D369" s="840" t="str">
        <f t="shared" si="5"/>
        <v/>
      </c>
      <c r="E369" s="615" t="s">
        <v>744</v>
      </c>
      <c r="F369" s="810" t="s">
        <v>745</v>
      </c>
    </row>
    <row r="370" spans="2:6" s="615" customFormat="1">
      <c r="B370" s="838" t="s">
        <v>746</v>
      </c>
      <c r="C370" s="839" t="s">
        <v>747</v>
      </c>
      <c r="D370" s="840" t="str">
        <f t="shared" si="5"/>
        <v/>
      </c>
      <c r="E370" s="615" t="s">
        <v>746</v>
      </c>
      <c r="F370" s="810" t="s">
        <v>747</v>
      </c>
    </row>
    <row r="371" spans="2:6" s="615" customFormat="1">
      <c r="B371" s="838" t="s">
        <v>748</v>
      </c>
      <c r="C371" s="839" t="s">
        <v>2100</v>
      </c>
      <c r="D371" s="840" t="str">
        <f t="shared" si="5"/>
        <v/>
      </c>
      <c r="E371" s="615" t="s">
        <v>748</v>
      </c>
      <c r="F371" s="810" t="s">
        <v>2100</v>
      </c>
    </row>
    <row r="372" spans="2:6" s="615" customFormat="1">
      <c r="B372" s="838" t="s">
        <v>749</v>
      </c>
      <c r="C372" s="839" t="s">
        <v>750</v>
      </c>
      <c r="D372" s="840" t="str">
        <f t="shared" si="5"/>
        <v/>
      </c>
      <c r="E372" s="615" t="s">
        <v>749</v>
      </c>
      <c r="F372" s="810" t="s">
        <v>750</v>
      </c>
    </row>
    <row r="373" spans="2:6" s="615" customFormat="1">
      <c r="B373" s="838" t="s">
        <v>751</v>
      </c>
      <c r="C373" s="839" t="s">
        <v>752</v>
      </c>
      <c r="D373" s="840" t="str">
        <f t="shared" si="5"/>
        <v/>
      </c>
      <c r="E373" s="615" t="s">
        <v>751</v>
      </c>
      <c r="F373" s="810" t="s">
        <v>752</v>
      </c>
    </row>
    <row r="374" spans="2:6" s="615" customFormat="1">
      <c r="B374" s="838" t="s">
        <v>753</v>
      </c>
      <c r="C374" s="839" t="s">
        <v>2101</v>
      </c>
      <c r="D374" s="840" t="str">
        <f t="shared" si="5"/>
        <v/>
      </c>
      <c r="E374" s="615" t="s">
        <v>753</v>
      </c>
      <c r="F374" s="810" t="s">
        <v>2101</v>
      </c>
    </row>
    <row r="375" spans="2:6" s="615" customFormat="1">
      <c r="B375" s="838" t="s">
        <v>754</v>
      </c>
      <c r="C375" s="839" t="s">
        <v>755</v>
      </c>
      <c r="D375" s="840" t="str">
        <f t="shared" si="5"/>
        <v/>
      </c>
      <c r="E375" s="615" t="s">
        <v>754</v>
      </c>
      <c r="F375" s="810" t="s">
        <v>755</v>
      </c>
    </row>
    <row r="376" spans="2:6" s="615" customFormat="1">
      <c r="B376" s="838" t="s">
        <v>756</v>
      </c>
      <c r="C376" s="839" t="s">
        <v>2102</v>
      </c>
      <c r="D376" s="840" t="str">
        <f t="shared" si="5"/>
        <v/>
      </c>
      <c r="E376" s="615" t="s">
        <v>756</v>
      </c>
      <c r="F376" s="810" t="s">
        <v>2102</v>
      </c>
    </row>
    <row r="377" spans="2:6" s="615" customFormat="1">
      <c r="B377" s="838" t="s">
        <v>757</v>
      </c>
      <c r="C377" s="839" t="s">
        <v>758</v>
      </c>
      <c r="D377" s="840" t="str">
        <f t="shared" si="5"/>
        <v/>
      </c>
      <c r="E377" s="615" t="s">
        <v>757</v>
      </c>
      <c r="F377" s="810" t="s">
        <v>758</v>
      </c>
    </row>
    <row r="378" spans="2:6" s="615" customFormat="1">
      <c r="B378" s="838" t="s">
        <v>759</v>
      </c>
      <c r="C378" s="839" t="s">
        <v>2103</v>
      </c>
      <c r="D378" s="840" t="str">
        <f t="shared" si="5"/>
        <v/>
      </c>
      <c r="E378" s="615" t="s">
        <v>759</v>
      </c>
      <c r="F378" s="810" t="s">
        <v>2103</v>
      </c>
    </row>
    <row r="379" spans="2:6" s="615" customFormat="1">
      <c r="B379" s="838" t="s">
        <v>760</v>
      </c>
      <c r="C379" s="839" t="s">
        <v>2104</v>
      </c>
      <c r="D379" s="840" t="str">
        <f t="shared" si="5"/>
        <v/>
      </c>
      <c r="E379" s="615" t="s">
        <v>760</v>
      </c>
      <c r="F379" s="810" t="s">
        <v>2104</v>
      </c>
    </row>
    <row r="380" spans="2:6" s="615" customFormat="1">
      <c r="B380" s="838" t="s">
        <v>761</v>
      </c>
      <c r="C380" s="839" t="s">
        <v>2105</v>
      </c>
      <c r="D380" s="840" t="str">
        <f t="shared" si="5"/>
        <v/>
      </c>
      <c r="E380" s="615" t="s">
        <v>761</v>
      </c>
      <c r="F380" s="810" t="s">
        <v>2105</v>
      </c>
    </row>
    <row r="381" spans="2:6" s="615" customFormat="1">
      <c r="B381" s="838" t="s">
        <v>762</v>
      </c>
      <c r="C381" s="839" t="s">
        <v>2106</v>
      </c>
      <c r="D381" s="840" t="str">
        <f t="shared" si="5"/>
        <v/>
      </c>
      <c r="E381" s="615" t="s">
        <v>762</v>
      </c>
      <c r="F381" s="810" t="s">
        <v>2106</v>
      </c>
    </row>
    <row r="382" spans="2:6" s="615" customFormat="1">
      <c r="B382" s="838" t="s">
        <v>763</v>
      </c>
      <c r="C382" s="839" t="s">
        <v>764</v>
      </c>
      <c r="D382" s="840" t="str">
        <f t="shared" si="5"/>
        <v/>
      </c>
      <c r="E382" s="615" t="s">
        <v>763</v>
      </c>
      <c r="F382" s="810" t="s">
        <v>764</v>
      </c>
    </row>
    <row r="383" spans="2:6" s="615" customFormat="1">
      <c r="B383" s="838" t="s">
        <v>765</v>
      </c>
      <c r="C383" s="839" t="s">
        <v>2107</v>
      </c>
      <c r="D383" s="840" t="str">
        <f t="shared" si="5"/>
        <v/>
      </c>
      <c r="E383" s="615" t="s">
        <v>765</v>
      </c>
      <c r="F383" s="810" t="s">
        <v>2107</v>
      </c>
    </row>
    <row r="384" spans="2:6" s="615" customFormat="1">
      <c r="B384" s="838" t="s">
        <v>766</v>
      </c>
      <c r="C384" s="839" t="s">
        <v>2108</v>
      </c>
      <c r="D384" s="840" t="str">
        <f t="shared" si="5"/>
        <v/>
      </c>
      <c r="E384" s="615" t="s">
        <v>766</v>
      </c>
      <c r="F384" s="810" t="s">
        <v>2108</v>
      </c>
    </row>
    <row r="385" spans="2:6" s="615" customFormat="1">
      <c r="B385" s="838" t="s">
        <v>767</v>
      </c>
      <c r="C385" s="839" t="s">
        <v>2109</v>
      </c>
      <c r="D385" s="840" t="str">
        <f t="shared" si="5"/>
        <v/>
      </c>
      <c r="E385" s="615" t="s">
        <v>767</v>
      </c>
      <c r="F385" s="810" t="s">
        <v>2109</v>
      </c>
    </row>
    <row r="386" spans="2:6" s="615" customFormat="1">
      <c r="B386" s="838" t="s">
        <v>768</v>
      </c>
      <c r="C386" s="839" t="s">
        <v>2110</v>
      </c>
      <c r="D386" s="840" t="str">
        <f t="shared" si="5"/>
        <v/>
      </c>
      <c r="E386" s="615" t="s">
        <v>768</v>
      </c>
      <c r="F386" s="810" t="s">
        <v>2110</v>
      </c>
    </row>
    <row r="387" spans="2:6" s="615" customFormat="1">
      <c r="B387" s="838" t="s">
        <v>769</v>
      </c>
      <c r="C387" s="839" t="s">
        <v>2111</v>
      </c>
      <c r="D387" s="840" t="str">
        <f t="shared" si="5"/>
        <v/>
      </c>
      <c r="E387" s="615" t="s">
        <v>769</v>
      </c>
      <c r="F387" s="810" t="s">
        <v>2111</v>
      </c>
    </row>
    <row r="388" spans="2:6" s="615" customFormat="1">
      <c r="B388" s="838" t="s">
        <v>770</v>
      </c>
      <c r="C388" s="839" t="s">
        <v>2112</v>
      </c>
      <c r="D388" s="840" t="str">
        <f t="shared" ref="D388:D451" si="6">IF(AND(B388=E388,C388=F388),"","x")</f>
        <v/>
      </c>
      <c r="E388" s="615" t="s">
        <v>770</v>
      </c>
      <c r="F388" s="810" t="s">
        <v>2112</v>
      </c>
    </row>
    <row r="389" spans="2:6" s="615" customFormat="1">
      <c r="B389" s="838" t="s">
        <v>771</v>
      </c>
      <c r="C389" s="839" t="s">
        <v>2113</v>
      </c>
      <c r="D389" s="840" t="str">
        <f t="shared" si="6"/>
        <v/>
      </c>
      <c r="E389" s="615" t="s">
        <v>771</v>
      </c>
      <c r="F389" s="810" t="s">
        <v>2113</v>
      </c>
    </row>
    <row r="390" spans="2:6" s="615" customFormat="1">
      <c r="B390" s="838" t="s">
        <v>772</v>
      </c>
      <c r="C390" s="839" t="s">
        <v>2114</v>
      </c>
      <c r="D390" s="840" t="str">
        <f t="shared" si="6"/>
        <v/>
      </c>
      <c r="E390" s="615" t="s">
        <v>772</v>
      </c>
      <c r="F390" s="810" t="s">
        <v>2114</v>
      </c>
    </row>
    <row r="391" spans="2:6" s="615" customFormat="1">
      <c r="B391" s="838" t="s">
        <v>773</v>
      </c>
      <c r="C391" s="839" t="s">
        <v>2115</v>
      </c>
      <c r="D391" s="840" t="str">
        <f t="shared" si="6"/>
        <v/>
      </c>
      <c r="E391" s="615" t="s">
        <v>773</v>
      </c>
      <c r="F391" s="810" t="s">
        <v>2115</v>
      </c>
    </row>
    <row r="392" spans="2:6" s="615" customFormat="1">
      <c r="B392" s="838" t="s">
        <v>774</v>
      </c>
      <c r="C392" s="839" t="s">
        <v>2116</v>
      </c>
      <c r="D392" s="840" t="str">
        <f t="shared" si="6"/>
        <v/>
      </c>
      <c r="E392" s="615" t="s">
        <v>774</v>
      </c>
      <c r="F392" s="810" t="s">
        <v>2116</v>
      </c>
    </row>
    <row r="393" spans="2:6" s="615" customFormat="1">
      <c r="B393" s="838" t="s">
        <v>775</v>
      </c>
      <c r="C393" s="839" t="s">
        <v>2117</v>
      </c>
      <c r="D393" s="840" t="str">
        <f t="shared" si="6"/>
        <v/>
      </c>
      <c r="E393" s="615" t="s">
        <v>775</v>
      </c>
      <c r="F393" s="810" t="s">
        <v>2117</v>
      </c>
    </row>
    <row r="394" spans="2:6" s="615" customFormat="1">
      <c r="B394" s="838" t="s">
        <v>776</v>
      </c>
      <c r="C394" s="839" t="s">
        <v>2118</v>
      </c>
      <c r="D394" s="840" t="str">
        <f t="shared" si="6"/>
        <v/>
      </c>
      <c r="E394" s="615" t="s">
        <v>776</v>
      </c>
      <c r="F394" s="810" t="s">
        <v>2118</v>
      </c>
    </row>
    <row r="395" spans="2:6" s="615" customFormat="1">
      <c r="B395" s="838" t="s">
        <v>777</v>
      </c>
      <c r="C395" s="839" t="s">
        <v>778</v>
      </c>
      <c r="D395" s="840" t="str">
        <f t="shared" si="6"/>
        <v/>
      </c>
      <c r="E395" s="615" t="s">
        <v>777</v>
      </c>
      <c r="F395" s="810" t="s">
        <v>778</v>
      </c>
    </row>
    <row r="396" spans="2:6" s="615" customFormat="1">
      <c r="B396" s="838" t="s">
        <v>779</v>
      </c>
      <c r="C396" s="839" t="s">
        <v>2119</v>
      </c>
      <c r="D396" s="840" t="str">
        <f t="shared" si="6"/>
        <v/>
      </c>
      <c r="E396" s="615" t="s">
        <v>779</v>
      </c>
      <c r="F396" s="810" t="s">
        <v>2119</v>
      </c>
    </row>
    <row r="397" spans="2:6" s="615" customFormat="1">
      <c r="B397" s="838" t="s">
        <v>780</v>
      </c>
      <c r="C397" s="839" t="s">
        <v>781</v>
      </c>
      <c r="D397" s="840" t="str">
        <f t="shared" si="6"/>
        <v/>
      </c>
      <c r="E397" s="615" t="s">
        <v>780</v>
      </c>
      <c r="F397" s="810" t="s">
        <v>781</v>
      </c>
    </row>
    <row r="398" spans="2:6" s="615" customFormat="1">
      <c r="B398" s="838" t="s">
        <v>782</v>
      </c>
      <c r="C398" s="839" t="s">
        <v>2120</v>
      </c>
      <c r="D398" s="840" t="str">
        <f t="shared" si="6"/>
        <v/>
      </c>
      <c r="E398" s="615" t="s">
        <v>782</v>
      </c>
      <c r="F398" s="810" t="s">
        <v>2120</v>
      </c>
    </row>
    <row r="399" spans="2:6" s="615" customFormat="1">
      <c r="B399" s="838" t="s">
        <v>783</v>
      </c>
      <c r="C399" s="839" t="s">
        <v>2121</v>
      </c>
      <c r="D399" s="840" t="str">
        <f t="shared" si="6"/>
        <v/>
      </c>
      <c r="E399" s="615" t="s">
        <v>783</v>
      </c>
      <c r="F399" s="810" t="s">
        <v>2121</v>
      </c>
    </row>
    <row r="400" spans="2:6" s="615" customFormat="1">
      <c r="B400" s="838" t="s">
        <v>784</v>
      </c>
      <c r="C400" s="839" t="s">
        <v>2122</v>
      </c>
      <c r="D400" s="840" t="str">
        <f t="shared" si="6"/>
        <v/>
      </c>
      <c r="E400" s="615" t="s">
        <v>784</v>
      </c>
      <c r="F400" s="810" t="s">
        <v>2122</v>
      </c>
    </row>
    <row r="401" spans="2:6" s="615" customFormat="1">
      <c r="B401" s="838" t="s">
        <v>785</v>
      </c>
      <c r="C401" s="839" t="s">
        <v>786</v>
      </c>
      <c r="D401" s="840" t="str">
        <f t="shared" si="6"/>
        <v/>
      </c>
      <c r="E401" s="615" t="s">
        <v>785</v>
      </c>
      <c r="F401" s="810" t="s">
        <v>786</v>
      </c>
    </row>
    <row r="402" spans="2:6" s="615" customFormat="1">
      <c r="B402" s="838" t="s">
        <v>787</v>
      </c>
      <c r="C402" s="839" t="s">
        <v>788</v>
      </c>
      <c r="D402" s="840" t="str">
        <f t="shared" si="6"/>
        <v/>
      </c>
      <c r="E402" s="615" t="s">
        <v>787</v>
      </c>
      <c r="F402" s="810" t="s">
        <v>788</v>
      </c>
    </row>
    <row r="403" spans="2:6" s="615" customFormat="1">
      <c r="B403" s="838" t="s">
        <v>789</v>
      </c>
      <c r="C403" s="839" t="s">
        <v>2123</v>
      </c>
      <c r="D403" s="840" t="str">
        <f t="shared" si="6"/>
        <v/>
      </c>
      <c r="E403" s="615" t="s">
        <v>789</v>
      </c>
      <c r="F403" s="810" t="s">
        <v>2123</v>
      </c>
    </row>
    <row r="404" spans="2:6" s="615" customFormat="1">
      <c r="B404" s="838" t="s">
        <v>790</v>
      </c>
      <c r="C404" s="839" t="s">
        <v>2124</v>
      </c>
      <c r="D404" s="840" t="str">
        <f t="shared" si="6"/>
        <v/>
      </c>
      <c r="E404" s="615" t="s">
        <v>790</v>
      </c>
      <c r="F404" s="810" t="s">
        <v>2124</v>
      </c>
    </row>
    <row r="405" spans="2:6" s="615" customFormat="1">
      <c r="B405" s="838" t="s">
        <v>791</v>
      </c>
      <c r="C405" s="839" t="s">
        <v>2125</v>
      </c>
      <c r="D405" s="840" t="str">
        <f t="shared" si="6"/>
        <v/>
      </c>
      <c r="E405" s="615" t="s">
        <v>791</v>
      </c>
      <c r="F405" s="810" t="s">
        <v>2125</v>
      </c>
    </row>
    <row r="406" spans="2:6" s="615" customFormat="1">
      <c r="B406" s="838" t="s">
        <v>792</v>
      </c>
      <c r="C406" s="839" t="s">
        <v>2126</v>
      </c>
      <c r="D406" s="840" t="str">
        <f t="shared" si="6"/>
        <v/>
      </c>
      <c r="E406" s="615" t="s">
        <v>792</v>
      </c>
      <c r="F406" s="810" t="s">
        <v>2126</v>
      </c>
    </row>
    <row r="407" spans="2:6" s="615" customFormat="1">
      <c r="B407" s="838" t="s">
        <v>793</v>
      </c>
      <c r="C407" s="839" t="s">
        <v>794</v>
      </c>
      <c r="D407" s="840" t="str">
        <f t="shared" si="6"/>
        <v/>
      </c>
      <c r="E407" s="615" t="s">
        <v>793</v>
      </c>
      <c r="F407" s="810" t="s">
        <v>794</v>
      </c>
    </row>
    <row r="408" spans="2:6" s="615" customFormat="1">
      <c r="B408" s="838" t="s">
        <v>795</v>
      </c>
      <c r="C408" s="839" t="s">
        <v>2127</v>
      </c>
      <c r="D408" s="840" t="str">
        <f t="shared" si="6"/>
        <v/>
      </c>
      <c r="E408" s="615" t="s">
        <v>795</v>
      </c>
      <c r="F408" s="810" t="s">
        <v>2127</v>
      </c>
    </row>
    <row r="409" spans="2:6" s="615" customFormat="1">
      <c r="B409" s="838" t="s">
        <v>796</v>
      </c>
      <c r="C409" s="839" t="s">
        <v>797</v>
      </c>
      <c r="D409" s="840" t="str">
        <f t="shared" si="6"/>
        <v/>
      </c>
      <c r="E409" s="615" t="s">
        <v>796</v>
      </c>
      <c r="F409" s="810" t="s">
        <v>797</v>
      </c>
    </row>
    <row r="410" spans="2:6" s="615" customFormat="1">
      <c r="B410" s="838" t="s">
        <v>798</v>
      </c>
      <c r="C410" s="839" t="s">
        <v>799</v>
      </c>
      <c r="D410" s="840" t="str">
        <f t="shared" si="6"/>
        <v/>
      </c>
      <c r="E410" s="615" t="s">
        <v>798</v>
      </c>
      <c r="F410" s="810" t="s">
        <v>799</v>
      </c>
    </row>
    <row r="411" spans="2:6" s="615" customFormat="1">
      <c r="B411" s="838" t="s">
        <v>800</v>
      </c>
      <c r="C411" s="839" t="s">
        <v>801</v>
      </c>
      <c r="D411" s="840" t="str">
        <f t="shared" si="6"/>
        <v/>
      </c>
      <c r="E411" s="615" t="s">
        <v>800</v>
      </c>
      <c r="F411" s="810" t="s">
        <v>801</v>
      </c>
    </row>
    <row r="412" spans="2:6" s="615" customFormat="1">
      <c r="B412" s="838" t="s">
        <v>802</v>
      </c>
      <c r="C412" s="839" t="s">
        <v>803</v>
      </c>
      <c r="D412" s="840" t="str">
        <f t="shared" si="6"/>
        <v/>
      </c>
      <c r="E412" s="615" t="s">
        <v>802</v>
      </c>
      <c r="F412" s="810" t="s">
        <v>803</v>
      </c>
    </row>
    <row r="413" spans="2:6" s="615" customFormat="1">
      <c r="B413" s="838" t="s">
        <v>804</v>
      </c>
      <c r="C413" s="839" t="s">
        <v>805</v>
      </c>
      <c r="D413" s="840" t="str">
        <f t="shared" si="6"/>
        <v/>
      </c>
      <c r="E413" s="615" t="s">
        <v>804</v>
      </c>
      <c r="F413" s="810" t="s">
        <v>805</v>
      </c>
    </row>
    <row r="414" spans="2:6" s="615" customFormat="1">
      <c r="B414" s="838" t="s">
        <v>806</v>
      </c>
      <c r="C414" s="839" t="s">
        <v>807</v>
      </c>
      <c r="D414" s="840" t="str">
        <f t="shared" si="6"/>
        <v/>
      </c>
      <c r="E414" s="615" t="s">
        <v>806</v>
      </c>
      <c r="F414" s="810" t="s">
        <v>807</v>
      </c>
    </row>
    <row r="415" spans="2:6" s="615" customFormat="1">
      <c r="B415" s="838" t="s">
        <v>808</v>
      </c>
      <c r="C415" s="839" t="s">
        <v>809</v>
      </c>
      <c r="D415" s="840" t="str">
        <f t="shared" si="6"/>
        <v/>
      </c>
      <c r="E415" s="615" t="s">
        <v>808</v>
      </c>
      <c r="F415" s="810" t="s">
        <v>809</v>
      </c>
    </row>
    <row r="416" spans="2:6" s="615" customFormat="1">
      <c r="B416" s="838" t="s">
        <v>810</v>
      </c>
      <c r="C416" s="839" t="s">
        <v>2128</v>
      </c>
      <c r="D416" s="840" t="str">
        <f t="shared" si="6"/>
        <v/>
      </c>
      <c r="E416" s="615" t="s">
        <v>810</v>
      </c>
      <c r="F416" s="810" t="s">
        <v>2128</v>
      </c>
    </row>
    <row r="417" spans="2:6" s="615" customFormat="1">
      <c r="B417" s="838" t="s">
        <v>811</v>
      </c>
      <c r="C417" s="839" t="s">
        <v>812</v>
      </c>
      <c r="D417" s="840" t="str">
        <f t="shared" si="6"/>
        <v/>
      </c>
      <c r="E417" s="615" t="s">
        <v>811</v>
      </c>
      <c r="F417" s="810" t="s">
        <v>812</v>
      </c>
    </row>
    <row r="418" spans="2:6" s="615" customFormat="1">
      <c r="B418" s="838" t="s">
        <v>813</v>
      </c>
      <c r="C418" s="839" t="s">
        <v>814</v>
      </c>
      <c r="D418" s="840" t="str">
        <f t="shared" si="6"/>
        <v/>
      </c>
      <c r="E418" s="615" t="s">
        <v>813</v>
      </c>
      <c r="F418" s="810" t="s">
        <v>814</v>
      </c>
    </row>
    <row r="419" spans="2:6" s="615" customFormat="1">
      <c r="B419" s="838" t="s">
        <v>815</v>
      </c>
      <c r="C419" s="839" t="s">
        <v>2129</v>
      </c>
      <c r="D419" s="840" t="str">
        <f t="shared" si="6"/>
        <v/>
      </c>
      <c r="E419" s="615" t="s">
        <v>815</v>
      </c>
      <c r="F419" s="810" t="s">
        <v>2129</v>
      </c>
    </row>
    <row r="420" spans="2:6" s="615" customFormat="1">
      <c r="B420" s="838" t="s">
        <v>816</v>
      </c>
      <c r="C420" s="839" t="s">
        <v>817</v>
      </c>
      <c r="D420" s="840" t="str">
        <f t="shared" si="6"/>
        <v/>
      </c>
      <c r="E420" s="615" t="s">
        <v>816</v>
      </c>
      <c r="F420" s="810" t="s">
        <v>817</v>
      </c>
    </row>
    <row r="421" spans="2:6" s="615" customFormat="1">
      <c r="B421" s="838" t="s">
        <v>818</v>
      </c>
      <c r="C421" s="839" t="s">
        <v>819</v>
      </c>
      <c r="D421" s="840" t="str">
        <f t="shared" si="6"/>
        <v/>
      </c>
      <c r="E421" s="615" t="s">
        <v>818</v>
      </c>
      <c r="F421" s="810" t="s">
        <v>819</v>
      </c>
    </row>
    <row r="422" spans="2:6" s="615" customFormat="1">
      <c r="B422" s="838" t="s">
        <v>820</v>
      </c>
      <c r="C422" s="839" t="s">
        <v>821</v>
      </c>
      <c r="D422" s="840" t="str">
        <f t="shared" si="6"/>
        <v/>
      </c>
      <c r="E422" s="615" t="s">
        <v>820</v>
      </c>
      <c r="F422" s="810" t="s">
        <v>821</v>
      </c>
    </row>
    <row r="423" spans="2:6" s="615" customFormat="1">
      <c r="B423" s="838" t="s">
        <v>822</v>
      </c>
      <c r="C423" s="839" t="s">
        <v>823</v>
      </c>
      <c r="D423" s="840" t="str">
        <f t="shared" si="6"/>
        <v/>
      </c>
      <c r="E423" s="615" t="s">
        <v>822</v>
      </c>
      <c r="F423" s="810" t="s">
        <v>823</v>
      </c>
    </row>
    <row r="424" spans="2:6" s="615" customFormat="1">
      <c r="B424" s="838" t="s">
        <v>824</v>
      </c>
      <c r="C424" s="839" t="s">
        <v>825</v>
      </c>
      <c r="D424" s="840" t="str">
        <f t="shared" si="6"/>
        <v/>
      </c>
      <c r="E424" s="615" t="s">
        <v>824</v>
      </c>
      <c r="F424" s="810" t="s">
        <v>825</v>
      </c>
    </row>
    <row r="425" spans="2:6" s="615" customFormat="1">
      <c r="B425" s="838" t="s">
        <v>826</v>
      </c>
      <c r="C425" s="839" t="s">
        <v>827</v>
      </c>
      <c r="D425" s="840" t="str">
        <f t="shared" si="6"/>
        <v/>
      </c>
      <c r="E425" s="615" t="s">
        <v>826</v>
      </c>
      <c r="F425" s="810" t="s">
        <v>827</v>
      </c>
    </row>
    <row r="426" spans="2:6" s="615" customFormat="1">
      <c r="B426" s="838" t="s">
        <v>828</v>
      </c>
      <c r="C426" s="839" t="s">
        <v>829</v>
      </c>
      <c r="D426" s="840" t="str">
        <f t="shared" si="6"/>
        <v/>
      </c>
      <c r="E426" s="615" t="s">
        <v>828</v>
      </c>
      <c r="F426" s="810" t="s">
        <v>829</v>
      </c>
    </row>
    <row r="427" spans="2:6" s="615" customFormat="1">
      <c r="B427" s="838" t="s">
        <v>830</v>
      </c>
      <c r="C427" s="839" t="s">
        <v>831</v>
      </c>
      <c r="D427" s="840" t="str">
        <f t="shared" si="6"/>
        <v/>
      </c>
      <c r="E427" s="615" t="s">
        <v>830</v>
      </c>
      <c r="F427" s="810" t="s">
        <v>831</v>
      </c>
    </row>
    <row r="428" spans="2:6" s="615" customFormat="1">
      <c r="B428" s="838" t="s">
        <v>832</v>
      </c>
      <c r="C428" s="839" t="s">
        <v>2130</v>
      </c>
      <c r="D428" s="840" t="str">
        <f t="shared" si="6"/>
        <v/>
      </c>
      <c r="E428" s="615" t="s">
        <v>832</v>
      </c>
      <c r="F428" s="810" t="s">
        <v>2130</v>
      </c>
    </row>
    <row r="429" spans="2:6" s="615" customFormat="1">
      <c r="B429" s="838" t="s">
        <v>833</v>
      </c>
      <c r="C429" s="839" t="s">
        <v>834</v>
      </c>
      <c r="D429" s="840" t="str">
        <f t="shared" si="6"/>
        <v/>
      </c>
      <c r="E429" s="615" t="s">
        <v>833</v>
      </c>
      <c r="F429" s="810" t="s">
        <v>834</v>
      </c>
    </row>
    <row r="430" spans="2:6" s="615" customFormat="1">
      <c r="B430" s="838" t="s">
        <v>835</v>
      </c>
      <c r="C430" s="839" t="s">
        <v>836</v>
      </c>
      <c r="D430" s="840" t="str">
        <f t="shared" si="6"/>
        <v/>
      </c>
      <c r="E430" s="615" t="s">
        <v>835</v>
      </c>
      <c r="F430" s="810" t="s">
        <v>836</v>
      </c>
    </row>
    <row r="431" spans="2:6" s="615" customFormat="1">
      <c r="B431" s="838" t="s">
        <v>837</v>
      </c>
      <c r="C431" s="839" t="s">
        <v>838</v>
      </c>
      <c r="D431" s="840" t="str">
        <f t="shared" si="6"/>
        <v/>
      </c>
      <c r="E431" s="615" t="s">
        <v>837</v>
      </c>
      <c r="F431" s="810" t="s">
        <v>838</v>
      </c>
    </row>
    <row r="432" spans="2:6" s="615" customFormat="1">
      <c r="B432" s="838" t="s">
        <v>839</v>
      </c>
      <c r="C432" s="839" t="s">
        <v>2131</v>
      </c>
      <c r="D432" s="840" t="str">
        <f t="shared" si="6"/>
        <v/>
      </c>
      <c r="E432" s="615" t="s">
        <v>839</v>
      </c>
      <c r="F432" s="810" t="s">
        <v>2131</v>
      </c>
    </row>
    <row r="433" spans="2:6" s="615" customFormat="1">
      <c r="B433" s="838" t="s">
        <v>840</v>
      </c>
      <c r="C433" s="839" t="s">
        <v>841</v>
      </c>
      <c r="D433" s="840" t="str">
        <f t="shared" si="6"/>
        <v/>
      </c>
      <c r="E433" s="615" t="s">
        <v>840</v>
      </c>
      <c r="F433" s="810" t="s">
        <v>841</v>
      </c>
    </row>
    <row r="434" spans="2:6" s="615" customFormat="1">
      <c r="B434" s="838" t="s">
        <v>842</v>
      </c>
      <c r="C434" s="839" t="s">
        <v>843</v>
      </c>
      <c r="D434" s="840" t="str">
        <f t="shared" si="6"/>
        <v/>
      </c>
      <c r="E434" s="615" t="s">
        <v>842</v>
      </c>
      <c r="F434" s="810" t="s">
        <v>843</v>
      </c>
    </row>
    <row r="435" spans="2:6" s="615" customFormat="1">
      <c r="B435" s="838" t="s">
        <v>844</v>
      </c>
      <c r="C435" s="839" t="s">
        <v>845</v>
      </c>
      <c r="D435" s="840" t="str">
        <f t="shared" si="6"/>
        <v/>
      </c>
      <c r="E435" s="615" t="s">
        <v>844</v>
      </c>
      <c r="F435" s="810" t="s">
        <v>845</v>
      </c>
    </row>
    <row r="436" spans="2:6" s="615" customFormat="1">
      <c r="B436" s="838" t="s">
        <v>846</v>
      </c>
      <c r="C436" s="839" t="s">
        <v>2132</v>
      </c>
      <c r="D436" s="840" t="str">
        <f t="shared" si="6"/>
        <v/>
      </c>
      <c r="E436" s="615" t="s">
        <v>846</v>
      </c>
      <c r="F436" s="810" t="s">
        <v>2132</v>
      </c>
    </row>
    <row r="437" spans="2:6" s="615" customFormat="1">
      <c r="B437" s="838" t="s">
        <v>847</v>
      </c>
      <c r="C437" s="839" t="s">
        <v>2133</v>
      </c>
      <c r="D437" s="840" t="str">
        <f t="shared" si="6"/>
        <v/>
      </c>
      <c r="E437" s="615" t="s">
        <v>847</v>
      </c>
      <c r="F437" s="810" t="s">
        <v>2133</v>
      </c>
    </row>
    <row r="438" spans="2:6" s="615" customFormat="1">
      <c r="B438" s="838" t="s">
        <v>848</v>
      </c>
      <c r="C438" s="839" t="s">
        <v>849</v>
      </c>
      <c r="D438" s="840" t="str">
        <f t="shared" si="6"/>
        <v/>
      </c>
      <c r="E438" s="615" t="s">
        <v>848</v>
      </c>
      <c r="F438" s="810" t="s">
        <v>849</v>
      </c>
    </row>
    <row r="439" spans="2:6" s="615" customFormat="1">
      <c r="B439" s="838" t="s">
        <v>850</v>
      </c>
      <c r="C439" s="839" t="s">
        <v>851</v>
      </c>
      <c r="D439" s="840" t="str">
        <f t="shared" si="6"/>
        <v/>
      </c>
      <c r="E439" s="615" t="s">
        <v>850</v>
      </c>
      <c r="F439" s="810" t="s">
        <v>851</v>
      </c>
    </row>
    <row r="440" spans="2:6" s="615" customFormat="1">
      <c r="B440" s="838" t="s">
        <v>852</v>
      </c>
      <c r="C440" s="839" t="s">
        <v>853</v>
      </c>
      <c r="D440" s="840" t="str">
        <f t="shared" si="6"/>
        <v/>
      </c>
      <c r="E440" s="615" t="s">
        <v>852</v>
      </c>
      <c r="F440" s="810" t="s">
        <v>853</v>
      </c>
    </row>
    <row r="441" spans="2:6" s="615" customFormat="1">
      <c r="B441" s="838" t="s">
        <v>854</v>
      </c>
      <c r="C441" s="839" t="s">
        <v>855</v>
      </c>
      <c r="D441" s="840" t="str">
        <f t="shared" si="6"/>
        <v/>
      </c>
      <c r="E441" s="615" t="s">
        <v>854</v>
      </c>
      <c r="F441" s="810" t="s">
        <v>855</v>
      </c>
    </row>
    <row r="442" spans="2:6" s="615" customFormat="1">
      <c r="B442" s="838" t="s">
        <v>856</v>
      </c>
      <c r="C442" s="839" t="s">
        <v>857</v>
      </c>
      <c r="D442" s="840" t="str">
        <f t="shared" si="6"/>
        <v/>
      </c>
      <c r="E442" s="615" t="s">
        <v>856</v>
      </c>
      <c r="F442" s="810" t="s">
        <v>857</v>
      </c>
    </row>
    <row r="443" spans="2:6" s="615" customFormat="1">
      <c r="B443" s="838" t="s">
        <v>858</v>
      </c>
      <c r="C443" s="839" t="s">
        <v>859</v>
      </c>
      <c r="D443" s="840" t="str">
        <f t="shared" si="6"/>
        <v/>
      </c>
      <c r="E443" s="615" t="s">
        <v>858</v>
      </c>
      <c r="F443" s="810" t="s">
        <v>859</v>
      </c>
    </row>
    <row r="444" spans="2:6" s="615" customFormat="1">
      <c r="B444" s="838" t="s">
        <v>860</v>
      </c>
      <c r="C444" s="839" t="s">
        <v>861</v>
      </c>
      <c r="D444" s="840" t="str">
        <f t="shared" si="6"/>
        <v/>
      </c>
      <c r="E444" s="615" t="s">
        <v>860</v>
      </c>
      <c r="F444" s="810" t="s">
        <v>861</v>
      </c>
    </row>
    <row r="445" spans="2:6" s="615" customFormat="1">
      <c r="B445" s="838" t="s">
        <v>862</v>
      </c>
      <c r="C445" s="839" t="s">
        <v>2134</v>
      </c>
      <c r="D445" s="840" t="str">
        <f t="shared" si="6"/>
        <v/>
      </c>
      <c r="E445" s="615" t="s">
        <v>862</v>
      </c>
      <c r="F445" s="810" t="s">
        <v>2134</v>
      </c>
    </row>
    <row r="446" spans="2:6" s="615" customFormat="1">
      <c r="B446" s="838" t="s">
        <v>863</v>
      </c>
      <c r="C446" s="839" t="s">
        <v>864</v>
      </c>
      <c r="D446" s="840" t="str">
        <f t="shared" si="6"/>
        <v/>
      </c>
      <c r="E446" s="615" t="s">
        <v>863</v>
      </c>
      <c r="F446" s="810" t="s">
        <v>864</v>
      </c>
    </row>
    <row r="447" spans="2:6" s="615" customFormat="1">
      <c r="B447" s="838" t="s">
        <v>865</v>
      </c>
      <c r="C447" s="839" t="s">
        <v>2135</v>
      </c>
      <c r="D447" s="840" t="str">
        <f t="shared" si="6"/>
        <v/>
      </c>
      <c r="E447" s="615" t="s">
        <v>865</v>
      </c>
      <c r="F447" s="810" t="s">
        <v>2135</v>
      </c>
    </row>
    <row r="448" spans="2:6" s="615" customFormat="1">
      <c r="B448" s="838" t="s">
        <v>866</v>
      </c>
      <c r="C448" s="839" t="s">
        <v>867</v>
      </c>
      <c r="D448" s="840" t="str">
        <f t="shared" si="6"/>
        <v/>
      </c>
      <c r="E448" s="615" t="s">
        <v>866</v>
      </c>
      <c r="F448" s="810" t="s">
        <v>867</v>
      </c>
    </row>
    <row r="449" spans="2:6" s="615" customFormat="1">
      <c r="B449" s="838" t="s">
        <v>868</v>
      </c>
      <c r="C449" s="839" t="s">
        <v>2136</v>
      </c>
      <c r="D449" s="840" t="str">
        <f t="shared" si="6"/>
        <v/>
      </c>
      <c r="E449" s="615" t="s">
        <v>868</v>
      </c>
      <c r="F449" s="810" t="s">
        <v>2136</v>
      </c>
    </row>
    <row r="450" spans="2:6" s="615" customFormat="1">
      <c r="B450" s="838" t="s">
        <v>869</v>
      </c>
      <c r="C450" s="839" t="s">
        <v>870</v>
      </c>
      <c r="D450" s="840" t="str">
        <f t="shared" si="6"/>
        <v/>
      </c>
      <c r="E450" s="615" t="s">
        <v>869</v>
      </c>
      <c r="F450" s="810" t="s">
        <v>870</v>
      </c>
    </row>
    <row r="451" spans="2:6" s="615" customFormat="1">
      <c r="B451" s="838" t="s">
        <v>871</v>
      </c>
      <c r="C451" s="839" t="s">
        <v>872</v>
      </c>
      <c r="D451" s="840" t="str">
        <f t="shared" si="6"/>
        <v/>
      </c>
      <c r="E451" s="615" t="s">
        <v>871</v>
      </c>
      <c r="F451" s="810" t="s">
        <v>872</v>
      </c>
    </row>
    <row r="452" spans="2:6" s="615" customFormat="1">
      <c r="B452" s="838" t="s">
        <v>873</v>
      </c>
      <c r="C452" s="839" t="s">
        <v>2137</v>
      </c>
      <c r="D452" s="840" t="str">
        <f t="shared" ref="D452:D515" si="7">IF(AND(B452=E452,C452=F452),"","x")</f>
        <v/>
      </c>
      <c r="E452" s="615" t="s">
        <v>873</v>
      </c>
      <c r="F452" s="810" t="s">
        <v>2137</v>
      </c>
    </row>
    <row r="453" spans="2:6" s="615" customFormat="1">
      <c r="B453" s="838" t="s">
        <v>874</v>
      </c>
      <c r="C453" s="839" t="s">
        <v>875</v>
      </c>
      <c r="D453" s="840" t="str">
        <f t="shared" si="7"/>
        <v/>
      </c>
      <c r="E453" s="615" t="s">
        <v>874</v>
      </c>
      <c r="F453" s="810" t="s">
        <v>875</v>
      </c>
    </row>
    <row r="454" spans="2:6" s="615" customFormat="1">
      <c r="B454" s="838" t="s">
        <v>876</v>
      </c>
      <c r="C454" s="839" t="s">
        <v>2138</v>
      </c>
      <c r="D454" s="840" t="str">
        <f t="shared" si="7"/>
        <v/>
      </c>
      <c r="E454" s="615" t="s">
        <v>876</v>
      </c>
      <c r="F454" s="810" t="s">
        <v>2138</v>
      </c>
    </row>
    <row r="455" spans="2:6" s="615" customFormat="1">
      <c r="B455" s="838" t="s">
        <v>877</v>
      </c>
      <c r="C455" s="839" t="s">
        <v>2139</v>
      </c>
      <c r="D455" s="840" t="str">
        <f t="shared" si="7"/>
        <v/>
      </c>
      <c r="E455" s="615" t="s">
        <v>877</v>
      </c>
      <c r="F455" s="810" t="s">
        <v>2139</v>
      </c>
    </row>
    <row r="456" spans="2:6" s="615" customFormat="1">
      <c r="B456" s="838" t="s">
        <v>878</v>
      </c>
      <c r="C456" s="839" t="s">
        <v>879</v>
      </c>
      <c r="D456" s="840" t="str">
        <f t="shared" si="7"/>
        <v/>
      </c>
      <c r="E456" s="615" t="s">
        <v>878</v>
      </c>
      <c r="F456" s="810" t="s">
        <v>879</v>
      </c>
    </row>
    <row r="457" spans="2:6" s="615" customFormat="1">
      <c r="B457" s="838" t="s">
        <v>880</v>
      </c>
      <c r="C457" s="839" t="s">
        <v>2140</v>
      </c>
      <c r="D457" s="840" t="str">
        <f t="shared" si="7"/>
        <v/>
      </c>
      <c r="E457" s="615" t="s">
        <v>880</v>
      </c>
      <c r="F457" s="810" t="s">
        <v>2140</v>
      </c>
    </row>
    <row r="458" spans="2:6" s="615" customFormat="1">
      <c r="B458" s="838" t="s">
        <v>881</v>
      </c>
      <c r="C458" s="839" t="s">
        <v>2141</v>
      </c>
      <c r="D458" s="840" t="str">
        <f t="shared" si="7"/>
        <v/>
      </c>
      <c r="E458" s="615" t="s">
        <v>881</v>
      </c>
      <c r="F458" s="810" t="s">
        <v>2141</v>
      </c>
    </row>
    <row r="459" spans="2:6" s="615" customFormat="1">
      <c r="B459" s="838" t="s">
        <v>882</v>
      </c>
      <c r="C459" s="839" t="s">
        <v>883</v>
      </c>
      <c r="D459" s="840" t="str">
        <f t="shared" si="7"/>
        <v/>
      </c>
      <c r="E459" s="615" t="s">
        <v>882</v>
      </c>
      <c r="F459" s="810" t="s">
        <v>883</v>
      </c>
    </row>
    <row r="460" spans="2:6" s="615" customFormat="1">
      <c r="B460" s="838" t="s">
        <v>884</v>
      </c>
      <c r="C460" s="839" t="s">
        <v>885</v>
      </c>
      <c r="D460" s="840" t="str">
        <f t="shared" si="7"/>
        <v/>
      </c>
      <c r="E460" s="615" t="s">
        <v>884</v>
      </c>
      <c r="F460" s="810" t="s">
        <v>885</v>
      </c>
    </row>
    <row r="461" spans="2:6" s="615" customFormat="1">
      <c r="B461" s="838" t="s">
        <v>886</v>
      </c>
      <c r="C461" s="839" t="s">
        <v>887</v>
      </c>
      <c r="D461" s="840" t="str">
        <f t="shared" si="7"/>
        <v/>
      </c>
      <c r="E461" s="615" t="s">
        <v>886</v>
      </c>
      <c r="F461" s="810" t="s">
        <v>887</v>
      </c>
    </row>
    <row r="462" spans="2:6" s="615" customFormat="1">
      <c r="B462" s="838" t="s">
        <v>888</v>
      </c>
      <c r="C462" s="839" t="s">
        <v>2142</v>
      </c>
      <c r="D462" s="840" t="str">
        <f t="shared" si="7"/>
        <v/>
      </c>
      <c r="E462" s="615" t="s">
        <v>888</v>
      </c>
      <c r="F462" s="810" t="s">
        <v>2142</v>
      </c>
    </row>
    <row r="463" spans="2:6" s="615" customFormat="1">
      <c r="B463" s="838" t="s">
        <v>889</v>
      </c>
      <c r="C463" s="839" t="s">
        <v>2143</v>
      </c>
      <c r="D463" s="840" t="str">
        <f t="shared" si="7"/>
        <v/>
      </c>
      <c r="E463" s="615" t="s">
        <v>889</v>
      </c>
      <c r="F463" s="810" t="s">
        <v>2143</v>
      </c>
    </row>
    <row r="464" spans="2:6" s="615" customFormat="1">
      <c r="B464" s="838" t="s">
        <v>890</v>
      </c>
      <c r="C464" s="839" t="s">
        <v>2144</v>
      </c>
      <c r="D464" s="840" t="str">
        <f t="shared" si="7"/>
        <v/>
      </c>
      <c r="E464" s="615" t="s">
        <v>890</v>
      </c>
      <c r="F464" s="810" t="s">
        <v>2144</v>
      </c>
    </row>
    <row r="465" spans="2:6" s="615" customFormat="1">
      <c r="B465" s="838" t="s">
        <v>891</v>
      </c>
      <c r="C465" s="839" t="s">
        <v>892</v>
      </c>
      <c r="D465" s="840" t="str">
        <f t="shared" si="7"/>
        <v/>
      </c>
      <c r="E465" s="615" t="s">
        <v>891</v>
      </c>
      <c r="F465" s="810" t="s">
        <v>892</v>
      </c>
    </row>
    <row r="466" spans="2:6" s="615" customFormat="1">
      <c r="B466" s="838" t="s">
        <v>893</v>
      </c>
      <c r="C466" s="839" t="s">
        <v>894</v>
      </c>
      <c r="D466" s="840" t="str">
        <f t="shared" si="7"/>
        <v/>
      </c>
      <c r="E466" s="615" t="s">
        <v>893</v>
      </c>
      <c r="F466" s="810" t="s">
        <v>894</v>
      </c>
    </row>
    <row r="467" spans="2:6" s="615" customFormat="1">
      <c r="B467" s="838" t="s">
        <v>895</v>
      </c>
      <c r="C467" s="839" t="s">
        <v>896</v>
      </c>
      <c r="D467" s="840" t="str">
        <f t="shared" si="7"/>
        <v/>
      </c>
      <c r="E467" s="615" t="s">
        <v>895</v>
      </c>
      <c r="F467" s="810" t="s">
        <v>896</v>
      </c>
    </row>
    <row r="468" spans="2:6" s="615" customFormat="1">
      <c r="B468" s="838" t="s">
        <v>897</v>
      </c>
      <c r="C468" s="839" t="s">
        <v>898</v>
      </c>
      <c r="D468" s="840" t="str">
        <f t="shared" si="7"/>
        <v/>
      </c>
      <c r="E468" s="615" t="s">
        <v>897</v>
      </c>
      <c r="F468" s="810" t="s">
        <v>898</v>
      </c>
    </row>
    <row r="469" spans="2:6" s="615" customFormat="1">
      <c r="B469" s="838" t="s">
        <v>899</v>
      </c>
      <c r="C469" s="839" t="s">
        <v>2145</v>
      </c>
      <c r="D469" s="840" t="str">
        <f t="shared" si="7"/>
        <v/>
      </c>
      <c r="E469" s="615" t="s">
        <v>899</v>
      </c>
      <c r="F469" s="810" t="s">
        <v>2145</v>
      </c>
    </row>
    <row r="470" spans="2:6" s="615" customFormat="1">
      <c r="B470" s="838" t="s">
        <v>900</v>
      </c>
      <c r="C470" s="839" t="s">
        <v>901</v>
      </c>
      <c r="D470" s="840" t="str">
        <f t="shared" si="7"/>
        <v/>
      </c>
      <c r="E470" s="615" t="s">
        <v>900</v>
      </c>
      <c r="F470" s="810" t="s">
        <v>901</v>
      </c>
    </row>
    <row r="471" spans="2:6" s="615" customFormat="1">
      <c r="B471" s="838" t="s">
        <v>902</v>
      </c>
      <c r="C471" s="839" t="s">
        <v>2146</v>
      </c>
      <c r="D471" s="840" t="str">
        <f t="shared" si="7"/>
        <v/>
      </c>
      <c r="E471" s="615" t="s">
        <v>902</v>
      </c>
      <c r="F471" s="810" t="s">
        <v>2146</v>
      </c>
    </row>
    <row r="472" spans="2:6" s="615" customFormat="1">
      <c r="B472" s="838" t="s">
        <v>903</v>
      </c>
      <c r="C472" s="839" t="s">
        <v>904</v>
      </c>
      <c r="D472" s="840" t="str">
        <f t="shared" si="7"/>
        <v/>
      </c>
      <c r="E472" s="615" t="s">
        <v>903</v>
      </c>
      <c r="F472" s="810" t="s">
        <v>904</v>
      </c>
    </row>
    <row r="473" spans="2:6" s="615" customFormat="1">
      <c r="B473" s="838" t="s">
        <v>905</v>
      </c>
      <c r="C473" s="839" t="s">
        <v>906</v>
      </c>
      <c r="D473" s="840" t="str">
        <f t="shared" si="7"/>
        <v/>
      </c>
      <c r="E473" s="615" t="s">
        <v>905</v>
      </c>
      <c r="F473" s="810" t="s">
        <v>906</v>
      </c>
    </row>
    <row r="474" spans="2:6" s="615" customFormat="1">
      <c r="B474" s="838" t="s">
        <v>907</v>
      </c>
      <c r="C474" s="839" t="s">
        <v>908</v>
      </c>
      <c r="D474" s="840" t="str">
        <f t="shared" si="7"/>
        <v/>
      </c>
      <c r="E474" s="615" t="s">
        <v>907</v>
      </c>
      <c r="F474" s="810" t="s">
        <v>908</v>
      </c>
    </row>
    <row r="475" spans="2:6" s="615" customFormat="1">
      <c r="B475" s="838" t="s">
        <v>909</v>
      </c>
      <c r="C475" s="839" t="s">
        <v>910</v>
      </c>
      <c r="D475" s="840" t="str">
        <f t="shared" si="7"/>
        <v/>
      </c>
      <c r="E475" s="615" t="s">
        <v>909</v>
      </c>
      <c r="F475" s="810" t="s">
        <v>910</v>
      </c>
    </row>
    <row r="476" spans="2:6" s="615" customFormat="1">
      <c r="B476" s="838" t="s">
        <v>911</v>
      </c>
      <c r="C476" s="839" t="s">
        <v>2147</v>
      </c>
      <c r="D476" s="840" t="str">
        <f t="shared" si="7"/>
        <v/>
      </c>
      <c r="E476" s="615" t="s">
        <v>911</v>
      </c>
      <c r="F476" s="810" t="s">
        <v>2147</v>
      </c>
    </row>
    <row r="477" spans="2:6" s="615" customFormat="1">
      <c r="B477" s="838" t="s">
        <v>912</v>
      </c>
      <c r="C477" s="839" t="s">
        <v>2148</v>
      </c>
      <c r="D477" s="840" t="str">
        <f t="shared" si="7"/>
        <v/>
      </c>
      <c r="E477" s="615" t="s">
        <v>912</v>
      </c>
      <c r="F477" s="810" t="s">
        <v>2148</v>
      </c>
    </row>
    <row r="478" spans="2:6" s="615" customFormat="1">
      <c r="B478" s="838" t="s">
        <v>913</v>
      </c>
      <c r="C478" s="839" t="s">
        <v>2149</v>
      </c>
      <c r="D478" s="840" t="str">
        <f t="shared" si="7"/>
        <v/>
      </c>
      <c r="E478" s="615" t="s">
        <v>913</v>
      </c>
      <c r="F478" s="810" t="s">
        <v>2149</v>
      </c>
    </row>
    <row r="479" spans="2:6" s="615" customFormat="1">
      <c r="B479" s="838" t="s">
        <v>914</v>
      </c>
      <c r="C479" s="839" t="s">
        <v>915</v>
      </c>
      <c r="D479" s="840" t="str">
        <f t="shared" si="7"/>
        <v/>
      </c>
      <c r="E479" s="615" t="s">
        <v>914</v>
      </c>
      <c r="F479" s="810" t="s">
        <v>915</v>
      </c>
    </row>
    <row r="480" spans="2:6" s="615" customFormat="1">
      <c r="B480" s="838" t="s">
        <v>916</v>
      </c>
      <c r="C480" s="839" t="s">
        <v>917</v>
      </c>
      <c r="D480" s="840" t="str">
        <f t="shared" si="7"/>
        <v/>
      </c>
      <c r="E480" s="615" t="s">
        <v>916</v>
      </c>
      <c r="F480" s="810" t="s">
        <v>917</v>
      </c>
    </row>
    <row r="481" spans="2:6" s="615" customFormat="1">
      <c r="B481" s="838" t="s">
        <v>918</v>
      </c>
      <c r="C481" s="839" t="s">
        <v>919</v>
      </c>
      <c r="D481" s="840" t="str">
        <f t="shared" si="7"/>
        <v/>
      </c>
      <c r="E481" s="615" t="s">
        <v>918</v>
      </c>
      <c r="F481" s="810" t="s">
        <v>919</v>
      </c>
    </row>
    <row r="482" spans="2:6" s="615" customFormat="1">
      <c r="B482" s="838" t="s">
        <v>920</v>
      </c>
      <c r="C482" s="839" t="s">
        <v>2150</v>
      </c>
      <c r="D482" s="840" t="str">
        <f t="shared" si="7"/>
        <v/>
      </c>
      <c r="E482" s="615" t="s">
        <v>920</v>
      </c>
      <c r="F482" s="810" t="s">
        <v>2150</v>
      </c>
    </row>
    <row r="483" spans="2:6" s="615" customFormat="1">
      <c r="B483" s="838" t="s">
        <v>921</v>
      </c>
      <c r="C483" s="839" t="s">
        <v>922</v>
      </c>
      <c r="D483" s="840" t="str">
        <f t="shared" si="7"/>
        <v/>
      </c>
      <c r="E483" s="615" t="s">
        <v>921</v>
      </c>
      <c r="F483" s="810" t="s">
        <v>922</v>
      </c>
    </row>
    <row r="484" spans="2:6" s="615" customFormat="1">
      <c r="B484" s="838" t="s">
        <v>923</v>
      </c>
      <c r="C484" s="839" t="s">
        <v>2151</v>
      </c>
      <c r="D484" s="840" t="str">
        <f t="shared" si="7"/>
        <v/>
      </c>
      <c r="E484" s="615" t="s">
        <v>923</v>
      </c>
      <c r="F484" s="810" t="s">
        <v>2151</v>
      </c>
    </row>
    <row r="485" spans="2:6" s="615" customFormat="1">
      <c r="B485" s="838" t="s">
        <v>924</v>
      </c>
      <c r="C485" s="839" t="s">
        <v>2152</v>
      </c>
      <c r="D485" s="840" t="str">
        <f t="shared" si="7"/>
        <v/>
      </c>
      <c r="E485" s="615" t="s">
        <v>924</v>
      </c>
      <c r="F485" s="810" t="s">
        <v>2152</v>
      </c>
    </row>
    <row r="486" spans="2:6" s="615" customFormat="1">
      <c r="B486" s="838" t="s">
        <v>925</v>
      </c>
      <c r="C486" s="839" t="s">
        <v>2153</v>
      </c>
      <c r="D486" s="840" t="str">
        <f t="shared" si="7"/>
        <v/>
      </c>
      <c r="E486" s="615" t="s">
        <v>925</v>
      </c>
      <c r="F486" s="810" t="s">
        <v>2153</v>
      </c>
    </row>
    <row r="487" spans="2:6" s="615" customFormat="1">
      <c r="B487" s="838" t="s">
        <v>926</v>
      </c>
      <c r="C487" s="839" t="s">
        <v>927</v>
      </c>
      <c r="D487" s="840" t="str">
        <f t="shared" si="7"/>
        <v/>
      </c>
      <c r="E487" s="615" t="s">
        <v>926</v>
      </c>
      <c r="F487" s="810" t="s">
        <v>927</v>
      </c>
    </row>
    <row r="488" spans="2:6" s="615" customFormat="1">
      <c r="B488" s="838" t="s">
        <v>928</v>
      </c>
      <c r="C488" s="839" t="s">
        <v>929</v>
      </c>
      <c r="D488" s="840" t="str">
        <f t="shared" si="7"/>
        <v/>
      </c>
      <c r="E488" s="615" t="s">
        <v>928</v>
      </c>
      <c r="F488" s="810" t="s">
        <v>929</v>
      </c>
    </row>
    <row r="489" spans="2:6" s="615" customFormat="1">
      <c r="B489" s="838" t="s">
        <v>930</v>
      </c>
      <c r="C489" s="839" t="s">
        <v>2154</v>
      </c>
      <c r="D489" s="840" t="str">
        <f t="shared" si="7"/>
        <v/>
      </c>
      <c r="E489" s="615" t="s">
        <v>930</v>
      </c>
      <c r="F489" s="810" t="s">
        <v>2154</v>
      </c>
    </row>
    <row r="490" spans="2:6" s="615" customFormat="1">
      <c r="B490" s="838" t="s">
        <v>931</v>
      </c>
      <c r="C490" s="839" t="s">
        <v>932</v>
      </c>
      <c r="D490" s="840" t="str">
        <f t="shared" si="7"/>
        <v/>
      </c>
      <c r="E490" s="615" t="s">
        <v>931</v>
      </c>
      <c r="F490" s="810" t="s">
        <v>932</v>
      </c>
    </row>
    <row r="491" spans="2:6" s="615" customFormat="1">
      <c r="B491" s="838" t="s">
        <v>933</v>
      </c>
      <c r="C491" s="839" t="s">
        <v>2155</v>
      </c>
      <c r="D491" s="840" t="str">
        <f t="shared" si="7"/>
        <v/>
      </c>
      <c r="E491" s="615" t="s">
        <v>933</v>
      </c>
      <c r="F491" s="810" t="s">
        <v>2155</v>
      </c>
    </row>
    <row r="492" spans="2:6" s="615" customFormat="1">
      <c r="B492" s="838" t="s">
        <v>934</v>
      </c>
      <c r="C492" s="839" t="s">
        <v>935</v>
      </c>
      <c r="D492" s="840" t="str">
        <f t="shared" si="7"/>
        <v/>
      </c>
      <c r="E492" s="615" t="s">
        <v>934</v>
      </c>
      <c r="F492" s="810" t="s">
        <v>935</v>
      </c>
    </row>
    <row r="493" spans="2:6" s="615" customFormat="1">
      <c r="B493" s="838" t="s">
        <v>936</v>
      </c>
      <c r="C493" s="839" t="s">
        <v>2156</v>
      </c>
      <c r="D493" s="840" t="str">
        <f t="shared" si="7"/>
        <v/>
      </c>
      <c r="E493" s="615" t="s">
        <v>936</v>
      </c>
      <c r="F493" s="810" t="s">
        <v>2156</v>
      </c>
    </row>
    <row r="494" spans="2:6" s="615" customFormat="1">
      <c r="B494" s="838" t="s">
        <v>937</v>
      </c>
      <c r="C494" s="839" t="s">
        <v>2157</v>
      </c>
      <c r="D494" s="840" t="str">
        <f t="shared" si="7"/>
        <v/>
      </c>
      <c r="E494" s="615" t="s">
        <v>937</v>
      </c>
      <c r="F494" s="810" t="s">
        <v>2157</v>
      </c>
    </row>
    <row r="495" spans="2:6" s="615" customFormat="1">
      <c r="B495" s="838" t="s">
        <v>938</v>
      </c>
      <c r="C495" s="839" t="s">
        <v>2158</v>
      </c>
      <c r="D495" s="840" t="str">
        <f t="shared" si="7"/>
        <v/>
      </c>
      <c r="E495" s="615" t="s">
        <v>938</v>
      </c>
      <c r="F495" s="810" t="s">
        <v>2158</v>
      </c>
    </row>
    <row r="496" spans="2:6" s="615" customFormat="1">
      <c r="B496" s="838" t="s">
        <v>939</v>
      </c>
      <c r="C496" s="839" t="s">
        <v>940</v>
      </c>
      <c r="D496" s="840" t="str">
        <f t="shared" si="7"/>
        <v/>
      </c>
      <c r="E496" s="615" t="s">
        <v>939</v>
      </c>
      <c r="F496" s="810" t="s">
        <v>940</v>
      </c>
    </row>
    <row r="497" spans="2:6" s="615" customFormat="1">
      <c r="B497" s="838" t="s">
        <v>941</v>
      </c>
      <c r="C497" s="839" t="s">
        <v>942</v>
      </c>
      <c r="D497" s="840" t="str">
        <f t="shared" si="7"/>
        <v/>
      </c>
      <c r="E497" s="615" t="s">
        <v>941</v>
      </c>
      <c r="F497" s="810" t="s">
        <v>942</v>
      </c>
    </row>
    <row r="498" spans="2:6" s="615" customFormat="1">
      <c r="B498" s="838" t="s">
        <v>943</v>
      </c>
      <c r="C498" s="839" t="s">
        <v>944</v>
      </c>
      <c r="D498" s="840" t="str">
        <f t="shared" si="7"/>
        <v/>
      </c>
      <c r="E498" s="615" t="s">
        <v>943</v>
      </c>
      <c r="F498" s="810" t="s">
        <v>944</v>
      </c>
    </row>
    <row r="499" spans="2:6" s="615" customFormat="1">
      <c r="B499" s="838" t="s">
        <v>945</v>
      </c>
      <c r="C499" s="839" t="s">
        <v>946</v>
      </c>
      <c r="D499" s="840" t="str">
        <f t="shared" si="7"/>
        <v/>
      </c>
      <c r="E499" s="615" t="s">
        <v>945</v>
      </c>
      <c r="F499" s="810" t="s">
        <v>946</v>
      </c>
    </row>
    <row r="500" spans="2:6" s="615" customFormat="1">
      <c r="B500" s="838" t="s">
        <v>947</v>
      </c>
      <c r="C500" s="839" t="s">
        <v>948</v>
      </c>
      <c r="D500" s="840" t="str">
        <f t="shared" si="7"/>
        <v/>
      </c>
      <c r="E500" s="615" t="s">
        <v>947</v>
      </c>
      <c r="F500" s="810" t="s">
        <v>948</v>
      </c>
    </row>
    <row r="501" spans="2:6" s="615" customFormat="1">
      <c r="B501" s="838" t="s">
        <v>949</v>
      </c>
      <c r="C501" s="839" t="s">
        <v>950</v>
      </c>
      <c r="D501" s="840" t="str">
        <f t="shared" si="7"/>
        <v/>
      </c>
      <c r="E501" s="615" t="s">
        <v>949</v>
      </c>
      <c r="F501" s="810" t="s">
        <v>950</v>
      </c>
    </row>
    <row r="502" spans="2:6" s="615" customFormat="1">
      <c r="B502" s="838" t="s">
        <v>951</v>
      </c>
      <c r="C502" s="839" t="s">
        <v>952</v>
      </c>
      <c r="D502" s="840" t="str">
        <f t="shared" si="7"/>
        <v/>
      </c>
      <c r="E502" s="615" t="s">
        <v>951</v>
      </c>
      <c r="F502" s="810" t="s">
        <v>952</v>
      </c>
    </row>
    <row r="503" spans="2:6" s="615" customFormat="1">
      <c r="B503" s="838" t="s">
        <v>953</v>
      </c>
      <c r="C503" s="839" t="s">
        <v>954</v>
      </c>
      <c r="D503" s="840" t="str">
        <f t="shared" si="7"/>
        <v/>
      </c>
      <c r="E503" s="615" t="s">
        <v>953</v>
      </c>
      <c r="F503" s="810" t="s">
        <v>954</v>
      </c>
    </row>
    <row r="504" spans="2:6" s="615" customFormat="1">
      <c r="B504" s="838" t="s">
        <v>955</v>
      </c>
      <c r="C504" s="839" t="s">
        <v>956</v>
      </c>
      <c r="D504" s="840" t="str">
        <f t="shared" si="7"/>
        <v/>
      </c>
      <c r="E504" s="615" t="s">
        <v>955</v>
      </c>
      <c r="F504" s="810" t="s">
        <v>956</v>
      </c>
    </row>
    <row r="505" spans="2:6" s="615" customFormat="1">
      <c r="B505" s="838" t="s">
        <v>957</v>
      </c>
      <c r="C505" s="839" t="s">
        <v>958</v>
      </c>
      <c r="D505" s="840" t="str">
        <f t="shared" si="7"/>
        <v/>
      </c>
      <c r="E505" s="615" t="s">
        <v>957</v>
      </c>
      <c r="F505" s="810" t="s">
        <v>958</v>
      </c>
    </row>
    <row r="506" spans="2:6" s="615" customFormat="1">
      <c r="B506" s="838" t="s">
        <v>959</v>
      </c>
      <c r="C506" s="839" t="s">
        <v>960</v>
      </c>
      <c r="D506" s="840" t="str">
        <f t="shared" si="7"/>
        <v/>
      </c>
      <c r="E506" s="615" t="s">
        <v>959</v>
      </c>
      <c r="F506" s="810" t="s">
        <v>960</v>
      </c>
    </row>
    <row r="507" spans="2:6" s="615" customFormat="1">
      <c r="B507" s="838" t="s">
        <v>961</v>
      </c>
      <c r="C507" s="839" t="s">
        <v>2159</v>
      </c>
      <c r="D507" s="840" t="str">
        <f t="shared" si="7"/>
        <v/>
      </c>
      <c r="E507" s="615" t="s">
        <v>961</v>
      </c>
      <c r="F507" s="810" t="s">
        <v>2159</v>
      </c>
    </row>
    <row r="508" spans="2:6" s="615" customFormat="1">
      <c r="B508" s="838" t="s">
        <v>962</v>
      </c>
      <c r="C508" s="839" t="s">
        <v>2160</v>
      </c>
      <c r="D508" s="840" t="str">
        <f t="shared" si="7"/>
        <v/>
      </c>
      <c r="E508" s="615" t="s">
        <v>962</v>
      </c>
      <c r="F508" s="810" t="s">
        <v>2160</v>
      </c>
    </row>
    <row r="509" spans="2:6" s="615" customFormat="1">
      <c r="B509" s="838" t="s">
        <v>963</v>
      </c>
      <c r="C509" s="839" t="s">
        <v>964</v>
      </c>
      <c r="D509" s="840" t="str">
        <f t="shared" si="7"/>
        <v/>
      </c>
      <c r="E509" s="615" t="s">
        <v>963</v>
      </c>
      <c r="F509" s="810" t="s">
        <v>964</v>
      </c>
    </row>
    <row r="510" spans="2:6" s="615" customFormat="1">
      <c r="B510" s="838" t="s">
        <v>965</v>
      </c>
      <c r="C510" s="839" t="s">
        <v>2161</v>
      </c>
      <c r="D510" s="840" t="str">
        <f t="shared" si="7"/>
        <v/>
      </c>
      <c r="E510" s="615" t="s">
        <v>965</v>
      </c>
      <c r="F510" s="810" t="s">
        <v>2161</v>
      </c>
    </row>
    <row r="511" spans="2:6" s="615" customFormat="1">
      <c r="B511" s="838" t="s">
        <v>966</v>
      </c>
      <c r="C511" s="839" t="s">
        <v>967</v>
      </c>
      <c r="D511" s="840" t="str">
        <f t="shared" si="7"/>
        <v/>
      </c>
      <c r="E511" s="615" t="s">
        <v>966</v>
      </c>
      <c r="F511" s="810" t="s">
        <v>967</v>
      </c>
    </row>
    <row r="512" spans="2:6" s="615" customFormat="1">
      <c r="B512" s="838" t="s">
        <v>968</v>
      </c>
      <c r="C512" s="839" t="s">
        <v>2162</v>
      </c>
      <c r="D512" s="840" t="str">
        <f t="shared" si="7"/>
        <v/>
      </c>
      <c r="E512" s="615" t="s">
        <v>968</v>
      </c>
      <c r="F512" s="810" t="s">
        <v>2162</v>
      </c>
    </row>
    <row r="513" spans="2:6" s="615" customFormat="1">
      <c r="B513" s="838" t="s">
        <v>969</v>
      </c>
      <c r="C513" s="839" t="s">
        <v>2163</v>
      </c>
      <c r="D513" s="840" t="str">
        <f t="shared" si="7"/>
        <v/>
      </c>
      <c r="E513" s="615" t="s">
        <v>969</v>
      </c>
      <c r="F513" s="810" t="s">
        <v>2163</v>
      </c>
    </row>
    <row r="514" spans="2:6" s="615" customFormat="1">
      <c r="B514" s="838" t="s">
        <v>970</v>
      </c>
      <c r="C514" s="839" t="s">
        <v>2164</v>
      </c>
      <c r="D514" s="840" t="str">
        <f t="shared" si="7"/>
        <v/>
      </c>
      <c r="E514" s="615" t="s">
        <v>970</v>
      </c>
      <c r="F514" s="810" t="s">
        <v>2164</v>
      </c>
    </row>
    <row r="515" spans="2:6" s="615" customFormat="1">
      <c r="B515" s="838" t="s">
        <v>971</v>
      </c>
      <c r="C515" s="839" t="s">
        <v>2165</v>
      </c>
      <c r="D515" s="840" t="str">
        <f t="shared" si="7"/>
        <v/>
      </c>
      <c r="E515" s="615" t="s">
        <v>971</v>
      </c>
      <c r="F515" s="810" t="s">
        <v>2165</v>
      </c>
    </row>
    <row r="516" spans="2:6" s="615" customFormat="1">
      <c r="B516" s="838" t="s">
        <v>972</v>
      </c>
      <c r="C516" s="839" t="s">
        <v>2166</v>
      </c>
      <c r="D516" s="840" t="str">
        <f t="shared" ref="D516:D579" si="8">IF(AND(B516=E516,C516=F516),"","x")</f>
        <v/>
      </c>
      <c r="E516" s="615" t="s">
        <v>972</v>
      </c>
      <c r="F516" s="810" t="s">
        <v>2166</v>
      </c>
    </row>
    <row r="517" spans="2:6" s="615" customFormat="1">
      <c r="B517" s="838" t="s">
        <v>973</v>
      </c>
      <c r="C517" s="839" t="s">
        <v>974</v>
      </c>
      <c r="D517" s="840" t="str">
        <f t="shared" si="8"/>
        <v/>
      </c>
      <c r="E517" s="615" t="s">
        <v>973</v>
      </c>
      <c r="F517" s="810" t="s">
        <v>974</v>
      </c>
    </row>
    <row r="518" spans="2:6" s="615" customFormat="1">
      <c r="B518" s="838" t="s">
        <v>975</v>
      </c>
      <c r="C518" s="839" t="s">
        <v>976</v>
      </c>
      <c r="D518" s="840" t="str">
        <f t="shared" si="8"/>
        <v/>
      </c>
      <c r="E518" s="615" t="s">
        <v>975</v>
      </c>
      <c r="F518" s="810" t="s">
        <v>976</v>
      </c>
    </row>
    <row r="519" spans="2:6" s="615" customFormat="1">
      <c r="B519" s="838" t="s">
        <v>977</v>
      </c>
      <c r="C519" s="839" t="s">
        <v>978</v>
      </c>
      <c r="D519" s="840" t="str">
        <f t="shared" si="8"/>
        <v/>
      </c>
      <c r="E519" s="615" t="s">
        <v>977</v>
      </c>
      <c r="F519" s="810" t="s">
        <v>978</v>
      </c>
    </row>
    <row r="520" spans="2:6" s="615" customFormat="1">
      <c r="B520" s="838" t="s">
        <v>979</v>
      </c>
      <c r="C520" s="839" t="s">
        <v>2167</v>
      </c>
      <c r="D520" s="840" t="str">
        <f t="shared" si="8"/>
        <v/>
      </c>
      <c r="E520" s="615" t="s">
        <v>979</v>
      </c>
      <c r="F520" s="810" t="s">
        <v>2167</v>
      </c>
    </row>
    <row r="521" spans="2:6" s="615" customFormat="1">
      <c r="B521" s="838" t="s">
        <v>980</v>
      </c>
      <c r="C521" s="839" t="s">
        <v>981</v>
      </c>
      <c r="D521" s="840" t="str">
        <f t="shared" si="8"/>
        <v/>
      </c>
      <c r="E521" s="615" t="s">
        <v>980</v>
      </c>
      <c r="F521" s="810" t="s">
        <v>981</v>
      </c>
    </row>
    <row r="522" spans="2:6" s="615" customFormat="1">
      <c r="B522" s="838" t="s">
        <v>982</v>
      </c>
      <c r="C522" s="839" t="s">
        <v>983</v>
      </c>
      <c r="D522" s="840" t="str">
        <f t="shared" si="8"/>
        <v/>
      </c>
      <c r="E522" s="615" t="s">
        <v>982</v>
      </c>
      <c r="F522" s="810" t="s">
        <v>983</v>
      </c>
    </row>
    <row r="523" spans="2:6" s="615" customFormat="1">
      <c r="B523" s="838" t="s">
        <v>984</v>
      </c>
      <c r="C523" s="839" t="s">
        <v>985</v>
      </c>
      <c r="D523" s="840" t="str">
        <f t="shared" si="8"/>
        <v/>
      </c>
      <c r="E523" s="615" t="s">
        <v>984</v>
      </c>
      <c r="F523" s="810" t="s">
        <v>985</v>
      </c>
    </row>
    <row r="524" spans="2:6" s="615" customFormat="1">
      <c r="B524" s="838" t="s">
        <v>986</v>
      </c>
      <c r="C524" s="839" t="s">
        <v>2168</v>
      </c>
      <c r="D524" s="840" t="str">
        <f t="shared" si="8"/>
        <v/>
      </c>
      <c r="E524" s="615" t="s">
        <v>986</v>
      </c>
      <c r="F524" s="810" t="s">
        <v>2168</v>
      </c>
    </row>
    <row r="525" spans="2:6" s="615" customFormat="1">
      <c r="B525" s="838" t="s">
        <v>987</v>
      </c>
      <c r="C525" s="839" t="s">
        <v>2169</v>
      </c>
      <c r="D525" s="840" t="str">
        <f t="shared" si="8"/>
        <v/>
      </c>
      <c r="E525" s="615" t="s">
        <v>987</v>
      </c>
      <c r="F525" s="810" t="s">
        <v>2169</v>
      </c>
    </row>
    <row r="526" spans="2:6" s="615" customFormat="1">
      <c r="B526" s="838" t="s">
        <v>988</v>
      </c>
      <c r="C526" s="839" t="s">
        <v>989</v>
      </c>
      <c r="D526" s="840" t="str">
        <f t="shared" si="8"/>
        <v/>
      </c>
      <c r="E526" s="615" t="s">
        <v>988</v>
      </c>
      <c r="F526" s="810" t="s">
        <v>989</v>
      </c>
    </row>
    <row r="527" spans="2:6" s="615" customFormat="1">
      <c r="B527" s="838" t="s">
        <v>990</v>
      </c>
      <c r="C527" s="839" t="s">
        <v>991</v>
      </c>
      <c r="D527" s="840" t="str">
        <f t="shared" si="8"/>
        <v/>
      </c>
      <c r="E527" s="615" t="s">
        <v>990</v>
      </c>
      <c r="F527" s="810" t="s">
        <v>991</v>
      </c>
    </row>
    <row r="528" spans="2:6" s="615" customFormat="1">
      <c r="B528" s="838" t="s">
        <v>992</v>
      </c>
      <c r="C528" s="839" t="s">
        <v>2170</v>
      </c>
      <c r="D528" s="840" t="str">
        <f t="shared" si="8"/>
        <v/>
      </c>
      <c r="E528" s="615" t="s">
        <v>992</v>
      </c>
      <c r="F528" s="810" t="s">
        <v>2170</v>
      </c>
    </row>
    <row r="529" spans="2:6" s="615" customFormat="1">
      <c r="B529" s="838" t="s">
        <v>993</v>
      </c>
      <c r="C529" s="839" t="s">
        <v>2171</v>
      </c>
      <c r="D529" s="840" t="str">
        <f t="shared" si="8"/>
        <v/>
      </c>
      <c r="E529" s="615" t="s">
        <v>993</v>
      </c>
      <c r="F529" s="810" t="s">
        <v>2171</v>
      </c>
    </row>
    <row r="530" spans="2:6" s="615" customFormat="1">
      <c r="B530" s="838" t="s">
        <v>994</v>
      </c>
      <c r="C530" s="839" t="s">
        <v>995</v>
      </c>
      <c r="D530" s="840" t="str">
        <f t="shared" si="8"/>
        <v/>
      </c>
      <c r="E530" s="615" t="s">
        <v>994</v>
      </c>
      <c r="F530" s="810" t="s">
        <v>995</v>
      </c>
    </row>
    <row r="531" spans="2:6" s="615" customFormat="1">
      <c r="B531" s="838" t="s">
        <v>996</v>
      </c>
      <c r="C531" s="839" t="s">
        <v>2172</v>
      </c>
      <c r="D531" s="840" t="str">
        <f t="shared" si="8"/>
        <v/>
      </c>
      <c r="E531" s="615" t="s">
        <v>996</v>
      </c>
      <c r="F531" s="810" t="s">
        <v>2172</v>
      </c>
    </row>
    <row r="532" spans="2:6" s="615" customFormat="1">
      <c r="B532" s="838" t="s">
        <v>997</v>
      </c>
      <c r="C532" s="839" t="s">
        <v>2173</v>
      </c>
      <c r="D532" s="840" t="str">
        <f t="shared" si="8"/>
        <v/>
      </c>
      <c r="E532" s="615" t="s">
        <v>997</v>
      </c>
      <c r="F532" s="810" t="s">
        <v>2173</v>
      </c>
    </row>
    <row r="533" spans="2:6" s="615" customFormat="1">
      <c r="B533" s="838" t="s">
        <v>998</v>
      </c>
      <c r="C533" s="839" t="s">
        <v>999</v>
      </c>
      <c r="D533" s="840" t="str">
        <f t="shared" si="8"/>
        <v/>
      </c>
      <c r="E533" s="615" t="s">
        <v>998</v>
      </c>
      <c r="F533" s="810" t="s">
        <v>999</v>
      </c>
    </row>
    <row r="534" spans="2:6" s="615" customFormat="1">
      <c r="B534" s="838" t="s">
        <v>1000</v>
      </c>
      <c r="C534" s="839" t="s">
        <v>2174</v>
      </c>
      <c r="D534" s="840" t="str">
        <f t="shared" si="8"/>
        <v/>
      </c>
      <c r="E534" s="615" t="s">
        <v>1000</v>
      </c>
      <c r="F534" s="810" t="s">
        <v>2174</v>
      </c>
    </row>
    <row r="535" spans="2:6" s="615" customFormat="1">
      <c r="B535" s="838" t="s">
        <v>1001</v>
      </c>
      <c r="C535" s="839" t="s">
        <v>2175</v>
      </c>
      <c r="D535" s="840" t="str">
        <f t="shared" si="8"/>
        <v/>
      </c>
      <c r="E535" s="615" t="s">
        <v>1001</v>
      </c>
      <c r="F535" s="810" t="s">
        <v>2175</v>
      </c>
    </row>
    <row r="536" spans="2:6" s="615" customFormat="1">
      <c r="B536" s="838" t="s">
        <v>1002</v>
      </c>
      <c r="C536" s="839" t="s">
        <v>1003</v>
      </c>
      <c r="D536" s="840" t="str">
        <f t="shared" si="8"/>
        <v/>
      </c>
      <c r="E536" s="615" t="s">
        <v>1002</v>
      </c>
      <c r="F536" s="810" t="s">
        <v>1003</v>
      </c>
    </row>
    <row r="537" spans="2:6" s="615" customFormat="1">
      <c r="B537" s="838" t="s">
        <v>1004</v>
      </c>
      <c r="C537" s="839" t="s">
        <v>2176</v>
      </c>
      <c r="D537" s="840" t="str">
        <f t="shared" si="8"/>
        <v/>
      </c>
      <c r="E537" s="615" t="s">
        <v>1004</v>
      </c>
      <c r="F537" s="810" t="s">
        <v>2176</v>
      </c>
    </row>
    <row r="538" spans="2:6" s="615" customFormat="1">
      <c r="B538" s="838" t="s">
        <v>1005</v>
      </c>
      <c r="C538" s="839" t="s">
        <v>1006</v>
      </c>
      <c r="D538" s="840" t="str">
        <f t="shared" si="8"/>
        <v/>
      </c>
      <c r="E538" s="615" t="s">
        <v>1005</v>
      </c>
      <c r="F538" s="810" t="s">
        <v>1006</v>
      </c>
    </row>
    <row r="539" spans="2:6" s="615" customFormat="1">
      <c r="B539" s="838" t="s">
        <v>1007</v>
      </c>
      <c r="C539" s="839" t="s">
        <v>1008</v>
      </c>
      <c r="D539" s="840" t="str">
        <f t="shared" si="8"/>
        <v/>
      </c>
      <c r="E539" s="615" t="s">
        <v>1007</v>
      </c>
      <c r="F539" s="810" t="s">
        <v>1008</v>
      </c>
    </row>
    <row r="540" spans="2:6" s="615" customFormat="1">
      <c r="B540" s="838" t="s">
        <v>1009</v>
      </c>
      <c r="C540" s="839" t="s">
        <v>1010</v>
      </c>
      <c r="D540" s="840" t="str">
        <f t="shared" si="8"/>
        <v/>
      </c>
      <c r="E540" s="615" t="s">
        <v>1009</v>
      </c>
      <c r="F540" s="810" t="s">
        <v>1010</v>
      </c>
    </row>
    <row r="541" spans="2:6" s="615" customFormat="1">
      <c r="B541" s="838" t="s">
        <v>1011</v>
      </c>
      <c r="C541" s="839" t="s">
        <v>2177</v>
      </c>
      <c r="D541" s="840" t="str">
        <f t="shared" si="8"/>
        <v/>
      </c>
      <c r="E541" s="615" t="s">
        <v>1011</v>
      </c>
      <c r="F541" s="810" t="s">
        <v>2177</v>
      </c>
    </row>
    <row r="542" spans="2:6" s="615" customFormat="1">
      <c r="B542" s="838" t="s">
        <v>1012</v>
      </c>
      <c r="C542" s="839" t="s">
        <v>2178</v>
      </c>
      <c r="D542" s="840" t="str">
        <f t="shared" si="8"/>
        <v/>
      </c>
      <c r="E542" s="615" t="s">
        <v>1012</v>
      </c>
      <c r="F542" s="810" t="s">
        <v>2178</v>
      </c>
    </row>
    <row r="543" spans="2:6" s="615" customFormat="1">
      <c r="B543" s="838" t="s">
        <v>1013</v>
      </c>
      <c r="C543" s="839" t="s">
        <v>1014</v>
      </c>
      <c r="D543" s="840" t="str">
        <f t="shared" si="8"/>
        <v/>
      </c>
      <c r="E543" s="615" t="s">
        <v>1013</v>
      </c>
      <c r="F543" s="810" t="s">
        <v>1014</v>
      </c>
    </row>
    <row r="544" spans="2:6" s="615" customFormat="1">
      <c r="B544" s="838" t="s">
        <v>1015</v>
      </c>
      <c r="C544" s="839" t="s">
        <v>1016</v>
      </c>
      <c r="D544" s="840" t="str">
        <f t="shared" si="8"/>
        <v/>
      </c>
      <c r="E544" s="615" t="s">
        <v>1015</v>
      </c>
      <c r="F544" s="810" t="s">
        <v>1016</v>
      </c>
    </row>
    <row r="545" spans="2:6" s="615" customFormat="1">
      <c r="B545" s="838" t="s">
        <v>1017</v>
      </c>
      <c r="C545" s="839" t="s">
        <v>2179</v>
      </c>
      <c r="D545" s="840" t="str">
        <f t="shared" si="8"/>
        <v/>
      </c>
      <c r="E545" s="615" t="s">
        <v>1017</v>
      </c>
      <c r="F545" s="810" t="s">
        <v>2179</v>
      </c>
    </row>
    <row r="546" spans="2:6" s="615" customFormat="1">
      <c r="B546" s="838" t="s">
        <v>1018</v>
      </c>
      <c r="C546" s="839" t="s">
        <v>1019</v>
      </c>
      <c r="D546" s="840" t="str">
        <f t="shared" si="8"/>
        <v/>
      </c>
      <c r="E546" s="615" t="s">
        <v>1018</v>
      </c>
      <c r="F546" s="810" t="s">
        <v>1019</v>
      </c>
    </row>
    <row r="547" spans="2:6" s="615" customFormat="1">
      <c r="B547" s="838" t="s">
        <v>1020</v>
      </c>
      <c r="C547" s="839" t="s">
        <v>1021</v>
      </c>
      <c r="D547" s="840" t="str">
        <f t="shared" si="8"/>
        <v/>
      </c>
      <c r="E547" s="615" t="s">
        <v>1020</v>
      </c>
      <c r="F547" s="810" t="s">
        <v>1021</v>
      </c>
    </row>
    <row r="548" spans="2:6" s="615" customFormat="1">
      <c r="B548" s="838" t="s">
        <v>1022</v>
      </c>
      <c r="C548" s="839" t="s">
        <v>2180</v>
      </c>
      <c r="D548" s="840" t="str">
        <f t="shared" si="8"/>
        <v/>
      </c>
      <c r="E548" s="615" t="s">
        <v>1022</v>
      </c>
      <c r="F548" s="810" t="s">
        <v>2180</v>
      </c>
    </row>
    <row r="549" spans="2:6" s="615" customFormat="1">
      <c r="B549" s="838" t="s">
        <v>1023</v>
      </c>
      <c r="C549" s="839" t="s">
        <v>2181</v>
      </c>
      <c r="D549" s="840" t="str">
        <f t="shared" si="8"/>
        <v/>
      </c>
      <c r="E549" s="615" t="s">
        <v>1023</v>
      </c>
      <c r="F549" s="810" t="s">
        <v>2181</v>
      </c>
    </row>
    <row r="550" spans="2:6" s="615" customFormat="1">
      <c r="B550" s="838" t="s">
        <v>1024</v>
      </c>
      <c r="C550" s="839" t="s">
        <v>1025</v>
      </c>
      <c r="D550" s="840" t="str">
        <f t="shared" si="8"/>
        <v/>
      </c>
      <c r="E550" s="615" t="s">
        <v>1024</v>
      </c>
      <c r="F550" s="810" t="s">
        <v>1025</v>
      </c>
    </row>
    <row r="551" spans="2:6" s="615" customFormat="1">
      <c r="B551" s="838" t="s">
        <v>1026</v>
      </c>
      <c r="C551" s="839" t="s">
        <v>2182</v>
      </c>
      <c r="D551" s="840" t="str">
        <f t="shared" si="8"/>
        <v/>
      </c>
      <c r="E551" s="615" t="s">
        <v>1026</v>
      </c>
      <c r="F551" s="810" t="s">
        <v>2182</v>
      </c>
    </row>
    <row r="552" spans="2:6" s="615" customFormat="1">
      <c r="B552" s="838" t="s">
        <v>1027</v>
      </c>
      <c r="C552" s="839" t="s">
        <v>2183</v>
      </c>
      <c r="D552" s="840" t="str">
        <f t="shared" si="8"/>
        <v/>
      </c>
      <c r="E552" s="615" t="s">
        <v>1027</v>
      </c>
      <c r="F552" s="810" t="s">
        <v>2183</v>
      </c>
    </row>
    <row r="553" spans="2:6" s="615" customFormat="1">
      <c r="B553" s="838" t="s">
        <v>1028</v>
      </c>
      <c r="C553" s="839" t="s">
        <v>1029</v>
      </c>
      <c r="D553" s="840" t="str">
        <f t="shared" si="8"/>
        <v/>
      </c>
      <c r="E553" s="615" t="s">
        <v>1028</v>
      </c>
      <c r="F553" s="810" t="s">
        <v>1029</v>
      </c>
    </row>
    <row r="554" spans="2:6" s="615" customFormat="1">
      <c r="B554" s="838" t="s">
        <v>1030</v>
      </c>
      <c r="C554" s="839" t="s">
        <v>1031</v>
      </c>
      <c r="D554" s="840" t="str">
        <f t="shared" si="8"/>
        <v/>
      </c>
      <c r="E554" s="615" t="s">
        <v>1030</v>
      </c>
      <c r="F554" s="810" t="s">
        <v>1031</v>
      </c>
    </row>
    <row r="555" spans="2:6" s="615" customFormat="1">
      <c r="B555" s="838" t="s">
        <v>1032</v>
      </c>
      <c r="C555" s="839" t="s">
        <v>2184</v>
      </c>
      <c r="D555" s="840" t="str">
        <f t="shared" si="8"/>
        <v/>
      </c>
      <c r="E555" s="615" t="s">
        <v>1032</v>
      </c>
      <c r="F555" s="810" t="s">
        <v>2184</v>
      </c>
    </row>
    <row r="556" spans="2:6" s="615" customFormat="1">
      <c r="B556" s="838" t="s">
        <v>1033</v>
      </c>
      <c r="C556" s="839" t="s">
        <v>2185</v>
      </c>
      <c r="D556" s="840" t="str">
        <f t="shared" si="8"/>
        <v/>
      </c>
      <c r="E556" s="615" t="s">
        <v>1033</v>
      </c>
      <c r="F556" s="810" t="s">
        <v>2185</v>
      </c>
    </row>
    <row r="557" spans="2:6" s="615" customFormat="1">
      <c r="B557" s="838" t="s">
        <v>1034</v>
      </c>
      <c r="C557" s="839" t="s">
        <v>2186</v>
      </c>
      <c r="D557" s="840" t="str">
        <f t="shared" si="8"/>
        <v/>
      </c>
      <c r="E557" s="615" t="s">
        <v>1034</v>
      </c>
      <c r="F557" s="810" t="s">
        <v>2186</v>
      </c>
    </row>
    <row r="558" spans="2:6" s="615" customFormat="1">
      <c r="B558" s="838" t="s">
        <v>1035</v>
      </c>
      <c r="C558" s="839" t="s">
        <v>2187</v>
      </c>
      <c r="D558" s="840" t="str">
        <f t="shared" si="8"/>
        <v/>
      </c>
      <c r="E558" s="615" t="s">
        <v>1035</v>
      </c>
      <c r="F558" s="810" t="s">
        <v>2187</v>
      </c>
    </row>
    <row r="559" spans="2:6" s="615" customFormat="1">
      <c r="B559" s="838" t="s">
        <v>1036</v>
      </c>
      <c r="C559" s="839" t="s">
        <v>1037</v>
      </c>
      <c r="D559" s="840" t="str">
        <f t="shared" si="8"/>
        <v/>
      </c>
      <c r="E559" s="615" t="s">
        <v>1036</v>
      </c>
      <c r="F559" s="810" t="s">
        <v>1037</v>
      </c>
    </row>
    <row r="560" spans="2:6" s="615" customFormat="1">
      <c r="B560" s="838" t="s">
        <v>1038</v>
      </c>
      <c r="C560" s="839" t="s">
        <v>1039</v>
      </c>
      <c r="D560" s="840" t="str">
        <f t="shared" si="8"/>
        <v/>
      </c>
      <c r="E560" s="615" t="s">
        <v>1038</v>
      </c>
      <c r="F560" s="810" t="s">
        <v>1039</v>
      </c>
    </row>
    <row r="561" spans="2:6" s="615" customFormat="1">
      <c r="B561" s="838" t="s">
        <v>1040</v>
      </c>
      <c r="C561" s="839" t="s">
        <v>1041</v>
      </c>
      <c r="D561" s="840" t="str">
        <f t="shared" si="8"/>
        <v/>
      </c>
      <c r="E561" s="615" t="s">
        <v>1040</v>
      </c>
      <c r="F561" s="810" t="s">
        <v>1041</v>
      </c>
    </row>
    <row r="562" spans="2:6" s="615" customFormat="1">
      <c r="B562" s="838" t="s">
        <v>1042</v>
      </c>
      <c r="C562" s="839" t="s">
        <v>2188</v>
      </c>
      <c r="D562" s="840" t="str">
        <f t="shared" si="8"/>
        <v/>
      </c>
      <c r="E562" s="615" t="s">
        <v>1042</v>
      </c>
      <c r="F562" s="810" t="s">
        <v>2188</v>
      </c>
    </row>
    <row r="563" spans="2:6" s="615" customFormat="1">
      <c r="B563" s="838" t="s">
        <v>1043</v>
      </c>
      <c r="C563" s="839" t="s">
        <v>2189</v>
      </c>
      <c r="D563" s="840" t="str">
        <f t="shared" si="8"/>
        <v/>
      </c>
      <c r="E563" s="615" t="s">
        <v>1043</v>
      </c>
      <c r="F563" s="810" t="s">
        <v>2189</v>
      </c>
    </row>
    <row r="564" spans="2:6" s="615" customFormat="1">
      <c r="B564" s="838" t="s">
        <v>1044</v>
      </c>
      <c r="C564" s="839" t="s">
        <v>2190</v>
      </c>
      <c r="D564" s="840" t="str">
        <f t="shared" si="8"/>
        <v/>
      </c>
      <c r="E564" s="615" t="s">
        <v>1044</v>
      </c>
      <c r="F564" s="810" t="s">
        <v>2190</v>
      </c>
    </row>
    <row r="565" spans="2:6" s="615" customFormat="1">
      <c r="B565" s="838" t="s">
        <v>1045</v>
      </c>
      <c r="C565" s="839" t="s">
        <v>2191</v>
      </c>
      <c r="D565" s="840" t="str">
        <f t="shared" si="8"/>
        <v/>
      </c>
      <c r="E565" s="615" t="s">
        <v>1045</v>
      </c>
      <c r="F565" s="810" t="s">
        <v>2191</v>
      </c>
    </row>
    <row r="566" spans="2:6" s="615" customFormat="1">
      <c r="B566" s="838" t="s">
        <v>1046</v>
      </c>
      <c r="C566" s="839" t="s">
        <v>2192</v>
      </c>
      <c r="D566" s="840" t="str">
        <f t="shared" si="8"/>
        <v/>
      </c>
      <c r="E566" s="615" t="s">
        <v>1046</v>
      </c>
      <c r="F566" s="810" t="s">
        <v>2192</v>
      </c>
    </row>
    <row r="567" spans="2:6" s="615" customFormat="1">
      <c r="B567" s="838" t="s">
        <v>1047</v>
      </c>
      <c r="C567" s="839" t="s">
        <v>2193</v>
      </c>
      <c r="D567" s="840" t="str">
        <f t="shared" si="8"/>
        <v/>
      </c>
      <c r="E567" s="615" t="s">
        <v>1047</v>
      </c>
      <c r="F567" s="810" t="s">
        <v>2193</v>
      </c>
    </row>
    <row r="568" spans="2:6" s="615" customFormat="1">
      <c r="B568" s="838" t="s">
        <v>1048</v>
      </c>
      <c r="C568" s="839" t="s">
        <v>1049</v>
      </c>
      <c r="D568" s="840" t="str">
        <f t="shared" si="8"/>
        <v/>
      </c>
      <c r="E568" s="615" t="s">
        <v>1048</v>
      </c>
      <c r="F568" s="810" t="s">
        <v>1049</v>
      </c>
    </row>
    <row r="569" spans="2:6" s="615" customFormat="1">
      <c r="B569" s="838" t="s">
        <v>1050</v>
      </c>
      <c r="C569" s="839" t="s">
        <v>1051</v>
      </c>
      <c r="D569" s="840" t="str">
        <f t="shared" si="8"/>
        <v/>
      </c>
      <c r="E569" s="615" t="s">
        <v>1050</v>
      </c>
      <c r="F569" s="810" t="s">
        <v>1051</v>
      </c>
    </row>
    <row r="570" spans="2:6" s="615" customFormat="1">
      <c r="B570" s="838" t="s">
        <v>1052</v>
      </c>
      <c r="C570" s="839" t="s">
        <v>2194</v>
      </c>
      <c r="D570" s="840" t="str">
        <f t="shared" si="8"/>
        <v/>
      </c>
      <c r="E570" s="615" t="s">
        <v>1052</v>
      </c>
      <c r="F570" s="810" t="s">
        <v>2194</v>
      </c>
    </row>
    <row r="571" spans="2:6" s="615" customFormat="1">
      <c r="B571" s="838" t="s">
        <v>1053</v>
      </c>
      <c r="C571" s="839" t="s">
        <v>2195</v>
      </c>
      <c r="D571" s="840" t="str">
        <f t="shared" si="8"/>
        <v/>
      </c>
      <c r="E571" s="615" t="s">
        <v>1053</v>
      </c>
      <c r="F571" s="810" t="s">
        <v>2195</v>
      </c>
    </row>
    <row r="572" spans="2:6" s="615" customFormat="1">
      <c r="B572" s="838" t="s">
        <v>1054</v>
      </c>
      <c r="C572" s="839" t="s">
        <v>2196</v>
      </c>
      <c r="D572" s="840" t="str">
        <f t="shared" si="8"/>
        <v/>
      </c>
      <c r="E572" s="615" t="s">
        <v>1054</v>
      </c>
      <c r="F572" s="810" t="s">
        <v>2196</v>
      </c>
    </row>
    <row r="573" spans="2:6" s="615" customFormat="1">
      <c r="B573" s="838" t="s">
        <v>1055</v>
      </c>
      <c r="C573" s="839" t="s">
        <v>2197</v>
      </c>
      <c r="D573" s="840" t="str">
        <f t="shared" si="8"/>
        <v/>
      </c>
      <c r="E573" s="615" t="s">
        <v>1055</v>
      </c>
      <c r="F573" s="810" t="s">
        <v>2197</v>
      </c>
    </row>
    <row r="574" spans="2:6" s="615" customFormat="1">
      <c r="B574" s="838" t="s">
        <v>1056</v>
      </c>
      <c r="C574" s="839" t="s">
        <v>1057</v>
      </c>
      <c r="D574" s="840" t="str">
        <f t="shared" si="8"/>
        <v/>
      </c>
      <c r="E574" s="615" t="s">
        <v>1056</v>
      </c>
      <c r="F574" s="810" t="s">
        <v>1057</v>
      </c>
    </row>
    <row r="575" spans="2:6" s="615" customFormat="1">
      <c r="B575" s="838" t="s">
        <v>1058</v>
      </c>
      <c r="C575" s="839" t="s">
        <v>1059</v>
      </c>
      <c r="D575" s="840" t="str">
        <f t="shared" si="8"/>
        <v/>
      </c>
      <c r="E575" s="615" t="s">
        <v>1058</v>
      </c>
      <c r="F575" s="810" t="s">
        <v>1059</v>
      </c>
    </row>
    <row r="576" spans="2:6" s="615" customFormat="1">
      <c r="B576" s="838" t="s">
        <v>1060</v>
      </c>
      <c r="C576" s="839" t="s">
        <v>1061</v>
      </c>
      <c r="D576" s="840" t="str">
        <f t="shared" si="8"/>
        <v/>
      </c>
      <c r="E576" s="615" t="s">
        <v>1060</v>
      </c>
      <c r="F576" s="810" t="s">
        <v>1061</v>
      </c>
    </row>
    <row r="577" spans="2:6" s="615" customFormat="1">
      <c r="B577" s="838" t="s">
        <v>1062</v>
      </c>
      <c r="C577" s="839" t="s">
        <v>1063</v>
      </c>
      <c r="D577" s="840" t="str">
        <f t="shared" si="8"/>
        <v/>
      </c>
      <c r="E577" s="615" t="s">
        <v>1062</v>
      </c>
      <c r="F577" s="810" t="s">
        <v>1063</v>
      </c>
    </row>
    <row r="578" spans="2:6" s="615" customFormat="1">
      <c r="B578" s="838" t="s">
        <v>1064</v>
      </c>
      <c r="C578" s="839" t="s">
        <v>2198</v>
      </c>
      <c r="D578" s="840" t="str">
        <f t="shared" si="8"/>
        <v/>
      </c>
      <c r="E578" s="615" t="s">
        <v>1064</v>
      </c>
      <c r="F578" s="810" t="s">
        <v>2198</v>
      </c>
    </row>
    <row r="579" spans="2:6" s="615" customFormat="1">
      <c r="B579" s="838" t="s">
        <v>1065</v>
      </c>
      <c r="C579" s="839" t="s">
        <v>2199</v>
      </c>
      <c r="D579" s="840" t="str">
        <f t="shared" si="8"/>
        <v/>
      </c>
      <c r="E579" s="615" t="s">
        <v>1065</v>
      </c>
      <c r="F579" s="810" t="s">
        <v>2199</v>
      </c>
    </row>
    <row r="580" spans="2:6" s="615" customFormat="1">
      <c r="B580" s="838" t="s">
        <v>1066</v>
      </c>
      <c r="C580" s="839" t="s">
        <v>1067</v>
      </c>
      <c r="D580" s="840" t="str">
        <f t="shared" ref="D580:D630" si="9">IF(AND(B580=E580,C580=F580),"","x")</f>
        <v/>
      </c>
      <c r="E580" s="615" t="s">
        <v>1066</v>
      </c>
      <c r="F580" s="810" t="s">
        <v>1067</v>
      </c>
    </row>
    <row r="581" spans="2:6" s="615" customFormat="1">
      <c r="B581" s="838" t="s">
        <v>1068</v>
      </c>
      <c r="C581" s="839" t="s">
        <v>2200</v>
      </c>
      <c r="D581" s="840" t="str">
        <f t="shared" si="9"/>
        <v/>
      </c>
      <c r="E581" s="615" t="s">
        <v>1068</v>
      </c>
      <c r="F581" s="810" t="s">
        <v>2200</v>
      </c>
    </row>
    <row r="582" spans="2:6" s="615" customFormat="1">
      <c r="B582" s="838" t="s">
        <v>1069</v>
      </c>
      <c r="C582" s="839" t="s">
        <v>2201</v>
      </c>
      <c r="D582" s="840" t="str">
        <f t="shared" si="9"/>
        <v/>
      </c>
      <c r="E582" s="615" t="s">
        <v>1069</v>
      </c>
      <c r="F582" s="810" t="s">
        <v>2201</v>
      </c>
    </row>
    <row r="583" spans="2:6" s="615" customFormat="1">
      <c r="B583" s="838" t="s">
        <v>1070</v>
      </c>
      <c r="C583" s="839" t="s">
        <v>1071</v>
      </c>
      <c r="D583" s="840" t="str">
        <f t="shared" si="9"/>
        <v/>
      </c>
      <c r="E583" s="615" t="s">
        <v>1070</v>
      </c>
      <c r="F583" s="810" t="s">
        <v>1071</v>
      </c>
    </row>
    <row r="584" spans="2:6" s="615" customFormat="1">
      <c r="B584" s="838" t="s">
        <v>1072</v>
      </c>
      <c r="C584" s="839" t="s">
        <v>2202</v>
      </c>
      <c r="D584" s="840" t="str">
        <f t="shared" si="9"/>
        <v/>
      </c>
      <c r="E584" s="615" t="s">
        <v>1072</v>
      </c>
      <c r="F584" s="810" t="s">
        <v>2202</v>
      </c>
    </row>
    <row r="585" spans="2:6" s="615" customFormat="1">
      <c r="B585" s="838" t="s">
        <v>1073</v>
      </c>
      <c r="C585" s="839" t="s">
        <v>2203</v>
      </c>
      <c r="D585" s="840" t="str">
        <f t="shared" si="9"/>
        <v/>
      </c>
      <c r="E585" s="615" t="s">
        <v>1073</v>
      </c>
      <c r="F585" s="810" t="s">
        <v>2203</v>
      </c>
    </row>
    <row r="586" spans="2:6" s="615" customFormat="1">
      <c r="B586" s="838" t="s">
        <v>1074</v>
      </c>
      <c r="C586" s="839" t="s">
        <v>2204</v>
      </c>
      <c r="D586" s="840" t="str">
        <f t="shared" si="9"/>
        <v/>
      </c>
      <c r="E586" s="615" t="s">
        <v>1074</v>
      </c>
      <c r="F586" s="810" t="s">
        <v>2204</v>
      </c>
    </row>
    <row r="587" spans="2:6" s="615" customFormat="1">
      <c r="B587" s="838" t="s">
        <v>1075</v>
      </c>
      <c r="C587" s="839" t="s">
        <v>1076</v>
      </c>
      <c r="D587" s="840" t="str">
        <f t="shared" si="9"/>
        <v/>
      </c>
      <c r="E587" s="615" t="s">
        <v>1075</v>
      </c>
      <c r="F587" s="810" t="s">
        <v>1076</v>
      </c>
    </row>
    <row r="588" spans="2:6" s="615" customFormat="1">
      <c r="B588" s="838" t="s">
        <v>1077</v>
      </c>
      <c r="C588" s="839" t="s">
        <v>2205</v>
      </c>
      <c r="D588" s="840" t="str">
        <f t="shared" si="9"/>
        <v/>
      </c>
      <c r="E588" s="615" t="s">
        <v>1077</v>
      </c>
      <c r="F588" s="810" t="s">
        <v>2205</v>
      </c>
    </row>
    <row r="589" spans="2:6" s="615" customFormat="1">
      <c r="B589" s="838" t="s">
        <v>1078</v>
      </c>
      <c r="C589" s="839" t="s">
        <v>2206</v>
      </c>
      <c r="D589" s="840" t="str">
        <f t="shared" si="9"/>
        <v/>
      </c>
      <c r="E589" s="615" t="s">
        <v>1078</v>
      </c>
      <c r="F589" s="810" t="s">
        <v>2206</v>
      </c>
    </row>
    <row r="590" spans="2:6" s="615" customFormat="1">
      <c r="B590" s="838" t="s">
        <v>1079</v>
      </c>
      <c r="C590" s="839" t="s">
        <v>2207</v>
      </c>
      <c r="D590" s="840" t="str">
        <f t="shared" si="9"/>
        <v/>
      </c>
      <c r="E590" s="615" t="s">
        <v>1079</v>
      </c>
      <c r="F590" s="810" t="s">
        <v>2207</v>
      </c>
    </row>
    <row r="591" spans="2:6" s="615" customFormat="1">
      <c r="B591" s="838" t="s">
        <v>1080</v>
      </c>
      <c r="C591" s="839" t="s">
        <v>1081</v>
      </c>
      <c r="D591" s="840" t="str">
        <f t="shared" si="9"/>
        <v/>
      </c>
      <c r="E591" s="615" t="s">
        <v>1080</v>
      </c>
      <c r="F591" s="810" t="s">
        <v>1081</v>
      </c>
    </row>
    <row r="592" spans="2:6" s="615" customFormat="1">
      <c r="B592" s="838" t="s">
        <v>1082</v>
      </c>
      <c r="C592" s="839" t="s">
        <v>2208</v>
      </c>
      <c r="D592" s="840" t="str">
        <f t="shared" si="9"/>
        <v/>
      </c>
      <c r="E592" s="615" t="s">
        <v>1082</v>
      </c>
      <c r="F592" s="810" t="s">
        <v>2208</v>
      </c>
    </row>
    <row r="593" spans="2:6" s="615" customFormat="1">
      <c r="B593" s="838" t="s">
        <v>1083</v>
      </c>
      <c r="C593" s="839" t="s">
        <v>1084</v>
      </c>
      <c r="D593" s="840" t="str">
        <f t="shared" si="9"/>
        <v/>
      </c>
      <c r="E593" s="615" t="s">
        <v>1083</v>
      </c>
      <c r="F593" s="810" t="s">
        <v>1084</v>
      </c>
    </row>
    <row r="594" spans="2:6" s="615" customFormat="1">
      <c r="B594" s="838" t="s">
        <v>1085</v>
      </c>
      <c r="C594" s="839" t="s">
        <v>1086</v>
      </c>
      <c r="D594" s="840" t="str">
        <f t="shared" si="9"/>
        <v/>
      </c>
      <c r="E594" s="615" t="s">
        <v>1085</v>
      </c>
      <c r="F594" s="810" t="s">
        <v>1086</v>
      </c>
    </row>
    <row r="595" spans="2:6" s="615" customFormat="1">
      <c r="B595" s="838" t="s">
        <v>1087</v>
      </c>
      <c r="C595" s="839" t="s">
        <v>2209</v>
      </c>
      <c r="D595" s="840" t="str">
        <f t="shared" si="9"/>
        <v/>
      </c>
      <c r="E595" s="615" t="s">
        <v>1087</v>
      </c>
      <c r="F595" s="810" t="s">
        <v>2209</v>
      </c>
    </row>
    <row r="596" spans="2:6" s="615" customFormat="1">
      <c r="B596" s="838" t="s">
        <v>1088</v>
      </c>
      <c r="C596" s="839" t="s">
        <v>1089</v>
      </c>
      <c r="D596" s="840" t="str">
        <f t="shared" si="9"/>
        <v/>
      </c>
      <c r="E596" s="615" t="s">
        <v>1088</v>
      </c>
      <c r="F596" s="810" t="s">
        <v>1089</v>
      </c>
    </row>
    <row r="597" spans="2:6" s="615" customFormat="1">
      <c r="B597" s="838" t="s">
        <v>1090</v>
      </c>
      <c r="C597" s="839" t="s">
        <v>1091</v>
      </c>
      <c r="D597" s="840" t="str">
        <f t="shared" si="9"/>
        <v/>
      </c>
      <c r="E597" s="615" t="s">
        <v>1090</v>
      </c>
      <c r="F597" s="810" t="s">
        <v>1091</v>
      </c>
    </row>
    <row r="598" spans="2:6" s="615" customFormat="1">
      <c r="B598" s="838" t="s">
        <v>1092</v>
      </c>
      <c r="C598" s="839" t="s">
        <v>1093</v>
      </c>
      <c r="D598" s="840" t="str">
        <f t="shared" si="9"/>
        <v/>
      </c>
      <c r="E598" s="615" t="s">
        <v>1092</v>
      </c>
      <c r="F598" s="810" t="s">
        <v>1093</v>
      </c>
    </row>
    <row r="599" spans="2:6" s="615" customFormat="1">
      <c r="B599" s="838" t="s">
        <v>1094</v>
      </c>
      <c r="C599" s="839" t="s">
        <v>2210</v>
      </c>
      <c r="D599" s="840" t="str">
        <f t="shared" si="9"/>
        <v/>
      </c>
      <c r="E599" s="615" t="s">
        <v>1094</v>
      </c>
      <c r="F599" s="810" t="s">
        <v>2210</v>
      </c>
    </row>
    <row r="600" spans="2:6" s="615" customFormat="1">
      <c r="B600" s="838" t="s">
        <v>1095</v>
      </c>
      <c r="C600" s="839" t="s">
        <v>2211</v>
      </c>
      <c r="D600" s="840" t="str">
        <f t="shared" si="9"/>
        <v/>
      </c>
      <c r="E600" s="615" t="s">
        <v>1095</v>
      </c>
      <c r="F600" s="810" t="s">
        <v>2211</v>
      </c>
    </row>
    <row r="601" spans="2:6" s="615" customFormat="1">
      <c r="B601" s="838" t="s">
        <v>1096</v>
      </c>
      <c r="C601" s="839" t="s">
        <v>2212</v>
      </c>
      <c r="D601" s="840" t="str">
        <f t="shared" si="9"/>
        <v/>
      </c>
      <c r="E601" s="615" t="s">
        <v>1096</v>
      </c>
      <c r="F601" s="810" t="s">
        <v>2212</v>
      </c>
    </row>
    <row r="602" spans="2:6" s="615" customFormat="1">
      <c r="B602" s="838" t="s">
        <v>1097</v>
      </c>
      <c r="C602" s="839" t="s">
        <v>1098</v>
      </c>
      <c r="D602" s="840" t="str">
        <f t="shared" si="9"/>
        <v/>
      </c>
      <c r="E602" s="615" t="s">
        <v>1097</v>
      </c>
      <c r="F602" s="810" t="s">
        <v>1098</v>
      </c>
    </row>
    <row r="603" spans="2:6" s="615" customFormat="1">
      <c r="B603" s="838" t="s">
        <v>1099</v>
      </c>
      <c r="C603" s="839" t="s">
        <v>2213</v>
      </c>
      <c r="D603" s="840" t="str">
        <f t="shared" si="9"/>
        <v/>
      </c>
      <c r="E603" s="615" t="s">
        <v>1099</v>
      </c>
      <c r="F603" s="810" t="s">
        <v>2213</v>
      </c>
    </row>
    <row r="604" spans="2:6" s="615" customFormat="1">
      <c r="B604" s="838" t="s">
        <v>1100</v>
      </c>
      <c r="C604" s="839" t="s">
        <v>2214</v>
      </c>
      <c r="D604" s="840" t="str">
        <f t="shared" si="9"/>
        <v/>
      </c>
      <c r="E604" s="615" t="s">
        <v>1100</v>
      </c>
      <c r="F604" s="810" t="s">
        <v>2214</v>
      </c>
    </row>
    <row r="605" spans="2:6" s="615" customFormat="1">
      <c r="B605" s="838" t="s">
        <v>1101</v>
      </c>
      <c r="C605" s="839" t="s">
        <v>2215</v>
      </c>
      <c r="D605" s="840" t="str">
        <f t="shared" si="9"/>
        <v/>
      </c>
      <c r="E605" s="615" t="s">
        <v>1101</v>
      </c>
      <c r="F605" s="810" t="s">
        <v>2215</v>
      </c>
    </row>
    <row r="606" spans="2:6" s="615" customFormat="1">
      <c r="B606" s="838" t="s">
        <v>1102</v>
      </c>
      <c r="C606" s="839" t="s">
        <v>2216</v>
      </c>
      <c r="D606" s="840" t="str">
        <f t="shared" si="9"/>
        <v/>
      </c>
      <c r="E606" s="615" t="s">
        <v>1102</v>
      </c>
      <c r="F606" s="810" t="s">
        <v>2216</v>
      </c>
    </row>
    <row r="607" spans="2:6" s="615" customFormat="1">
      <c r="B607" s="838" t="s">
        <v>1103</v>
      </c>
      <c r="C607" s="839" t="s">
        <v>1104</v>
      </c>
      <c r="D607" s="840" t="str">
        <f t="shared" si="9"/>
        <v/>
      </c>
      <c r="E607" s="615" t="s">
        <v>1103</v>
      </c>
      <c r="F607" s="810" t="s">
        <v>1104</v>
      </c>
    </row>
    <row r="608" spans="2:6" s="615" customFormat="1">
      <c r="B608" s="838" t="s">
        <v>1105</v>
      </c>
      <c r="C608" s="839" t="s">
        <v>1106</v>
      </c>
      <c r="D608" s="840" t="str">
        <f t="shared" si="9"/>
        <v/>
      </c>
      <c r="E608" s="615" t="s">
        <v>1105</v>
      </c>
      <c r="F608" s="810" t="s">
        <v>1106</v>
      </c>
    </row>
    <row r="609" spans="2:6" s="615" customFormat="1">
      <c r="B609" s="838" t="s">
        <v>1107</v>
      </c>
      <c r="C609" s="839" t="s">
        <v>2217</v>
      </c>
      <c r="D609" s="840" t="str">
        <f t="shared" si="9"/>
        <v/>
      </c>
      <c r="E609" s="615" t="s">
        <v>1107</v>
      </c>
      <c r="F609" s="810" t="s">
        <v>2217</v>
      </c>
    </row>
    <row r="610" spans="2:6" s="615" customFormat="1">
      <c r="B610" s="838" t="s">
        <v>1108</v>
      </c>
      <c r="C610" s="839" t="s">
        <v>1109</v>
      </c>
      <c r="D610" s="840" t="str">
        <f t="shared" si="9"/>
        <v/>
      </c>
      <c r="E610" s="615" t="s">
        <v>1108</v>
      </c>
      <c r="F610" s="810" t="s">
        <v>1109</v>
      </c>
    </row>
    <row r="611" spans="2:6" s="615" customFormat="1">
      <c r="B611" s="838" t="s">
        <v>1110</v>
      </c>
      <c r="C611" s="839" t="s">
        <v>2218</v>
      </c>
      <c r="D611" s="840" t="str">
        <f t="shared" si="9"/>
        <v/>
      </c>
      <c r="E611" s="615" t="s">
        <v>1110</v>
      </c>
      <c r="F611" s="810" t="s">
        <v>2218</v>
      </c>
    </row>
    <row r="612" spans="2:6" s="615" customFormat="1">
      <c r="B612" s="838" t="s">
        <v>1111</v>
      </c>
      <c r="C612" s="839" t="s">
        <v>1112</v>
      </c>
      <c r="D612" s="840" t="str">
        <f t="shared" si="9"/>
        <v/>
      </c>
      <c r="E612" s="615" t="s">
        <v>1111</v>
      </c>
      <c r="F612" s="810" t="s">
        <v>1112</v>
      </c>
    </row>
    <row r="613" spans="2:6" s="615" customFormat="1">
      <c r="B613" s="838" t="s">
        <v>1113</v>
      </c>
      <c r="C613" s="839" t="s">
        <v>1114</v>
      </c>
      <c r="D613" s="840" t="str">
        <f t="shared" si="9"/>
        <v/>
      </c>
      <c r="E613" s="615" t="s">
        <v>1113</v>
      </c>
      <c r="F613" s="810" t="s">
        <v>1114</v>
      </c>
    </row>
    <row r="614" spans="2:6" s="615" customFormat="1">
      <c r="B614" s="838" t="s">
        <v>1115</v>
      </c>
      <c r="C614" s="839" t="s">
        <v>2219</v>
      </c>
      <c r="D614" s="840" t="str">
        <f t="shared" si="9"/>
        <v/>
      </c>
      <c r="E614" s="615" t="s">
        <v>1115</v>
      </c>
      <c r="F614" s="810" t="s">
        <v>2219</v>
      </c>
    </row>
    <row r="615" spans="2:6" s="615" customFormat="1">
      <c r="B615" s="838" t="s">
        <v>1116</v>
      </c>
      <c r="C615" s="839" t="s">
        <v>1117</v>
      </c>
      <c r="D615" s="840" t="str">
        <f t="shared" si="9"/>
        <v/>
      </c>
      <c r="E615" s="615" t="s">
        <v>1116</v>
      </c>
      <c r="F615" s="810" t="s">
        <v>1117</v>
      </c>
    </row>
    <row r="616" spans="2:6" s="615" customFormat="1">
      <c r="B616" s="838" t="s">
        <v>1118</v>
      </c>
      <c r="C616" s="839" t="s">
        <v>1119</v>
      </c>
      <c r="D616" s="840" t="str">
        <f t="shared" si="9"/>
        <v/>
      </c>
      <c r="E616" s="615" t="s">
        <v>1118</v>
      </c>
      <c r="F616" s="810" t="s">
        <v>1119</v>
      </c>
    </row>
    <row r="617" spans="2:6" s="615" customFormat="1">
      <c r="B617" s="838" t="s">
        <v>1120</v>
      </c>
      <c r="C617" s="839" t="s">
        <v>2220</v>
      </c>
      <c r="D617" s="840" t="str">
        <f t="shared" si="9"/>
        <v/>
      </c>
      <c r="E617" s="615" t="s">
        <v>1120</v>
      </c>
      <c r="F617" s="810" t="s">
        <v>2220</v>
      </c>
    </row>
    <row r="618" spans="2:6" s="615" customFormat="1">
      <c r="B618" s="838" t="s">
        <v>1121</v>
      </c>
      <c r="C618" s="839" t="s">
        <v>2221</v>
      </c>
      <c r="D618" s="840" t="str">
        <f t="shared" si="9"/>
        <v/>
      </c>
      <c r="E618" s="615" t="s">
        <v>1121</v>
      </c>
      <c r="F618" s="810" t="s">
        <v>2221</v>
      </c>
    </row>
    <row r="619" spans="2:6" s="615" customFormat="1">
      <c r="B619" s="838" t="s">
        <v>1122</v>
      </c>
      <c r="C619" s="839" t="s">
        <v>1123</v>
      </c>
      <c r="D619" s="840" t="str">
        <f t="shared" si="9"/>
        <v/>
      </c>
      <c r="E619" s="615" t="s">
        <v>1122</v>
      </c>
      <c r="F619" s="810" t="s">
        <v>1123</v>
      </c>
    </row>
    <row r="620" spans="2:6" s="615" customFormat="1">
      <c r="B620" s="838" t="s">
        <v>1124</v>
      </c>
      <c r="C620" s="839" t="s">
        <v>2222</v>
      </c>
      <c r="D620" s="840" t="str">
        <f t="shared" si="9"/>
        <v/>
      </c>
      <c r="E620" s="615" t="s">
        <v>1124</v>
      </c>
      <c r="F620" s="810" t="s">
        <v>2222</v>
      </c>
    </row>
    <row r="621" spans="2:6" s="615" customFormat="1">
      <c r="B621" s="838" t="s">
        <v>1125</v>
      </c>
      <c r="C621" s="839" t="s">
        <v>2223</v>
      </c>
      <c r="D621" s="840" t="str">
        <f t="shared" si="9"/>
        <v/>
      </c>
      <c r="E621" s="615" t="s">
        <v>1125</v>
      </c>
      <c r="F621" s="810" t="s">
        <v>2223</v>
      </c>
    </row>
    <row r="622" spans="2:6" s="615" customFormat="1">
      <c r="B622" s="838" t="s">
        <v>1126</v>
      </c>
      <c r="C622" s="839" t="s">
        <v>2224</v>
      </c>
      <c r="D622" s="840" t="str">
        <f t="shared" si="9"/>
        <v/>
      </c>
      <c r="E622" s="615" t="s">
        <v>1126</v>
      </c>
      <c r="F622" s="810" t="s">
        <v>2224</v>
      </c>
    </row>
    <row r="623" spans="2:6" s="615" customFormat="1">
      <c r="B623" s="838" t="s">
        <v>1127</v>
      </c>
      <c r="C623" s="839" t="s">
        <v>2225</v>
      </c>
      <c r="D623" s="840" t="str">
        <f t="shared" si="9"/>
        <v/>
      </c>
      <c r="E623" s="615" t="s">
        <v>1127</v>
      </c>
      <c r="F623" s="810" t="s">
        <v>2225</v>
      </c>
    </row>
    <row r="624" spans="2:6" s="615" customFormat="1">
      <c r="B624" s="838" t="s">
        <v>1128</v>
      </c>
      <c r="C624" s="839" t="s">
        <v>2226</v>
      </c>
      <c r="D624" s="840" t="str">
        <f t="shared" si="9"/>
        <v/>
      </c>
      <c r="E624" s="615" t="s">
        <v>1128</v>
      </c>
      <c r="F624" s="810" t="s">
        <v>2226</v>
      </c>
    </row>
    <row r="625" spans="2:6" s="615" customFormat="1">
      <c r="B625" s="838" t="s">
        <v>1129</v>
      </c>
      <c r="C625" s="839" t="s">
        <v>1130</v>
      </c>
      <c r="D625" s="840" t="str">
        <f t="shared" si="9"/>
        <v/>
      </c>
      <c r="E625" s="615" t="s">
        <v>1129</v>
      </c>
      <c r="F625" s="810" t="s">
        <v>1130</v>
      </c>
    </row>
    <row r="626" spans="2:6" s="615" customFormat="1">
      <c r="B626" s="838" t="s">
        <v>1131</v>
      </c>
      <c r="C626" s="839" t="s">
        <v>1132</v>
      </c>
      <c r="D626" s="840" t="str">
        <f t="shared" si="9"/>
        <v/>
      </c>
      <c r="E626" s="615" t="s">
        <v>1131</v>
      </c>
      <c r="F626" s="810" t="s">
        <v>1132</v>
      </c>
    </row>
    <row r="627" spans="2:6" s="615" customFormat="1">
      <c r="B627" s="838" t="s">
        <v>1133</v>
      </c>
      <c r="C627" s="839" t="s">
        <v>1134</v>
      </c>
      <c r="D627" s="840" t="str">
        <f t="shared" si="9"/>
        <v/>
      </c>
      <c r="E627" s="615" t="s">
        <v>1133</v>
      </c>
      <c r="F627" s="810" t="s">
        <v>1134</v>
      </c>
    </row>
    <row r="628" spans="2:6" s="615" customFormat="1">
      <c r="B628" s="838" t="s">
        <v>1135</v>
      </c>
      <c r="C628" s="839" t="s">
        <v>1136</v>
      </c>
      <c r="D628" s="840" t="str">
        <f t="shared" si="9"/>
        <v/>
      </c>
      <c r="E628" s="615" t="s">
        <v>1135</v>
      </c>
      <c r="F628" s="810" t="s">
        <v>1136</v>
      </c>
    </row>
    <row r="629" spans="2:6" s="615" customFormat="1">
      <c r="B629" s="838" t="s">
        <v>1137</v>
      </c>
      <c r="C629" s="839" t="s">
        <v>2227</v>
      </c>
      <c r="D629" s="840" t="str">
        <f t="shared" si="9"/>
        <v/>
      </c>
      <c r="E629" s="615" t="s">
        <v>1137</v>
      </c>
      <c r="F629" s="810" t="s">
        <v>2227</v>
      </c>
    </row>
    <row r="630" spans="2:6" s="615" customFormat="1">
      <c r="B630" s="838" t="s">
        <v>1138</v>
      </c>
      <c r="C630" s="839" t="s">
        <v>1139</v>
      </c>
      <c r="D630" s="840" t="str">
        <f t="shared" si="9"/>
        <v/>
      </c>
      <c r="E630" s="615" t="s">
        <v>1138</v>
      </c>
      <c r="F630" s="810" t="s">
        <v>1139</v>
      </c>
    </row>
  </sheetData>
  <phoneticPr fontId="11" type="noConversion"/>
  <hyperlinks>
    <hyperlink ref="C1" r:id="rId1" xr:uid="{00000000-0004-0000-1300-000000000000}"/>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1"/>
  </sheetPr>
  <dimension ref="A1:N340"/>
  <sheetViews>
    <sheetView workbookViewId="0">
      <selection activeCell="C4" sqref="C4"/>
    </sheetView>
  </sheetViews>
  <sheetFormatPr defaultRowHeight="11.25"/>
  <cols>
    <col min="1" max="1" width="8.88671875" style="2"/>
    <col min="2" max="3" width="8.88671875" style="22"/>
    <col min="4" max="4" width="13.21875" style="3" bestFit="1" customWidth="1"/>
    <col min="5" max="5" width="11.5546875" style="3" bestFit="1" customWidth="1"/>
    <col min="6" max="9" width="15" style="3" bestFit="1" customWidth="1"/>
    <col min="10" max="14" width="16.88671875" style="3" bestFit="1" customWidth="1"/>
    <col min="15" max="16384" width="8.88671875" style="2"/>
  </cols>
  <sheetData>
    <row r="1" spans="1:14" s="1" customFormat="1" ht="16.5">
      <c r="A1" s="1" t="s">
        <v>1633</v>
      </c>
      <c r="B1" s="99" t="s">
        <v>1192</v>
      </c>
      <c r="C1" s="99" t="s">
        <v>158</v>
      </c>
      <c r="D1" s="107" t="s">
        <v>2705</v>
      </c>
      <c r="E1" s="107" t="s">
        <v>1618</v>
      </c>
      <c r="F1" s="107" t="s">
        <v>1619</v>
      </c>
      <c r="G1" s="97" t="s">
        <v>1620</v>
      </c>
      <c r="H1" s="97" t="s">
        <v>2706</v>
      </c>
      <c r="I1" s="97" t="s">
        <v>2707</v>
      </c>
      <c r="J1" s="97" t="s">
        <v>2708</v>
      </c>
      <c r="K1" s="97" t="s">
        <v>9</v>
      </c>
      <c r="L1" s="97" t="s">
        <v>8</v>
      </c>
      <c r="M1" s="97" t="s">
        <v>10</v>
      </c>
      <c r="N1" s="97" t="s">
        <v>1621</v>
      </c>
    </row>
    <row r="2" spans="1:14" ht="16.5">
      <c r="A2" s="2" t="str">
        <f>B2&amp;C2</f>
        <v>111전체</v>
      </c>
      <c r="B2" s="137">
        <v>111</v>
      </c>
      <c r="C2" s="98" t="s">
        <v>1622</v>
      </c>
      <c r="D2" s="161">
        <v>0.79800000000000004</v>
      </c>
      <c r="E2" s="161">
        <v>0.14000000000000001</v>
      </c>
      <c r="F2" s="161">
        <v>2.1000000000000001E-2</v>
      </c>
      <c r="G2" s="161">
        <v>0.91500000000000004</v>
      </c>
      <c r="H2" s="161">
        <v>0.49</v>
      </c>
      <c r="I2" s="161">
        <v>6.0000000000000001E-3</v>
      </c>
      <c r="J2" s="161">
        <v>0.54200000000000004</v>
      </c>
      <c r="K2" s="161">
        <v>7.32</v>
      </c>
      <c r="L2" s="161">
        <v>5.71</v>
      </c>
      <c r="M2" s="161">
        <v>23.46</v>
      </c>
      <c r="N2" s="161">
        <v>0.26900000000000002</v>
      </c>
    </row>
    <row r="3" spans="1:14" ht="16.5">
      <c r="A3" s="2" t="str">
        <f t="shared" ref="A3:A66" si="0">B3&amp;C3</f>
        <v>112전체</v>
      </c>
      <c r="B3" s="137">
        <v>112</v>
      </c>
      <c r="C3" s="98" t="s">
        <v>1622</v>
      </c>
      <c r="D3" s="161">
        <v>0.52400000000000002</v>
      </c>
      <c r="E3" s="161">
        <v>0.38600000000000001</v>
      </c>
      <c r="F3" s="161">
        <v>1.2999999999999999E-2</v>
      </c>
      <c r="G3" s="161">
        <v>0.43</v>
      </c>
      <c r="H3" s="161">
        <v>0.23100000000000001</v>
      </c>
      <c r="I3" s="161">
        <v>8.0000000000000002E-3</v>
      </c>
      <c r="J3" s="161">
        <v>0.55500000000000005</v>
      </c>
      <c r="K3" s="161">
        <v>2.44</v>
      </c>
      <c r="L3" s="161">
        <v>1.84</v>
      </c>
      <c r="M3" s="161">
        <v>12.67</v>
      </c>
      <c r="N3" s="161">
        <v>0.873</v>
      </c>
    </row>
    <row r="4" spans="1:14" ht="16.5">
      <c r="A4" s="2" t="str">
        <f t="shared" si="0"/>
        <v>113전체</v>
      </c>
      <c r="B4" s="137">
        <v>113</v>
      </c>
      <c r="C4" s="98" t="s">
        <v>1622</v>
      </c>
      <c r="D4" s="161">
        <v>0.77600000000000002</v>
      </c>
      <c r="E4" s="161">
        <v>0.17199999999999999</v>
      </c>
      <c r="F4" s="161">
        <v>1.9E-2</v>
      </c>
      <c r="G4" s="161">
        <v>0.98599999999999999</v>
      </c>
      <c r="H4" s="161">
        <v>0.59899999999999998</v>
      </c>
      <c r="I4" s="161">
        <v>0.01</v>
      </c>
      <c r="J4" s="161">
        <v>0.61799999999999999</v>
      </c>
      <c r="K4" s="161">
        <v>8.8699999999999992</v>
      </c>
      <c r="L4" s="161">
        <v>9</v>
      </c>
      <c r="M4" s="161">
        <v>24.28</v>
      </c>
      <c r="N4" s="161">
        <v>0.183</v>
      </c>
    </row>
    <row r="5" spans="1:14" ht="16.5">
      <c r="A5" s="2" t="str">
        <f t="shared" si="0"/>
        <v>114전체</v>
      </c>
      <c r="B5" s="137">
        <v>114</v>
      </c>
      <c r="C5" s="98" t="s">
        <v>1622</v>
      </c>
      <c r="D5" s="161">
        <v>0.76300000000000001</v>
      </c>
      <c r="E5" s="161">
        <v>0.155</v>
      </c>
      <c r="F5" s="161">
        <v>3.3000000000000002E-2</v>
      </c>
      <c r="G5" s="161">
        <v>0.64300000000000002</v>
      </c>
      <c r="H5" s="161">
        <v>0.58099999999999996</v>
      </c>
      <c r="I5" s="161">
        <v>1.0999999999999999E-2</v>
      </c>
      <c r="J5" s="161">
        <v>0.92</v>
      </c>
      <c r="K5" s="161">
        <v>7.09</v>
      </c>
      <c r="L5" s="161">
        <v>7.83</v>
      </c>
      <c r="M5" s="161">
        <v>17.32</v>
      </c>
      <c r="N5" s="161">
        <v>0.21099999999999999</v>
      </c>
    </row>
    <row r="6" spans="1:14" ht="16.5">
      <c r="A6" s="2" t="str">
        <f t="shared" si="0"/>
        <v>115전체</v>
      </c>
      <c r="B6" s="137">
        <v>115</v>
      </c>
      <c r="C6" s="98" t="s">
        <v>1622</v>
      </c>
      <c r="D6" s="161">
        <v>0.79100000000000004</v>
      </c>
      <c r="E6" s="161">
        <v>0.13800000000000001</v>
      </c>
      <c r="F6" s="161">
        <v>2.9000000000000001E-2</v>
      </c>
      <c r="G6" s="161">
        <v>0.56699999999999995</v>
      </c>
      <c r="H6" s="161">
        <v>0.57999999999999996</v>
      </c>
      <c r="I6" s="161">
        <v>1E-3</v>
      </c>
      <c r="J6" s="161">
        <v>1.024</v>
      </c>
      <c r="K6" s="161">
        <v>6.02</v>
      </c>
      <c r="L6" s="161">
        <v>5.32</v>
      </c>
      <c r="M6" s="161">
        <v>12.49</v>
      </c>
      <c r="N6" s="161">
        <v>0.27400000000000002</v>
      </c>
    </row>
    <row r="7" spans="1:14" ht="16.5">
      <c r="A7" s="2" t="str">
        <f t="shared" si="0"/>
        <v>119전체</v>
      </c>
      <c r="B7" s="137">
        <v>119</v>
      </c>
      <c r="C7" s="98" t="s">
        <v>1622</v>
      </c>
      <c r="D7" s="161">
        <v>0.753</v>
      </c>
      <c r="E7" s="161">
        <v>0.14599999999999999</v>
      </c>
      <c r="F7" s="161">
        <v>1.7999999999999999E-2</v>
      </c>
      <c r="G7" s="161">
        <v>0.92900000000000005</v>
      </c>
      <c r="H7" s="161">
        <v>0.57399999999999995</v>
      </c>
      <c r="I7" s="161">
        <v>1E-3</v>
      </c>
      <c r="J7" s="161">
        <v>0.61899999999999999</v>
      </c>
      <c r="K7" s="161">
        <v>9.92</v>
      </c>
      <c r="L7" s="161">
        <v>8.56</v>
      </c>
      <c r="M7" s="161">
        <v>52.09</v>
      </c>
      <c r="N7" s="161">
        <v>0.19800000000000001</v>
      </c>
    </row>
    <row r="8" spans="1:14" ht="16.5">
      <c r="A8" s="2" t="str">
        <f t="shared" si="0"/>
        <v>121전체</v>
      </c>
      <c r="B8" s="137">
        <v>121</v>
      </c>
      <c r="C8" s="98" t="s">
        <v>1622</v>
      </c>
      <c r="D8" s="161">
        <v>0.78400000000000003</v>
      </c>
      <c r="E8" s="161">
        <v>0.14399999999999999</v>
      </c>
      <c r="F8" s="161">
        <v>8.9999999999999993E-3</v>
      </c>
      <c r="G8" s="161">
        <v>1.5169999999999999</v>
      </c>
      <c r="H8" s="161">
        <v>0.34699999999999998</v>
      </c>
      <c r="I8" s="161">
        <v>3.0000000000000001E-3</v>
      </c>
      <c r="J8" s="161">
        <v>0.23100000000000001</v>
      </c>
      <c r="K8" s="161">
        <v>8.23</v>
      </c>
      <c r="L8" s="161">
        <v>7.08</v>
      </c>
      <c r="M8" s="161">
        <v>16.11</v>
      </c>
      <c r="N8" s="161">
        <v>0.20100000000000001</v>
      </c>
    </row>
    <row r="9" spans="1:14" ht="16.5">
      <c r="A9" s="2" t="str">
        <f t="shared" si="0"/>
        <v>122전체</v>
      </c>
      <c r="B9" s="137">
        <v>122</v>
      </c>
      <c r="C9" s="98" t="s">
        <v>1622</v>
      </c>
      <c r="D9" s="161">
        <v>0.82199999999999995</v>
      </c>
      <c r="E9" s="161">
        <v>5.8000000000000003E-2</v>
      </c>
      <c r="F9" s="161">
        <v>1.7000000000000001E-2</v>
      </c>
      <c r="G9" s="161">
        <v>0.59699999999999998</v>
      </c>
      <c r="H9" s="161">
        <v>0.437</v>
      </c>
      <c r="I9" s="161">
        <v>4.0000000000000001E-3</v>
      </c>
      <c r="J9" s="161">
        <v>0.73899999999999999</v>
      </c>
      <c r="K9" s="161">
        <v>14.97</v>
      </c>
      <c r="L9" s="161">
        <v>1.4</v>
      </c>
      <c r="M9" s="161">
        <v>21.02</v>
      </c>
      <c r="N9" s="161">
        <v>0.73599999999999999</v>
      </c>
    </row>
    <row r="10" spans="1:14" ht="16.5">
      <c r="A10" s="2" t="str">
        <f t="shared" si="0"/>
        <v>123전체</v>
      </c>
      <c r="B10" s="137">
        <v>123</v>
      </c>
      <c r="C10" s="98" t="s">
        <v>1622</v>
      </c>
      <c r="D10" s="161">
        <v>0.83199999999999996</v>
      </c>
      <c r="E10" s="161">
        <v>0.08</v>
      </c>
      <c r="F10" s="161">
        <v>2.3E-2</v>
      </c>
      <c r="G10" s="161">
        <v>0.95</v>
      </c>
      <c r="H10" s="161">
        <v>0.58499999999999996</v>
      </c>
      <c r="I10" s="161">
        <v>5.0000000000000001E-3</v>
      </c>
      <c r="J10" s="161">
        <v>0.621</v>
      </c>
      <c r="K10" s="161">
        <v>7.92</v>
      </c>
      <c r="L10" s="161">
        <v>12.73</v>
      </c>
      <c r="M10" s="161">
        <v>12.79</v>
      </c>
      <c r="N10" s="161">
        <v>0.127</v>
      </c>
    </row>
    <row r="11" spans="1:14" ht="16.5">
      <c r="A11" s="2" t="str">
        <f t="shared" si="0"/>
        <v>124전체</v>
      </c>
      <c r="B11" s="137">
        <v>124</v>
      </c>
      <c r="C11" s="98" t="s">
        <v>1622</v>
      </c>
      <c r="D11" s="161">
        <v>0.77</v>
      </c>
      <c r="E11" s="161">
        <v>0.154</v>
      </c>
      <c r="F11" s="161">
        <v>1.0999999999999999E-2</v>
      </c>
      <c r="G11" s="161">
        <v>1.3</v>
      </c>
      <c r="H11" s="161">
        <v>0.38500000000000001</v>
      </c>
      <c r="I11" s="161">
        <v>3.0000000000000001E-3</v>
      </c>
      <c r="J11" s="161">
        <v>0.29899999999999999</v>
      </c>
      <c r="K11" s="161">
        <v>8.4600000000000009</v>
      </c>
      <c r="L11" s="161">
        <v>6.52</v>
      </c>
      <c r="M11" s="161">
        <v>16.88</v>
      </c>
      <c r="N11" s="161">
        <v>0.21199999999999999</v>
      </c>
    </row>
    <row r="12" spans="1:14" ht="16.5">
      <c r="A12" s="2" t="str">
        <f t="shared" si="0"/>
        <v>129전체</v>
      </c>
      <c r="B12" s="137">
        <v>129</v>
      </c>
      <c r="C12" s="98" t="s">
        <v>1622</v>
      </c>
      <c r="D12" s="161">
        <v>0.83199999999999996</v>
      </c>
      <c r="E12" s="161">
        <v>5.8000000000000003E-2</v>
      </c>
      <c r="F12" s="161">
        <v>3.5000000000000003E-2</v>
      </c>
      <c r="G12" s="161">
        <v>0.72499999999999998</v>
      </c>
      <c r="H12" s="161">
        <v>0.54100000000000004</v>
      </c>
      <c r="I12" s="161">
        <v>4.0000000000000001E-3</v>
      </c>
      <c r="J12" s="161">
        <v>0.751</v>
      </c>
      <c r="K12" s="161">
        <v>16.82</v>
      </c>
      <c r="L12" s="161">
        <v>4.9000000000000004</v>
      </c>
      <c r="M12" s="161">
        <v>11.55</v>
      </c>
      <c r="N12" s="161">
        <v>0.17699999999999999</v>
      </c>
    </row>
    <row r="13" spans="1:14" ht="16.5">
      <c r="A13" s="2" t="str">
        <f t="shared" si="0"/>
        <v>211전체</v>
      </c>
      <c r="B13" s="137">
        <v>211</v>
      </c>
      <c r="C13" s="98" t="s">
        <v>1622</v>
      </c>
      <c r="D13" s="161">
        <v>0.873</v>
      </c>
      <c r="E13" s="161">
        <v>0.08</v>
      </c>
      <c r="F13" s="161">
        <v>6.0000000000000001E-3</v>
      </c>
      <c r="G13" s="161">
        <v>0.78600000000000003</v>
      </c>
      <c r="H13" s="161">
        <v>0.309</v>
      </c>
      <c r="I13" s="161">
        <v>3.0000000000000001E-3</v>
      </c>
      <c r="J13" s="161">
        <v>0.39700000000000002</v>
      </c>
      <c r="K13" s="161">
        <v>4.87</v>
      </c>
      <c r="L13" s="161">
        <v>4.1500000000000004</v>
      </c>
      <c r="M13" s="161">
        <v>15.5</v>
      </c>
      <c r="N13" s="161">
        <v>0.38200000000000001</v>
      </c>
    </row>
    <row r="14" spans="1:14" ht="16.5">
      <c r="A14" s="2" t="str">
        <f t="shared" si="0"/>
        <v>212전체</v>
      </c>
      <c r="B14" s="137">
        <v>212</v>
      </c>
      <c r="C14" s="98" t="s">
        <v>1622</v>
      </c>
      <c r="D14" s="161">
        <v>0.46400000000000002</v>
      </c>
      <c r="E14" s="161">
        <v>0.23899999999999999</v>
      </c>
      <c r="F14" s="161">
        <v>8.9999999999999993E-3</v>
      </c>
      <c r="G14" s="161">
        <v>0.40200000000000002</v>
      </c>
      <c r="H14" s="161">
        <v>0.19</v>
      </c>
      <c r="I14" s="161">
        <v>3.0000000000000001E-3</v>
      </c>
      <c r="J14" s="161">
        <v>0.48</v>
      </c>
      <c r="K14" s="161">
        <v>4.6399999999999997</v>
      </c>
      <c r="L14" s="161">
        <v>3.66</v>
      </c>
      <c r="M14" s="161">
        <v>42.19</v>
      </c>
      <c r="N14" s="161">
        <v>0.46500000000000002</v>
      </c>
    </row>
    <row r="15" spans="1:14" ht="16.5">
      <c r="A15" s="2" t="str">
        <f t="shared" si="0"/>
        <v>213전체</v>
      </c>
      <c r="B15" s="137">
        <v>213</v>
      </c>
      <c r="C15" s="98" t="s">
        <v>1622</v>
      </c>
      <c r="D15" s="161">
        <v>0.81799999999999995</v>
      </c>
      <c r="E15" s="161">
        <v>8.6999999999999994E-2</v>
      </c>
      <c r="F15" s="161">
        <v>5.0000000000000001E-3</v>
      </c>
      <c r="G15" s="161">
        <v>0.746</v>
      </c>
      <c r="H15" s="161">
        <v>0.26100000000000001</v>
      </c>
      <c r="I15" s="161">
        <v>3.0000000000000001E-3</v>
      </c>
      <c r="J15" s="161">
        <v>0.35399999999999998</v>
      </c>
      <c r="K15" s="161">
        <v>5.9</v>
      </c>
      <c r="L15" s="161">
        <v>3.24</v>
      </c>
      <c r="M15" s="161">
        <v>23.74</v>
      </c>
      <c r="N15" s="161">
        <v>0.436</v>
      </c>
    </row>
    <row r="16" spans="1:14" ht="16.5">
      <c r="A16" s="2" t="str">
        <f t="shared" si="0"/>
        <v>214전체</v>
      </c>
      <c r="B16" s="137">
        <v>214</v>
      </c>
      <c r="C16" s="98" t="s">
        <v>1622</v>
      </c>
      <c r="D16" s="161">
        <v>0.58399999999999996</v>
      </c>
      <c r="E16" s="161">
        <v>0.30599999999999999</v>
      </c>
      <c r="F16" s="161">
        <v>8.0000000000000002E-3</v>
      </c>
      <c r="G16" s="161">
        <v>0.58899999999999997</v>
      </c>
      <c r="H16" s="161">
        <v>0.28799999999999998</v>
      </c>
      <c r="I16" s="161">
        <v>4.7E-2</v>
      </c>
      <c r="J16" s="161">
        <v>0.56999999999999995</v>
      </c>
      <c r="K16" s="161">
        <v>3.95</v>
      </c>
      <c r="L16" s="161">
        <v>5.28</v>
      </c>
      <c r="M16" s="161">
        <v>13.34</v>
      </c>
      <c r="N16" s="161">
        <v>0.36799999999999999</v>
      </c>
    </row>
    <row r="17" spans="1:14" ht="16.5">
      <c r="A17" s="2" t="str">
        <f t="shared" si="0"/>
        <v>215전체</v>
      </c>
      <c r="B17" s="137">
        <v>215</v>
      </c>
      <c r="C17" s="98" t="s">
        <v>1622</v>
      </c>
      <c r="D17" s="161">
        <v>0.52100000000000002</v>
      </c>
      <c r="E17" s="161">
        <v>0.35899999999999999</v>
      </c>
      <c r="F17" s="161">
        <v>1.4E-2</v>
      </c>
      <c r="G17" s="161">
        <v>1.0129999999999999</v>
      </c>
      <c r="H17" s="161">
        <v>0.33300000000000002</v>
      </c>
      <c r="I17" s="161">
        <v>2.8000000000000001E-2</v>
      </c>
      <c r="J17" s="161">
        <v>0.35699999999999998</v>
      </c>
      <c r="K17" s="161">
        <v>7.87</v>
      </c>
      <c r="L17" s="161">
        <v>10.76</v>
      </c>
      <c r="M17" s="161">
        <v>16.87</v>
      </c>
      <c r="N17" s="161">
        <v>0.161</v>
      </c>
    </row>
    <row r="18" spans="1:14" ht="16.5">
      <c r="A18" s="2" t="str">
        <f t="shared" si="0"/>
        <v>219전체</v>
      </c>
      <c r="B18" s="137">
        <v>219</v>
      </c>
      <c r="C18" s="98" t="s">
        <v>1622</v>
      </c>
      <c r="D18" s="161">
        <v>0.78500000000000003</v>
      </c>
      <c r="E18" s="161">
        <v>0.11600000000000001</v>
      </c>
      <c r="F18" s="161">
        <v>7.0000000000000001E-3</v>
      </c>
      <c r="G18" s="161">
        <v>0.83499999999999996</v>
      </c>
      <c r="H18" s="161">
        <v>0.34899999999999998</v>
      </c>
      <c r="I18" s="161">
        <v>2.8000000000000001E-2</v>
      </c>
      <c r="J18" s="161">
        <v>0.45200000000000001</v>
      </c>
      <c r="K18" s="161">
        <v>5.97</v>
      </c>
      <c r="L18" s="161">
        <v>9</v>
      </c>
      <c r="M18" s="161">
        <v>12.89</v>
      </c>
      <c r="N18" s="161">
        <v>0.20100000000000001</v>
      </c>
    </row>
    <row r="19" spans="1:14" ht="16.5">
      <c r="A19" s="2" t="str">
        <f t="shared" si="0"/>
        <v>221전체</v>
      </c>
      <c r="B19" s="137">
        <v>221</v>
      </c>
      <c r="C19" s="98" t="s">
        <v>1622</v>
      </c>
      <c r="D19" s="161">
        <v>0.83</v>
      </c>
      <c r="E19" s="161">
        <v>9.6000000000000002E-2</v>
      </c>
      <c r="F19" s="161">
        <v>7.0000000000000001E-3</v>
      </c>
      <c r="G19" s="161">
        <v>1.02</v>
      </c>
      <c r="H19" s="161">
        <v>0.40699999999999997</v>
      </c>
      <c r="I19" s="161">
        <v>4.2000000000000003E-2</v>
      </c>
      <c r="J19" s="161">
        <v>0.44</v>
      </c>
      <c r="K19" s="161">
        <v>5.99</v>
      </c>
      <c r="L19" s="161">
        <v>9.43</v>
      </c>
      <c r="M19" s="161">
        <v>12.47</v>
      </c>
      <c r="N19" s="161">
        <v>0.193</v>
      </c>
    </row>
    <row r="20" spans="1:14" ht="16.5">
      <c r="A20" s="2" t="str">
        <f t="shared" si="0"/>
        <v>222전체</v>
      </c>
      <c r="B20" s="137">
        <v>222</v>
      </c>
      <c r="C20" s="98" t="s">
        <v>1622</v>
      </c>
      <c r="D20" s="161">
        <v>0.77100000000000002</v>
      </c>
      <c r="E20" s="161">
        <v>0.17799999999999999</v>
      </c>
      <c r="F20" s="161">
        <v>1.2E-2</v>
      </c>
      <c r="G20" s="161">
        <v>0.88100000000000001</v>
      </c>
      <c r="H20" s="161">
        <v>0.36599999999999999</v>
      </c>
      <c r="I20" s="161">
        <v>2.1000000000000001E-2</v>
      </c>
      <c r="J20" s="161">
        <v>0.44</v>
      </c>
      <c r="K20" s="161">
        <v>8.18</v>
      </c>
      <c r="L20" s="161">
        <v>3.53</v>
      </c>
      <c r="M20" s="161">
        <v>10.32</v>
      </c>
      <c r="N20" s="161">
        <v>0.309</v>
      </c>
    </row>
    <row r="21" spans="1:14" ht="16.5">
      <c r="A21" s="2" t="str">
        <f t="shared" si="0"/>
        <v>223전체</v>
      </c>
      <c r="B21" s="137">
        <v>223</v>
      </c>
      <c r="C21" s="98" t="s">
        <v>1622</v>
      </c>
      <c r="D21" s="161">
        <v>0.83</v>
      </c>
      <c r="E21" s="161">
        <v>0.108</v>
      </c>
      <c r="F21" s="161">
        <v>1.2E-2</v>
      </c>
      <c r="G21" s="161">
        <v>1.0169999999999999</v>
      </c>
      <c r="H21" s="161">
        <v>0.436</v>
      </c>
      <c r="I21" s="161">
        <v>1.7000000000000001E-2</v>
      </c>
      <c r="J21" s="161">
        <v>0.44500000000000001</v>
      </c>
      <c r="K21" s="161">
        <v>5.82</v>
      </c>
      <c r="L21" s="161">
        <v>11.06</v>
      </c>
      <c r="M21" s="161">
        <v>11.46</v>
      </c>
      <c r="N21" s="161">
        <v>0.17499999999999999</v>
      </c>
    </row>
    <row r="22" spans="1:14" ht="16.5">
      <c r="A22" s="2" t="str">
        <f t="shared" si="0"/>
        <v>224전체</v>
      </c>
      <c r="B22" s="137">
        <v>224</v>
      </c>
      <c r="C22" s="98" t="s">
        <v>1622</v>
      </c>
      <c r="D22" s="161">
        <v>0.83499999999999996</v>
      </c>
      <c r="E22" s="161">
        <v>0.105</v>
      </c>
      <c r="F22" s="161">
        <v>1.4E-2</v>
      </c>
      <c r="G22" s="161">
        <v>0.91900000000000004</v>
      </c>
      <c r="H22" s="161">
        <v>0.41899999999999998</v>
      </c>
      <c r="I22" s="161">
        <v>1.4E-2</v>
      </c>
      <c r="J22" s="161">
        <v>0.47</v>
      </c>
      <c r="K22" s="161">
        <v>5.53</v>
      </c>
      <c r="L22" s="161">
        <v>8.09</v>
      </c>
      <c r="M22" s="161">
        <v>10.51</v>
      </c>
      <c r="N22" s="161">
        <v>0.20899999999999999</v>
      </c>
    </row>
    <row r="23" spans="1:14" ht="16.5">
      <c r="A23" s="2" t="str">
        <f t="shared" si="0"/>
        <v>225전체</v>
      </c>
      <c r="B23" s="137">
        <v>225</v>
      </c>
      <c r="C23" s="98" t="s">
        <v>1622</v>
      </c>
      <c r="D23" s="161">
        <v>0.81499999999999995</v>
      </c>
      <c r="E23" s="161">
        <v>0.14199999999999999</v>
      </c>
      <c r="F23" s="161">
        <v>1.2E-2</v>
      </c>
      <c r="G23" s="161">
        <v>0.90100000000000002</v>
      </c>
      <c r="H23" s="161">
        <v>0.34200000000000003</v>
      </c>
      <c r="I23" s="161">
        <v>1.7000000000000001E-2</v>
      </c>
      <c r="J23" s="161">
        <v>0.39900000000000002</v>
      </c>
      <c r="K23" s="161">
        <v>4.5599999999999996</v>
      </c>
      <c r="L23" s="161">
        <v>5.42</v>
      </c>
      <c r="M23" s="161">
        <v>7.96</v>
      </c>
      <c r="N23" s="161">
        <v>0.27800000000000002</v>
      </c>
    </row>
    <row r="24" spans="1:14" ht="16.5">
      <c r="A24" s="2" t="str">
        <f t="shared" si="0"/>
        <v>226전체</v>
      </c>
      <c r="B24" s="137">
        <v>226</v>
      </c>
      <c r="C24" s="98" t="s">
        <v>1622</v>
      </c>
      <c r="D24" s="161">
        <v>0.73699999999999999</v>
      </c>
      <c r="E24" s="161">
        <v>0.158</v>
      </c>
      <c r="F24" s="161">
        <v>1.2999999999999999E-2</v>
      </c>
      <c r="G24" s="161">
        <v>0.89200000000000002</v>
      </c>
      <c r="H24" s="161">
        <v>0.28599999999999998</v>
      </c>
      <c r="I24" s="161">
        <v>0.03</v>
      </c>
      <c r="J24" s="161">
        <v>0.35399999999999998</v>
      </c>
      <c r="K24" s="161">
        <v>4.8600000000000003</v>
      </c>
      <c r="L24" s="161">
        <v>7.67</v>
      </c>
      <c r="M24" s="161">
        <v>10.45</v>
      </c>
      <c r="N24" s="161">
        <v>0.24099999999999999</v>
      </c>
    </row>
    <row r="25" spans="1:14" ht="16.5">
      <c r="A25" s="2" t="str">
        <f t="shared" si="0"/>
        <v>227전체</v>
      </c>
      <c r="B25" s="137">
        <v>227</v>
      </c>
      <c r="C25" s="98" t="s">
        <v>1622</v>
      </c>
      <c r="D25" s="161">
        <v>0.58399999999999996</v>
      </c>
      <c r="E25" s="161">
        <v>0.30599999999999999</v>
      </c>
      <c r="F25" s="161">
        <v>8.0000000000000002E-3</v>
      </c>
      <c r="G25" s="161">
        <v>0.58899999999999997</v>
      </c>
      <c r="H25" s="161">
        <v>0.28799999999999998</v>
      </c>
      <c r="I25" s="161">
        <v>4.7E-2</v>
      </c>
      <c r="J25" s="161">
        <v>0.56999999999999995</v>
      </c>
      <c r="K25" s="161">
        <v>3.95</v>
      </c>
      <c r="L25" s="161">
        <v>5.28</v>
      </c>
      <c r="M25" s="161">
        <v>13.34</v>
      </c>
      <c r="N25" s="161">
        <v>0.36799999999999999</v>
      </c>
    </row>
    <row r="26" spans="1:14" ht="16.5">
      <c r="A26" s="2" t="str">
        <f t="shared" si="0"/>
        <v>229전체</v>
      </c>
      <c r="B26" s="137">
        <v>229</v>
      </c>
      <c r="C26" s="98" t="s">
        <v>1622</v>
      </c>
      <c r="D26" s="161">
        <v>0.81</v>
      </c>
      <c r="E26" s="161">
        <v>0.127</v>
      </c>
      <c r="F26" s="161">
        <v>1.2999999999999999E-2</v>
      </c>
      <c r="G26" s="161">
        <v>1.0980000000000001</v>
      </c>
      <c r="H26" s="161">
        <v>0.38</v>
      </c>
      <c r="I26" s="161">
        <v>1.7999999999999999E-2</v>
      </c>
      <c r="J26" s="161">
        <v>0.36299999999999999</v>
      </c>
      <c r="K26" s="161">
        <v>5.62</v>
      </c>
      <c r="L26" s="161">
        <v>8.3000000000000007</v>
      </c>
      <c r="M26" s="161">
        <v>10.3</v>
      </c>
      <c r="N26" s="161">
        <v>0.20100000000000001</v>
      </c>
    </row>
    <row r="27" spans="1:14" ht="16.5">
      <c r="A27" s="2" t="str">
        <f t="shared" si="0"/>
        <v>231전체</v>
      </c>
      <c r="B27" s="137">
        <v>231</v>
      </c>
      <c r="C27" s="98" t="s">
        <v>1622</v>
      </c>
      <c r="D27" s="161">
        <v>0.85</v>
      </c>
      <c r="E27" s="161">
        <v>9.5000000000000001E-2</v>
      </c>
      <c r="F27" s="161">
        <v>1.2999999999999999E-2</v>
      </c>
      <c r="G27" s="161">
        <v>1.345</v>
      </c>
      <c r="H27" s="161">
        <v>0.41299999999999998</v>
      </c>
      <c r="I27" s="161">
        <v>0</v>
      </c>
      <c r="J27" s="161">
        <v>0.307</v>
      </c>
      <c r="K27" s="161">
        <v>12.76</v>
      </c>
      <c r="L27" s="161">
        <v>7.23</v>
      </c>
      <c r="M27" s="161">
        <v>46.33</v>
      </c>
      <c r="N27" s="161">
        <v>0.19500000000000001</v>
      </c>
    </row>
    <row r="28" spans="1:14" ht="16.5">
      <c r="A28" s="2" t="str">
        <f t="shared" si="0"/>
        <v>232전체</v>
      </c>
      <c r="B28" s="137">
        <v>232</v>
      </c>
      <c r="C28" s="98" t="s">
        <v>1622</v>
      </c>
      <c r="D28" s="161">
        <v>0.73099999999999998</v>
      </c>
      <c r="E28" s="161">
        <v>0.20699999999999999</v>
      </c>
      <c r="F28" s="161">
        <v>8.9999999999999993E-3</v>
      </c>
      <c r="G28" s="161">
        <v>1.157</v>
      </c>
      <c r="H28" s="161">
        <v>0.157</v>
      </c>
      <c r="I28" s="161">
        <v>4.7E-2</v>
      </c>
      <c r="J28" s="161">
        <v>0.17599999999999999</v>
      </c>
      <c r="K28" s="161">
        <v>5.64</v>
      </c>
      <c r="L28" s="161">
        <v>39.67</v>
      </c>
      <c r="M28" s="161">
        <v>11.26</v>
      </c>
      <c r="N28" s="161">
        <v>0.114</v>
      </c>
    </row>
    <row r="29" spans="1:14" ht="16.5">
      <c r="A29" s="2" t="str">
        <f t="shared" si="0"/>
        <v>233전체</v>
      </c>
      <c r="B29" s="137">
        <v>233</v>
      </c>
      <c r="C29" s="98" t="s">
        <v>1622</v>
      </c>
      <c r="D29" s="161">
        <v>0.434</v>
      </c>
      <c r="E29" s="161">
        <v>0.48</v>
      </c>
      <c r="F29" s="161">
        <v>1.7999999999999999E-2</v>
      </c>
      <c r="G29" s="161">
        <v>0.73399999999999999</v>
      </c>
      <c r="H29" s="161">
        <v>0.47699999999999998</v>
      </c>
      <c r="I29" s="161">
        <v>3.1E-2</v>
      </c>
      <c r="J29" s="161">
        <v>0.69299999999999995</v>
      </c>
      <c r="K29" s="161">
        <v>12.16</v>
      </c>
      <c r="L29" s="161">
        <v>26.83</v>
      </c>
      <c r="M29" s="161">
        <v>49.63</v>
      </c>
      <c r="N29" s="161">
        <v>9.9000000000000005E-2</v>
      </c>
    </row>
    <row r="30" spans="1:14" ht="16.5">
      <c r="A30" s="2" t="str">
        <f t="shared" si="0"/>
        <v>234전체</v>
      </c>
      <c r="B30" s="137">
        <v>234</v>
      </c>
      <c r="C30" s="98" t="s">
        <v>1622</v>
      </c>
      <c r="D30" s="161">
        <v>0.20399999999999999</v>
      </c>
      <c r="E30" s="161">
        <v>0.67400000000000004</v>
      </c>
      <c r="F30" s="161">
        <v>4.1000000000000002E-2</v>
      </c>
      <c r="G30" s="161">
        <v>0.94599999999999995</v>
      </c>
      <c r="H30" s="161">
        <v>0.68200000000000005</v>
      </c>
      <c r="I30" s="161">
        <v>0</v>
      </c>
      <c r="J30" s="161">
        <v>0.72099999999999997</v>
      </c>
      <c r="K30" s="161">
        <v>79.569999999999993</v>
      </c>
      <c r="L30" s="161">
        <v>22.91</v>
      </c>
      <c r="M30" s="161">
        <v>63.49</v>
      </c>
      <c r="N30" s="161">
        <v>0.04</v>
      </c>
    </row>
    <row r="31" spans="1:14" ht="16.5">
      <c r="A31" s="2" t="str">
        <f t="shared" si="0"/>
        <v>235전체</v>
      </c>
      <c r="B31" s="137">
        <v>235</v>
      </c>
      <c r="C31" s="98" t="s">
        <v>1622</v>
      </c>
      <c r="D31" s="161">
        <v>0.42299999999999999</v>
      </c>
      <c r="E31" s="161">
        <v>0.47199999999999998</v>
      </c>
      <c r="F31" s="161">
        <v>3.4000000000000002E-2</v>
      </c>
      <c r="G31" s="161">
        <v>1.0880000000000001</v>
      </c>
      <c r="H31" s="161">
        <v>0.28799999999999998</v>
      </c>
      <c r="I31" s="161">
        <v>5.2999999999999999E-2</v>
      </c>
      <c r="J31" s="161">
        <v>0.314</v>
      </c>
      <c r="K31" s="161">
        <v>16.7</v>
      </c>
      <c r="L31" s="161">
        <v>25.36</v>
      </c>
      <c r="M31" s="161">
        <v>117.28</v>
      </c>
      <c r="N31" s="161">
        <v>9.0999999999999998E-2</v>
      </c>
    </row>
    <row r="32" spans="1:14" ht="16.5">
      <c r="A32" s="2" t="str">
        <f t="shared" si="0"/>
        <v>236전체</v>
      </c>
      <c r="B32" s="137">
        <v>236</v>
      </c>
      <c r="C32" s="98" t="s">
        <v>1622</v>
      </c>
      <c r="D32" s="161">
        <v>0.54700000000000004</v>
      </c>
      <c r="E32" s="161">
        <v>0.35399999999999998</v>
      </c>
      <c r="F32" s="161">
        <v>2.1999999999999999E-2</v>
      </c>
      <c r="G32" s="161">
        <v>0.91</v>
      </c>
      <c r="H32" s="161">
        <v>0.14699999999999999</v>
      </c>
      <c r="I32" s="161">
        <v>9.1999999999999998E-2</v>
      </c>
      <c r="J32" s="161">
        <v>0.26300000000000001</v>
      </c>
      <c r="K32" s="161">
        <v>6.23</v>
      </c>
      <c r="L32" s="161">
        <v>43.06</v>
      </c>
      <c r="M32" s="161">
        <v>14.9</v>
      </c>
      <c r="N32" s="161">
        <v>0.11700000000000001</v>
      </c>
    </row>
    <row r="33" spans="1:14" ht="16.5">
      <c r="A33" s="2" t="str">
        <f t="shared" si="0"/>
        <v>237전체</v>
      </c>
      <c r="B33" s="137">
        <v>237</v>
      </c>
      <c r="C33" s="98" t="s">
        <v>1622</v>
      </c>
      <c r="D33" s="161">
        <v>0.68</v>
      </c>
      <c r="E33" s="161">
        <v>0.20899999999999999</v>
      </c>
      <c r="F33" s="161">
        <v>2.1000000000000001E-2</v>
      </c>
      <c r="G33" s="161">
        <v>0.79</v>
      </c>
      <c r="H33" s="161">
        <v>0.42699999999999999</v>
      </c>
      <c r="I33" s="161">
        <v>5.2999999999999999E-2</v>
      </c>
      <c r="J33" s="161">
        <v>0.60699999999999998</v>
      </c>
      <c r="K33" s="161">
        <v>10.64</v>
      </c>
      <c r="L33" s="161">
        <v>29.12</v>
      </c>
      <c r="M33" s="161">
        <v>35.81</v>
      </c>
      <c r="N33" s="161">
        <v>0.1</v>
      </c>
    </row>
    <row r="34" spans="1:14" ht="16.5">
      <c r="A34" s="2" t="str">
        <f t="shared" si="0"/>
        <v>239전체</v>
      </c>
      <c r="B34" s="137">
        <v>239</v>
      </c>
      <c r="C34" s="98" t="s">
        <v>1622</v>
      </c>
      <c r="D34" s="161">
        <v>0.38100000000000001</v>
      </c>
      <c r="E34" s="161">
        <v>0.51600000000000001</v>
      </c>
      <c r="F34" s="161">
        <v>3.6999999999999998E-2</v>
      </c>
      <c r="G34" s="161">
        <v>0.88</v>
      </c>
      <c r="H34" s="161">
        <v>0.44900000000000001</v>
      </c>
      <c r="I34" s="161">
        <v>1.4999999999999999E-2</v>
      </c>
      <c r="J34" s="161">
        <v>0.52700000000000002</v>
      </c>
      <c r="K34" s="161">
        <v>7.51</v>
      </c>
      <c r="L34" s="161">
        <v>68.89</v>
      </c>
      <c r="M34" s="161">
        <v>62.69</v>
      </c>
      <c r="N34" s="161">
        <v>0.13200000000000001</v>
      </c>
    </row>
    <row r="35" spans="1:14" ht="16.5">
      <c r="A35" s="2" t="str">
        <f t="shared" si="0"/>
        <v>311전체</v>
      </c>
      <c r="B35" s="137">
        <v>311</v>
      </c>
      <c r="C35" s="98" t="s">
        <v>1622</v>
      </c>
      <c r="D35" s="161">
        <v>0.45200000000000001</v>
      </c>
      <c r="E35" s="161">
        <v>0.17799999999999999</v>
      </c>
      <c r="F35" s="161">
        <v>8.9999999999999993E-3</v>
      </c>
      <c r="G35" s="161">
        <v>0.35</v>
      </c>
      <c r="H35" s="161">
        <v>0.14699999999999999</v>
      </c>
      <c r="I35" s="161">
        <v>4.0000000000000001E-3</v>
      </c>
      <c r="J35" s="161">
        <v>0.433</v>
      </c>
      <c r="K35" s="161">
        <v>20.85</v>
      </c>
      <c r="L35" s="161">
        <v>14.1</v>
      </c>
      <c r="M35" s="161">
        <v>60.87</v>
      </c>
      <c r="N35" s="161">
        <v>0.10199999999999999</v>
      </c>
    </row>
    <row r="36" spans="1:14" ht="16.5">
      <c r="A36" s="2" t="str">
        <f t="shared" si="0"/>
        <v>312전체</v>
      </c>
      <c r="B36" s="137">
        <v>312</v>
      </c>
      <c r="C36" s="98" t="s">
        <v>1622</v>
      </c>
      <c r="D36" s="161">
        <v>0.83199999999999996</v>
      </c>
      <c r="E36" s="161">
        <v>0.13800000000000001</v>
      </c>
      <c r="F36" s="161">
        <v>1.4999999999999999E-2</v>
      </c>
      <c r="G36" s="161">
        <v>1.2270000000000001</v>
      </c>
      <c r="H36" s="161">
        <v>0.56200000000000006</v>
      </c>
      <c r="I36" s="161">
        <v>0</v>
      </c>
      <c r="J36" s="161">
        <v>0.45800000000000002</v>
      </c>
      <c r="K36" s="161">
        <v>10.220000000000001</v>
      </c>
      <c r="L36" s="161">
        <v>18.190000000000001</v>
      </c>
      <c r="M36" s="161">
        <v>18.809999999999999</v>
      </c>
      <c r="N36" s="161">
        <v>0.1</v>
      </c>
    </row>
    <row r="37" spans="1:14" ht="16.5">
      <c r="A37" s="2" t="str">
        <f t="shared" si="0"/>
        <v>390전체</v>
      </c>
      <c r="B37" s="137">
        <v>390</v>
      </c>
      <c r="C37" s="98" t="s">
        <v>1622</v>
      </c>
      <c r="D37" s="161">
        <v>0.61599999999999999</v>
      </c>
      <c r="E37" s="161">
        <v>0.24</v>
      </c>
      <c r="F37" s="161">
        <v>3.0000000000000001E-3</v>
      </c>
      <c r="G37" s="161">
        <v>0.17</v>
      </c>
      <c r="H37" s="161">
        <v>0.55000000000000004</v>
      </c>
      <c r="I37" s="161">
        <v>0</v>
      </c>
      <c r="J37" s="161">
        <v>3.2330000000000001</v>
      </c>
      <c r="K37" s="161">
        <v>38.54</v>
      </c>
      <c r="L37" s="161">
        <v>3.38</v>
      </c>
      <c r="M37" s="161">
        <v>101.86</v>
      </c>
      <c r="N37" s="161">
        <v>0.312</v>
      </c>
    </row>
    <row r="38" spans="1:14" ht="16.5">
      <c r="A38" s="2" t="str">
        <f t="shared" si="0"/>
        <v>411전체</v>
      </c>
      <c r="B38" s="137">
        <v>411</v>
      </c>
      <c r="C38" s="98" t="s">
        <v>1622</v>
      </c>
      <c r="D38" s="161">
        <v>0.84</v>
      </c>
      <c r="E38" s="161">
        <v>0.105</v>
      </c>
      <c r="F38" s="161">
        <v>1.2999999999999999E-2</v>
      </c>
      <c r="G38" s="161">
        <v>1.0149999999999999</v>
      </c>
      <c r="H38" s="161">
        <v>0.41599999999999998</v>
      </c>
      <c r="I38" s="161">
        <v>7.0000000000000001E-3</v>
      </c>
      <c r="J38" s="161">
        <v>0.41599999999999998</v>
      </c>
      <c r="K38" s="161">
        <v>7.1</v>
      </c>
      <c r="L38" s="161">
        <v>7.05</v>
      </c>
      <c r="M38" s="161">
        <v>14.16</v>
      </c>
      <c r="N38" s="161">
        <v>0.21199999999999999</v>
      </c>
    </row>
    <row r="39" spans="1:14" ht="16.5">
      <c r="A39" s="2" t="str">
        <f t="shared" si="0"/>
        <v>412전체</v>
      </c>
      <c r="B39" s="137">
        <v>412</v>
      </c>
      <c r="C39" s="98" t="s">
        <v>1622</v>
      </c>
      <c r="D39" s="161">
        <v>0.83499999999999996</v>
      </c>
      <c r="E39" s="161">
        <v>0.107</v>
      </c>
      <c r="F39" s="161">
        <v>1.7000000000000001E-2</v>
      </c>
      <c r="G39" s="161">
        <v>0.67100000000000004</v>
      </c>
      <c r="H39" s="161">
        <v>0.45900000000000002</v>
      </c>
      <c r="I39" s="161">
        <v>1.4999999999999999E-2</v>
      </c>
      <c r="J39" s="161">
        <v>0.70599999999999996</v>
      </c>
      <c r="K39" s="161">
        <v>5.95</v>
      </c>
      <c r="L39" s="161">
        <v>8.51</v>
      </c>
      <c r="M39" s="161">
        <v>9.8800000000000008</v>
      </c>
      <c r="N39" s="161">
        <v>0.185</v>
      </c>
    </row>
    <row r="40" spans="1:14" ht="16.5">
      <c r="A40" s="2" t="str">
        <f t="shared" si="0"/>
        <v>413전체</v>
      </c>
      <c r="B40" s="137">
        <v>413</v>
      </c>
      <c r="C40" s="98" t="s">
        <v>1622</v>
      </c>
      <c r="D40" s="161">
        <v>0.80100000000000005</v>
      </c>
      <c r="E40" s="161">
        <v>0.14199999999999999</v>
      </c>
      <c r="F40" s="161">
        <v>1.4999999999999999E-2</v>
      </c>
      <c r="G40" s="161">
        <v>1.115</v>
      </c>
      <c r="H40" s="161">
        <v>0.47199999999999998</v>
      </c>
      <c r="I40" s="161">
        <v>8.9999999999999993E-3</v>
      </c>
      <c r="J40" s="161">
        <v>0.43099999999999999</v>
      </c>
      <c r="K40" s="161">
        <v>6.79</v>
      </c>
      <c r="L40" s="161">
        <v>8.8800000000000008</v>
      </c>
      <c r="M40" s="161">
        <v>15.42</v>
      </c>
      <c r="N40" s="161">
        <v>0.19500000000000001</v>
      </c>
    </row>
    <row r="41" spans="1:14" ht="16.5">
      <c r="A41" s="2" t="str">
        <f t="shared" si="0"/>
        <v>414전체</v>
      </c>
      <c r="B41" s="137">
        <v>414</v>
      </c>
      <c r="C41" s="98" t="s">
        <v>1622</v>
      </c>
      <c r="D41" s="161">
        <v>0.81699999999999995</v>
      </c>
      <c r="E41" s="161">
        <v>0.12</v>
      </c>
      <c r="F41" s="161">
        <v>1.2E-2</v>
      </c>
      <c r="G41" s="161">
        <v>0.97499999999999998</v>
      </c>
      <c r="H41" s="161">
        <v>0.378</v>
      </c>
      <c r="I41" s="161">
        <v>1.4999999999999999E-2</v>
      </c>
      <c r="J41" s="161">
        <v>0.40300000000000002</v>
      </c>
      <c r="K41" s="161">
        <v>4.63</v>
      </c>
      <c r="L41" s="161">
        <v>9.1999999999999993</v>
      </c>
      <c r="M41" s="161">
        <v>9.33</v>
      </c>
      <c r="N41" s="161">
        <v>0.218</v>
      </c>
    </row>
    <row r="42" spans="1:14" ht="16.5">
      <c r="A42" s="2" t="str">
        <f t="shared" si="0"/>
        <v>415전체</v>
      </c>
      <c r="B42" s="137">
        <v>415</v>
      </c>
      <c r="C42" s="98" t="s">
        <v>1622</v>
      </c>
      <c r="D42" s="161">
        <v>0.81899999999999995</v>
      </c>
      <c r="E42" s="161">
        <v>0.13700000000000001</v>
      </c>
      <c r="F42" s="161">
        <v>0.01</v>
      </c>
      <c r="G42" s="161">
        <v>1.3049999999999999</v>
      </c>
      <c r="H42" s="161">
        <v>0.39200000000000002</v>
      </c>
      <c r="I42" s="161">
        <v>1.6E-2</v>
      </c>
      <c r="J42" s="161">
        <v>0.313</v>
      </c>
      <c r="K42" s="161">
        <v>6.71</v>
      </c>
      <c r="L42" s="161">
        <v>10.050000000000001</v>
      </c>
      <c r="M42" s="161">
        <v>8.51</v>
      </c>
      <c r="N42" s="161">
        <v>0.13100000000000001</v>
      </c>
    </row>
    <row r="43" spans="1:14" ht="16.5">
      <c r="A43" s="2" t="str">
        <f t="shared" si="0"/>
        <v>416전체</v>
      </c>
      <c r="B43" s="137">
        <v>416</v>
      </c>
      <c r="C43" s="98" t="s">
        <v>1622</v>
      </c>
      <c r="D43" s="161">
        <v>0.81200000000000006</v>
      </c>
      <c r="E43" s="161">
        <v>0.124</v>
      </c>
      <c r="F43" s="161">
        <v>1.2E-2</v>
      </c>
      <c r="G43" s="161">
        <v>1.1060000000000001</v>
      </c>
      <c r="H43" s="161">
        <v>0.47199999999999998</v>
      </c>
      <c r="I43" s="161">
        <v>8.9999999999999993E-3</v>
      </c>
      <c r="J43" s="161">
        <v>0.435</v>
      </c>
      <c r="K43" s="161">
        <v>6.94</v>
      </c>
      <c r="L43" s="161">
        <v>9.2799999999999994</v>
      </c>
      <c r="M43" s="161">
        <v>13.96</v>
      </c>
      <c r="N43" s="161">
        <v>0.18</v>
      </c>
    </row>
    <row r="44" spans="1:14" ht="16.5">
      <c r="A44" s="2" t="str">
        <f t="shared" si="0"/>
        <v>419전체</v>
      </c>
      <c r="B44" s="137">
        <v>419</v>
      </c>
      <c r="C44" s="98" t="s">
        <v>1622</v>
      </c>
      <c r="D44" s="161">
        <v>0.85899999999999999</v>
      </c>
      <c r="E44" s="161">
        <v>7.9000000000000001E-2</v>
      </c>
      <c r="F44" s="161">
        <v>7.0000000000000001E-3</v>
      </c>
      <c r="G44" s="161">
        <v>0.96199999999999997</v>
      </c>
      <c r="H44" s="161">
        <v>0.53100000000000003</v>
      </c>
      <c r="I44" s="161">
        <v>6.0000000000000001E-3</v>
      </c>
      <c r="J44" s="161">
        <v>0.55800000000000005</v>
      </c>
      <c r="K44" s="161">
        <v>6.39</v>
      </c>
      <c r="L44" s="161">
        <v>13.47</v>
      </c>
      <c r="M44" s="161">
        <v>13.8</v>
      </c>
      <c r="N44" s="161">
        <v>0.158</v>
      </c>
    </row>
    <row r="45" spans="1:14" ht="16.5">
      <c r="A45" s="2" t="str">
        <f t="shared" si="0"/>
        <v>421전체</v>
      </c>
      <c r="B45" s="137">
        <v>421</v>
      </c>
      <c r="C45" s="98" t="s">
        <v>1622</v>
      </c>
      <c r="D45" s="161">
        <v>0.82399999999999995</v>
      </c>
      <c r="E45" s="161">
        <v>7.3999999999999996E-2</v>
      </c>
      <c r="F45" s="161">
        <v>2E-3</v>
      </c>
      <c r="G45" s="161">
        <v>0.55000000000000004</v>
      </c>
      <c r="H45" s="161">
        <v>0.65600000000000003</v>
      </c>
      <c r="I45" s="161">
        <v>3.0000000000000001E-3</v>
      </c>
      <c r="J45" s="161">
        <v>1.2</v>
      </c>
      <c r="K45" s="161">
        <v>6.14</v>
      </c>
      <c r="L45" s="161">
        <v>5.22</v>
      </c>
      <c r="M45" s="161">
        <v>21.56</v>
      </c>
      <c r="N45" s="161">
        <v>0.308</v>
      </c>
    </row>
    <row r="46" spans="1:14" ht="16.5">
      <c r="A46" s="2" t="str">
        <f t="shared" si="0"/>
        <v>422전체</v>
      </c>
      <c r="B46" s="137">
        <v>422</v>
      </c>
      <c r="C46" s="98" t="s">
        <v>1622</v>
      </c>
      <c r="D46" s="161">
        <v>0.48099999999999998</v>
      </c>
      <c r="E46" s="161">
        <v>0.38800000000000001</v>
      </c>
      <c r="F46" s="161">
        <v>1.6E-2</v>
      </c>
      <c r="G46" s="161">
        <v>0.99099999999999999</v>
      </c>
      <c r="H46" s="161">
        <v>0.32700000000000001</v>
      </c>
      <c r="I46" s="161">
        <v>3.1E-2</v>
      </c>
      <c r="J46" s="161">
        <v>0.36099999999999999</v>
      </c>
      <c r="K46" s="161">
        <v>8.2200000000000006</v>
      </c>
      <c r="L46" s="161">
        <v>11.22</v>
      </c>
      <c r="M46" s="161">
        <v>17.82</v>
      </c>
      <c r="N46" s="161">
        <v>0.155</v>
      </c>
    </row>
    <row r="47" spans="1:14" ht="16.5">
      <c r="A47" s="2" t="str">
        <f t="shared" si="0"/>
        <v>423전체</v>
      </c>
      <c r="B47" s="137">
        <v>423</v>
      </c>
      <c r="C47" s="98" t="s">
        <v>1622</v>
      </c>
      <c r="D47" s="161">
        <v>0.88</v>
      </c>
      <c r="E47" s="161">
        <v>9.1999999999999998E-2</v>
      </c>
      <c r="F47" s="161">
        <v>8.0000000000000002E-3</v>
      </c>
      <c r="G47" s="161">
        <v>0.51600000000000001</v>
      </c>
      <c r="H47" s="161">
        <v>0.30299999999999999</v>
      </c>
      <c r="I47" s="161">
        <v>8.0000000000000002E-3</v>
      </c>
      <c r="J47" s="161">
        <v>0.60199999999999998</v>
      </c>
      <c r="K47" s="161">
        <v>4.3499999999999996</v>
      </c>
      <c r="L47" s="161">
        <v>4.25</v>
      </c>
      <c r="M47" s="161">
        <v>7.54</v>
      </c>
      <c r="N47" s="161">
        <v>0.33300000000000002</v>
      </c>
    </row>
    <row r="48" spans="1:14" ht="16.5">
      <c r="A48" s="2" t="str">
        <f t="shared" si="0"/>
        <v>429전체</v>
      </c>
      <c r="B48" s="137">
        <v>429</v>
      </c>
      <c r="C48" s="98" t="s">
        <v>1622</v>
      </c>
      <c r="D48" s="161">
        <v>0.84499999999999997</v>
      </c>
      <c r="E48" s="161">
        <v>8.8999999999999996E-2</v>
      </c>
      <c r="F48" s="161">
        <v>4.0000000000000001E-3</v>
      </c>
      <c r="G48" s="161">
        <v>0.91400000000000003</v>
      </c>
      <c r="H48" s="161">
        <v>0.49099999999999999</v>
      </c>
      <c r="I48" s="161">
        <v>4.0000000000000001E-3</v>
      </c>
      <c r="J48" s="161">
        <v>0.54100000000000004</v>
      </c>
      <c r="K48" s="161">
        <v>6.31</v>
      </c>
      <c r="L48" s="161">
        <v>8.1300000000000008</v>
      </c>
      <c r="M48" s="161">
        <v>16.54</v>
      </c>
      <c r="N48" s="161">
        <v>0.221</v>
      </c>
    </row>
    <row r="49" spans="1:14" ht="16.5">
      <c r="A49" s="2" t="str">
        <f t="shared" si="0"/>
        <v>431전체</v>
      </c>
      <c r="B49" s="137">
        <v>431</v>
      </c>
      <c r="C49" s="98" t="s">
        <v>1622</v>
      </c>
      <c r="D49" s="161">
        <v>0.77500000000000002</v>
      </c>
      <c r="E49" s="161">
        <v>0.13600000000000001</v>
      </c>
      <c r="F49" s="161">
        <v>1.2999999999999999E-2</v>
      </c>
      <c r="G49" s="161">
        <v>0.78700000000000003</v>
      </c>
      <c r="H49" s="161">
        <v>0.36299999999999999</v>
      </c>
      <c r="I49" s="161">
        <v>8.0000000000000002E-3</v>
      </c>
      <c r="J49" s="161">
        <v>0.47099999999999997</v>
      </c>
      <c r="K49" s="161">
        <v>4.5199999999999996</v>
      </c>
      <c r="L49" s="161">
        <v>5.66</v>
      </c>
      <c r="M49" s="161">
        <v>12.23</v>
      </c>
      <c r="N49" s="161">
        <v>0.316</v>
      </c>
    </row>
    <row r="50" spans="1:14" ht="16.5">
      <c r="A50" s="2" t="str">
        <f t="shared" si="0"/>
        <v>432전체</v>
      </c>
      <c r="B50" s="137">
        <v>432</v>
      </c>
      <c r="C50" s="98" t="s">
        <v>1622</v>
      </c>
      <c r="D50" s="161">
        <v>0.84499999999999997</v>
      </c>
      <c r="E50" s="161">
        <v>9.7000000000000003E-2</v>
      </c>
      <c r="F50" s="161">
        <v>1.2999999999999999E-2</v>
      </c>
      <c r="G50" s="161">
        <v>1.022</v>
      </c>
      <c r="H50" s="161">
        <v>0.433</v>
      </c>
      <c r="I50" s="161">
        <v>1.0999999999999999E-2</v>
      </c>
      <c r="J50" s="161">
        <v>0.434</v>
      </c>
      <c r="K50" s="161">
        <v>5.55</v>
      </c>
      <c r="L50" s="161">
        <v>9.48</v>
      </c>
      <c r="M50" s="161">
        <v>10.06</v>
      </c>
      <c r="N50" s="161">
        <v>0.186</v>
      </c>
    </row>
    <row r="51" spans="1:14" ht="16.5">
      <c r="A51" s="2" t="str">
        <f t="shared" si="0"/>
        <v>433전체</v>
      </c>
      <c r="B51" s="137">
        <v>433</v>
      </c>
      <c r="C51" s="98" t="s">
        <v>1622</v>
      </c>
      <c r="D51" s="161">
        <v>0.80700000000000005</v>
      </c>
      <c r="E51" s="161">
        <v>0.14499999999999999</v>
      </c>
      <c r="F51" s="161">
        <v>1.2999999999999999E-2</v>
      </c>
      <c r="G51" s="161">
        <v>0.91200000000000003</v>
      </c>
      <c r="H51" s="161">
        <v>0.35399999999999998</v>
      </c>
      <c r="I51" s="161">
        <v>1.9E-2</v>
      </c>
      <c r="J51" s="161">
        <v>0.40899999999999997</v>
      </c>
      <c r="K51" s="161">
        <v>4.57</v>
      </c>
      <c r="L51" s="161">
        <v>5.59</v>
      </c>
      <c r="M51" s="161">
        <v>8.42</v>
      </c>
      <c r="N51" s="161">
        <v>0.27900000000000003</v>
      </c>
    </row>
    <row r="52" spans="1:14" ht="16.5">
      <c r="A52" s="2" t="str">
        <f t="shared" si="0"/>
        <v>439전체</v>
      </c>
      <c r="B52" s="137">
        <v>439</v>
      </c>
      <c r="C52" s="98" t="s">
        <v>1622</v>
      </c>
      <c r="D52" s="161">
        <v>0.78900000000000003</v>
      </c>
      <c r="E52" s="161">
        <v>0.121</v>
      </c>
      <c r="F52" s="161">
        <v>1.2E-2</v>
      </c>
      <c r="G52" s="161">
        <v>0.73</v>
      </c>
      <c r="H52" s="161">
        <v>0.35599999999999998</v>
      </c>
      <c r="I52" s="161">
        <v>3.9E-2</v>
      </c>
      <c r="J52" s="161">
        <v>0.54200000000000004</v>
      </c>
      <c r="K52" s="161">
        <v>5.43</v>
      </c>
      <c r="L52" s="161">
        <v>7.03</v>
      </c>
      <c r="M52" s="161">
        <v>11.35</v>
      </c>
      <c r="N52" s="161">
        <v>0.23799999999999999</v>
      </c>
    </row>
    <row r="53" spans="1:14" ht="16.5">
      <c r="A53" s="2" t="str">
        <f t="shared" si="0"/>
        <v>441전체</v>
      </c>
      <c r="B53" s="137">
        <v>441</v>
      </c>
      <c r="C53" s="98" t="s">
        <v>1622</v>
      </c>
      <c r="D53" s="161">
        <v>0.39100000000000001</v>
      </c>
      <c r="E53" s="161">
        <v>0.255</v>
      </c>
      <c r="F53" s="161">
        <v>6.0000000000000001E-3</v>
      </c>
      <c r="G53" s="161">
        <v>0.20399999999999999</v>
      </c>
      <c r="H53" s="161">
        <v>3.3000000000000002E-2</v>
      </c>
      <c r="I53" s="161">
        <v>3.0000000000000001E-3</v>
      </c>
      <c r="J53" s="161">
        <v>0.17699999999999999</v>
      </c>
      <c r="K53" s="161">
        <v>54.63</v>
      </c>
      <c r="L53" s="161">
        <v>43.05</v>
      </c>
      <c r="M53" s="161">
        <v>164.57</v>
      </c>
      <c r="N53" s="161">
        <v>3.5000000000000003E-2</v>
      </c>
    </row>
    <row r="54" spans="1:14" ht="16.5">
      <c r="A54" s="2" t="str">
        <f t="shared" si="0"/>
        <v>442전체</v>
      </c>
      <c r="B54" s="137">
        <v>442</v>
      </c>
      <c r="C54" s="98" t="s">
        <v>1622</v>
      </c>
      <c r="D54" s="161">
        <v>0.54700000000000004</v>
      </c>
      <c r="E54" s="161">
        <v>0.35399999999999998</v>
      </c>
      <c r="F54" s="161">
        <v>2.1999999999999999E-2</v>
      </c>
      <c r="G54" s="161">
        <v>0.91</v>
      </c>
      <c r="H54" s="161">
        <v>0.14699999999999999</v>
      </c>
      <c r="I54" s="161">
        <v>9.1999999999999998E-2</v>
      </c>
      <c r="J54" s="161">
        <v>0.26300000000000001</v>
      </c>
      <c r="K54" s="161">
        <v>6.23</v>
      </c>
      <c r="L54" s="161">
        <v>43.06</v>
      </c>
      <c r="M54" s="161">
        <v>14.9</v>
      </c>
      <c r="N54" s="161">
        <v>0.11700000000000001</v>
      </c>
    </row>
    <row r="55" spans="1:14" ht="16.5">
      <c r="A55" s="2" t="str">
        <f t="shared" si="0"/>
        <v>443전체</v>
      </c>
      <c r="B55" s="137">
        <v>443</v>
      </c>
      <c r="C55" s="98" t="s">
        <v>1622</v>
      </c>
      <c r="D55" s="161">
        <v>0.39100000000000001</v>
      </c>
      <c r="E55" s="161">
        <v>0.255</v>
      </c>
      <c r="F55" s="161">
        <v>6.0000000000000001E-3</v>
      </c>
      <c r="G55" s="161">
        <v>0.20399999999999999</v>
      </c>
      <c r="H55" s="161">
        <v>3.3000000000000002E-2</v>
      </c>
      <c r="I55" s="161">
        <v>3.0000000000000001E-3</v>
      </c>
      <c r="J55" s="161">
        <v>0.17699999999999999</v>
      </c>
      <c r="K55" s="161">
        <v>54.63</v>
      </c>
      <c r="L55" s="161">
        <v>43.05</v>
      </c>
      <c r="M55" s="161">
        <v>164.57</v>
      </c>
      <c r="N55" s="161">
        <v>3.5000000000000003E-2</v>
      </c>
    </row>
    <row r="56" spans="1:14" ht="16.5">
      <c r="A56" s="2" t="str">
        <f t="shared" si="0"/>
        <v>444전체</v>
      </c>
      <c r="B56" s="137">
        <v>444</v>
      </c>
      <c r="C56" s="98" t="s">
        <v>1622</v>
      </c>
      <c r="D56" s="161">
        <v>0.56299999999999994</v>
      </c>
      <c r="E56" s="161">
        <v>0.35</v>
      </c>
      <c r="F56" s="161">
        <v>0.02</v>
      </c>
      <c r="G56" s="161">
        <v>0.57199999999999995</v>
      </c>
      <c r="H56" s="161">
        <v>0.26300000000000001</v>
      </c>
      <c r="I56" s="161">
        <v>7.2999999999999995E-2</v>
      </c>
      <c r="J56" s="161">
        <v>0.58799999999999997</v>
      </c>
      <c r="K56" s="161">
        <v>8.32</v>
      </c>
      <c r="L56" s="161">
        <v>3.25</v>
      </c>
      <c r="M56" s="161">
        <v>57.08</v>
      </c>
      <c r="N56" s="161">
        <v>0.41</v>
      </c>
    </row>
    <row r="57" spans="1:14" ht="16.5">
      <c r="A57" s="2" t="str">
        <f t="shared" si="0"/>
        <v>445전체</v>
      </c>
      <c r="B57" s="137">
        <v>445</v>
      </c>
      <c r="C57" s="98" t="s">
        <v>1622</v>
      </c>
      <c r="D57" s="161">
        <v>0.68</v>
      </c>
      <c r="E57" s="161">
        <v>0.20899999999999999</v>
      </c>
      <c r="F57" s="161">
        <v>2.1000000000000001E-2</v>
      </c>
      <c r="G57" s="161">
        <v>0.79</v>
      </c>
      <c r="H57" s="161">
        <v>0.42699999999999999</v>
      </c>
      <c r="I57" s="161">
        <v>5.2999999999999999E-2</v>
      </c>
      <c r="J57" s="161">
        <v>0.60699999999999998</v>
      </c>
      <c r="K57" s="161">
        <v>10.64</v>
      </c>
      <c r="L57" s="161">
        <v>29.12</v>
      </c>
      <c r="M57" s="161">
        <v>35.81</v>
      </c>
      <c r="N57" s="161">
        <v>0.1</v>
      </c>
    </row>
    <row r="58" spans="1:14" ht="16.5">
      <c r="A58" s="2" t="str">
        <f t="shared" si="0"/>
        <v>446전체</v>
      </c>
      <c r="B58" s="137">
        <v>446</v>
      </c>
      <c r="C58" s="98" t="s">
        <v>1622</v>
      </c>
      <c r="D58" s="161">
        <v>0.86899999999999999</v>
      </c>
      <c r="E58" s="161">
        <v>0.09</v>
      </c>
      <c r="F58" s="161">
        <v>4.0000000000000001E-3</v>
      </c>
      <c r="G58" s="161">
        <v>1.5840000000000001</v>
      </c>
      <c r="H58" s="161">
        <v>0.17</v>
      </c>
      <c r="I58" s="161">
        <v>5.0000000000000001E-3</v>
      </c>
      <c r="J58" s="161">
        <v>0.111</v>
      </c>
      <c r="K58" s="161">
        <v>13.57</v>
      </c>
      <c r="L58" s="161">
        <v>12.7</v>
      </c>
      <c r="M58" s="161">
        <v>21.85</v>
      </c>
      <c r="N58" s="161">
        <v>0.107</v>
      </c>
    </row>
    <row r="59" spans="1:14" ht="16.5">
      <c r="A59" s="2" t="str">
        <f t="shared" si="0"/>
        <v>447전체</v>
      </c>
      <c r="B59" s="137">
        <v>447</v>
      </c>
      <c r="C59" s="98" t="s">
        <v>1622</v>
      </c>
      <c r="D59" s="161">
        <v>0.69499999999999995</v>
      </c>
      <c r="E59" s="161">
        <v>0.23200000000000001</v>
      </c>
      <c r="F59" s="161">
        <v>8.0000000000000002E-3</v>
      </c>
      <c r="G59" s="161">
        <v>0.67300000000000004</v>
      </c>
      <c r="H59" s="161">
        <v>7.3999999999999996E-2</v>
      </c>
      <c r="I59" s="161">
        <v>1E-3</v>
      </c>
      <c r="J59" s="161">
        <v>0.112</v>
      </c>
      <c r="K59" s="161">
        <v>13.68</v>
      </c>
      <c r="L59" s="161">
        <v>20.81</v>
      </c>
      <c r="M59" s="161">
        <v>51.63</v>
      </c>
      <c r="N59" s="161">
        <v>0.10199999999999999</v>
      </c>
    </row>
    <row r="60" spans="1:14" ht="16.5">
      <c r="A60" s="2" t="str">
        <f t="shared" si="0"/>
        <v>449전체</v>
      </c>
      <c r="B60" s="137">
        <v>449</v>
      </c>
      <c r="C60" s="98" t="s">
        <v>1622</v>
      </c>
      <c r="D60" s="161">
        <v>0.32100000000000001</v>
      </c>
      <c r="E60" s="161">
        <v>0.36899999999999999</v>
      </c>
      <c r="F60" s="161">
        <v>1.0999999999999999E-2</v>
      </c>
      <c r="G60" s="161">
        <v>0.23300000000000001</v>
      </c>
      <c r="H60" s="161">
        <v>0.14499999999999999</v>
      </c>
      <c r="I60" s="161">
        <v>5.0000000000000001E-3</v>
      </c>
      <c r="J60" s="161">
        <v>0.64800000000000002</v>
      </c>
      <c r="K60" s="161">
        <v>22.38</v>
      </c>
      <c r="L60" s="161">
        <v>0.5</v>
      </c>
      <c r="M60" s="161">
        <v>305.56</v>
      </c>
      <c r="N60" s="161">
        <v>2.0329999999999999</v>
      </c>
    </row>
    <row r="61" spans="1:14" ht="16.5">
      <c r="A61" s="2" t="str">
        <f t="shared" si="0"/>
        <v>511전체</v>
      </c>
      <c r="B61" s="137">
        <v>511</v>
      </c>
      <c r="C61" s="98" t="s">
        <v>1622</v>
      </c>
      <c r="D61" s="161">
        <v>0.872</v>
      </c>
      <c r="E61" s="161">
        <v>6.3E-2</v>
      </c>
      <c r="F61" s="161">
        <v>3.0000000000000001E-3</v>
      </c>
      <c r="G61" s="161">
        <v>0.68</v>
      </c>
      <c r="H61" s="161">
        <v>0.29499999999999998</v>
      </c>
      <c r="I61" s="161">
        <v>6.0000000000000001E-3</v>
      </c>
      <c r="J61" s="161">
        <v>0.443</v>
      </c>
      <c r="K61" s="161">
        <v>10.5</v>
      </c>
      <c r="L61" s="161">
        <v>6.45</v>
      </c>
      <c r="M61" s="161">
        <v>19.66</v>
      </c>
      <c r="N61" s="161">
        <v>0.19900000000000001</v>
      </c>
    </row>
    <row r="62" spans="1:14" ht="16.5">
      <c r="A62" s="2" t="str">
        <f t="shared" si="0"/>
        <v>512전체</v>
      </c>
      <c r="B62" s="137">
        <v>512</v>
      </c>
      <c r="C62" s="98" t="s">
        <v>1622</v>
      </c>
      <c r="D62" s="161">
        <v>0.86199999999999999</v>
      </c>
      <c r="E62" s="161">
        <v>3.7999999999999999E-2</v>
      </c>
      <c r="F62" s="161">
        <v>0.01</v>
      </c>
      <c r="G62" s="161">
        <v>1.2689999999999999</v>
      </c>
      <c r="H62" s="161">
        <v>0.34200000000000003</v>
      </c>
      <c r="I62" s="161">
        <v>0</v>
      </c>
      <c r="J62" s="161">
        <v>0.26900000000000002</v>
      </c>
      <c r="K62" s="161">
        <v>5.58</v>
      </c>
      <c r="L62" s="161">
        <v>3.67</v>
      </c>
      <c r="M62" s="161">
        <v>16.97</v>
      </c>
      <c r="N62" s="161">
        <v>0.39300000000000002</v>
      </c>
    </row>
    <row r="63" spans="1:14" ht="16.5">
      <c r="A63" s="2" t="str">
        <f t="shared" si="0"/>
        <v>520전체</v>
      </c>
      <c r="B63" s="137">
        <v>520</v>
      </c>
      <c r="C63" s="98" t="s">
        <v>1622</v>
      </c>
      <c r="D63" s="161">
        <v>0.85</v>
      </c>
      <c r="E63" s="161">
        <v>7.2999999999999995E-2</v>
      </c>
      <c r="F63" s="161">
        <v>0.03</v>
      </c>
      <c r="G63" s="161">
        <v>0.74099999999999999</v>
      </c>
      <c r="H63" s="161">
        <v>0.40400000000000003</v>
      </c>
      <c r="I63" s="161">
        <v>5.0000000000000001E-3</v>
      </c>
      <c r="J63" s="161">
        <v>0.55200000000000005</v>
      </c>
      <c r="K63" s="161">
        <v>8.99</v>
      </c>
      <c r="L63" s="161">
        <v>2.42</v>
      </c>
      <c r="M63" s="161">
        <v>19.329999999999998</v>
      </c>
      <c r="N63" s="161">
        <v>0.47299999999999998</v>
      </c>
    </row>
    <row r="64" spans="1:14" ht="16.5">
      <c r="A64" s="2" t="str">
        <f t="shared" si="0"/>
        <v>611전체</v>
      </c>
      <c r="B64" s="137">
        <v>611</v>
      </c>
      <c r="C64" s="98" t="s">
        <v>1622</v>
      </c>
      <c r="D64" s="161">
        <v>0.75700000000000001</v>
      </c>
      <c r="E64" s="161">
        <v>0.20399999999999999</v>
      </c>
      <c r="F64" s="161">
        <v>8.0000000000000002E-3</v>
      </c>
      <c r="G64" s="161">
        <v>1.992</v>
      </c>
      <c r="H64" s="161">
        <v>0.17100000000000001</v>
      </c>
      <c r="I64" s="161">
        <v>0.02</v>
      </c>
      <c r="J64" s="161">
        <v>9.6000000000000002E-2</v>
      </c>
      <c r="K64" s="161">
        <v>13.87</v>
      </c>
      <c r="L64" s="161">
        <v>4.3899999999999997</v>
      </c>
      <c r="M64" s="161">
        <v>49.83</v>
      </c>
      <c r="N64" s="161">
        <v>0.28000000000000003</v>
      </c>
    </row>
    <row r="65" spans="1:14" ht="16.5">
      <c r="A65" s="2" t="str">
        <f t="shared" si="0"/>
        <v>612전체</v>
      </c>
      <c r="B65" s="137">
        <v>612</v>
      </c>
      <c r="C65" s="98" t="s">
        <v>1622</v>
      </c>
      <c r="D65" s="161">
        <v>0.80800000000000005</v>
      </c>
      <c r="E65" s="161">
        <v>0.14599999999999999</v>
      </c>
      <c r="F65" s="161">
        <v>1.0999999999999999E-2</v>
      </c>
      <c r="G65" s="161">
        <v>1.28</v>
      </c>
      <c r="H65" s="161">
        <v>0.38400000000000001</v>
      </c>
      <c r="I65" s="161">
        <v>1.7999999999999999E-2</v>
      </c>
      <c r="J65" s="161">
        <v>0.315</v>
      </c>
      <c r="K65" s="161">
        <v>6.83</v>
      </c>
      <c r="L65" s="161">
        <v>9.4499999999999993</v>
      </c>
      <c r="M65" s="161">
        <v>9.01</v>
      </c>
      <c r="N65" s="161">
        <v>0.14099999999999999</v>
      </c>
    </row>
    <row r="66" spans="1:14" ht="16.5">
      <c r="A66" s="2" t="str">
        <f t="shared" si="0"/>
        <v>619전체</v>
      </c>
      <c r="B66" s="137">
        <v>619</v>
      </c>
      <c r="C66" s="98" t="s">
        <v>1622</v>
      </c>
      <c r="D66" s="161">
        <v>0.77200000000000002</v>
      </c>
      <c r="E66" s="161">
        <v>0.113</v>
      </c>
      <c r="F66" s="161">
        <v>7.0000000000000001E-3</v>
      </c>
      <c r="G66" s="161">
        <v>1.044</v>
      </c>
      <c r="H66" s="161">
        <v>0.32200000000000001</v>
      </c>
      <c r="I66" s="161">
        <v>1.7999999999999999E-2</v>
      </c>
      <c r="J66" s="161">
        <v>0.32500000000000001</v>
      </c>
      <c r="K66" s="161">
        <v>8.7799999999999994</v>
      </c>
      <c r="L66" s="161">
        <v>11.93</v>
      </c>
      <c r="M66" s="161">
        <v>14.52</v>
      </c>
      <c r="N66" s="161">
        <v>0.129</v>
      </c>
    </row>
    <row r="67" spans="1:14" ht="16.5">
      <c r="A67" s="2" t="str">
        <f t="shared" ref="A67:A130" si="1">B67&amp;C67</f>
        <v>621전체</v>
      </c>
      <c r="B67" s="137">
        <v>621</v>
      </c>
      <c r="C67" s="98" t="s">
        <v>1622</v>
      </c>
      <c r="D67" s="161">
        <v>0.90800000000000003</v>
      </c>
      <c r="E67" s="161">
        <v>4.8000000000000001E-2</v>
      </c>
      <c r="F67" s="161">
        <v>5.0000000000000001E-3</v>
      </c>
      <c r="G67" s="161">
        <v>0.63800000000000001</v>
      </c>
      <c r="H67" s="161">
        <v>0.374</v>
      </c>
      <c r="I67" s="161">
        <v>3.0000000000000001E-3</v>
      </c>
      <c r="J67" s="161">
        <v>0.59099999999999997</v>
      </c>
      <c r="K67" s="161">
        <v>14.79</v>
      </c>
      <c r="L67" s="161">
        <v>11.24</v>
      </c>
      <c r="M67" s="161">
        <v>11.95</v>
      </c>
      <c r="N67" s="161">
        <v>7.2999999999999995E-2</v>
      </c>
    </row>
    <row r="68" spans="1:14" ht="16.5">
      <c r="A68" s="2" t="str">
        <f t="shared" si="1"/>
        <v>622전체</v>
      </c>
      <c r="B68" s="137">
        <v>622</v>
      </c>
      <c r="C68" s="98" t="s">
        <v>1622</v>
      </c>
      <c r="D68" s="161">
        <v>0.83299999999999996</v>
      </c>
      <c r="E68" s="161">
        <v>9.5000000000000001E-2</v>
      </c>
      <c r="F68" s="161">
        <v>2.4E-2</v>
      </c>
      <c r="G68" s="161">
        <v>0.99099999999999999</v>
      </c>
      <c r="H68" s="161">
        <v>0.56999999999999995</v>
      </c>
      <c r="I68" s="161">
        <v>1.4999999999999999E-2</v>
      </c>
      <c r="J68" s="161">
        <v>0.59</v>
      </c>
      <c r="K68" s="161">
        <v>6.43</v>
      </c>
      <c r="L68" s="161">
        <v>13.53</v>
      </c>
      <c r="M68" s="161">
        <v>18.510000000000002</v>
      </c>
      <c r="N68" s="161">
        <v>0.17599999999999999</v>
      </c>
    </row>
    <row r="69" spans="1:14" ht="16.5">
      <c r="A69" s="2" t="str">
        <f t="shared" si="1"/>
        <v>623전체</v>
      </c>
      <c r="B69" s="137">
        <v>623</v>
      </c>
      <c r="C69" s="98" t="s">
        <v>1622</v>
      </c>
      <c r="D69" s="161">
        <v>0.69799999999999995</v>
      </c>
      <c r="E69" s="161">
        <v>0.19</v>
      </c>
      <c r="F69" s="161">
        <v>3.3000000000000002E-2</v>
      </c>
      <c r="G69" s="161">
        <v>0.36699999999999999</v>
      </c>
      <c r="H69" s="161">
        <v>0.435</v>
      </c>
      <c r="I69" s="161">
        <v>3.4000000000000002E-2</v>
      </c>
      <c r="J69" s="161">
        <v>1.278</v>
      </c>
      <c r="K69" s="161">
        <v>3.11</v>
      </c>
      <c r="L69" s="161">
        <v>1.66</v>
      </c>
      <c r="M69" s="161">
        <v>6.93</v>
      </c>
      <c r="N69" s="161">
        <v>0.78100000000000003</v>
      </c>
    </row>
    <row r="70" spans="1:14" ht="16.5">
      <c r="A70" s="2" t="str">
        <f t="shared" si="1"/>
        <v>624전체</v>
      </c>
      <c r="B70" s="137">
        <v>624</v>
      </c>
      <c r="C70" s="98" t="s">
        <v>1622</v>
      </c>
      <c r="D70" s="161">
        <v>0.85399999999999998</v>
      </c>
      <c r="E70" s="161">
        <v>8.5999999999999993E-2</v>
      </c>
      <c r="F70" s="161">
        <v>8.9999999999999993E-3</v>
      </c>
      <c r="G70" s="161">
        <v>0.69699999999999995</v>
      </c>
      <c r="H70" s="161">
        <v>0.55000000000000004</v>
      </c>
      <c r="I70" s="161">
        <v>6.0000000000000001E-3</v>
      </c>
      <c r="J70" s="161">
        <v>0.79800000000000004</v>
      </c>
      <c r="K70" s="161">
        <v>7.5</v>
      </c>
      <c r="L70" s="161">
        <v>8.1300000000000008</v>
      </c>
      <c r="M70" s="161">
        <v>11.09</v>
      </c>
      <c r="N70" s="161">
        <v>0.16600000000000001</v>
      </c>
    </row>
    <row r="71" spans="1:14" ht="16.5">
      <c r="A71" s="2" t="str">
        <f t="shared" si="1"/>
        <v>625전체</v>
      </c>
      <c r="B71" s="137">
        <v>625</v>
      </c>
      <c r="C71" s="98" t="s">
        <v>1622</v>
      </c>
      <c r="D71" s="161">
        <v>0.81100000000000005</v>
      </c>
      <c r="E71" s="161">
        <v>0.105</v>
      </c>
      <c r="F71" s="161">
        <v>0.01</v>
      </c>
      <c r="G71" s="161">
        <v>0.84099999999999997</v>
      </c>
      <c r="H71" s="161">
        <v>0.36699999999999999</v>
      </c>
      <c r="I71" s="161">
        <v>8.0000000000000002E-3</v>
      </c>
      <c r="J71" s="161">
        <v>0.44600000000000001</v>
      </c>
      <c r="K71" s="161">
        <v>6.16</v>
      </c>
      <c r="L71" s="161">
        <v>9.41</v>
      </c>
      <c r="M71" s="161">
        <v>8.4600000000000009</v>
      </c>
      <c r="N71" s="161">
        <v>0.15</v>
      </c>
    </row>
    <row r="72" spans="1:14" ht="16.5">
      <c r="A72" s="2" t="str">
        <f t="shared" si="1"/>
        <v>626전체</v>
      </c>
      <c r="B72" s="137">
        <v>626</v>
      </c>
      <c r="C72" s="98" t="s">
        <v>1622</v>
      </c>
      <c r="D72" s="161">
        <v>0.73699999999999999</v>
      </c>
      <c r="E72" s="161">
        <v>0.158</v>
      </c>
      <c r="F72" s="161">
        <v>1.2999999999999999E-2</v>
      </c>
      <c r="G72" s="161">
        <v>0.89200000000000002</v>
      </c>
      <c r="H72" s="161">
        <v>0.28599999999999998</v>
      </c>
      <c r="I72" s="161">
        <v>0.03</v>
      </c>
      <c r="J72" s="161">
        <v>0.35399999999999998</v>
      </c>
      <c r="K72" s="161">
        <v>4.8600000000000003</v>
      </c>
      <c r="L72" s="161">
        <v>7.67</v>
      </c>
      <c r="M72" s="161">
        <v>10.45</v>
      </c>
      <c r="N72" s="161">
        <v>0.24099999999999999</v>
      </c>
    </row>
    <row r="73" spans="1:14" ht="16.5">
      <c r="A73" s="2" t="str">
        <f t="shared" si="1"/>
        <v>627전체</v>
      </c>
      <c r="B73" s="137">
        <v>627</v>
      </c>
      <c r="C73" s="98" t="s">
        <v>1622</v>
      </c>
      <c r="D73" s="161">
        <v>0.81200000000000006</v>
      </c>
      <c r="E73" s="161">
        <v>0.11700000000000001</v>
      </c>
      <c r="F73" s="161">
        <v>0.01</v>
      </c>
      <c r="G73" s="161">
        <v>0.89800000000000002</v>
      </c>
      <c r="H73" s="161">
        <v>0.33200000000000002</v>
      </c>
      <c r="I73" s="161">
        <v>2.4E-2</v>
      </c>
      <c r="J73" s="161">
        <v>0.39700000000000002</v>
      </c>
      <c r="K73" s="161">
        <v>5.42</v>
      </c>
      <c r="L73" s="161">
        <v>8.6300000000000008</v>
      </c>
      <c r="M73" s="161">
        <v>9.73</v>
      </c>
      <c r="N73" s="161">
        <v>0.19800000000000001</v>
      </c>
    </row>
    <row r="74" spans="1:14" ht="16.5">
      <c r="A74" s="2" t="str">
        <f t="shared" si="1"/>
        <v>628전체</v>
      </c>
      <c r="B74" s="137">
        <v>628</v>
      </c>
      <c r="C74" s="98" t="s">
        <v>1622</v>
      </c>
      <c r="D74" s="161">
        <v>0.83099999999999996</v>
      </c>
      <c r="E74" s="161">
        <v>0.113</v>
      </c>
      <c r="F74" s="161">
        <v>8.0000000000000002E-3</v>
      </c>
      <c r="G74" s="161">
        <v>1.012</v>
      </c>
      <c r="H74" s="161">
        <v>0.39900000000000002</v>
      </c>
      <c r="I74" s="161">
        <v>4.0000000000000001E-3</v>
      </c>
      <c r="J74" s="161">
        <v>0.39900000000000002</v>
      </c>
      <c r="K74" s="161">
        <v>4.28</v>
      </c>
      <c r="L74" s="161">
        <v>7.34</v>
      </c>
      <c r="M74" s="161">
        <v>14.89</v>
      </c>
      <c r="N74" s="161">
        <v>0.30299999999999999</v>
      </c>
    </row>
    <row r="75" spans="1:14" ht="16.5">
      <c r="A75" s="2" t="str">
        <f t="shared" si="1"/>
        <v>629전체</v>
      </c>
      <c r="B75" s="137">
        <v>629</v>
      </c>
      <c r="C75" s="98" t="s">
        <v>1622</v>
      </c>
      <c r="D75" s="161">
        <v>0.84499999999999997</v>
      </c>
      <c r="E75" s="161">
        <v>9.7000000000000003E-2</v>
      </c>
      <c r="F75" s="161">
        <v>1.2999999999999999E-2</v>
      </c>
      <c r="G75" s="161">
        <v>1.022</v>
      </c>
      <c r="H75" s="161">
        <v>0.433</v>
      </c>
      <c r="I75" s="161">
        <v>1.0999999999999999E-2</v>
      </c>
      <c r="J75" s="161">
        <v>0.434</v>
      </c>
      <c r="K75" s="161">
        <v>5.55</v>
      </c>
      <c r="L75" s="161">
        <v>9.48</v>
      </c>
      <c r="M75" s="161">
        <v>10.06</v>
      </c>
      <c r="N75" s="161">
        <v>0.186</v>
      </c>
    </row>
    <row r="76" spans="1:14" ht="16.5">
      <c r="A76" s="2" t="str">
        <f t="shared" si="1"/>
        <v>631전체</v>
      </c>
      <c r="B76" s="137">
        <v>631</v>
      </c>
      <c r="C76" s="98" t="s">
        <v>1622</v>
      </c>
      <c r="D76" s="161">
        <v>0.80400000000000005</v>
      </c>
      <c r="E76" s="161">
        <v>0.14299999999999999</v>
      </c>
      <c r="F76" s="161">
        <v>6.0000000000000001E-3</v>
      </c>
      <c r="G76" s="161">
        <v>1.8540000000000001</v>
      </c>
      <c r="H76" s="161">
        <v>0.13500000000000001</v>
      </c>
      <c r="I76" s="161">
        <v>2.1999999999999999E-2</v>
      </c>
      <c r="J76" s="161">
        <v>8.5000000000000006E-2</v>
      </c>
      <c r="K76" s="161">
        <v>12.39</v>
      </c>
      <c r="L76" s="161">
        <v>25.5</v>
      </c>
      <c r="M76" s="161">
        <v>15.93</v>
      </c>
      <c r="N76" s="161">
        <v>5.7000000000000002E-2</v>
      </c>
    </row>
    <row r="77" spans="1:14" ht="16.5">
      <c r="A77" s="2" t="str">
        <f t="shared" si="1"/>
        <v>632전체</v>
      </c>
      <c r="B77" s="137">
        <v>632</v>
      </c>
      <c r="C77" s="98" t="s">
        <v>1622</v>
      </c>
      <c r="D77" s="161">
        <v>0.84699999999999998</v>
      </c>
      <c r="E77" s="161">
        <v>0.10100000000000001</v>
      </c>
      <c r="F77" s="161">
        <v>6.0000000000000001E-3</v>
      </c>
      <c r="G77" s="161">
        <v>1.55</v>
      </c>
      <c r="H77" s="161">
        <v>0.17799999999999999</v>
      </c>
      <c r="I77" s="161">
        <v>7.0000000000000001E-3</v>
      </c>
      <c r="J77" s="161">
        <v>0.11899999999999999</v>
      </c>
      <c r="K77" s="161">
        <v>12.36</v>
      </c>
      <c r="L77" s="161">
        <v>14.03</v>
      </c>
      <c r="M77" s="161">
        <v>25.92</v>
      </c>
      <c r="N77" s="161">
        <v>0.114</v>
      </c>
    </row>
    <row r="78" spans="1:14" ht="16.5">
      <c r="A78" s="2" t="str">
        <f t="shared" si="1"/>
        <v>633전체</v>
      </c>
      <c r="B78" s="137">
        <v>633</v>
      </c>
      <c r="C78" s="98" t="s">
        <v>1622</v>
      </c>
      <c r="D78" s="161">
        <v>0.54700000000000004</v>
      </c>
      <c r="E78" s="161">
        <v>0.35399999999999998</v>
      </c>
      <c r="F78" s="161">
        <v>2.1999999999999999E-2</v>
      </c>
      <c r="G78" s="161">
        <v>0.91</v>
      </c>
      <c r="H78" s="161">
        <v>0.14699999999999999</v>
      </c>
      <c r="I78" s="161">
        <v>9.1999999999999998E-2</v>
      </c>
      <c r="J78" s="161">
        <v>0.26300000000000001</v>
      </c>
      <c r="K78" s="161">
        <v>6.23</v>
      </c>
      <c r="L78" s="161">
        <v>43.06</v>
      </c>
      <c r="M78" s="161">
        <v>14.9</v>
      </c>
      <c r="N78" s="161">
        <v>0.11700000000000001</v>
      </c>
    </row>
    <row r="79" spans="1:14" ht="16.5">
      <c r="A79" s="2" t="str">
        <f t="shared" si="1"/>
        <v>634전체</v>
      </c>
      <c r="B79" s="137">
        <v>634</v>
      </c>
      <c r="C79" s="98" t="s">
        <v>1622</v>
      </c>
      <c r="D79" s="161">
        <v>0.71099999999999997</v>
      </c>
      <c r="E79" s="161">
        <v>0.22800000000000001</v>
      </c>
      <c r="F79" s="161">
        <v>2.1000000000000001E-2</v>
      </c>
      <c r="G79" s="161">
        <v>0.85799999999999998</v>
      </c>
      <c r="H79" s="161">
        <v>0.29099999999999998</v>
      </c>
      <c r="I79" s="161">
        <v>5.1999999999999998E-2</v>
      </c>
      <c r="J79" s="161">
        <v>0.4</v>
      </c>
      <c r="K79" s="161">
        <v>8.09</v>
      </c>
      <c r="L79" s="161">
        <v>9.68</v>
      </c>
      <c r="M79" s="161">
        <v>35.869999999999997</v>
      </c>
      <c r="N79" s="161">
        <v>0.19900000000000001</v>
      </c>
    </row>
    <row r="80" spans="1:14" ht="16.5">
      <c r="A80" s="2" t="str">
        <f t="shared" si="1"/>
        <v>635전체</v>
      </c>
      <c r="B80" s="137">
        <v>635</v>
      </c>
      <c r="C80" s="98" t="s">
        <v>1622</v>
      </c>
      <c r="D80" s="161">
        <v>0.38100000000000001</v>
      </c>
      <c r="E80" s="161">
        <v>0.51600000000000001</v>
      </c>
      <c r="F80" s="161">
        <v>3.6999999999999998E-2</v>
      </c>
      <c r="G80" s="161">
        <v>0.88</v>
      </c>
      <c r="H80" s="161">
        <v>0.44900000000000001</v>
      </c>
      <c r="I80" s="161">
        <v>1.4999999999999999E-2</v>
      </c>
      <c r="J80" s="161">
        <v>0.52700000000000002</v>
      </c>
      <c r="K80" s="161">
        <v>7.51</v>
      </c>
      <c r="L80" s="161">
        <v>68.89</v>
      </c>
      <c r="M80" s="161">
        <v>62.69</v>
      </c>
      <c r="N80" s="161">
        <v>0.13200000000000001</v>
      </c>
    </row>
    <row r="81" spans="1:14" ht="16.5">
      <c r="A81" s="2" t="str">
        <f t="shared" si="1"/>
        <v>636전체</v>
      </c>
      <c r="B81" s="137">
        <v>636</v>
      </c>
      <c r="C81" s="98" t="s">
        <v>1622</v>
      </c>
      <c r="D81" s="161">
        <v>0.68</v>
      </c>
      <c r="E81" s="161">
        <v>0.20899999999999999</v>
      </c>
      <c r="F81" s="161">
        <v>2.1000000000000001E-2</v>
      </c>
      <c r="G81" s="161">
        <v>0.79</v>
      </c>
      <c r="H81" s="161">
        <v>0.42699999999999999</v>
      </c>
      <c r="I81" s="161">
        <v>5.2999999999999999E-2</v>
      </c>
      <c r="J81" s="161">
        <v>0.60699999999999998</v>
      </c>
      <c r="K81" s="161">
        <v>10.64</v>
      </c>
      <c r="L81" s="161">
        <v>29.12</v>
      </c>
      <c r="M81" s="161">
        <v>35.81</v>
      </c>
      <c r="N81" s="161">
        <v>0.1</v>
      </c>
    </row>
    <row r="82" spans="1:14" ht="16.5">
      <c r="A82" s="2" t="str">
        <f t="shared" si="1"/>
        <v>637전체</v>
      </c>
      <c r="B82" s="137">
        <v>637</v>
      </c>
      <c r="C82" s="98" t="s">
        <v>1622</v>
      </c>
      <c r="D82" s="161">
        <v>0.73099999999999998</v>
      </c>
      <c r="E82" s="161">
        <v>0.20699999999999999</v>
      </c>
      <c r="F82" s="161">
        <v>8.9999999999999993E-3</v>
      </c>
      <c r="G82" s="161">
        <v>1.157</v>
      </c>
      <c r="H82" s="161">
        <v>0.157</v>
      </c>
      <c r="I82" s="161">
        <v>4.7E-2</v>
      </c>
      <c r="J82" s="161">
        <v>0.17599999999999999</v>
      </c>
      <c r="K82" s="161">
        <v>5.64</v>
      </c>
      <c r="L82" s="161">
        <v>39.67</v>
      </c>
      <c r="M82" s="161">
        <v>11.26</v>
      </c>
      <c r="N82" s="161">
        <v>0.114</v>
      </c>
    </row>
    <row r="83" spans="1:14" ht="16.5">
      <c r="A83" s="2" t="str">
        <f t="shared" si="1"/>
        <v>639전체</v>
      </c>
      <c r="B83" s="137">
        <v>639</v>
      </c>
      <c r="C83" s="98" t="s">
        <v>1622</v>
      </c>
      <c r="D83" s="161">
        <v>0.20399999999999999</v>
      </c>
      <c r="E83" s="161">
        <v>0.67400000000000004</v>
      </c>
      <c r="F83" s="161">
        <v>4.1000000000000002E-2</v>
      </c>
      <c r="G83" s="161">
        <v>0.94599999999999995</v>
      </c>
      <c r="H83" s="161">
        <v>0.68200000000000005</v>
      </c>
      <c r="I83" s="161">
        <v>0</v>
      </c>
      <c r="J83" s="161">
        <v>0.72099999999999997</v>
      </c>
      <c r="K83" s="161">
        <v>79.569999999999993</v>
      </c>
      <c r="L83" s="161">
        <v>22.91</v>
      </c>
      <c r="M83" s="161">
        <v>63.49</v>
      </c>
      <c r="N83" s="161">
        <v>0.04</v>
      </c>
    </row>
    <row r="84" spans="1:14" ht="16.5">
      <c r="A84" s="2" t="str">
        <f t="shared" si="1"/>
        <v>711전체</v>
      </c>
      <c r="B84" s="137">
        <v>711</v>
      </c>
      <c r="C84" s="98" t="s">
        <v>1622</v>
      </c>
      <c r="D84" s="161">
        <v>0.89</v>
      </c>
      <c r="E84" s="161">
        <v>7.4999999999999997E-2</v>
      </c>
      <c r="F84" s="161">
        <v>8.9999999999999993E-3</v>
      </c>
      <c r="G84" s="161">
        <v>1.526</v>
      </c>
      <c r="H84" s="161">
        <v>0.42699999999999999</v>
      </c>
      <c r="I84" s="161">
        <v>7.0000000000000001E-3</v>
      </c>
      <c r="J84" s="161">
        <v>0.28399999999999997</v>
      </c>
      <c r="K84" s="161">
        <v>10.7</v>
      </c>
      <c r="L84" s="161">
        <v>16.170000000000002</v>
      </c>
      <c r="M84" s="161">
        <v>33.36</v>
      </c>
      <c r="N84" s="161">
        <v>0.125</v>
      </c>
    </row>
    <row r="85" spans="1:14" ht="16.5">
      <c r="A85" s="2" t="str">
        <f t="shared" si="1"/>
        <v>712전체</v>
      </c>
      <c r="B85" s="137">
        <v>712</v>
      </c>
      <c r="C85" s="98" t="s">
        <v>1622</v>
      </c>
      <c r="D85" s="161">
        <v>0.871</v>
      </c>
      <c r="E85" s="161">
        <v>8.2000000000000003E-2</v>
      </c>
      <c r="F85" s="161">
        <v>7.0000000000000001E-3</v>
      </c>
      <c r="G85" s="161">
        <v>1.79</v>
      </c>
      <c r="H85" s="161">
        <v>0.36099999999999999</v>
      </c>
      <c r="I85" s="161">
        <v>8.0000000000000002E-3</v>
      </c>
      <c r="J85" s="161">
        <v>0.20599999999999999</v>
      </c>
      <c r="K85" s="161">
        <v>10.38</v>
      </c>
      <c r="L85" s="161">
        <v>15.15</v>
      </c>
      <c r="M85" s="161">
        <v>29.35</v>
      </c>
      <c r="N85" s="161">
        <v>0.128</v>
      </c>
    </row>
    <row r="86" spans="1:14" ht="16.5">
      <c r="A86" s="2" t="str">
        <f t="shared" si="1"/>
        <v>721전체</v>
      </c>
      <c r="B86" s="137">
        <v>721</v>
      </c>
      <c r="C86" s="98" t="s">
        <v>1622</v>
      </c>
      <c r="D86" s="161">
        <v>0.81499999999999995</v>
      </c>
      <c r="E86" s="161">
        <v>0.14299999999999999</v>
      </c>
      <c r="F86" s="161">
        <v>7.0000000000000001E-3</v>
      </c>
      <c r="G86" s="161">
        <v>1.335</v>
      </c>
      <c r="H86" s="161">
        <v>0.35299999999999998</v>
      </c>
      <c r="I86" s="161">
        <v>8.9999999999999993E-3</v>
      </c>
      <c r="J86" s="161">
        <v>0.27200000000000002</v>
      </c>
      <c r="K86" s="161">
        <v>9.5399999999999991</v>
      </c>
      <c r="L86" s="161">
        <v>6.35</v>
      </c>
      <c r="M86" s="161">
        <v>16.489999999999998</v>
      </c>
      <c r="N86" s="161">
        <v>0.20200000000000001</v>
      </c>
    </row>
    <row r="87" spans="1:14" ht="16.5">
      <c r="A87" s="2" t="str">
        <f t="shared" si="1"/>
        <v>722전체</v>
      </c>
      <c r="B87" s="137">
        <v>722</v>
      </c>
      <c r="C87" s="98" t="s">
        <v>1622</v>
      </c>
      <c r="D87" s="161">
        <v>0.83799999999999997</v>
      </c>
      <c r="E87" s="161">
        <v>9.4E-2</v>
      </c>
      <c r="F87" s="161">
        <v>1.6E-2</v>
      </c>
      <c r="G87" s="161">
        <v>1.2450000000000001</v>
      </c>
      <c r="H87" s="161">
        <v>0.42799999999999999</v>
      </c>
      <c r="I87" s="161">
        <v>5.0000000000000001E-3</v>
      </c>
      <c r="J87" s="161">
        <v>0.34699999999999998</v>
      </c>
      <c r="K87" s="161">
        <v>9.34</v>
      </c>
      <c r="L87" s="161">
        <v>5.73</v>
      </c>
      <c r="M87" s="161">
        <v>18.16</v>
      </c>
      <c r="N87" s="161">
        <v>0.22700000000000001</v>
      </c>
    </row>
    <row r="88" spans="1:14" ht="16.5">
      <c r="A88" s="2" t="str">
        <f t="shared" si="1"/>
        <v>730전체</v>
      </c>
      <c r="B88" s="137">
        <v>730</v>
      </c>
      <c r="C88" s="98" t="s">
        <v>1622</v>
      </c>
      <c r="D88" s="161">
        <v>0.82299999999999995</v>
      </c>
      <c r="E88" s="161">
        <v>0.13</v>
      </c>
      <c r="F88" s="161">
        <v>1.4E-2</v>
      </c>
      <c r="G88" s="161">
        <v>1.3240000000000001</v>
      </c>
      <c r="H88" s="161">
        <v>0.45700000000000002</v>
      </c>
      <c r="I88" s="161">
        <v>1.4999999999999999E-2</v>
      </c>
      <c r="J88" s="161">
        <v>0.35699999999999998</v>
      </c>
      <c r="K88" s="161">
        <v>8.58</v>
      </c>
      <c r="L88" s="161">
        <v>8.0299999999999994</v>
      </c>
      <c r="M88" s="161">
        <v>18.52</v>
      </c>
      <c r="N88" s="161">
        <v>0.187</v>
      </c>
    </row>
    <row r="89" spans="1:14" ht="16.5">
      <c r="A89" s="2" t="str">
        <f t="shared" si="1"/>
        <v>740전체</v>
      </c>
      <c r="B89" s="137">
        <v>740</v>
      </c>
      <c r="C89" s="98" t="s">
        <v>1622</v>
      </c>
      <c r="D89" s="161">
        <v>0.877</v>
      </c>
      <c r="E89" s="161">
        <v>6.9000000000000006E-2</v>
      </c>
      <c r="F89" s="161">
        <v>8.0000000000000002E-3</v>
      </c>
      <c r="G89" s="161">
        <v>1.1890000000000001</v>
      </c>
      <c r="H89" s="161">
        <v>0.30399999999999999</v>
      </c>
      <c r="I89" s="161">
        <v>1.0999999999999999E-2</v>
      </c>
      <c r="J89" s="161">
        <v>0.26500000000000001</v>
      </c>
      <c r="K89" s="161">
        <v>8.44</v>
      </c>
      <c r="L89" s="161">
        <v>8.64</v>
      </c>
      <c r="M89" s="161">
        <v>16.27</v>
      </c>
      <c r="N89" s="161">
        <v>0.17299999999999999</v>
      </c>
    </row>
    <row r="90" spans="1:14" ht="16.5">
      <c r="A90" s="2" t="str">
        <f t="shared" si="1"/>
        <v>750전체</v>
      </c>
      <c r="B90" s="137">
        <v>750</v>
      </c>
      <c r="C90" s="98" t="s">
        <v>1622</v>
      </c>
      <c r="D90" s="161">
        <v>0.70299999999999996</v>
      </c>
      <c r="E90" s="161">
        <v>0.247</v>
      </c>
      <c r="F90" s="161">
        <v>1.4E-2</v>
      </c>
      <c r="G90" s="161">
        <v>1.129</v>
      </c>
      <c r="H90" s="161">
        <v>0.30399999999999999</v>
      </c>
      <c r="I90" s="161">
        <v>1.0999999999999999E-2</v>
      </c>
      <c r="J90" s="161">
        <v>0.27900000000000003</v>
      </c>
      <c r="K90" s="161">
        <v>10.09</v>
      </c>
      <c r="L90" s="161">
        <v>12.8</v>
      </c>
      <c r="M90" s="161">
        <v>19.899999999999999</v>
      </c>
      <c r="N90" s="161">
        <v>0.127</v>
      </c>
    </row>
    <row r="91" spans="1:14" ht="16.5">
      <c r="A91" s="2" t="str">
        <f t="shared" si="1"/>
        <v>761전체</v>
      </c>
      <c r="B91" s="137">
        <v>761</v>
      </c>
      <c r="C91" s="98" t="s">
        <v>1622</v>
      </c>
      <c r="D91" s="161">
        <v>0.872</v>
      </c>
      <c r="E91" s="161">
        <v>8.5000000000000006E-2</v>
      </c>
      <c r="F91" s="161">
        <v>1.0999999999999999E-2</v>
      </c>
      <c r="G91" s="161">
        <v>1.1519999999999999</v>
      </c>
      <c r="H91" s="161">
        <v>0.308</v>
      </c>
      <c r="I91" s="161">
        <v>7.0000000000000001E-3</v>
      </c>
      <c r="J91" s="161">
        <v>0.27400000000000002</v>
      </c>
      <c r="K91" s="161">
        <v>10.19</v>
      </c>
      <c r="L91" s="161">
        <v>5.17</v>
      </c>
      <c r="M91" s="161">
        <v>25.15</v>
      </c>
      <c r="N91" s="161">
        <v>0.252</v>
      </c>
    </row>
    <row r="92" spans="1:14" ht="16.5">
      <c r="A92" s="2" t="str">
        <f t="shared" si="1"/>
        <v>762전체</v>
      </c>
      <c r="B92" s="137">
        <v>762</v>
      </c>
      <c r="C92" s="98" t="s">
        <v>1622</v>
      </c>
      <c r="D92" s="161">
        <v>0.74199999999999999</v>
      </c>
      <c r="E92" s="161">
        <v>0.21099999999999999</v>
      </c>
      <c r="F92" s="161">
        <v>5.0000000000000001E-3</v>
      </c>
      <c r="G92" s="161">
        <v>1.1319999999999999</v>
      </c>
      <c r="H92" s="161">
        <v>0.35399999999999998</v>
      </c>
      <c r="I92" s="161">
        <v>3.3000000000000002E-2</v>
      </c>
      <c r="J92" s="161">
        <v>0.34200000000000003</v>
      </c>
      <c r="K92" s="161">
        <v>9.09</v>
      </c>
      <c r="L92" s="161">
        <v>9.52</v>
      </c>
      <c r="M92" s="161">
        <v>18.77</v>
      </c>
      <c r="N92" s="161">
        <v>0.16200000000000001</v>
      </c>
    </row>
    <row r="93" spans="1:14" ht="16.5">
      <c r="A93" s="2" t="str">
        <f t="shared" si="1"/>
        <v>770전체</v>
      </c>
      <c r="B93" s="137">
        <v>770</v>
      </c>
      <c r="C93" s="98" t="s">
        <v>1622</v>
      </c>
      <c r="D93" s="161">
        <v>0.84099999999999997</v>
      </c>
      <c r="E93" s="161">
        <v>0.11700000000000001</v>
      </c>
      <c r="F93" s="161">
        <v>5.0000000000000001E-3</v>
      </c>
      <c r="G93" s="161">
        <v>1.1080000000000001</v>
      </c>
      <c r="H93" s="161">
        <v>0.23799999999999999</v>
      </c>
      <c r="I93" s="161">
        <v>8.9999999999999993E-3</v>
      </c>
      <c r="J93" s="161">
        <v>0.223</v>
      </c>
      <c r="K93" s="161">
        <v>7.35</v>
      </c>
      <c r="L93" s="161">
        <v>8.11</v>
      </c>
      <c r="M93" s="161">
        <v>17.11</v>
      </c>
      <c r="N93" s="161">
        <v>0.20100000000000001</v>
      </c>
    </row>
    <row r="94" spans="1:14" ht="16.5">
      <c r="A94" s="2" t="str">
        <f t="shared" si="1"/>
        <v>791전체</v>
      </c>
      <c r="B94" s="137">
        <v>791</v>
      </c>
      <c r="C94" s="98" t="s">
        <v>1622</v>
      </c>
      <c r="D94" s="161">
        <v>0.66200000000000003</v>
      </c>
      <c r="E94" s="161">
        <v>0.28899999999999998</v>
      </c>
      <c r="F94" s="161">
        <v>1.6E-2</v>
      </c>
      <c r="G94" s="161">
        <v>0.74299999999999999</v>
      </c>
      <c r="H94" s="161">
        <v>0.40699999999999997</v>
      </c>
      <c r="I94" s="161">
        <v>2.8000000000000001E-2</v>
      </c>
      <c r="J94" s="161">
        <v>0.58399999999999996</v>
      </c>
      <c r="K94" s="161">
        <v>9.11</v>
      </c>
      <c r="L94" s="161">
        <v>15.78</v>
      </c>
      <c r="M94" s="161">
        <v>14.55</v>
      </c>
      <c r="N94" s="161">
        <v>0.104</v>
      </c>
    </row>
    <row r="95" spans="1:14" ht="16.5">
      <c r="A95" s="2" t="str">
        <f t="shared" si="1"/>
        <v>792전체</v>
      </c>
      <c r="B95" s="137">
        <v>792</v>
      </c>
      <c r="C95" s="98" t="s">
        <v>1622</v>
      </c>
      <c r="D95" s="161">
        <v>0.76300000000000001</v>
      </c>
      <c r="E95" s="161">
        <v>0.19900000000000001</v>
      </c>
      <c r="F95" s="161">
        <v>1.2E-2</v>
      </c>
      <c r="G95" s="161">
        <v>0.73499999999999999</v>
      </c>
      <c r="H95" s="161">
        <v>0.34799999999999998</v>
      </c>
      <c r="I95" s="161">
        <v>2.5999999999999999E-2</v>
      </c>
      <c r="J95" s="161">
        <v>0.50900000000000001</v>
      </c>
      <c r="K95" s="161">
        <v>11.73</v>
      </c>
      <c r="L95" s="161">
        <v>7.96</v>
      </c>
      <c r="M95" s="161">
        <v>12.41</v>
      </c>
      <c r="N95" s="161">
        <v>0.13</v>
      </c>
    </row>
    <row r="96" spans="1:14" ht="16.5">
      <c r="A96" s="2" t="str">
        <f t="shared" si="1"/>
        <v>793전체</v>
      </c>
      <c r="B96" s="137">
        <v>793</v>
      </c>
      <c r="C96" s="98" t="s">
        <v>1622</v>
      </c>
      <c r="D96" s="161">
        <v>0.77200000000000002</v>
      </c>
      <c r="E96" s="161">
        <v>0.17499999999999999</v>
      </c>
      <c r="F96" s="161">
        <v>8.9999999999999993E-3</v>
      </c>
      <c r="G96" s="161">
        <v>0.97199999999999998</v>
      </c>
      <c r="H96" s="161">
        <v>0.38600000000000001</v>
      </c>
      <c r="I96" s="161">
        <v>7.0000000000000001E-3</v>
      </c>
      <c r="J96" s="161">
        <v>0.40400000000000003</v>
      </c>
      <c r="K96" s="161">
        <v>10.220000000000001</v>
      </c>
      <c r="L96" s="161">
        <v>14.35</v>
      </c>
      <c r="M96" s="161">
        <v>9.59</v>
      </c>
      <c r="N96" s="161">
        <v>6.3E-2</v>
      </c>
    </row>
    <row r="97" spans="1:14" ht="16.5">
      <c r="A97" s="2" t="str">
        <f t="shared" si="1"/>
        <v>794전체</v>
      </c>
      <c r="B97" s="137">
        <v>794</v>
      </c>
      <c r="C97" s="98" t="s">
        <v>1622</v>
      </c>
      <c r="D97" s="161">
        <v>0.79600000000000004</v>
      </c>
      <c r="E97" s="161">
        <v>0.13800000000000001</v>
      </c>
      <c r="F97" s="161">
        <v>0.01</v>
      </c>
      <c r="G97" s="161">
        <v>1.2070000000000001</v>
      </c>
      <c r="H97" s="161">
        <v>0.44</v>
      </c>
      <c r="I97" s="161">
        <v>2.1999999999999999E-2</v>
      </c>
      <c r="J97" s="161">
        <v>0.38300000000000001</v>
      </c>
      <c r="K97" s="161">
        <v>7.62</v>
      </c>
      <c r="L97" s="161">
        <v>8.42</v>
      </c>
      <c r="M97" s="161">
        <v>14.21</v>
      </c>
      <c r="N97" s="161">
        <v>0.18</v>
      </c>
    </row>
    <row r="98" spans="1:14" ht="16.5">
      <c r="A98" s="2" t="str">
        <f t="shared" si="1"/>
        <v>795전체</v>
      </c>
      <c r="B98" s="137">
        <v>795</v>
      </c>
      <c r="C98" s="98" t="s">
        <v>1622</v>
      </c>
      <c r="D98" s="161">
        <v>0.627</v>
      </c>
      <c r="E98" s="161">
        <v>0.26800000000000002</v>
      </c>
      <c r="F98" s="161">
        <v>1.2999999999999999E-2</v>
      </c>
      <c r="G98" s="161">
        <v>0.91800000000000004</v>
      </c>
      <c r="H98" s="161">
        <v>0.29199999999999998</v>
      </c>
      <c r="I98" s="161">
        <v>1.2E-2</v>
      </c>
      <c r="J98" s="161">
        <v>0.33200000000000002</v>
      </c>
      <c r="K98" s="161">
        <v>9.19</v>
      </c>
      <c r="L98" s="161">
        <v>3.79</v>
      </c>
      <c r="M98" s="161">
        <v>17.59</v>
      </c>
      <c r="N98" s="161">
        <v>0.316</v>
      </c>
    </row>
    <row r="99" spans="1:14" ht="16.5">
      <c r="A99" s="2" t="str">
        <f t="shared" si="1"/>
        <v>799전체</v>
      </c>
      <c r="B99" s="137">
        <v>799</v>
      </c>
      <c r="C99" s="98" t="s">
        <v>1622</v>
      </c>
      <c r="D99" s="161">
        <v>0.627</v>
      </c>
      <c r="E99" s="161">
        <v>0.26800000000000002</v>
      </c>
      <c r="F99" s="161">
        <v>1.2999999999999999E-2</v>
      </c>
      <c r="G99" s="161">
        <v>0.91800000000000004</v>
      </c>
      <c r="H99" s="161">
        <v>0.29199999999999998</v>
      </c>
      <c r="I99" s="161">
        <v>1.2E-2</v>
      </c>
      <c r="J99" s="161">
        <v>0.33200000000000002</v>
      </c>
      <c r="K99" s="161">
        <v>9.19</v>
      </c>
      <c r="L99" s="161">
        <v>3.79</v>
      </c>
      <c r="M99" s="161">
        <v>17.59</v>
      </c>
      <c r="N99" s="161">
        <v>0.316</v>
      </c>
    </row>
    <row r="100" spans="1:14" ht="16.5">
      <c r="A100" s="2" t="str">
        <f t="shared" si="1"/>
        <v>811전체</v>
      </c>
      <c r="B100" s="137">
        <v>811</v>
      </c>
      <c r="C100" s="98" t="s">
        <v>1622</v>
      </c>
      <c r="D100" s="161">
        <v>0.39800000000000002</v>
      </c>
      <c r="E100" s="161">
        <v>0.33800000000000002</v>
      </c>
      <c r="F100" s="161">
        <v>1.2E-2</v>
      </c>
      <c r="G100" s="161">
        <v>0.53700000000000003</v>
      </c>
      <c r="H100" s="161">
        <v>0.25700000000000001</v>
      </c>
      <c r="I100" s="161">
        <v>0.40699999999999997</v>
      </c>
      <c r="J100" s="161">
        <v>1.2390000000000001</v>
      </c>
      <c r="K100" s="161">
        <v>5.33</v>
      </c>
      <c r="L100" s="161">
        <v>13.61</v>
      </c>
      <c r="M100" s="161">
        <v>11</v>
      </c>
      <c r="N100" s="161">
        <v>0.17</v>
      </c>
    </row>
    <row r="101" spans="1:14" ht="16.5">
      <c r="A101" s="2" t="str">
        <f t="shared" si="1"/>
        <v>812전체</v>
      </c>
      <c r="B101" s="137">
        <v>812</v>
      </c>
      <c r="C101" s="98" t="s">
        <v>1622</v>
      </c>
      <c r="D101" s="161">
        <v>0.57099999999999995</v>
      </c>
      <c r="E101" s="161">
        <v>0.33900000000000002</v>
      </c>
      <c r="F101" s="161">
        <v>1.2E-2</v>
      </c>
      <c r="G101" s="161">
        <v>0.56499999999999995</v>
      </c>
      <c r="H101" s="161">
        <v>0.44700000000000001</v>
      </c>
      <c r="I101" s="161">
        <v>4.3999999999999997E-2</v>
      </c>
      <c r="J101" s="161">
        <v>0.86899999999999999</v>
      </c>
      <c r="K101" s="161">
        <v>4.5599999999999996</v>
      </c>
      <c r="L101" s="161">
        <v>11.58</v>
      </c>
      <c r="M101" s="161">
        <v>19.739999999999998</v>
      </c>
      <c r="N101" s="161">
        <v>0.255</v>
      </c>
    </row>
    <row r="102" spans="1:14" ht="16.5">
      <c r="A102" s="2" t="str">
        <f t="shared" si="1"/>
        <v>821전체</v>
      </c>
      <c r="B102" s="137">
        <v>821</v>
      </c>
      <c r="C102" s="98" t="s">
        <v>1622</v>
      </c>
      <c r="D102" s="161">
        <v>0.63300000000000001</v>
      </c>
      <c r="E102" s="161">
        <v>0.30199999999999999</v>
      </c>
      <c r="F102" s="161">
        <v>0.02</v>
      </c>
      <c r="G102" s="161">
        <v>0.88100000000000001</v>
      </c>
      <c r="H102" s="161">
        <v>0.59599999999999997</v>
      </c>
      <c r="I102" s="161">
        <v>2.1999999999999999E-2</v>
      </c>
      <c r="J102" s="161">
        <v>0.70099999999999996</v>
      </c>
      <c r="K102" s="161">
        <v>9.9</v>
      </c>
      <c r="L102" s="161">
        <v>10.23</v>
      </c>
      <c r="M102" s="161">
        <v>16.98</v>
      </c>
      <c r="N102" s="161">
        <v>0.14000000000000001</v>
      </c>
    </row>
    <row r="103" spans="1:14" ht="16.5">
      <c r="A103" s="2" t="str">
        <f t="shared" si="1"/>
        <v>822전체</v>
      </c>
      <c r="B103" s="137">
        <v>822</v>
      </c>
      <c r="C103" s="98" t="s">
        <v>1622</v>
      </c>
      <c r="D103" s="161">
        <v>0</v>
      </c>
      <c r="E103" s="161">
        <v>0</v>
      </c>
      <c r="F103" s="161">
        <v>0</v>
      </c>
      <c r="G103" s="161">
        <v>0</v>
      </c>
      <c r="H103" s="161">
        <v>0</v>
      </c>
      <c r="I103" s="161">
        <v>0</v>
      </c>
      <c r="J103" s="161">
        <v>0</v>
      </c>
      <c r="K103" s="161">
        <v>0</v>
      </c>
      <c r="L103" s="161">
        <v>0</v>
      </c>
      <c r="M103" s="161">
        <v>0</v>
      </c>
      <c r="N103" s="161">
        <v>0</v>
      </c>
    </row>
    <row r="104" spans="1:14" ht="16.5">
      <c r="A104" s="2" t="str">
        <f t="shared" si="1"/>
        <v>911전체</v>
      </c>
      <c r="B104" s="137">
        <v>911</v>
      </c>
      <c r="C104" s="98" t="s">
        <v>1622</v>
      </c>
      <c r="D104" s="161">
        <v>0.73099999999999998</v>
      </c>
      <c r="E104" s="161">
        <v>0.19900000000000001</v>
      </c>
      <c r="F104" s="161">
        <v>1.4E-2</v>
      </c>
      <c r="G104" s="161">
        <v>0.83699999999999997</v>
      </c>
      <c r="H104" s="161">
        <v>0.34699999999999998</v>
      </c>
      <c r="I104" s="161">
        <v>1.2999999999999999E-2</v>
      </c>
      <c r="J104" s="161">
        <v>0.43099999999999999</v>
      </c>
      <c r="K104" s="161">
        <v>6.9</v>
      </c>
      <c r="L104" s="161">
        <v>9.27</v>
      </c>
      <c r="M104" s="161">
        <v>10.029999999999999</v>
      </c>
      <c r="N104" s="161">
        <v>0.153</v>
      </c>
    </row>
    <row r="105" spans="1:14" ht="16.5">
      <c r="A105" s="2" t="str">
        <f t="shared" si="1"/>
        <v>912전체</v>
      </c>
      <c r="B105" s="137">
        <v>912</v>
      </c>
      <c r="C105" s="98" t="s">
        <v>1622</v>
      </c>
      <c r="D105" s="161">
        <v>0.73499999999999999</v>
      </c>
      <c r="E105" s="161">
        <v>0.20599999999999999</v>
      </c>
      <c r="F105" s="161">
        <v>8.9999999999999993E-3</v>
      </c>
      <c r="G105" s="161">
        <v>1.278</v>
      </c>
      <c r="H105" s="161">
        <v>0.36299999999999999</v>
      </c>
      <c r="I105" s="161">
        <v>3.1E-2</v>
      </c>
      <c r="J105" s="161">
        <v>0.308</v>
      </c>
      <c r="K105" s="161">
        <v>6.9</v>
      </c>
      <c r="L105" s="161">
        <v>9.24</v>
      </c>
      <c r="M105" s="161">
        <v>10.47</v>
      </c>
      <c r="N105" s="161">
        <v>0.158</v>
      </c>
    </row>
    <row r="106" spans="1:14" ht="16.5">
      <c r="A106" s="2" t="str">
        <f t="shared" si="1"/>
        <v>913전체</v>
      </c>
      <c r="B106" s="137">
        <v>913</v>
      </c>
      <c r="C106" s="98" t="s">
        <v>1622</v>
      </c>
      <c r="D106" s="161">
        <v>0.83499999999999996</v>
      </c>
      <c r="E106" s="161">
        <v>0.105</v>
      </c>
      <c r="F106" s="161">
        <v>1.4E-2</v>
      </c>
      <c r="G106" s="161">
        <v>0.91900000000000004</v>
      </c>
      <c r="H106" s="161">
        <v>0.41899999999999998</v>
      </c>
      <c r="I106" s="161">
        <v>1.4E-2</v>
      </c>
      <c r="J106" s="161">
        <v>0.47</v>
      </c>
      <c r="K106" s="161">
        <v>5.53</v>
      </c>
      <c r="L106" s="161">
        <v>8.09</v>
      </c>
      <c r="M106" s="161">
        <v>10.51</v>
      </c>
      <c r="N106" s="161">
        <v>0.20899999999999999</v>
      </c>
    </row>
    <row r="107" spans="1:14" ht="16.5">
      <c r="A107" s="2" t="str">
        <f t="shared" si="1"/>
        <v>914전체</v>
      </c>
      <c r="B107" s="137">
        <v>914</v>
      </c>
      <c r="C107" s="98" t="s">
        <v>1622</v>
      </c>
      <c r="D107" s="161">
        <v>0.73099999999999998</v>
      </c>
      <c r="E107" s="161">
        <v>0.19400000000000001</v>
      </c>
      <c r="F107" s="161">
        <v>1.4E-2</v>
      </c>
      <c r="G107" s="161">
        <v>1.1719999999999999</v>
      </c>
      <c r="H107" s="161">
        <v>0.435</v>
      </c>
      <c r="I107" s="161">
        <v>0.01</v>
      </c>
      <c r="J107" s="161">
        <v>0.379</v>
      </c>
      <c r="K107" s="161">
        <v>7.19</v>
      </c>
      <c r="L107" s="161">
        <v>9.2100000000000009</v>
      </c>
      <c r="M107" s="161">
        <v>12.3</v>
      </c>
      <c r="N107" s="161">
        <v>0.16600000000000001</v>
      </c>
    </row>
    <row r="108" spans="1:14" ht="16.5">
      <c r="A108" s="2" t="str">
        <f t="shared" si="1"/>
        <v>915전체</v>
      </c>
      <c r="B108" s="137">
        <v>915</v>
      </c>
      <c r="C108" s="98" t="s">
        <v>1622</v>
      </c>
      <c r="D108" s="161">
        <v>0.83099999999999996</v>
      </c>
      <c r="E108" s="161">
        <v>0.10199999999999999</v>
      </c>
      <c r="F108" s="161">
        <v>1.0999999999999999E-2</v>
      </c>
      <c r="G108" s="161">
        <v>0.90500000000000003</v>
      </c>
      <c r="H108" s="161">
        <v>0.443</v>
      </c>
      <c r="I108" s="161">
        <v>2.5000000000000001E-2</v>
      </c>
      <c r="J108" s="161">
        <v>0.51700000000000002</v>
      </c>
      <c r="K108" s="161">
        <v>5.58</v>
      </c>
      <c r="L108" s="161">
        <v>9.5</v>
      </c>
      <c r="M108" s="161">
        <v>11.01</v>
      </c>
      <c r="N108" s="161">
        <v>0.19400000000000001</v>
      </c>
    </row>
    <row r="109" spans="1:14" ht="16.5">
      <c r="A109" s="2" t="str">
        <f t="shared" si="1"/>
        <v>919전체</v>
      </c>
      <c r="B109" s="137">
        <v>919</v>
      </c>
      <c r="C109" s="98" t="s">
        <v>1622</v>
      </c>
      <c r="D109" s="161">
        <v>0.78100000000000003</v>
      </c>
      <c r="E109" s="161">
        <v>0.13800000000000001</v>
      </c>
      <c r="F109" s="161">
        <v>1.2999999999999999E-2</v>
      </c>
      <c r="G109" s="161">
        <v>0.51600000000000001</v>
      </c>
      <c r="H109" s="161">
        <v>0.32</v>
      </c>
      <c r="I109" s="161">
        <v>1.2999999999999999E-2</v>
      </c>
      <c r="J109" s="161">
        <v>0.64600000000000002</v>
      </c>
      <c r="K109" s="161">
        <v>5.61</v>
      </c>
      <c r="L109" s="161">
        <v>6.99</v>
      </c>
      <c r="M109" s="161">
        <v>11.25</v>
      </c>
      <c r="N109" s="161">
        <v>0.23200000000000001</v>
      </c>
    </row>
    <row r="110" spans="1:14" ht="16.5">
      <c r="A110" s="2" t="str">
        <f t="shared" si="1"/>
        <v>921전체</v>
      </c>
      <c r="B110" s="137">
        <v>921</v>
      </c>
      <c r="C110" s="98" t="s">
        <v>1622</v>
      </c>
      <c r="D110" s="161">
        <v>0.71099999999999997</v>
      </c>
      <c r="E110" s="161">
        <v>0.22800000000000001</v>
      </c>
      <c r="F110" s="161">
        <v>2.1000000000000001E-2</v>
      </c>
      <c r="G110" s="161">
        <v>0.85799999999999998</v>
      </c>
      <c r="H110" s="161">
        <v>0.29099999999999998</v>
      </c>
      <c r="I110" s="161">
        <v>5.1999999999999998E-2</v>
      </c>
      <c r="J110" s="161">
        <v>0.4</v>
      </c>
      <c r="K110" s="161">
        <v>8.09</v>
      </c>
      <c r="L110" s="161">
        <v>9.68</v>
      </c>
      <c r="M110" s="161">
        <v>35.869999999999997</v>
      </c>
      <c r="N110" s="161">
        <v>0.19900000000000001</v>
      </c>
    </row>
    <row r="111" spans="1:14" ht="16.5">
      <c r="A111" s="2" t="str">
        <f t="shared" si="1"/>
        <v>922전체</v>
      </c>
      <c r="B111" s="137">
        <v>922</v>
      </c>
      <c r="C111" s="98" t="s">
        <v>1622</v>
      </c>
      <c r="D111" s="161">
        <v>0.54700000000000004</v>
      </c>
      <c r="E111" s="161">
        <v>0.35399999999999998</v>
      </c>
      <c r="F111" s="161">
        <v>2.1999999999999999E-2</v>
      </c>
      <c r="G111" s="161">
        <v>0.91</v>
      </c>
      <c r="H111" s="161">
        <v>0.14699999999999999</v>
      </c>
      <c r="I111" s="161">
        <v>9.1999999999999998E-2</v>
      </c>
      <c r="J111" s="161">
        <v>0.26300000000000001</v>
      </c>
      <c r="K111" s="161">
        <v>6.23</v>
      </c>
      <c r="L111" s="161">
        <v>43.06</v>
      </c>
      <c r="M111" s="161">
        <v>14.9</v>
      </c>
      <c r="N111" s="161">
        <v>0.11700000000000001</v>
      </c>
    </row>
    <row r="112" spans="1:14" ht="16.5">
      <c r="A112" s="2" t="str">
        <f t="shared" si="1"/>
        <v>923전체</v>
      </c>
      <c r="B112" s="137">
        <v>923</v>
      </c>
      <c r="C112" s="98" t="s">
        <v>1622</v>
      </c>
      <c r="D112" s="161">
        <v>0.38100000000000001</v>
      </c>
      <c r="E112" s="161">
        <v>0.51600000000000001</v>
      </c>
      <c r="F112" s="161">
        <v>3.6999999999999998E-2</v>
      </c>
      <c r="G112" s="161">
        <v>0.88</v>
      </c>
      <c r="H112" s="161">
        <v>0.44900000000000001</v>
      </c>
      <c r="I112" s="161">
        <v>1.4999999999999999E-2</v>
      </c>
      <c r="J112" s="161">
        <v>0.52700000000000002</v>
      </c>
      <c r="K112" s="161">
        <v>7.51</v>
      </c>
      <c r="L112" s="161">
        <v>68.89</v>
      </c>
      <c r="M112" s="161">
        <v>62.69</v>
      </c>
      <c r="N112" s="161">
        <v>0.13200000000000001</v>
      </c>
    </row>
    <row r="113" spans="1:14" ht="16.5">
      <c r="A113" s="2" t="str">
        <f t="shared" si="1"/>
        <v>924전체</v>
      </c>
      <c r="B113" s="137">
        <v>924</v>
      </c>
      <c r="C113" s="98" t="s">
        <v>1622</v>
      </c>
      <c r="D113" s="161">
        <v>0.68</v>
      </c>
      <c r="E113" s="161">
        <v>0.20899999999999999</v>
      </c>
      <c r="F113" s="161">
        <v>2.1000000000000001E-2</v>
      </c>
      <c r="G113" s="161">
        <v>0.79</v>
      </c>
      <c r="H113" s="161">
        <v>0.42699999999999999</v>
      </c>
      <c r="I113" s="161">
        <v>5.2999999999999999E-2</v>
      </c>
      <c r="J113" s="161">
        <v>0.60699999999999998</v>
      </c>
      <c r="K113" s="161">
        <v>10.64</v>
      </c>
      <c r="L113" s="161">
        <v>29.12</v>
      </c>
      <c r="M113" s="161">
        <v>35.81</v>
      </c>
      <c r="N113" s="161">
        <v>0.1</v>
      </c>
    </row>
    <row r="114" spans="1:14" ht="16.5">
      <c r="A114" s="2" t="str">
        <f t="shared" si="1"/>
        <v>929전체</v>
      </c>
      <c r="B114" s="137">
        <v>929</v>
      </c>
      <c r="C114" s="98" t="s">
        <v>1622</v>
      </c>
      <c r="D114" s="161">
        <v>0.48899999999999999</v>
      </c>
      <c r="E114" s="161">
        <v>0.40100000000000002</v>
      </c>
      <c r="F114" s="161">
        <v>1.7000000000000001E-2</v>
      </c>
      <c r="G114" s="161">
        <v>0.88800000000000001</v>
      </c>
      <c r="H114" s="161">
        <v>0.123</v>
      </c>
      <c r="I114" s="161">
        <v>2.3E-2</v>
      </c>
      <c r="J114" s="161">
        <v>0.16400000000000001</v>
      </c>
      <c r="K114" s="161">
        <v>8.73</v>
      </c>
      <c r="L114" s="161">
        <v>30.87</v>
      </c>
      <c r="M114" s="161">
        <v>28.39</v>
      </c>
      <c r="N114" s="161">
        <v>0.112</v>
      </c>
    </row>
    <row r="115" spans="1:14" ht="16.5">
      <c r="A115" s="2" t="str">
        <f t="shared" si="1"/>
        <v>111상위25%</v>
      </c>
      <c r="B115" s="137">
        <v>111</v>
      </c>
      <c r="C115" s="98" t="s">
        <v>1623</v>
      </c>
      <c r="D115" s="162">
        <v>0.46500000000000002</v>
      </c>
      <c r="E115" s="162">
        <v>0.24299999999999999</v>
      </c>
      <c r="F115" s="162">
        <v>3.9E-2</v>
      </c>
      <c r="G115" s="162">
        <v>0.32300000000000001</v>
      </c>
      <c r="H115" s="162">
        <v>0.7</v>
      </c>
      <c r="I115" s="162">
        <v>7.0000000000000001E-3</v>
      </c>
      <c r="J115" s="162">
        <v>2.1890000000000001</v>
      </c>
      <c r="K115" s="162">
        <v>5.1100000000000003</v>
      </c>
      <c r="L115" s="162">
        <v>8.3800000000000008</v>
      </c>
      <c r="M115" s="162">
        <v>24.18</v>
      </c>
      <c r="N115" s="162">
        <v>0.27400000000000002</v>
      </c>
    </row>
    <row r="116" spans="1:14" ht="16.5">
      <c r="A116" s="2" t="str">
        <f t="shared" si="1"/>
        <v>112상위25%</v>
      </c>
      <c r="B116" s="137">
        <v>112</v>
      </c>
      <c r="C116" s="98" t="s">
        <v>1623</v>
      </c>
      <c r="D116" s="162">
        <v>0.41799999999999998</v>
      </c>
      <c r="E116" s="162">
        <v>0.37</v>
      </c>
      <c r="F116" s="162">
        <v>1.0999999999999999E-2</v>
      </c>
      <c r="G116" s="162">
        <v>0.59299999999999997</v>
      </c>
      <c r="H116" s="162">
        <v>0.182</v>
      </c>
      <c r="I116" s="162">
        <v>1.0999999999999999E-2</v>
      </c>
      <c r="J116" s="162">
        <v>0.32500000000000001</v>
      </c>
      <c r="K116" s="162">
        <v>4.42</v>
      </c>
      <c r="L116" s="162">
        <v>2.04</v>
      </c>
      <c r="M116" s="162">
        <v>20.76</v>
      </c>
      <c r="N116" s="162">
        <v>0.66800000000000004</v>
      </c>
    </row>
    <row r="117" spans="1:14" ht="16.5">
      <c r="A117" s="2" t="str">
        <f t="shared" si="1"/>
        <v>113상위25%</v>
      </c>
      <c r="B117" s="137">
        <v>113</v>
      </c>
      <c r="C117" s="98" t="s">
        <v>1623</v>
      </c>
      <c r="D117" s="162">
        <v>0.61499999999999999</v>
      </c>
      <c r="E117" s="162">
        <v>0.13400000000000001</v>
      </c>
      <c r="F117" s="162">
        <v>4.9000000000000002E-2</v>
      </c>
      <c r="G117" s="162">
        <v>0.26800000000000002</v>
      </c>
      <c r="H117" s="162">
        <v>0.75</v>
      </c>
      <c r="I117" s="162">
        <v>0</v>
      </c>
      <c r="J117" s="162">
        <v>2.8010000000000002</v>
      </c>
      <c r="K117" s="162">
        <v>3.8</v>
      </c>
      <c r="L117" s="162">
        <v>2.64</v>
      </c>
      <c r="M117" s="162">
        <v>14.03</v>
      </c>
      <c r="N117" s="162">
        <v>0.57099999999999995</v>
      </c>
    </row>
    <row r="118" spans="1:14" ht="16.5">
      <c r="A118" s="2" t="str">
        <f t="shared" si="1"/>
        <v>114상위25%</v>
      </c>
      <c r="B118" s="137">
        <v>114</v>
      </c>
      <c r="C118" s="98" t="s">
        <v>1623</v>
      </c>
      <c r="D118" s="162">
        <v>0.55700000000000005</v>
      </c>
      <c r="E118" s="162">
        <v>0.185</v>
      </c>
      <c r="F118" s="162">
        <v>4.7E-2</v>
      </c>
      <c r="G118" s="162">
        <v>0.39400000000000002</v>
      </c>
      <c r="H118" s="162">
        <v>0.63200000000000001</v>
      </c>
      <c r="I118" s="162">
        <v>8.9999999999999993E-3</v>
      </c>
      <c r="J118" s="162">
        <v>1.6240000000000001</v>
      </c>
      <c r="K118" s="162">
        <v>4.9000000000000004</v>
      </c>
      <c r="L118" s="162">
        <v>10.69</v>
      </c>
      <c r="M118" s="162">
        <v>22.51</v>
      </c>
      <c r="N118" s="162">
        <v>0.253</v>
      </c>
    </row>
    <row r="119" spans="1:14" ht="16.5">
      <c r="A119" s="2" t="str">
        <f t="shared" si="1"/>
        <v>115상위25%</v>
      </c>
      <c r="B119" s="137">
        <v>115</v>
      </c>
      <c r="C119" s="98" t="s">
        <v>1623</v>
      </c>
      <c r="D119" s="162">
        <v>0.50900000000000001</v>
      </c>
      <c r="E119" s="162">
        <v>0.223</v>
      </c>
      <c r="F119" s="162">
        <v>2.1000000000000001E-2</v>
      </c>
      <c r="G119" s="162">
        <v>0.153</v>
      </c>
      <c r="H119" s="162">
        <v>0.751</v>
      </c>
      <c r="I119" s="162">
        <v>0</v>
      </c>
      <c r="J119" s="162">
        <v>4.9009999999999998</v>
      </c>
      <c r="K119" s="162">
        <v>2.86</v>
      </c>
      <c r="L119" s="162">
        <v>2.42</v>
      </c>
      <c r="M119" s="162">
        <v>62.14</v>
      </c>
      <c r="N119" s="162">
        <v>0.747</v>
      </c>
    </row>
    <row r="120" spans="1:14" ht="16.5">
      <c r="A120" s="2" t="str">
        <f t="shared" si="1"/>
        <v>119상위25%</v>
      </c>
      <c r="B120" s="137">
        <v>119</v>
      </c>
      <c r="C120" s="98" t="s">
        <v>1623</v>
      </c>
      <c r="D120" s="162">
        <v>0.153</v>
      </c>
      <c r="E120" s="162">
        <v>0.14599999999999999</v>
      </c>
      <c r="F120" s="162">
        <v>1.7999999999999999E-2</v>
      </c>
      <c r="G120" s="162">
        <v>0.254</v>
      </c>
      <c r="H120" s="162">
        <v>0.91300000000000003</v>
      </c>
      <c r="I120" s="162">
        <v>0</v>
      </c>
      <c r="J120" s="162">
        <v>3.6</v>
      </c>
      <c r="K120" s="162">
        <v>22.64</v>
      </c>
      <c r="L120" s="162">
        <v>36.44</v>
      </c>
      <c r="M120" s="162">
        <v>247.39</v>
      </c>
      <c r="N120" s="162">
        <v>6.8000000000000005E-2</v>
      </c>
    </row>
    <row r="121" spans="1:14" ht="16.5">
      <c r="A121" s="2" t="str">
        <f t="shared" si="1"/>
        <v>121상위25%</v>
      </c>
      <c r="B121" s="137">
        <v>121</v>
      </c>
      <c r="C121" s="98" t="s">
        <v>1623</v>
      </c>
      <c r="D121" s="162">
        <v>0.48899999999999999</v>
      </c>
      <c r="E121" s="162">
        <v>0.30399999999999999</v>
      </c>
      <c r="F121" s="162">
        <v>1.4999999999999999E-2</v>
      </c>
      <c r="G121" s="162">
        <v>0.94799999999999995</v>
      </c>
      <c r="H121" s="162">
        <v>0.51500000000000001</v>
      </c>
      <c r="I121" s="162">
        <v>2E-3</v>
      </c>
      <c r="J121" s="162">
        <v>0.54600000000000004</v>
      </c>
      <c r="K121" s="162">
        <v>8.18</v>
      </c>
      <c r="L121" s="162">
        <v>30.18</v>
      </c>
      <c r="M121" s="162">
        <v>37.69</v>
      </c>
      <c r="N121" s="162">
        <v>0.129</v>
      </c>
    </row>
    <row r="122" spans="1:14" ht="16.5">
      <c r="A122" s="2" t="str">
        <f t="shared" si="1"/>
        <v>122상위25%</v>
      </c>
      <c r="B122" s="137">
        <v>122</v>
      </c>
      <c r="C122" s="98" t="s">
        <v>1623</v>
      </c>
      <c r="D122" s="162">
        <v>0.77700000000000002</v>
      </c>
      <c r="E122" s="162">
        <v>4.5999999999999999E-2</v>
      </c>
      <c r="F122" s="162">
        <v>1.9E-2</v>
      </c>
      <c r="G122" s="162">
        <v>0.65900000000000003</v>
      </c>
      <c r="H122" s="162">
        <v>0.222</v>
      </c>
      <c r="I122" s="162">
        <v>4.0000000000000001E-3</v>
      </c>
      <c r="J122" s="162">
        <v>0.34300000000000003</v>
      </c>
      <c r="K122" s="162">
        <v>32.92</v>
      </c>
      <c r="L122" s="162">
        <v>0.97</v>
      </c>
      <c r="M122" s="162">
        <v>24.9</v>
      </c>
      <c r="N122" s="162">
        <v>1.022</v>
      </c>
    </row>
    <row r="123" spans="1:14" ht="16.5">
      <c r="A123" s="2" t="str">
        <f t="shared" si="1"/>
        <v>123상위25%</v>
      </c>
      <c r="B123" s="137">
        <v>123</v>
      </c>
      <c r="C123" s="98" t="s">
        <v>1623</v>
      </c>
      <c r="D123" s="162">
        <v>0.64300000000000002</v>
      </c>
      <c r="E123" s="162">
        <v>9.4E-2</v>
      </c>
      <c r="F123" s="162">
        <v>2.4E-2</v>
      </c>
      <c r="G123" s="162">
        <v>0.82699999999999996</v>
      </c>
      <c r="H123" s="162">
        <v>0.62</v>
      </c>
      <c r="I123" s="162">
        <v>8.9999999999999993E-3</v>
      </c>
      <c r="J123" s="162">
        <v>0.76100000000000001</v>
      </c>
      <c r="K123" s="162">
        <v>7.88</v>
      </c>
      <c r="L123" s="162">
        <v>17.05</v>
      </c>
      <c r="M123" s="162">
        <v>15.77</v>
      </c>
      <c r="N123" s="162">
        <v>0.122</v>
      </c>
    </row>
    <row r="124" spans="1:14" ht="16.5">
      <c r="A124" s="2" t="str">
        <f t="shared" si="1"/>
        <v>124상위25%</v>
      </c>
      <c r="B124" s="137">
        <v>124</v>
      </c>
      <c r="C124" s="98" t="s">
        <v>1623</v>
      </c>
      <c r="D124" s="162">
        <v>0.44900000000000001</v>
      </c>
      <c r="E124" s="162">
        <v>0.251</v>
      </c>
      <c r="F124" s="162">
        <v>1.9E-2</v>
      </c>
      <c r="G124" s="162">
        <v>0.52</v>
      </c>
      <c r="H124" s="162">
        <v>0.68500000000000005</v>
      </c>
      <c r="I124" s="162">
        <v>7.0000000000000001E-3</v>
      </c>
      <c r="J124" s="162">
        <v>1.331</v>
      </c>
      <c r="K124" s="162">
        <v>13.36</v>
      </c>
      <c r="L124" s="162">
        <v>9.8699999999999992</v>
      </c>
      <c r="M124" s="162">
        <v>35.909999999999997</v>
      </c>
      <c r="N124" s="162">
        <v>0.14799999999999999</v>
      </c>
    </row>
    <row r="125" spans="1:14" ht="16.5">
      <c r="A125" s="2" t="str">
        <f t="shared" si="1"/>
        <v>129상위25%</v>
      </c>
      <c r="B125" s="137">
        <v>129</v>
      </c>
      <c r="C125" s="98" t="s">
        <v>1623</v>
      </c>
      <c r="D125" s="162">
        <v>0.69399999999999995</v>
      </c>
      <c r="E125" s="162">
        <v>0.05</v>
      </c>
      <c r="F125" s="162">
        <v>3.6999999999999998E-2</v>
      </c>
      <c r="G125" s="162">
        <v>0.66300000000000003</v>
      </c>
      <c r="H125" s="162">
        <v>0.56699999999999995</v>
      </c>
      <c r="I125" s="162">
        <v>0</v>
      </c>
      <c r="J125" s="162">
        <v>0.85499999999999998</v>
      </c>
      <c r="K125" s="162">
        <v>23.42</v>
      </c>
      <c r="L125" s="162">
        <v>5.51</v>
      </c>
      <c r="M125" s="162">
        <v>24.34</v>
      </c>
      <c r="N125" s="162">
        <v>0.183</v>
      </c>
    </row>
    <row r="126" spans="1:14" ht="16.5">
      <c r="A126" s="2" t="str">
        <f t="shared" si="1"/>
        <v>211상위25%</v>
      </c>
      <c r="B126" s="137">
        <v>211</v>
      </c>
      <c r="C126" s="98" t="s">
        <v>1623</v>
      </c>
      <c r="D126" s="162">
        <v>0.72199999999999998</v>
      </c>
      <c r="E126" s="162">
        <v>0.128</v>
      </c>
      <c r="F126" s="162">
        <v>1.4E-2</v>
      </c>
      <c r="G126" s="162">
        <v>0.48</v>
      </c>
      <c r="H126" s="162">
        <v>0.436</v>
      </c>
      <c r="I126" s="162">
        <v>3.0000000000000001E-3</v>
      </c>
      <c r="J126" s="162">
        <v>0.91400000000000003</v>
      </c>
      <c r="K126" s="162">
        <v>3.51</v>
      </c>
      <c r="L126" s="162">
        <v>5.72</v>
      </c>
      <c r="M126" s="162">
        <v>19.55</v>
      </c>
      <c r="N126" s="162">
        <v>0.40899999999999997</v>
      </c>
    </row>
    <row r="127" spans="1:14" ht="16.5">
      <c r="A127" s="2" t="str">
        <f t="shared" si="1"/>
        <v>212상위25%</v>
      </c>
      <c r="B127" s="137">
        <v>212</v>
      </c>
      <c r="C127" s="98" t="s">
        <v>1623</v>
      </c>
      <c r="D127" s="162">
        <v>0.374</v>
      </c>
      <c r="E127" s="162">
        <v>0.23100000000000001</v>
      </c>
      <c r="F127" s="162">
        <v>1.2E-2</v>
      </c>
      <c r="G127" s="162">
        <v>0.32300000000000001</v>
      </c>
      <c r="H127" s="162">
        <v>0.13700000000000001</v>
      </c>
      <c r="I127" s="162">
        <v>4.0000000000000001E-3</v>
      </c>
      <c r="J127" s="162">
        <v>0.434</v>
      </c>
      <c r="K127" s="162">
        <v>3.84</v>
      </c>
      <c r="L127" s="162">
        <v>3.07</v>
      </c>
      <c r="M127" s="162">
        <v>89.26</v>
      </c>
      <c r="N127" s="162">
        <v>0.57599999999999996</v>
      </c>
    </row>
    <row r="128" spans="1:14" ht="16.5">
      <c r="A128" s="2" t="str">
        <f t="shared" si="1"/>
        <v>213상위25%</v>
      </c>
      <c r="B128" s="137">
        <v>213</v>
      </c>
      <c r="C128" s="98" t="s">
        <v>1623</v>
      </c>
      <c r="D128" s="162">
        <v>0.77800000000000002</v>
      </c>
      <c r="E128" s="162">
        <v>6.2E-2</v>
      </c>
      <c r="F128" s="162">
        <v>3.0000000000000001E-3</v>
      </c>
      <c r="G128" s="162">
        <v>0.60399999999999998</v>
      </c>
      <c r="H128" s="162">
        <v>0.19400000000000001</v>
      </c>
      <c r="I128" s="162">
        <v>2E-3</v>
      </c>
      <c r="J128" s="162">
        <v>0.32400000000000001</v>
      </c>
      <c r="K128" s="162">
        <v>5.15</v>
      </c>
      <c r="L128" s="162">
        <v>3.48</v>
      </c>
      <c r="M128" s="162">
        <v>32.299999999999997</v>
      </c>
      <c r="N128" s="162">
        <v>0.45100000000000001</v>
      </c>
    </row>
    <row r="129" spans="1:14" ht="16.5">
      <c r="A129" s="2" t="str">
        <f t="shared" si="1"/>
        <v>214상위25%</v>
      </c>
      <c r="B129" s="137">
        <v>214</v>
      </c>
      <c r="C129" s="98" t="s">
        <v>1623</v>
      </c>
      <c r="D129" s="162">
        <v>0.46700000000000003</v>
      </c>
      <c r="E129" s="162">
        <v>0.28799999999999998</v>
      </c>
      <c r="F129" s="162">
        <v>8.0000000000000002E-3</v>
      </c>
      <c r="G129" s="162">
        <v>0.42499999999999999</v>
      </c>
      <c r="H129" s="162">
        <v>0.23599999999999999</v>
      </c>
      <c r="I129" s="162">
        <v>6.9000000000000006E-2</v>
      </c>
      <c r="J129" s="162">
        <v>0.72</v>
      </c>
      <c r="K129" s="162">
        <v>3.5</v>
      </c>
      <c r="L129" s="162">
        <v>5.83</v>
      </c>
      <c r="M129" s="162">
        <v>21.12</v>
      </c>
      <c r="N129" s="162">
        <v>0.41</v>
      </c>
    </row>
    <row r="130" spans="1:14" ht="16.5">
      <c r="A130" s="2" t="str">
        <f t="shared" si="1"/>
        <v>215상위25%</v>
      </c>
      <c r="B130" s="137">
        <v>215</v>
      </c>
      <c r="C130" s="98" t="s">
        <v>1623</v>
      </c>
      <c r="D130" s="162">
        <v>0.39800000000000002</v>
      </c>
      <c r="E130" s="162">
        <v>0.40500000000000003</v>
      </c>
      <c r="F130" s="162">
        <v>1.2E-2</v>
      </c>
      <c r="G130" s="162">
        <v>1.044</v>
      </c>
      <c r="H130" s="162">
        <v>0.29399999999999998</v>
      </c>
      <c r="I130" s="162">
        <v>3.1E-2</v>
      </c>
      <c r="J130" s="162">
        <v>0.311</v>
      </c>
      <c r="K130" s="162">
        <v>9.7200000000000006</v>
      </c>
      <c r="L130" s="162">
        <v>13.07</v>
      </c>
      <c r="M130" s="162">
        <v>24.53</v>
      </c>
      <c r="N130" s="162">
        <v>0.13900000000000001</v>
      </c>
    </row>
    <row r="131" spans="1:14" ht="16.5">
      <c r="A131" s="2" t="str">
        <f t="shared" ref="A131:A194" si="2">B131&amp;C131</f>
        <v>219상위25%</v>
      </c>
      <c r="B131" s="137">
        <v>219</v>
      </c>
      <c r="C131" s="98" t="s">
        <v>1623</v>
      </c>
      <c r="D131" s="162">
        <v>0.64700000000000002</v>
      </c>
      <c r="E131" s="162">
        <v>0.14599999999999999</v>
      </c>
      <c r="F131" s="162">
        <v>8.9999999999999993E-3</v>
      </c>
      <c r="G131" s="162">
        <v>0.56100000000000005</v>
      </c>
      <c r="H131" s="162">
        <v>0.19900000000000001</v>
      </c>
      <c r="I131" s="162">
        <v>0.06</v>
      </c>
      <c r="J131" s="162">
        <v>0.46200000000000002</v>
      </c>
      <c r="K131" s="162">
        <v>6.04</v>
      </c>
      <c r="L131" s="162">
        <v>9.4</v>
      </c>
      <c r="M131" s="162">
        <v>13.13</v>
      </c>
      <c r="N131" s="162">
        <v>0.19600000000000001</v>
      </c>
    </row>
    <row r="132" spans="1:14" ht="16.5">
      <c r="A132" s="2" t="str">
        <f t="shared" si="2"/>
        <v>221상위25%</v>
      </c>
      <c r="B132" s="137">
        <v>221</v>
      </c>
      <c r="C132" s="98" t="s">
        <v>1623</v>
      </c>
      <c r="D132" s="162">
        <v>0.78</v>
      </c>
      <c r="E132" s="162">
        <v>9.0999999999999998E-2</v>
      </c>
      <c r="F132" s="162">
        <v>6.0000000000000001E-3</v>
      </c>
      <c r="G132" s="162">
        <v>1.0649999999999999</v>
      </c>
      <c r="H132" s="162">
        <v>0.41199999999999998</v>
      </c>
      <c r="I132" s="162">
        <v>4.5999999999999999E-2</v>
      </c>
      <c r="J132" s="162">
        <v>0.43</v>
      </c>
      <c r="K132" s="162">
        <v>6.39</v>
      </c>
      <c r="L132" s="162">
        <v>10.38</v>
      </c>
      <c r="M132" s="162">
        <v>15.62</v>
      </c>
      <c r="N132" s="162">
        <v>0.189</v>
      </c>
    </row>
    <row r="133" spans="1:14" ht="16.5">
      <c r="A133" s="2" t="str">
        <f t="shared" si="2"/>
        <v>222상위25%</v>
      </c>
      <c r="B133" s="137">
        <v>222</v>
      </c>
      <c r="C133" s="98" t="s">
        <v>1623</v>
      </c>
      <c r="D133" s="162">
        <v>0.55700000000000005</v>
      </c>
      <c r="E133" s="162">
        <v>0.255</v>
      </c>
      <c r="F133" s="162">
        <v>2.5000000000000001E-2</v>
      </c>
      <c r="G133" s="162">
        <v>0.68600000000000005</v>
      </c>
      <c r="H133" s="162">
        <v>0.373</v>
      </c>
      <c r="I133" s="162">
        <v>3.6999999999999998E-2</v>
      </c>
      <c r="J133" s="162">
        <v>0.59799999999999998</v>
      </c>
      <c r="K133" s="162">
        <v>5.52</v>
      </c>
      <c r="L133" s="162">
        <v>6.13</v>
      </c>
      <c r="M133" s="162">
        <v>13</v>
      </c>
      <c r="N133" s="162">
        <v>0.26800000000000002</v>
      </c>
    </row>
    <row r="134" spans="1:14" ht="16.5">
      <c r="A134" s="2" t="str">
        <f t="shared" si="2"/>
        <v>223상위25%</v>
      </c>
      <c r="B134" s="137">
        <v>223</v>
      </c>
      <c r="C134" s="98" t="s">
        <v>1623</v>
      </c>
      <c r="D134" s="162">
        <v>0.73399999999999999</v>
      </c>
      <c r="E134" s="162">
        <v>0.111</v>
      </c>
      <c r="F134" s="162">
        <v>1.0999999999999999E-2</v>
      </c>
      <c r="G134" s="162">
        <v>0.79800000000000004</v>
      </c>
      <c r="H134" s="162">
        <v>0.42399999999999999</v>
      </c>
      <c r="I134" s="162">
        <v>2.1999999999999999E-2</v>
      </c>
      <c r="J134" s="162">
        <v>0.55800000000000005</v>
      </c>
      <c r="K134" s="162">
        <v>5.56</v>
      </c>
      <c r="L134" s="162">
        <v>12.57</v>
      </c>
      <c r="M134" s="162">
        <v>14.24</v>
      </c>
      <c r="N134" s="162">
        <v>0.189</v>
      </c>
    </row>
    <row r="135" spans="1:14" ht="16.5">
      <c r="A135" s="2" t="str">
        <f t="shared" si="2"/>
        <v>224상위25%</v>
      </c>
      <c r="B135" s="137">
        <v>224</v>
      </c>
      <c r="C135" s="98" t="s">
        <v>1623</v>
      </c>
      <c r="D135" s="162">
        <v>0.70899999999999996</v>
      </c>
      <c r="E135" s="162">
        <v>0.121</v>
      </c>
      <c r="F135" s="162">
        <v>1.6E-2</v>
      </c>
      <c r="G135" s="162">
        <v>0.72199999999999998</v>
      </c>
      <c r="H135" s="162">
        <v>0.49399999999999999</v>
      </c>
      <c r="I135" s="162">
        <v>8.0000000000000002E-3</v>
      </c>
      <c r="J135" s="162">
        <v>0.69499999999999995</v>
      </c>
      <c r="K135" s="162">
        <v>4.9400000000000004</v>
      </c>
      <c r="L135" s="162">
        <v>10.48</v>
      </c>
      <c r="M135" s="162">
        <v>14.16</v>
      </c>
      <c r="N135" s="162">
        <v>0.22700000000000001</v>
      </c>
    </row>
    <row r="136" spans="1:14" ht="16.5">
      <c r="A136" s="2" t="str">
        <f t="shared" si="2"/>
        <v>225상위25%</v>
      </c>
      <c r="B136" s="137">
        <v>225</v>
      </c>
      <c r="C136" s="98" t="s">
        <v>1623</v>
      </c>
      <c r="D136" s="162">
        <v>0.70899999999999996</v>
      </c>
      <c r="E136" s="162">
        <v>0.13500000000000001</v>
      </c>
      <c r="F136" s="162">
        <v>1.7999999999999999E-2</v>
      </c>
      <c r="G136" s="162">
        <v>0.626</v>
      </c>
      <c r="H136" s="162">
        <v>0.39600000000000002</v>
      </c>
      <c r="I136" s="162">
        <v>7.0000000000000001E-3</v>
      </c>
      <c r="J136" s="162">
        <v>0.64400000000000002</v>
      </c>
      <c r="K136" s="162">
        <v>6.2</v>
      </c>
      <c r="L136" s="162">
        <v>7.39</v>
      </c>
      <c r="M136" s="162">
        <v>8</v>
      </c>
      <c r="N136" s="162">
        <v>0.17199999999999999</v>
      </c>
    </row>
    <row r="137" spans="1:14" ht="16.5">
      <c r="A137" s="2" t="str">
        <f t="shared" si="2"/>
        <v>226상위25%</v>
      </c>
      <c r="B137" s="137">
        <v>226</v>
      </c>
      <c r="C137" s="98" t="s">
        <v>1623</v>
      </c>
      <c r="D137" s="162">
        <v>0.61399999999999999</v>
      </c>
      <c r="E137" s="162">
        <v>0.16400000000000001</v>
      </c>
      <c r="F137" s="162">
        <v>1.2E-2</v>
      </c>
      <c r="G137" s="162">
        <v>0.71</v>
      </c>
      <c r="H137" s="162">
        <v>0.22900000000000001</v>
      </c>
      <c r="I137" s="162">
        <v>1.6E-2</v>
      </c>
      <c r="J137" s="162">
        <v>0.34399999999999997</v>
      </c>
      <c r="K137" s="162">
        <v>4.42</v>
      </c>
      <c r="L137" s="162">
        <v>8.1199999999999992</v>
      </c>
      <c r="M137" s="162">
        <v>14.83</v>
      </c>
      <c r="N137" s="162">
        <v>0.28199999999999997</v>
      </c>
    </row>
    <row r="138" spans="1:14" ht="16.5">
      <c r="A138" s="2" t="str">
        <f t="shared" si="2"/>
        <v>227상위25%</v>
      </c>
      <c r="B138" s="137">
        <v>227</v>
      </c>
      <c r="C138" s="98" t="s">
        <v>1623</v>
      </c>
      <c r="D138" s="162">
        <v>0.46700000000000003</v>
      </c>
      <c r="E138" s="162">
        <v>0.28799999999999998</v>
      </c>
      <c r="F138" s="162">
        <v>8.0000000000000002E-3</v>
      </c>
      <c r="G138" s="162">
        <v>0.42499999999999999</v>
      </c>
      <c r="H138" s="162">
        <v>0.23599999999999999</v>
      </c>
      <c r="I138" s="162">
        <v>6.9000000000000006E-2</v>
      </c>
      <c r="J138" s="162">
        <v>0.72</v>
      </c>
      <c r="K138" s="162">
        <v>3.5</v>
      </c>
      <c r="L138" s="162">
        <v>5.83</v>
      </c>
      <c r="M138" s="162">
        <v>21.12</v>
      </c>
      <c r="N138" s="162">
        <v>0.41</v>
      </c>
    </row>
    <row r="139" spans="1:14" ht="16.5">
      <c r="A139" s="2" t="str">
        <f t="shared" si="2"/>
        <v>229상위25%</v>
      </c>
      <c r="B139" s="137">
        <v>229</v>
      </c>
      <c r="C139" s="98" t="s">
        <v>1623</v>
      </c>
      <c r="D139" s="162">
        <v>0.68899999999999995</v>
      </c>
      <c r="E139" s="162">
        <v>0.14000000000000001</v>
      </c>
      <c r="F139" s="162">
        <v>1.7999999999999999E-2</v>
      </c>
      <c r="G139" s="162">
        <v>0.77800000000000002</v>
      </c>
      <c r="H139" s="162">
        <v>0.42299999999999999</v>
      </c>
      <c r="I139" s="162">
        <v>1.4999999999999999E-2</v>
      </c>
      <c r="J139" s="162">
        <v>0.56299999999999994</v>
      </c>
      <c r="K139" s="162">
        <v>4.74</v>
      </c>
      <c r="L139" s="162">
        <v>11.06</v>
      </c>
      <c r="M139" s="162">
        <v>13.78</v>
      </c>
      <c r="N139" s="162">
        <v>0.22900000000000001</v>
      </c>
    </row>
    <row r="140" spans="1:14" ht="16.5">
      <c r="A140" s="2" t="str">
        <f t="shared" si="2"/>
        <v>231상위25%</v>
      </c>
      <c r="B140" s="137">
        <v>231</v>
      </c>
      <c r="C140" s="98" t="s">
        <v>1623</v>
      </c>
      <c r="D140" s="162">
        <v>0.57499999999999996</v>
      </c>
      <c r="E140" s="162">
        <v>0.247</v>
      </c>
      <c r="F140" s="162">
        <v>2.3E-2</v>
      </c>
      <c r="G140" s="162">
        <v>0.51200000000000001</v>
      </c>
      <c r="H140" s="162">
        <v>0.28499999999999998</v>
      </c>
      <c r="I140" s="162">
        <v>0</v>
      </c>
      <c r="J140" s="162">
        <v>0.55600000000000005</v>
      </c>
      <c r="K140" s="162">
        <v>20.79</v>
      </c>
      <c r="L140" s="162">
        <v>2.16</v>
      </c>
      <c r="M140" s="162">
        <v>35.18</v>
      </c>
      <c r="N140" s="162">
        <v>0.48199999999999998</v>
      </c>
    </row>
    <row r="141" spans="1:14" ht="16.5">
      <c r="A141" s="2" t="str">
        <f t="shared" si="2"/>
        <v>232상위25%</v>
      </c>
      <c r="B141" s="137">
        <v>232</v>
      </c>
      <c r="C141" s="98" t="s">
        <v>1623</v>
      </c>
      <c r="D141" s="162">
        <v>0.32300000000000001</v>
      </c>
      <c r="E141" s="162">
        <v>0.45300000000000001</v>
      </c>
      <c r="F141" s="162">
        <v>1.6E-2</v>
      </c>
      <c r="G141" s="162">
        <v>0.92300000000000004</v>
      </c>
      <c r="H141" s="162">
        <v>0.19700000000000001</v>
      </c>
      <c r="I141" s="162">
        <v>2.5000000000000001E-2</v>
      </c>
      <c r="J141" s="162">
        <v>0.24099999999999999</v>
      </c>
      <c r="K141" s="162">
        <v>6.92</v>
      </c>
      <c r="L141" s="162">
        <v>16.14</v>
      </c>
      <c r="M141" s="162">
        <v>29.22</v>
      </c>
      <c r="N141" s="162">
        <v>0.17199999999999999</v>
      </c>
    </row>
    <row r="142" spans="1:14" ht="16.5">
      <c r="A142" s="2" t="str">
        <f t="shared" si="2"/>
        <v>233상위25%</v>
      </c>
      <c r="B142" s="137">
        <v>233</v>
      </c>
      <c r="C142" s="98" t="s">
        <v>1623</v>
      </c>
      <c r="D142" s="162">
        <v>0.28699999999999998</v>
      </c>
      <c r="E142" s="162">
        <v>0.44</v>
      </c>
      <c r="F142" s="162">
        <v>0.03</v>
      </c>
      <c r="G142" s="162">
        <v>0.33</v>
      </c>
      <c r="H142" s="162">
        <v>0.54500000000000004</v>
      </c>
      <c r="I142" s="162">
        <v>1.0999999999999999E-2</v>
      </c>
      <c r="J142" s="162">
        <v>1.6839999999999999</v>
      </c>
      <c r="K142" s="162">
        <v>13.77</v>
      </c>
      <c r="L142" s="162">
        <v>23.78</v>
      </c>
      <c r="M142" s="162">
        <v>39.58</v>
      </c>
      <c r="N142" s="162">
        <v>8.8999999999999996E-2</v>
      </c>
    </row>
    <row r="143" spans="1:14" ht="16.5">
      <c r="A143" s="2" t="str">
        <f t="shared" si="2"/>
        <v>234상위25%</v>
      </c>
      <c r="B143" s="137">
        <v>234</v>
      </c>
      <c r="C143" s="98" t="s">
        <v>1623</v>
      </c>
      <c r="D143" s="162">
        <v>0.2</v>
      </c>
      <c r="E143" s="162">
        <v>0.56200000000000006</v>
      </c>
      <c r="F143" s="162">
        <v>5.3999999999999999E-2</v>
      </c>
      <c r="G143" s="162">
        <v>0.624</v>
      </c>
      <c r="H143" s="162">
        <v>0.878</v>
      </c>
      <c r="I143" s="162">
        <v>0</v>
      </c>
      <c r="J143" s="162">
        <v>1.4079999999999999</v>
      </c>
      <c r="K143" s="162">
        <v>1279.8599999999999</v>
      </c>
      <c r="L143" s="162">
        <v>60.53</v>
      </c>
      <c r="M143" s="162">
        <v>201.69</v>
      </c>
      <c r="N143" s="162">
        <v>1.2E-2</v>
      </c>
    </row>
    <row r="144" spans="1:14" ht="16.5">
      <c r="A144" s="2" t="str">
        <f t="shared" si="2"/>
        <v>235상위25%</v>
      </c>
      <c r="B144" s="137">
        <v>235</v>
      </c>
      <c r="C144" s="98" t="s">
        <v>1623</v>
      </c>
      <c r="D144" s="162">
        <v>0.45700000000000002</v>
      </c>
      <c r="E144" s="162">
        <v>0.35099999999999998</v>
      </c>
      <c r="F144" s="162">
        <v>1.6E-2</v>
      </c>
      <c r="G144" s="162">
        <v>1.1759999999999999</v>
      </c>
      <c r="H144" s="162">
        <v>0.33800000000000002</v>
      </c>
      <c r="I144" s="162">
        <v>1.4999999999999999E-2</v>
      </c>
      <c r="J144" s="162">
        <v>0.3</v>
      </c>
      <c r="K144" s="162">
        <v>26.98</v>
      </c>
      <c r="L144" s="162">
        <v>34.200000000000003</v>
      </c>
      <c r="M144" s="162">
        <v>151.51</v>
      </c>
      <c r="N144" s="162">
        <v>0.06</v>
      </c>
    </row>
    <row r="145" spans="1:14" ht="16.5">
      <c r="A145" s="2" t="str">
        <f t="shared" si="2"/>
        <v>236상위25%</v>
      </c>
      <c r="B145" s="137">
        <v>236</v>
      </c>
      <c r="C145" s="98" t="s">
        <v>1623</v>
      </c>
      <c r="D145" s="162">
        <v>0.307</v>
      </c>
      <c r="E145" s="162">
        <v>0.45800000000000002</v>
      </c>
      <c r="F145" s="162">
        <v>3.1E-2</v>
      </c>
      <c r="G145" s="162">
        <v>0.59799999999999998</v>
      </c>
      <c r="H145" s="162">
        <v>0.14000000000000001</v>
      </c>
      <c r="I145" s="162">
        <v>7.6999999999999999E-2</v>
      </c>
      <c r="J145" s="162">
        <v>0.36299999999999999</v>
      </c>
      <c r="K145" s="162">
        <v>7.05</v>
      </c>
      <c r="L145" s="162">
        <v>96.63</v>
      </c>
      <c r="M145" s="162">
        <v>40.770000000000003</v>
      </c>
      <c r="N145" s="162">
        <v>0.128</v>
      </c>
    </row>
    <row r="146" spans="1:14" ht="16.5">
      <c r="A146" s="2" t="str">
        <f t="shared" si="2"/>
        <v>237상위25%</v>
      </c>
      <c r="B146" s="137">
        <v>237</v>
      </c>
      <c r="C146" s="98" t="s">
        <v>1623</v>
      </c>
      <c r="D146" s="162">
        <v>0.52100000000000002</v>
      </c>
      <c r="E146" s="162">
        <v>0.192</v>
      </c>
      <c r="F146" s="162">
        <v>2.4E-2</v>
      </c>
      <c r="G146" s="162">
        <v>0.41799999999999998</v>
      </c>
      <c r="H146" s="162">
        <v>0.38100000000000001</v>
      </c>
      <c r="I146" s="162">
        <v>6.5000000000000002E-2</v>
      </c>
      <c r="J146" s="162">
        <v>1.0660000000000001</v>
      </c>
      <c r="K146" s="162">
        <v>8.25</v>
      </c>
      <c r="L146" s="162">
        <v>84.54</v>
      </c>
      <c r="M146" s="162">
        <v>43.05</v>
      </c>
      <c r="N146" s="162">
        <v>0.11</v>
      </c>
    </row>
    <row r="147" spans="1:14" ht="16.5">
      <c r="A147" s="2" t="str">
        <f t="shared" si="2"/>
        <v>239상위25%</v>
      </c>
      <c r="B147" s="137">
        <v>239</v>
      </c>
      <c r="C147" s="98" t="s">
        <v>1623</v>
      </c>
      <c r="D147" s="162">
        <v>0.32600000000000001</v>
      </c>
      <c r="E147" s="162">
        <v>0.441</v>
      </c>
      <c r="F147" s="162">
        <v>3.7999999999999999E-2</v>
      </c>
      <c r="G147" s="162">
        <v>0.65600000000000003</v>
      </c>
      <c r="H147" s="162">
        <v>0.47</v>
      </c>
      <c r="I147" s="162">
        <v>7.0000000000000001E-3</v>
      </c>
      <c r="J147" s="162">
        <v>0.72599999999999998</v>
      </c>
      <c r="K147" s="162">
        <v>7.27</v>
      </c>
      <c r="L147" s="162">
        <v>198.95</v>
      </c>
      <c r="M147" s="162">
        <v>82.23</v>
      </c>
      <c r="N147" s="162">
        <v>0.13</v>
      </c>
    </row>
    <row r="148" spans="1:14" ht="16.5">
      <c r="A148" s="2" t="str">
        <f t="shared" si="2"/>
        <v>311상위25%</v>
      </c>
      <c r="B148" s="137">
        <v>311</v>
      </c>
      <c r="C148" s="98" t="s">
        <v>1623</v>
      </c>
      <c r="D148" s="162">
        <v>0.51700000000000002</v>
      </c>
      <c r="E148" s="162">
        <v>0.26600000000000001</v>
      </c>
      <c r="F148" s="162">
        <v>1.0999999999999999E-2</v>
      </c>
      <c r="G148" s="162">
        <v>0.74399999999999999</v>
      </c>
      <c r="H148" s="162">
        <v>0.32600000000000001</v>
      </c>
      <c r="I148" s="162">
        <v>5.8000000000000003E-2</v>
      </c>
      <c r="J148" s="162">
        <v>0.51500000000000001</v>
      </c>
      <c r="K148" s="162">
        <v>14.52</v>
      </c>
      <c r="L148" s="162">
        <v>14.29</v>
      </c>
      <c r="M148" s="162">
        <v>57.12</v>
      </c>
      <c r="N148" s="162">
        <v>0.121</v>
      </c>
    </row>
    <row r="149" spans="1:14" ht="16.5">
      <c r="A149" s="2" t="str">
        <f t="shared" si="2"/>
        <v>312상위25%</v>
      </c>
      <c r="B149" s="137">
        <v>312</v>
      </c>
      <c r="C149" s="98" t="s">
        <v>1623</v>
      </c>
      <c r="D149" s="162">
        <v>0.71299999999999997</v>
      </c>
      <c r="E149" s="162">
        <v>0.19600000000000001</v>
      </c>
      <c r="F149" s="162">
        <v>1.2E-2</v>
      </c>
      <c r="G149" s="162">
        <v>0.42599999999999999</v>
      </c>
      <c r="H149" s="162">
        <v>0.41899999999999998</v>
      </c>
      <c r="I149" s="162">
        <v>0</v>
      </c>
      <c r="J149" s="162">
        <v>0.98299999999999998</v>
      </c>
      <c r="K149" s="162">
        <v>5.65</v>
      </c>
      <c r="L149" s="162">
        <v>9.82</v>
      </c>
      <c r="M149" s="162">
        <v>12.68</v>
      </c>
      <c r="N149" s="162">
        <v>0.2</v>
      </c>
    </row>
    <row r="150" spans="1:14" ht="16.5">
      <c r="A150" s="2" t="str">
        <f t="shared" si="2"/>
        <v>390상위25%</v>
      </c>
      <c r="B150" s="137">
        <v>390</v>
      </c>
      <c r="C150" s="98" t="s">
        <v>1623</v>
      </c>
      <c r="D150" s="162">
        <v>0.22900000000000001</v>
      </c>
      <c r="E150" s="162">
        <v>0.24299999999999999</v>
      </c>
      <c r="F150" s="162">
        <v>0</v>
      </c>
      <c r="G150" s="162">
        <v>6.3E-2</v>
      </c>
      <c r="H150" s="162">
        <v>0.61799999999999999</v>
      </c>
      <c r="I150" s="162">
        <v>0</v>
      </c>
      <c r="J150" s="162">
        <v>9.7449999999999992</v>
      </c>
      <c r="K150" s="162">
        <v>6.93</v>
      </c>
      <c r="L150" s="162">
        <v>1.28</v>
      </c>
      <c r="M150" s="162">
        <v>36.64</v>
      </c>
      <c r="N150" s="162">
        <v>0.90100000000000002</v>
      </c>
    </row>
    <row r="151" spans="1:14" ht="16.5">
      <c r="A151" s="2" t="str">
        <f t="shared" si="2"/>
        <v>411상위25%</v>
      </c>
      <c r="B151" s="137">
        <v>411</v>
      </c>
      <c r="C151" s="98" t="s">
        <v>1623</v>
      </c>
      <c r="D151" s="162">
        <v>0.66900000000000004</v>
      </c>
      <c r="E151" s="162">
        <v>0.152</v>
      </c>
      <c r="F151" s="162">
        <v>0.02</v>
      </c>
      <c r="G151" s="162">
        <v>0.45800000000000002</v>
      </c>
      <c r="H151" s="162">
        <v>0.29299999999999998</v>
      </c>
      <c r="I151" s="162">
        <v>5.0000000000000001E-3</v>
      </c>
      <c r="J151" s="162">
        <v>0.65</v>
      </c>
      <c r="K151" s="162">
        <v>6.38</v>
      </c>
      <c r="L151" s="162">
        <v>11.87</v>
      </c>
      <c r="M151" s="162">
        <v>20.65</v>
      </c>
      <c r="N151" s="162">
        <v>0.193</v>
      </c>
    </row>
    <row r="152" spans="1:14" ht="16.5">
      <c r="A152" s="2" t="str">
        <f t="shared" si="2"/>
        <v>412상위25%</v>
      </c>
      <c r="B152" s="137">
        <v>412</v>
      </c>
      <c r="C152" s="98" t="s">
        <v>1623</v>
      </c>
      <c r="D152" s="162">
        <v>0.755</v>
      </c>
      <c r="E152" s="162">
        <v>0.13300000000000001</v>
      </c>
      <c r="F152" s="162">
        <v>2.1999999999999999E-2</v>
      </c>
      <c r="G152" s="162">
        <v>0.48099999999999998</v>
      </c>
      <c r="H152" s="162">
        <v>0.46100000000000002</v>
      </c>
      <c r="I152" s="162">
        <v>2.1000000000000001E-2</v>
      </c>
      <c r="J152" s="162">
        <v>1.0029999999999999</v>
      </c>
      <c r="K152" s="162">
        <v>6.63</v>
      </c>
      <c r="L152" s="162">
        <v>10.97</v>
      </c>
      <c r="M152" s="162">
        <v>11.23</v>
      </c>
      <c r="N152" s="162">
        <v>0.153</v>
      </c>
    </row>
    <row r="153" spans="1:14" ht="16.5">
      <c r="A153" s="2" t="str">
        <f t="shared" si="2"/>
        <v>413상위25%</v>
      </c>
      <c r="B153" s="137">
        <v>413</v>
      </c>
      <c r="C153" s="98" t="s">
        <v>1623</v>
      </c>
      <c r="D153" s="162">
        <v>0.71399999999999997</v>
      </c>
      <c r="E153" s="162">
        <v>0.14799999999999999</v>
      </c>
      <c r="F153" s="162">
        <v>3.3000000000000002E-2</v>
      </c>
      <c r="G153" s="162">
        <v>0.72599999999999998</v>
      </c>
      <c r="H153" s="162">
        <v>0.61199999999999999</v>
      </c>
      <c r="I153" s="162">
        <v>1.2E-2</v>
      </c>
      <c r="J153" s="162">
        <v>0.86</v>
      </c>
      <c r="K153" s="162">
        <v>5.16</v>
      </c>
      <c r="L153" s="162">
        <v>12.81</v>
      </c>
      <c r="M153" s="162">
        <v>25.51</v>
      </c>
      <c r="N153" s="162">
        <v>0.23300000000000001</v>
      </c>
    </row>
    <row r="154" spans="1:14" ht="16.5">
      <c r="A154" s="2" t="str">
        <f t="shared" si="2"/>
        <v>414상위25%</v>
      </c>
      <c r="B154" s="137">
        <v>414</v>
      </c>
      <c r="C154" s="98" t="s">
        <v>1623</v>
      </c>
      <c r="D154" s="162">
        <v>0.58299999999999996</v>
      </c>
      <c r="E154" s="162">
        <v>0.20499999999999999</v>
      </c>
      <c r="F154" s="162">
        <v>3.2000000000000001E-2</v>
      </c>
      <c r="G154" s="162">
        <v>0.40200000000000002</v>
      </c>
      <c r="H154" s="162">
        <v>0.55700000000000005</v>
      </c>
      <c r="I154" s="162">
        <v>2E-3</v>
      </c>
      <c r="J154" s="162">
        <v>1.391</v>
      </c>
      <c r="K154" s="162">
        <v>2.15</v>
      </c>
      <c r="L154" s="162">
        <v>3.97</v>
      </c>
      <c r="M154" s="162">
        <v>32.090000000000003</v>
      </c>
      <c r="N154" s="162">
        <v>0.68700000000000006</v>
      </c>
    </row>
    <row r="155" spans="1:14" ht="16.5">
      <c r="A155" s="2" t="str">
        <f t="shared" si="2"/>
        <v>415상위25%</v>
      </c>
      <c r="B155" s="137">
        <v>415</v>
      </c>
      <c r="C155" s="98" t="s">
        <v>1623</v>
      </c>
      <c r="D155" s="162">
        <v>0.72899999999999998</v>
      </c>
      <c r="E155" s="162">
        <v>0.126</v>
      </c>
      <c r="F155" s="162">
        <v>1.4999999999999999E-2</v>
      </c>
      <c r="G155" s="162">
        <v>0.86</v>
      </c>
      <c r="H155" s="162">
        <v>0.59899999999999998</v>
      </c>
      <c r="I155" s="162">
        <v>0.01</v>
      </c>
      <c r="J155" s="162">
        <v>0.70899999999999996</v>
      </c>
      <c r="K155" s="162">
        <v>6.62</v>
      </c>
      <c r="L155" s="162">
        <v>16.34</v>
      </c>
      <c r="M155" s="162">
        <v>16.57</v>
      </c>
      <c r="N155" s="162">
        <v>0.152</v>
      </c>
    </row>
    <row r="156" spans="1:14" ht="16.5">
      <c r="A156" s="2" t="str">
        <f t="shared" si="2"/>
        <v>416상위25%</v>
      </c>
      <c r="B156" s="137">
        <v>416</v>
      </c>
      <c r="C156" s="98" t="s">
        <v>1623</v>
      </c>
      <c r="D156" s="162">
        <v>0.70799999999999996</v>
      </c>
      <c r="E156" s="162">
        <v>0.16</v>
      </c>
      <c r="F156" s="162">
        <v>1.4E-2</v>
      </c>
      <c r="G156" s="162">
        <v>0.84899999999999998</v>
      </c>
      <c r="H156" s="162">
        <v>0.55000000000000004</v>
      </c>
      <c r="I156" s="162">
        <v>2E-3</v>
      </c>
      <c r="J156" s="162">
        <v>0.65</v>
      </c>
      <c r="K156" s="162">
        <v>6.73</v>
      </c>
      <c r="L156" s="162">
        <v>14.46</v>
      </c>
      <c r="M156" s="162">
        <v>22.55</v>
      </c>
      <c r="N156" s="162">
        <v>0.17299999999999999</v>
      </c>
    </row>
    <row r="157" spans="1:14" ht="16.5">
      <c r="A157" s="2" t="str">
        <f t="shared" si="2"/>
        <v>419상위25%</v>
      </c>
      <c r="B157" s="137">
        <v>419</v>
      </c>
      <c r="C157" s="98" t="s">
        <v>1623</v>
      </c>
      <c r="D157" s="162">
        <v>0.81899999999999995</v>
      </c>
      <c r="E157" s="162">
        <v>6.4000000000000001E-2</v>
      </c>
      <c r="F157" s="162">
        <v>5.0000000000000001E-3</v>
      </c>
      <c r="G157" s="162">
        <v>0.73799999999999999</v>
      </c>
      <c r="H157" s="162">
        <v>0.50600000000000001</v>
      </c>
      <c r="I157" s="162">
        <v>1E-3</v>
      </c>
      <c r="J157" s="162">
        <v>0.68600000000000005</v>
      </c>
      <c r="K157" s="162">
        <v>5.93</v>
      </c>
      <c r="L157" s="162">
        <v>32.93</v>
      </c>
      <c r="M157" s="162">
        <v>13.6</v>
      </c>
      <c r="N157" s="162">
        <v>0.125</v>
      </c>
    </row>
    <row r="158" spans="1:14" ht="16.5">
      <c r="A158" s="2" t="str">
        <f t="shared" si="2"/>
        <v>421상위25%</v>
      </c>
      <c r="B158" s="137">
        <v>421</v>
      </c>
      <c r="C158" s="98" t="s">
        <v>1623</v>
      </c>
      <c r="D158" s="162">
        <v>0.81499999999999995</v>
      </c>
      <c r="E158" s="162">
        <v>6.8000000000000005E-2</v>
      </c>
      <c r="F158" s="162">
        <v>1E-3</v>
      </c>
      <c r="G158" s="162">
        <v>0.54200000000000004</v>
      </c>
      <c r="H158" s="162">
        <v>0.64400000000000002</v>
      </c>
      <c r="I158" s="162">
        <v>3.0000000000000001E-3</v>
      </c>
      <c r="J158" s="162">
        <v>1.1930000000000001</v>
      </c>
      <c r="K158" s="162">
        <v>6.26</v>
      </c>
      <c r="L158" s="162">
        <v>5.14</v>
      </c>
      <c r="M158" s="162">
        <v>22.63</v>
      </c>
      <c r="N158" s="162">
        <v>0.31</v>
      </c>
    </row>
    <row r="159" spans="1:14" ht="16.5">
      <c r="A159" s="2" t="str">
        <f t="shared" si="2"/>
        <v>422상위25%</v>
      </c>
      <c r="B159" s="137">
        <v>422</v>
      </c>
      <c r="C159" s="98" t="s">
        <v>1623</v>
      </c>
      <c r="D159" s="162">
        <v>0.40400000000000003</v>
      </c>
      <c r="E159" s="162">
        <v>0.38500000000000001</v>
      </c>
      <c r="F159" s="162">
        <v>0.01</v>
      </c>
      <c r="G159" s="162">
        <v>1.1279999999999999</v>
      </c>
      <c r="H159" s="162">
        <v>0.23799999999999999</v>
      </c>
      <c r="I159" s="162">
        <v>0.03</v>
      </c>
      <c r="J159" s="162">
        <v>0.23699999999999999</v>
      </c>
      <c r="K159" s="162">
        <v>9.73</v>
      </c>
      <c r="L159" s="162">
        <v>12.98</v>
      </c>
      <c r="M159" s="162">
        <v>23.39</v>
      </c>
      <c r="N159" s="162">
        <v>0.13700000000000001</v>
      </c>
    </row>
    <row r="160" spans="1:14" ht="16.5">
      <c r="A160" s="2" t="str">
        <f t="shared" si="2"/>
        <v>423상위25%</v>
      </c>
      <c r="B160" s="137">
        <v>423</v>
      </c>
      <c r="C160" s="98" t="s">
        <v>1623</v>
      </c>
      <c r="D160" s="162">
        <v>0.36199999999999999</v>
      </c>
      <c r="E160" s="162">
        <v>0.26600000000000001</v>
      </c>
      <c r="F160" s="162">
        <v>1.7999999999999999E-2</v>
      </c>
      <c r="G160" s="162">
        <v>0.38500000000000001</v>
      </c>
      <c r="H160" s="162">
        <v>0.52100000000000002</v>
      </c>
      <c r="I160" s="162">
        <v>0</v>
      </c>
      <c r="J160" s="162">
        <v>1.353</v>
      </c>
      <c r="K160" s="162">
        <v>22.01</v>
      </c>
      <c r="L160" s="162">
        <v>5.83</v>
      </c>
      <c r="M160" s="162">
        <v>175.32</v>
      </c>
      <c r="N160" s="162">
        <v>0.21099999999999999</v>
      </c>
    </row>
    <row r="161" spans="1:14" ht="16.5">
      <c r="A161" s="2" t="str">
        <f t="shared" si="2"/>
        <v>429상위25%</v>
      </c>
      <c r="B161" s="137">
        <v>429</v>
      </c>
      <c r="C161" s="98" t="s">
        <v>1623</v>
      </c>
      <c r="D161" s="162">
        <v>0.77100000000000002</v>
      </c>
      <c r="E161" s="162">
        <v>7.0000000000000007E-2</v>
      </c>
      <c r="F161" s="162">
        <v>3.0000000000000001E-3</v>
      </c>
      <c r="G161" s="162">
        <v>1.01</v>
      </c>
      <c r="H161" s="162">
        <v>0.499</v>
      </c>
      <c r="I161" s="162">
        <v>4.0000000000000001E-3</v>
      </c>
      <c r="J161" s="162">
        <v>0.498</v>
      </c>
      <c r="K161" s="162">
        <v>7.24</v>
      </c>
      <c r="L161" s="162">
        <v>15.61</v>
      </c>
      <c r="M161" s="162">
        <v>33.07</v>
      </c>
      <c r="N161" s="162">
        <v>0.17199999999999999</v>
      </c>
    </row>
    <row r="162" spans="1:14" ht="16.5">
      <c r="A162" s="2" t="str">
        <f t="shared" si="2"/>
        <v>431상위25%</v>
      </c>
      <c r="B162" s="137">
        <v>431</v>
      </c>
      <c r="C162" s="98" t="s">
        <v>1623</v>
      </c>
      <c r="D162" s="162">
        <v>0.69699999999999995</v>
      </c>
      <c r="E162" s="162">
        <v>0.129</v>
      </c>
      <c r="F162" s="162">
        <v>0.01</v>
      </c>
      <c r="G162" s="162">
        <v>0.74199999999999999</v>
      </c>
      <c r="H162" s="162">
        <v>0.41199999999999998</v>
      </c>
      <c r="I162" s="162">
        <v>4.0000000000000001E-3</v>
      </c>
      <c r="J162" s="162">
        <v>0.56100000000000005</v>
      </c>
      <c r="K162" s="162">
        <v>4.75</v>
      </c>
      <c r="L162" s="162">
        <v>6.22</v>
      </c>
      <c r="M162" s="162">
        <v>15.63</v>
      </c>
      <c r="N162" s="162">
        <v>0.307</v>
      </c>
    </row>
    <row r="163" spans="1:14" ht="16.5">
      <c r="A163" s="2" t="str">
        <f t="shared" si="2"/>
        <v>432상위25%</v>
      </c>
      <c r="B163" s="137">
        <v>432</v>
      </c>
      <c r="C163" s="98" t="s">
        <v>1623</v>
      </c>
      <c r="D163" s="162">
        <v>0.73199999999999998</v>
      </c>
      <c r="E163" s="162">
        <v>0.113</v>
      </c>
      <c r="F163" s="162">
        <v>1.4999999999999999E-2</v>
      </c>
      <c r="G163" s="162">
        <v>0.80600000000000005</v>
      </c>
      <c r="H163" s="162">
        <v>0.51800000000000002</v>
      </c>
      <c r="I163" s="162">
        <v>8.0000000000000002E-3</v>
      </c>
      <c r="J163" s="162">
        <v>0.65200000000000002</v>
      </c>
      <c r="K163" s="162">
        <v>5.26</v>
      </c>
      <c r="L163" s="162">
        <v>14.55</v>
      </c>
      <c r="M163" s="162">
        <v>11.54</v>
      </c>
      <c r="N163" s="162">
        <v>0.17199999999999999</v>
      </c>
    </row>
    <row r="164" spans="1:14" ht="16.5">
      <c r="A164" s="2" t="str">
        <f t="shared" si="2"/>
        <v>433상위25%</v>
      </c>
      <c r="B164" s="137">
        <v>433</v>
      </c>
      <c r="C164" s="98" t="s">
        <v>1623</v>
      </c>
      <c r="D164" s="162">
        <v>0.68700000000000006</v>
      </c>
      <c r="E164" s="162">
        <v>0.14699999999999999</v>
      </c>
      <c r="F164" s="162">
        <v>1.9E-2</v>
      </c>
      <c r="G164" s="162">
        <v>0.60299999999999998</v>
      </c>
      <c r="H164" s="162">
        <v>0.41199999999999998</v>
      </c>
      <c r="I164" s="162">
        <v>1.2E-2</v>
      </c>
      <c r="J164" s="162">
        <v>0.70299999999999996</v>
      </c>
      <c r="K164" s="162">
        <v>5</v>
      </c>
      <c r="L164" s="162">
        <v>6.09</v>
      </c>
      <c r="M164" s="162">
        <v>9.4600000000000009</v>
      </c>
      <c r="N164" s="162">
        <v>0.25900000000000001</v>
      </c>
    </row>
    <row r="165" spans="1:14" ht="16.5">
      <c r="A165" s="2" t="str">
        <f t="shared" si="2"/>
        <v>439상위25%</v>
      </c>
      <c r="B165" s="137">
        <v>439</v>
      </c>
      <c r="C165" s="98" t="s">
        <v>1623</v>
      </c>
      <c r="D165" s="162">
        <v>0.72399999999999998</v>
      </c>
      <c r="E165" s="162">
        <v>0.11600000000000001</v>
      </c>
      <c r="F165" s="162">
        <v>1.4E-2</v>
      </c>
      <c r="G165" s="162">
        <v>0.628</v>
      </c>
      <c r="H165" s="162">
        <v>0.36499999999999999</v>
      </c>
      <c r="I165" s="162">
        <v>5.5E-2</v>
      </c>
      <c r="J165" s="162">
        <v>0.66800000000000004</v>
      </c>
      <c r="K165" s="162">
        <v>5.53</v>
      </c>
      <c r="L165" s="162">
        <v>6.66</v>
      </c>
      <c r="M165" s="162">
        <v>13.12</v>
      </c>
      <c r="N165" s="162">
        <v>0.255</v>
      </c>
    </row>
    <row r="166" spans="1:14" ht="16.5">
      <c r="A166" s="2" t="str">
        <f t="shared" si="2"/>
        <v>441상위25%</v>
      </c>
      <c r="B166" s="137">
        <v>441</v>
      </c>
      <c r="C166" s="98" t="s">
        <v>1623</v>
      </c>
      <c r="D166" s="162">
        <v>0.376</v>
      </c>
      <c r="E166" s="162">
        <v>0.40699999999999997</v>
      </c>
      <c r="F166" s="162">
        <v>1.2E-2</v>
      </c>
      <c r="G166" s="162">
        <v>1.0169999999999999</v>
      </c>
      <c r="H166" s="162">
        <v>0.159</v>
      </c>
      <c r="I166" s="162">
        <v>0</v>
      </c>
      <c r="J166" s="162">
        <v>0.157</v>
      </c>
      <c r="K166" s="162">
        <v>43.22</v>
      </c>
      <c r="L166" s="162">
        <v>140.1</v>
      </c>
      <c r="M166" s="162">
        <v>283.93</v>
      </c>
      <c r="N166" s="162">
        <v>2.7E-2</v>
      </c>
    </row>
    <row r="167" spans="1:14" ht="16.5">
      <c r="A167" s="2" t="str">
        <f t="shared" si="2"/>
        <v>442상위25%</v>
      </c>
      <c r="B167" s="137">
        <v>442</v>
      </c>
      <c r="C167" s="98" t="s">
        <v>1623</v>
      </c>
      <c r="D167" s="162">
        <v>0.307</v>
      </c>
      <c r="E167" s="162">
        <v>0.45800000000000002</v>
      </c>
      <c r="F167" s="162">
        <v>3.1E-2</v>
      </c>
      <c r="G167" s="162">
        <v>0.59799999999999998</v>
      </c>
      <c r="H167" s="162">
        <v>0.14000000000000001</v>
      </c>
      <c r="I167" s="162">
        <v>7.6999999999999999E-2</v>
      </c>
      <c r="J167" s="162">
        <v>0.36299999999999999</v>
      </c>
      <c r="K167" s="162">
        <v>7.05</v>
      </c>
      <c r="L167" s="162">
        <v>96.63</v>
      </c>
      <c r="M167" s="162">
        <v>40.770000000000003</v>
      </c>
      <c r="N167" s="162">
        <v>0.128</v>
      </c>
    </row>
    <row r="168" spans="1:14" ht="16.5">
      <c r="A168" s="2" t="str">
        <f t="shared" si="2"/>
        <v>443상위25%</v>
      </c>
      <c r="B168" s="137">
        <v>443</v>
      </c>
      <c r="C168" s="98" t="s">
        <v>1623</v>
      </c>
      <c r="D168" s="162">
        <v>0.376</v>
      </c>
      <c r="E168" s="162">
        <v>0.40699999999999997</v>
      </c>
      <c r="F168" s="162">
        <v>1.2E-2</v>
      </c>
      <c r="G168" s="162">
        <v>1.0169999999999999</v>
      </c>
      <c r="H168" s="162">
        <v>0.159</v>
      </c>
      <c r="I168" s="162">
        <v>0</v>
      </c>
      <c r="J168" s="162">
        <v>0.157</v>
      </c>
      <c r="K168" s="162">
        <v>43.22</v>
      </c>
      <c r="L168" s="162">
        <v>140.1</v>
      </c>
      <c r="M168" s="162">
        <v>283.93</v>
      </c>
      <c r="N168" s="162">
        <v>2.7E-2</v>
      </c>
    </row>
    <row r="169" spans="1:14" ht="16.5">
      <c r="A169" s="2" t="str">
        <f t="shared" si="2"/>
        <v>444상위25%</v>
      </c>
      <c r="B169" s="137">
        <v>444</v>
      </c>
      <c r="C169" s="98" t="s">
        <v>1623</v>
      </c>
      <c r="D169" s="162">
        <v>0.33800000000000002</v>
      </c>
      <c r="E169" s="162">
        <v>0.45700000000000002</v>
      </c>
      <c r="F169" s="162">
        <v>2.1999999999999999E-2</v>
      </c>
      <c r="G169" s="162">
        <v>0.33100000000000002</v>
      </c>
      <c r="H169" s="162">
        <v>0.155</v>
      </c>
      <c r="I169" s="162">
        <v>0.08</v>
      </c>
      <c r="J169" s="162">
        <v>0.70899999999999996</v>
      </c>
      <c r="K169" s="162">
        <v>5.0999999999999996</v>
      </c>
      <c r="L169" s="162">
        <v>1.1200000000000001</v>
      </c>
      <c r="M169" s="162">
        <v>48.88</v>
      </c>
      <c r="N169" s="162">
        <v>1.069</v>
      </c>
    </row>
    <row r="170" spans="1:14" ht="16.5">
      <c r="A170" s="2" t="str">
        <f t="shared" si="2"/>
        <v>445상위25%</v>
      </c>
      <c r="B170" s="137">
        <v>445</v>
      </c>
      <c r="C170" s="98" t="s">
        <v>1623</v>
      </c>
      <c r="D170" s="162">
        <v>0.52100000000000002</v>
      </c>
      <c r="E170" s="162">
        <v>0.192</v>
      </c>
      <c r="F170" s="162">
        <v>2.4E-2</v>
      </c>
      <c r="G170" s="162">
        <v>0.41799999999999998</v>
      </c>
      <c r="H170" s="162">
        <v>0.38100000000000001</v>
      </c>
      <c r="I170" s="162">
        <v>6.5000000000000002E-2</v>
      </c>
      <c r="J170" s="162">
        <v>1.0660000000000001</v>
      </c>
      <c r="K170" s="162">
        <v>8.25</v>
      </c>
      <c r="L170" s="162">
        <v>84.54</v>
      </c>
      <c r="M170" s="162">
        <v>43.05</v>
      </c>
      <c r="N170" s="162">
        <v>0.11</v>
      </c>
    </row>
    <row r="171" spans="1:14" ht="16.5">
      <c r="A171" s="2" t="str">
        <f t="shared" si="2"/>
        <v>446상위25%</v>
      </c>
      <c r="B171" s="137">
        <v>446</v>
      </c>
      <c r="C171" s="98" t="s">
        <v>1623</v>
      </c>
      <c r="D171" s="162">
        <v>0.73099999999999998</v>
      </c>
      <c r="E171" s="162">
        <v>0.13600000000000001</v>
      </c>
      <c r="F171" s="162">
        <v>8.0000000000000002E-3</v>
      </c>
      <c r="G171" s="162">
        <v>1.024</v>
      </c>
      <c r="H171" s="162">
        <v>0.19600000000000001</v>
      </c>
      <c r="I171" s="162">
        <v>8.0000000000000002E-3</v>
      </c>
      <c r="J171" s="162">
        <v>0.19900000000000001</v>
      </c>
      <c r="K171" s="162">
        <v>14.89</v>
      </c>
      <c r="L171" s="162">
        <v>8.8000000000000007</v>
      </c>
      <c r="M171" s="162">
        <v>28.66</v>
      </c>
      <c r="N171" s="162">
        <v>0.14599999999999999</v>
      </c>
    </row>
    <row r="172" spans="1:14" ht="16.5">
      <c r="A172" s="2" t="str">
        <f t="shared" si="2"/>
        <v>447상위25%</v>
      </c>
      <c r="B172" s="137">
        <v>447</v>
      </c>
      <c r="C172" s="98" t="s">
        <v>1623</v>
      </c>
      <c r="D172" s="162">
        <v>0.376</v>
      </c>
      <c r="E172" s="162">
        <v>0.42599999999999999</v>
      </c>
      <c r="F172" s="162">
        <v>1.4E-2</v>
      </c>
      <c r="G172" s="162">
        <v>1.1779999999999999</v>
      </c>
      <c r="H172" s="162">
        <v>3.5000000000000003E-2</v>
      </c>
      <c r="I172" s="162">
        <v>0</v>
      </c>
      <c r="J172" s="162">
        <v>0.03</v>
      </c>
      <c r="K172" s="162">
        <v>34.39</v>
      </c>
      <c r="L172" s="162">
        <v>0</v>
      </c>
      <c r="M172" s="162">
        <v>167.3</v>
      </c>
      <c r="N172" s="162">
        <v>0</v>
      </c>
    </row>
    <row r="173" spans="1:14" ht="16.5">
      <c r="A173" s="2" t="str">
        <f t="shared" si="2"/>
        <v>449상위25%</v>
      </c>
      <c r="B173" s="137">
        <v>449</v>
      </c>
      <c r="C173" s="98" t="s">
        <v>1623</v>
      </c>
      <c r="D173" s="162">
        <v>0.34399999999999997</v>
      </c>
      <c r="E173" s="162">
        <v>0.13700000000000001</v>
      </c>
      <c r="F173" s="162">
        <v>5.0000000000000001E-3</v>
      </c>
      <c r="G173" s="162">
        <v>0.22700000000000001</v>
      </c>
      <c r="H173" s="162">
        <v>7.2999999999999995E-2</v>
      </c>
      <c r="I173" s="162">
        <v>5.0000000000000001E-3</v>
      </c>
      <c r="J173" s="162">
        <v>0.34</v>
      </c>
      <c r="K173" s="162">
        <v>70.069999999999993</v>
      </c>
      <c r="L173" s="162">
        <v>0.52</v>
      </c>
      <c r="M173" s="162">
        <v>1942.78</v>
      </c>
      <c r="N173" s="162">
        <v>1.9490000000000001</v>
      </c>
    </row>
    <row r="174" spans="1:14" ht="16.5">
      <c r="A174" s="2" t="str">
        <f t="shared" si="2"/>
        <v>511상위25%</v>
      </c>
      <c r="B174" s="137">
        <v>511</v>
      </c>
      <c r="C174" s="98" t="s">
        <v>1623</v>
      </c>
      <c r="D174" s="162">
        <v>0.69399999999999995</v>
      </c>
      <c r="E174" s="162">
        <v>8.8999999999999996E-2</v>
      </c>
      <c r="F174" s="162">
        <v>8.9999999999999993E-3</v>
      </c>
      <c r="G174" s="162">
        <v>1.042</v>
      </c>
      <c r="H174" s="162">
        <v>0.34300000000000003</v>
      </c>
      <c r="I174" s="162">
        <v>5.0000000000000001E-3</v>
      </c>
      <c r="J174" s="162">
        <v>0.33400000000000002</v>
      </c>
      <c r="K174" s="162">
        <v>26.68</v>
      </c>
      <c r="L174" s="162">
        <v>4.42</v>
      </c>
      <c r="M174" s="162">
        <v>284.64</v>
      </c>
      <c r="N174" s="162">
        <v>0.26</v>
      </c>
    </row>
    <row r="175" spans="1:14" ht="16.5">
      <c r="A175" s="2" t="str">
        <f t="shared" si="2"/>
        <v>512상위25%</v>
      </c>
      <c r="B175" s="137">
        <v>512</v>
      </c>
      <c r="C175" s="98" t="s">
        <v>1623</v>
      </c>
      <c r="D175" s="162">
        <v>0.83199999999999996</v>
      </c>
      <c r="E175" s="162">
        <v>8.3000000000000004E-2</v>
      </c>
      <c r="F175" s="162">
        <v>1.2E-2</v>
      </c>
      <c r="G175" s="162">
        <v>1.2270000000000001</v>
      </c>
      <c r="H175" s="162">
        <v>0.46899999999999997</v>
      </c>
      <c r="I175" s="162">
        <v>0</v>
      </c>
      <c r="J175" s="162">
        <v>0.38200000000000001</v>
      </c>
      <c r="K175" s="162">
        <v>4.41</v>
      </c>
      <c r="L175" s="162">
        <v>5.48</v>
      </c>
      <c r="M175" s="162">
        <v>75.08</v>
      </c>
      <c r="N175" s="162">
        <v>0.39600000000000002</v>
      </c>
    </row>
    <row r="176" spans="1:14" ht="16.5">
      <c r="A176" s="2" t="str">
        <f t="shared" si="2"/>
        <v>520상위25%</v>
      </c>
      <c r="B176" s="137">
        <v>520</v>
      </c>
      <c r="C176" s="98" t="s">
        <v>1623</v>
      </c>
      <c r="D176" s="162">
        <v>0.69</v>
      </c>
      <c r="E176" s="162">
        <v>9.6000000000000002E-2</v>
      </c>
      <c r="F176" s="162">
        <v>3.5000000000000003E-2</v>
      </c>
      <c r="G176" s="162">
        <v>0.46600000000000003</v>
      </c>
      <c r="H176" s="162">
        <v>0.436</v>
      </c>
      <c r="I176" s="162">
        <v>7.0000000000000001E-3</v>
      </c>
      <c r="J176" s="162">
        <v>0.95199999999999996</v>
      </c>
      <c r="K176" s="162">
        <v>5.43</v>
      </c>
      <c r="L176" s="162">
        <v>1.58</v>
      </c>
      <c r="M176" s="162">
        <v>16.739999999999998</v>
      </c>
      <c r="N176" s="162">
        <v>0.75600000000000001</v>
      </c>
    </row>
    <row r="177" spans="1:14" ht="16.5">
      <c r="A177" s="2" t="str">
        <f t="shared" si="2"/>
        <v>611상위25%</v>
      </c>
      <c r="B177" s="137">
        <v>611</v>
      </c>
      <c r="C177" s="98" t="s">
        <v>1623</v>
      </c>
      <c r="D177" s="162">
        <v>0.75</v>
      </c>
      <c r="E177" s="162">
        <v>0.11</v>
      </c>
      <c r="F177" s="162">
        <v>7.0000000000000001E-3</v>
      </c>
      <c r="G177" s="162">
        <v>1.246</v>
      </c>
      <c r="H177" s="162">
        <v>0.224</v>
      </c>
      <c r="I177" s="162">
        <v>4.8000000000000001E-2</v>
      </c>
      <c r="J177" s="162">
        <v>0.218</v>
      </c>
      <c r="K177" s="162">
        <v>14.52</v>
      </c>
      <c r="L177" s="162">
        <v>3.37</v>
      </c>
      <c r="M177" s="162">
        <v>45.18</v>
      </c>
      <c r="N177" s="162">
        <v>0.34300000000000003</v>
      </c>
    </row>
    <row r="178" spans="1:14" ht="16.5">
      <c r="A178" s="2" t="str">
        <f t="shared" si="2"/>
        <v>612상위25%</v>
      </c>
      <c r="B178" s="137">
        <v>612</v>
      </c>
      <c r="C178" s="98" t="s">
        <v>1623</v>
      </c>
      <c r="D178" s="162">
        <v>0.73299999999999998</v>
      </c>
      <c r="E178" s="162">
        <v>0.128</v>
      </c>
      <c r="F178" s="162">
        <v>1.6E-2</v>
      </c>
      <c r="G178" s="162">
        <v>0.876</v>
      </c>
      <c r="H178" s="162">
        <v>0.58199999999999996</v>
      </c>
      <c r="I178" s="162">
        <v>1.0999999999999999E-2</v>
      </c>
      <c r="J178" s="162">
        <v>0.67700000000000005</v>
      </c>
      <c r="K178" s="162">
        <v>6.54</v>
      </c>
      <c r="L178" s="162">
        <v>15.12</v>
      </c>
      <c r="M178" s="162">
        <v>15.76</v>
      </c>
      <c r="N178" s="162">
        <v>0.156</v>
      </c>
    </row>
    <row r="179" spans="1:14" ht="16.5">
      <c r="A179" s="2" t="str">
        <f t="shared" si="2"/>
        <v>619상위25%</v>
      </c>
      <c r="B179" s="137">
        <v>619</v>
      </c>
      <c r="C179" s="98" t="s">
        <v>1623</v>
      </c>
      <c r="D179" s="162">
        <v>0.67600000000000005</v>
      </c>
      <c r="E179" s="162">
        <v>0.127</v>
      </c>
      <c r="F179" s="162">
        <v>8.0000000000000002E-3</v>
      </c>
      <c r="G179" s="162">
        <v>0.90100000000000002</v>
      </c>
      <c r="H179" s="162">
        <v>0.248</v>
      </c>
      <c r="I179" s="162">
        <v>8.9999999999999993E-3</v>
      </c>
      <c r="J179" s="162">
        <v>0.28599999999999998</v>
      </c>
      <c r="K179" s="162">
        <v>8.44</v>
      </c>
      <c r="L179" s="162">
        <v>11.86</v>
      </c>
      <c r="M179" s="162">
        <v>14.62</v>
      </c>
      <c r="N179" s="162">
        <v>0.13400000000000001</v>
      </c>
    </row>
    <row r="180" spans="1:14" ht="16.5">
      <c r="A180" s="2" t="str">
        <f t="shared" si="2"/>
        <v>621상위25%</v>
      </c>
      <c r="B180" s="137">
        <v>621</v>
      </c>
      <c r="C180" s="98" t="s">
        <v>1623</v>
      </c>
      <c r="D180" s="162">
        <v>0.88100000000000001</v>
      </c>
      <c r="E180" s="162">
        <v>1E-3</v>
      </c>
      <c r="F180" s="162">
        <v>3.0000000000000001E-3</v>
      </c>
      <c r="G180" s="162">
        <v>0.76500000000000001</v>
      </c>
      <c r="H180" s="162">
        <v>0.36899999999999999</v>
      </c>
      <c r="I180" s="162">
        <v>2E-3</v>
      </c>
      <c r="J180" s="162">
        <v>0.48499999999999999</v>
      </c>
      <c r="K180" s="162">
        <v>39.840000000000003</v>
      </c>
      <c r="L180" s="162">
        <v>7.72</v>
      </c>
      <c r="M180" s="162">
        <v>14.89</v>
      </c>
      <c r="N180" s="162">
        <v>8.6999999999999994E-2</v>
      </c>
    </row>
    <row r="181" spans="1:14" ht="16.5">
      <c r="A181" s="2" t="str">
        <f t="shared" si="2"/>
        <v>622상위25%</v>
      </c>
      <c r="B181" s="137">
        <v>622</v>
      </c>
      <c r="C181" s="98" t="s">
        <v>1623</v>
      </c>
      <c r="D181" s="162">
        <v>0.71399999999999997</v>
      </c>
      <c r="E181" s="162">
        <v>0.11799999999999999</v>
      </c>
      <c r="F181" s="162">
        <v>0.03</v>
      </c>
      <c r="G181" s="162">
        <v>0.61</v>
      </c>
      <c r="H181" s="162">
        <v>0.63</v>
      </c>
      <c r="I181" s="162">
        <v>2.9000000000000001E-2</v>
      </c>
      <c r="J181" s="162">
        <v>1.08</v>
      </c>
      <c r="K181" s="162">
        <v>4.6399999999999997</v>
      </c>
      <c r="L181" s="162">
        <v>13.82</v>
      </c>
      <c r="M181" s="162">
        <v>31.31</v>
      </c>
      <c r="N181" s="162">
        <v>0.25600000000000001</v>
      </c>
    </row>
    <row r="182" spans="1:14" ht="16.5">
      <c r="A182" s="2" t="str">
        <f t="shared" si="2"/>
        <v>623상위25%</v>
      </c>
      <c r="B182" s="137">
        <v>623</v>
      </c>
      <c r="C182" s="98" t="s">
        <v>1623</v>
      </c>
      <c r="D182" s="162">
        <v>0.77400000000000002</v>
      </c>
      <c r="E182" s="162">
        <v>0.10299999999999999</v>
      </c>
      <c r="F182" s="162">
        <v>3.9E-2</v>
      </c>
      <c r="G182" s="162">
        <v>0.33100000000000002</v>
      </c>
      <c r="H182" s="162">
        <v>0.41499999999999998</v>
      </c>
      <c r="I182" s="162">
        <v>2.3E-2</v>
      </c>
      <c r="J182" s="162">
        <v>1.3220000000000001</v>
      </c>
      <c r="K182" s="162">
        <v>2.96</v>
      </c>
      <c r="L182" s="162">
        <v>1.41</v>
      </c>
      <c r="M182" s="162">
        <v>5.9</v>
      </c>
      <c r="N182" s="162">
        <v>0.879</v>
      </c>
    </row>
    <row r="183" spans="1:14" ht="16.5">
      <c r="A183" s="2" t="str">
        <f t="shared" si="2"/>
        <v>624상위25%</v>
      </c>
      <c r="B183" s="137">
        <v>624</v>
      </c>
      <c r="C183" s="98" t="s">
        <v>1623</v>
      </c>
      <c r="D183" s="162">
        <v>0.73799999999999999</v>
      </c>
      <c r="E183" s="162">
        <v>0.10299999999999999</v>
      </c>
      <c r="F183" s="162">
        <v>1.0999999999999999E-2</v>
      </c>
      <c r="G183" s="162">
        <v>0.61599999999999999</v>
      </c>
      <c r="H183" s="162">
        <v>0.50900000000000001</v>
      </c>
      <c r="I183" s="162">
        <v>3.0000000000000001E-3</v>
      </c>
      <c r="J183" s="162">
        <v>0.83299999999999996</v>
      </c>
      <c r="K183" s="162">
        <v>9.84</v>
      </c>
      <c r="L183" s="162">
        <v>9.3699999999999992</v>
      </c>
      <c r="M183" s="162">
        <v>15.96</v>
      </c>
      <c r="N183" s="162">
        <v>0.14599999999999999</v>
      </c>
    </row>
    <row r="184" spans="1:14" ht="16.5">
      <c r="A184" s="2" t="str">
        <f t="shared" si="2"/>
        <v>625상위25%</v>
      </c>
      <c r="B184" s="137">
        <v>625</v>
      </c>
      <c r="C184" s="98" t="s">
        <v>1623</v>
      </c>
      <c r="D184" s="162">
        <v>0.70699999999999996</v>
      </c>
      <c r="E184" s="162">
        <v>0.113</v>
      </c>
      <c r="F184" s="162">
        <v>8.0000000000000002E-3</v>
      </c>
      <c r="G184" s="162">
        <v>0.749</v>
      </c>
      <c r="H184" s="162">
        <v>0.316</v>
      </c>
      <c r="I184" s="162">
        <v>6.0000000000000001E-3</v>
      </c>
      <c r="J184" s="162">
        <v>0.42899999999999999</v>
      </c>
      <c r="K184" s="162">
        <v>7.83</v>
      </c>
      <c r="L184" s="162">
        <v>6.28</v>
      </c>
      <c r="M184" s="162">
        <v>12.72</v>
      </c>
      <c r="N184" s="162">
        <v>0.20799999999999999</v>
      </c>
    </row>
    <row r="185" spans="1:14" ht="16.5">
      <c r="A185" s="2" t="str">
        <f t="shared" si="2"/>
        <v>626상위25%</v>
      </c>
      <c r="B185" s="137">
        <v>626</v>
      </c>
      <c r="C185" s="98" t="s">
        <v>1623</v>
      </c>
      <c r="D185" s="162">
        <v>0.61399999999999999</v>
      </c>
      <c r="E185" s="162">
        <v>0.16400000000000001</v>
      </c>
      <c r="F185" s="162">
        <v>1.2E-2</v>
      </c>
      <c r="G185" s="162">
        <v>0.71</v>
      </c>
      <c r="H185" s="162">
        <v>0.22900000000000001</v>
      </c>
      <c r="I185" s="162">
        <v>1.6E-2</v>
      </c>
      <c r="J185" s="162">
        <v>0.34399999999999997</v>
      </c>
      <c r="K185" s="162">
        <v>4.42</v>
      </c>
      <c r="L185" s="162">
        <v>8.1199999999999992</v>
      </c>
      <c r="M185" s="162">
        <v>14.83</v>
      </c>
      <c r="N185" s="162">
        <v>0.28199999999999997</v>
      </c>
    </row>
    <row r="186" spans="1:14" ht="16.5">
      <c r="A186" s="2" t="str">
        <f t="shared" si="2"/>
        <v>627상위25%</v>
      </c>
      <c r="B186" s="137">
        <v>627</v>
      </c>
      <c r="C186" s="98" t="s">
        <v>1623</v>
      </c>
      <c r="D186" s="162">
        <v>0.69299999999999995</v>
      </c>
      <c r="E186" s="162">
        <v>0.125</v>
      </c>
      <c r="F186" s="162">
        <v>1.0999999999999999E-2</v>
      </c>
      <c r="G186" s="162">
        <v>0.77700000000000002</v>
      </c>
      <c r="H186" s="162">
        <v>0.32200000000000001</v>
      </c>
      <c r="I186" s="162">
        <v>1.7999999999999999E-2</v>
      </c>
      <c r="J186" s="162">
        <v>0.436</v>
      </c>
      <c r="K186" s="162">
        <v>5.63</v>
      </c>
      <c r="L186" s="162">
        <v>9.8800000000000008</v>
      </c>
      <c r="M186" s="162">
        <v>13.18</v>
      </c>
      <c r="N186" s="162">
        <v>0.20300000000000001</v>
      </c>
    </row>
    <row r="187" spans="1:14" ht="16.5">
      <c r="A187" s="2" t="str">
        <f t="shared" si="2"/>
        <v>628상위25%</v>
      </c>
      <c r="B187" s="137">
        <v>628</v>
      </c>
      <c r="C187" s="98" t="s">
        <v>1623</v>
      </c>
      <c r="D187" s="162">
        <v>0.75800000000000001</v>
      </c>
      <c r="E187" s="162">
        <v>0.11600000000000001</v>
      </c>
      <c r="F187" s="162">
        <v>1.4E-2</v>
      </c>
      <c r="G187" s="162">
        <v>0.67</v>
      </c>
      <c r="H187" s="162">
        <v>0.27900000000000003</v>
      </c>
      <c r="I187" s="162">
        <v>8.0000000000000002E-3</v>
      </c>
      <c r="J187" s="162">
        <v>0.42699999999999999</v>
      </c>
      <c r="K187" s="162">
        <v>2.5</v>
      </c>
      <c r="L187" s="162">
        <v>6.23</v>
      </c>
      <c r="M187" s="162">
        <v>12.1</v>
      </c>
      <c r="N187" s="162">
        <v>0.47799999999999998</v>
      </c>
    </row>
    <row r="188" spans="1:14" ht="16.5">
      <c r="A188" s="2" t="str">
        <f t="shared" si="2"/>
        <v>629상위25%</v>
      </c>
      <c r="B188" s="137">
        <v>629</v>
      </c>
      <c r="C188" s="98" t="s">
        <v>1623</v>
      </c>
      <c r="D188" s="162">
        <v>0.73199999999999998</v>
      </c>
      <c r="E188" s="162">
        <v>0.113</v>
      </c>
      <c r="F188" s="162">
        <v>1.4999999999999999E-2</v>
      </c>
      <c r="G188" s="162">
        <v>0.80600000000000005</v>
      </c>
      <c r="H188" s="162">
        <v>0.51800000000000002</v>
      </c>
      <c r="I188" s="162">
        <v>8.0000000000000002E-3</v>
      </c>
      <c r="J188" s="162">
        <v>0.65200000000000002</v>
      </c>
      <c r="K188" s="162">
        <v>5.26</v>
      </c>
      <c r="L188" s="162">
        <v>14.55</v>
      </c>
      <c r="M188" s="162">
        <v>11.54</v>
      </c>
      <c r="N188" s="162">
        <v>0.17199999999999999</v>
      </c>
    </row>
    <row r="189" spans="1:14" ht="16.5">
      <c r="A189" s="2" t="str">
        <f t="shared" si="2"/>
        <v>631상위25%</v>
      </c>
      <c r="B189" s="137">
        <v>631</v>
      </c>
      <c r="C189" s="98" t="s">
        <v>1623</v>
      </c>
      <c r="D189" s="162">
        <v>0.67100000000000004</v>
      </c>
      <c r="E189" s="162">
        <v>0.17399999999999999</v>
      </c>
      <c r="F189" s="162">
        <v>8.9999999999999993E-3</v>
      </c>
      <c r="G189" s="162">
        <v>1.042</v>
      </c>
      <c r="H189" s="162">
        <v>0.13300000000000001</v>
      </c>
      <c r="I189" s="162">
        <v>5.3999999999999999E-2</v>
      </c>
      <c r="J189" s="162">
        <v>0.17899999999999999</v>
      </c>
      <c r="K189" s="162">
        <v>10.91</v>
      </c>
      <c r="L189" s="162">
        <v>18.829999999999998</v>
      </c>
      <c r="M189" s="162">
        <v>17.64</v>
      </c>
      <c r="N189" s="162">
        <v>8.7999999999999995E-2</v>
      </c>
    </row>
    <row r="190" spans="1:14" ht="16.5">
      <c r="A190" s="2" t="str">
        <f t="shared" si="2"/>
        <v>632상위25%</v>
      </c>
      <c r="B190" s="137">
        <v>632</v>
      </c>
      <c r="C190" s="98" t="s">
        <v>1623</v>
      </c>
      <c r="D190" s="162">
        <v>0.73299999999999998</v>
      </c>
      <c r="E190" s="162">
        <v>0.13</v>
      </c>
      <c r="F190" s="162">
        <v>0.01</v>
      </c>
      <c r="G190" s="162">
        <v>1.091</v>
      </c>
      <c r="H190" s="162">
        <v>0.22900000000000001</v>
      </c>
      <c r="I190" s="162">
        <v>3.0000000000000001E-3</v>
      </c>
      <c r="J190" s="162">
        <v>0.21299999999999999</v>
      </c>
      <c r="K190" s="162">
        <v>13.75</v>
      </c>
      <c r="L190" s="162">
        <v>16.73</v>
      </c>
      <c r="M190" s="162">
        <v>22.92</v>
      </c>
      <c r="N190" s="162">
        <v>8.8999999999999996E-2</v>
      </c>
    </row>
    <row r="191" spans="1:14" ht="16.5">
      <c r="A191" s="2" t="str">
        <f t="shared" si="2"/>
        <v>633상위25%</v>
      </c>
      <c r="B191" s="137">
        <v>633</v>
      </c>
      <c r="C191" s="98" t="s">
        <v>1623</v>
      </c>
      <c r="D191" s="162">
        <v>0.307</v>
      </c>
      <c r="E191" s="162">
        <v>0.45800000000000002</v>
      </c>
      <c r="F191" s="162">
        <v>3.1E-2</v>
      </c>
      <c r="G191" s="162">
        <v>0.59799999999999998</v>
      </c>
      <c r="H191" s="162">
        <v>0.14000000000000001</v>
      </c>
      <c r="I191" s="162">
        <v>7.6999999999999999E-2</v>
      </c>
      <c r="J191" s="162">
        <v>0.36299999999999999</v>
      </c>
      <c r="K191" s="162">
        <v>7.05</v>
      </c>
      <c r="L191" s="162">
        <v>96.63</v>
      </c>
      <c r="M191" s="162">
        <v>40.770000000000003</v>
      </c>
      <c r="N191" s="162">
        <v>0.128</v>
      </c>
    </row>
    <row r="192" spans="1:14" ht="16.5">
      <c r="A192" s="2" t="str">
        <f t="shared" si="2"/>
        <v>634상위25%</v>
      </c>
      <c r="B192" s="137">
        <v>634</v>
      </c>
      <c r="C192" s="98" t="s">
        <v>1623</v>
      </c>
      <c r="D192" s="162">
        <v>0.36299999999999999</v>
      </c>
      <c r="E192" s="162">
        <v>0.42699999999999999</v>
      </c>
      <c r="F192" s="162">
        <v>2.9000000000000001E-2</v>
      </c>
      <c r="G192" s="162">
        <v>0.375</v>
      </c>
      <c r="H192" s="162">
        <v>0.189</v>
      </c>
      <c r="I192" s="162">
        <v>7.4999999999999997E-2</v>
      </c>
      <c r="J192" s="162">
        <v>0.70499999999999996</v>
      </c>
      <c r="K192" s="162">
        <v>5.37</v>
      </c>
      <c r="L192" s="162">
        <v>1.46</v>
      </c>
      <c r="M192" s="162">
        <v>55.73</v>
      </c>
      <c r="N192" s="162">
        <v>0.85199999999999998</v>
      </c>
    </row>
    <row r="193" spans="1:14" ht="16.5">
      <c r="A193" s="2" t="str">
        <f t="shared" si="2"/>
        <v>635상위25%</v>
      </c>
      <c r="B193" s="137">
        <v>635</v>
      </c>
      <c r="C193" s="98" t="s">
        <v>1623</v>
      </c>
      <c r="D193" s="162">
        <v>0.32600000000000001</v>
      </c>
      <c r="E193" s="162">
        <v>0.441</v>
      </c>
      <c r="F193" s="162">
        <v>3.7999999999999999E-2</v>
      </c>
      <c r="G193" s="162">
        <v>0.65600000000000003</v>
      </c>
      <c r="H193" s="162">
        <v>0.47</v>
      </c>
      <c r="I193" s="162">
        <v>7.0000000000000001E-3</v>
      </c>
      <c r="J193" s="162">
        <v>0.72599999999999998</v>
      </c>
      <c r="K193" s="162">
        <v>7.27</v>
      </c>
      <c r="L193" s="162">
        <v>198.95</v>
      </c>
      <c r="M193" s="162">
        <v>82.23</v>
      </c>
      <c r="N193" s="162">
        <v>0.13</v>
      </c>
    </row>
    <row r="194" spans="1:14" ht="16.5">
      <c r="A194" s="2" t="str">
        <f t="shared" si="2"/>
        <v>636상위25%</v>
      </c>
      <c r="B194" s="137">
        <v>636</v>
      </c>
      <c r="C194" s="98" t="s">
        <v>1623</v>
      </c>
      <c r="D194" s="162">
        <v>0.52100000000000002</v>
      </c>
      <c r="E194" s="162">
        <v>0.192</v>
      </c>
      <c r="F194" s="162">
        <v>2.4E-2</v>
      </c>
      <c r="G194" s="162">
        <v>0.41799999999999998</v>
      </c>
      <c r="H194" s="162">
        <v>0.38100000000000001</v>
      </c>
      <c r="I194" s="162">
        <v>6.5000000000000002E-2</v>
      </c>
      <c r="J194" s="162">
        <v>1.0660000000000001</v>
      </c>
      <c r="K194" s="162">
        <v>8.25</v>
      </c>
      <c r="L194" s="162">
        <v>84.54</v>
      </c>
      <c r="M194" s="162">
        <v>43.05</v>
      </c>
      <c r="N194" s="162">
        <v>0.11</v>
      </c>
    </row>
    <row r="195" spans="1:14" ht="16.5">
      <c r="A195" s="2" t="str">
        <f t="shared" ref="A195:A258" si="3">B195&amp;C195</f>
        <v>637상위25%</v>
      </c>
      <c r="B195" s="137">
        <v>637</v>
      </c>
      <c r="C195" s="98" t="s">
        <v>1623</v>
      </c>
      <c r="D195" s="162">
        <v>0.32300000000000001</v>
      </c>
      <c r="E195" s="162">
        <v>0.45300000000000001</v>
      </c>
      <c r="F195" s="162">
        <v>1.6E-2</v>
      </c>
      <c r="G195" s="162">
        <v>0.92300000000000004</v>
      </c>
      <c r="H195" s="162">
        <v>0.19700000000000001</v>
      </c>
      <c r="I195" s="162">
        <v>2.5000000000000001E-2</v>
      </c>
      <c r="J195" s="162">
        <v>0.24099999999999999</v>
      </c>
      <c r="K195" s="162">
        <v>6.92</v>
      </c>
      <c r="L195" s="162">
        <v>16.14</v>
      </c>
      <c r="M195" s="162">
        <v>29.22</v>
      </c>
      <c r="N195" s="162">
        <v>0.17199999999999999</v>
      </c>
    </row>
    <row r="196" spans="1:14" ht="16.5">
      <c r="A196" s="2" t="str">
        <f t="shared" si="3"/>
        <v>639상위25%</v>
      </c>
      <c r="B196" s="137">
        <v>639</v>
      </c>
      <c r="C196" s="98" t="s">
        <v>1623</v>
      </c>
      <c r="D196" s="162">
        <v>0.2</v>
      </c>
      <c r="E196" s="162">
        <v>0.56200000000000006</v>
      </c>
      <c r="F196" s="162">
        <v>5.3999999999999999E-2</v>
      </c>
      <c r="G196" s="162">
        <v>0.624</v>
      </c>
      <c r="H196" s="162">
        <v>0.878</v>
      </c>
      <c r="I196" s="162">
        <v>0</v>
      </c>
      <c r="J196" s="162">
        <v>1.4079999999999999</v>
      </c>
      <c r="K196" s="162">
        <v>1279.8599999999999</v>
      </c>
      <c r="L196" s="162">
        <v>60.53</v>
      </c>
      <c r="M196" s="162">
        <v>201.69</v>
      </c>
      <c r="N196" s="162">
        <v>1.2E-2</v>
      </c>
    </row>
    <row r="197" spans="1:14" ht="16.5">
      <c r="A197" s="2" t="str">
        <f t="shared" si="3"/>
        <v>711상위25%</v>
      </c>
      <c r="B197" s="137">
        <v>711</v>
      </c>
      <c r="C197" s="98" t="s">
        <v>1623</v>
      </c>
      <c r="D197" s="162">
        <v>0.81299999999999994</v>
      </c>
      <c r="E197" s="162">
        <v>9.8000000000000004E-2</v>
      </c>
      <c r="F197" s="162">
        <v>1.7000000000000001E-2</v>
      </c>
      <c r="G197" s="162">
        <v>0.94399999999999995</v>
      </c>
      <c r="H197" s="162">
        <v>0.439</v>
      </c>
      <c r="I197" s="162">
        <v>1.7000000000000001E-2</v>
      </c>
      <c r="J197" s="162">
        <v>0.48199999999999998</v>
      </c>
      <c r="K197" s="162">
        <v>11.59</v>
      </c>
      <c r="L197" s="162">
        <v>21.91</v>
      </c>
      <c r="M197" s="162">
        <v>33.159999999999997</v>
      </c>
      <c r="N197" s="162">
        <v>0.10199999999999999</v>
      </c>
    </row>
    <row r="198" spans="1:14" ht="16.5">
      <c r="A198" s="2" t="str">
        <f t="shared" si="3"/>
        <v>712상위25%</v>
      </c>
      <c r="B198" s="137">
        <v>712</v>
      </c>
      <c r="C198" s="98" t="s">
        <v>1623</v>
      </c>
      <c r="D198" s="162">
        <v>0.76800000000000002</v>
      </c>
      <c r="E198" s="162">
        <v>9.6000000000000002E-2</v>
      </c>
      <c r="F198" s="162">
        <v>8.9999999999999993E-3</v>
      </c>
      <c r="G198" s="162">
        <v>0.98799999999999999</v>
      </c>
      <c r="H198" s="162">
        <v>0.312</v>
      </c>
      <c r="I198" s="162">
        <v>6.0000000000000001E-3</v>
      </c>
      <c r="J198" s="162">
        <v>0.32200000000000001</v>
      </c>
      <c r="K198" s="162">
        <v>9.11</v>
      </c>
      <c r="L198" s="162">
        <v>12.24</v>
      </c>
      <c r="M198" s="162">
        <v>27.86</v>
      </c>
      <c r="N198" s="162">
        <v>0.156</v>
      </c>
    </row>
    <row r="199" spans="1:14" ht="16.5">
      <c r="A199" s="2" t="str">
        <f t="shared" si="3"/>
        <v>721상위25%</v>
      </c>
      <c r="B199" s="137">
        <v>721</v>
      </c>
      <c r="C199" s="98" t="s">
        <v>1623</v>
      </c>
      <c r="D199" s="162">
        <v>0.79400000000000004</v>
      </c>
      <c r="E199" s="162">
        <v>0.104</v>
      </c>
      <c r="F199" s="162">
        <v>1.2E-2</v>
      </c>
      <c r="G199" s="162">
        <v>0.98799999999999999</v>
      </c>
      <c r="H199" s="162">
        <v>0.42699999999999999</v>
      </c>
      <c r="I199" s="162">
        <v>1.2E-2</v>
      </c>
      <c r="J199" s="162">
        <v>0.44400000000000001</v>
      </c>
      <c r="K199" s="162">
        <v>7.39</v>
      </c>
      <c r="L199" s="162">
        <v>6.11</v>
      </c>
      <c r="M199" s="162">
        <v>23</v>
      </c>
      <c r="N199" s="162">
        <v>0.25600000000000001</v>
      </c>
    </row>
    <row r="200" spans="1:14" ht="16.5">
      <c r="A200" s="2" t="str">
        <f t="shared" si="3"/>
        <v>722상위25%</v>
      </c>
      <c r="B200" s="137">
        <v>722</v>
      </c>
      <c r="C200" s="98" t="s">
        <v>1623</v>
      </c>
      <c r="D200" s="162">
        <v>0.73899999999999999</v>
      </c>
      <c r="E200" s="162">
        <v>0.115</v>
      </c>
      <c r="F200" s="162">
        <v>1.9E-2</v>
      </c>
      <c r="G200" s="162">
        <v>0.996</v>
      </c>
      <c r="H200" s="162">
        <v>0.42499999999999999</v>
      </c>
      <c r="I200" s="162">
        <v>2E-3</v>
      </c>
      <c r="J200" s="162">
        <v>0.43</v>
      </c>
      <c r="K200" s="162">
        <v>8.66</v>
      </c>
      <c r="L200" s="162">
        <v>6.07</v>
      </c>
      <c r="M200" s="162">
        <v>20.57</v>
      </c>
      <c r="N200" s="162">
        <v>0.23200000000000001</v>
      </c>
    </row>
    <row r="201" spans="1:14" ht="16.5">
      <c r="A201" s="2" t="str">
        <f t="shared" si="3"/>
        <v>730상위25%</v>
      </c>
      <c r="B201" s="137">
        <v>730</v>
      </c>
      <c r="C201" s="98" t="s">
        <v>1623</v>
      </c>
      <c r="D201" s="162">
        <v>0.73199999999999998</v>
      </c>
      <c r="E201" s="162">
        <v>0.158</v>
      </c>
      <c r="F201" s="162">
        <v>2.1999999999999999E-2</v>
      </c>
      <c r="G201" s="162">
        <v>0.94099999999999995</v>
      </c>
      <c r="H201" s="162">
        <v>0.54200000000000004</v>
      </c>
      <c r="I201" s="162">
        <v>0.01</v>
      </c>
      <c r="J201" s="162">
        <v>0.58699999999999997</v>
      </c>
      <c r="K201" s="162">
        <v>7.48</v>
      </c>
      <c r="L201" s="162">
        <v>7.43</v>
      </c>
      <c r="M201" s="162">
        <v>21.75</v>
      </c>
      <c r="N201" s="162">
        <v>0.222</v>
      </c>
    </row>
    <row r="202" spans="1:14" ht="16.5">
      <c r="A202" s="2" t="str">
        <f t="shared" si="3"/>
        <v>740상위25%</v>
      </c>
      <c r="B202" s="137">
        <v>740</v>
      </c>
      <c r="C202" s="98" t="s">
        <v>1623</v>
      </c>
      <c r="D202" s="162">
        <v>0.83499999999999996</v>
      </c>
      <c r="E202" s="162">
        <v>4.2000000000000003E-2</v>
      </c>
      <c r="F202" s="162">
        <v>8.9999999999999993E-3</v>
      </c>
      <c r="G202" s="162">
        <v>0.96299999999999997</v>
      </c>
      <c r="H202" s="162">
        <v>0.24</v>
      </c>
      <c r="I202" s="162">
        <v>4.0000000000000001E-3</v>
      </c>
      <c r="J202" s="162">
        <v>0.254</v>
      </c>
      <c r="K202" s="162">
        <v>7.89</v>
      </c>
      <c r="L202" s="162">
        <v>14.15</v>
      </c>
      <c r="M202" s="162">
        <v>24.8</v>
      </c>
      <c r="N202" s="162">
        <v>0.157</v>
      </c>
    </row>
    <row r="203" spans="1:14" ht="16.5">
      <c r="A203" s="2" t="str">
        <f t="shared" si="3"/>
        <v>750상위25%</v>
      </c>
      <c r="B203" s="137">
        <v>750</v>
      </c>
      <c r="C203" s="98" t="s">
        <v>1623</v>
      </c>
      <c r="D203" s="162">
        <v>0.41299999999999998</v>
      </c>
      <c r="E203" s="162">
        <v>0.48799999999999999</v>
      </c>
      <c r="F203" s="162">
        <v>2.1999999999999999E-2</v>
      </c>
      <c r="G203" s="162">
        <v>0.78900000000000003</v>
      </c>
      <c r="H203" s="162">
        <v>0.25800000000000001</v>
      </c>
      <c r="I203" s="162">
        <v>4.0000000000000001E-3</v>
      </c>
      <c r="J203" s="162">
        <v>0.33300000000000002</v>
      </c>
      <c r="K203" s="162">
        <v>14.97</v>
      </c>
      <c r="L203" s="162">
        <v>22.04</v>
      </c>
      <c r="M203" s="162">
        <v>32.83</v>
      </c>
      <c r="N203" s="162">
        <v>8.2000000000000003E-2</v>
      </c>
    </row>
    <row r="204" spans="1:14" ht="16.5">
      <c r="A204" s="2" t="str">
        <f t="shared" si="3"/>
        <v>761상위25%</v>
      </c>
      <c r="B204" s="137">
        <v>761</v>
      </c>
      <c r="C204" s="98" t="s">
        <v>1623</v>
      </c>
      <c r="D204" s="162">
        <v>0.71299999999999997</v>
      </c>
      <c r="E204" s="162">
        <v>0.17599999999999999</v>
      </c>
      <c r="F204" s="162">
        <v>1.6E-2</v>
      </c>
      <c r="G204" s="162">
        <v>1.016</v>
      </c>
      <c r="H204" s="162">
        <v>0.45700000000000002</v>
      </c>
      <c r="I204" s="162">
        <v>8.0000000000000002E-3</v>
      </c>
      <c r="J204" s="162">
        <v>0.45800000000000002</v>
      </c>
      <c r="K204" s="162">
        <v>7.28</v>
      </c>
      <c r="L204" s="162">
        <v>7.85</v>
      </c>
      <c r="M204" s="162">
        <v>20.16</v>
      </c>
      <c r="N204" s="162">
        <v>0.215</v>
      </c>
    </row>
    <row r="205" spans="1:14" ht="16.5">
      <c r="A205" s="2" t="str">
        <f t="shared" si="3"/>
        <v>762상위25%</v>
      </c>
      <c r="B205" s="137">
        <v>762</v>
      </c>
      <c r="C205" s="98" t="s">
        <v>1623</v>
      </c>
      <c r="D205" s="162">
        <v>0.77900000000000003</v>
      </c>
      <c r="E205" s="162">
        <v>0.13100000000000001</v>
      </c>
      <c r="F205" s="162">
        <v>4.0000000000000001E-3</v>
      </c>
      <c r="G205" s="162">
        <v>1.1379999999999999</v>
      </c>
      <c r="H205" s="162">
        <v>0.41699999999999998</v>
      </c>
      <c r="I205" s="162">
        <v>2E-3</v>
      </c>
      <c r="J205" s="162">
        <v>0.36799999999999999</v>
      </c>
      <c r="K205" s="162">
        <v>8.48</v>
      </c>
      <c r="L205" s="162">
        <v>7.16</v>
      </c>
      <c r="M205" s="162">
        <v>20.78</v>
      </c>
      <c r="N205" s="162">
        <v>0.20899999999999999</v>
      </c>
    </row>
    <row r="206" spans="1:14" ht="16.5">
      <c r="A206" s="2" t="str">
        <f t="shared" si="3"/>
        <v>770상위25%</v>
      </c>
      <c r="B206" s="137">
        <v>770</v>
      </c>
      <c r="C206" s="98" t="s">
        <v>1623</v>
      </c>
      <c r="D206" s="162">
        <v>0.71699999999999997</v>
      </c>
      <c r="E206" s="162">
        <v>0.13100000000000001</v>
      </c>
      <c r="F206" s="162">
        <v>1.2999999999999999E-2</v>
      </c>
      <c r="G206" s="162">
        <v>0.54600000000000004</v>
      </c>
      <c r="H206" s="162">
        <v>0.20300000000000001</v>
      </c>
      <c r="I206" s="162">
        <v>5.0000000000000001E-3</v>
      </c>
      <c r="J206" s="162">
        <v>0.38</v>
      </c>
      <c r="K206" s="162">
        <v>5.34</v>
      </c>
      <c r="L206" s="162">
        <v>9.67</v>
      </c>
      <c r="M206" s="162">
        <v>12.29</v>
      </c>
      <c r="N206" s="162">
        <v>0.20899999999999999</v>
      </c>
    </row>
    <row r="207" spans="1:14" ht="16.5">
      <c r="A207" s="2" t="str">
        <f t="shared" si="3"/>
        <v>791상위25%</v>
      </c>
      <c r="B207" s="137">
        <v>791</v>
      </c>
      <c r="C207" s="98" t="s">
        <v>1623</v>
      </c>
      <c r="D207" s="162">
        <v>0.59299999999999997</v>
      </c>
      <c r="E207" s="162">
        <v>0.26800000000000002</v>
      </c>
      <c r="F207" s="162">
        <v>1.6E-2</v>
      </c>
      <c r="G207" s="162">
        <v>0.60399999999999998</v>
      </c>
      <c r="H207" s="162">
        <v>0.52800000000000002</v>
      </c>
      <c r="I207" s="162">
        <v>2.1999999999999999E-2</v>
      </c>
      <c r="J207" s="162">
        <v>0.91200000000000003</v>
      </c>
      <c r="K207" s="162">
        <v>8.42</v>
      </c>
      <c r="L207" s="162">
        <v>13.88</v>
      </c>
      <c r="M207" s="162">
        <v>22.2</v>
      </c>
      <c r="N207" s="162">
        <v>0.14599999999999999</v>
      </c>
    </row>
    <row r="208" spans="1:14" ht="16.5">
      <c r="A208" s="2" t="str">
        <f t="shared" si="3"/>
        <v>792상위25%</v>
      </c>
      <c r="B208" s="137">
        <v>792</v>
      </c>
      <c r="C208" s="98" t="s">
        <v>1623</v>
      </c>
      <c r="D208" s="162">
        <v>0.78600000000000003</v>
      </c>
      <c r="E208" s="162">
        <v>0.13</v>
      </c>
      <c r="F208" s="162">
        <v>1.2999999999999999E-2</v>
      </c>
      <c r="G208" s="162">
        <v>0.68500000000000005</v>
      </c>
      <c r="H208" s="162">
        <v>0.52800000000000002</v>
      </c>
      <c r="I208" s="162">
        <v>8.0000000000000002E-3</v>
      </c>
      <c r="J208" s="162">
        <v>0.78400000000000003</v>
      </c>
      <c r="K208" s="162">
        <v>8.6300000000000008</v>
      </c>
      <c r="L208" s="162">
        <v>8.94</v>
      </c>
      <c r="M208" s="162">
        <v>35.58</v>
      </c>
      <c r="N208" s="162">
        <v>0.2</v>
      </c>
    </row>
    <row r="209" spans="1:14" ht="16.5">
      <c r="A209" s="2" t="str">
        <f t="shared" si="3"/>
        <v>793상위25%</v>
      </c>
      <c r="B209" s="137">
        <v>793</v>
      </c>
      <c r="C209" s="98" t="s">
        <v>1623</v>
      </c>
      <c r="D209" s="162">
        <v>0.73699999999999999</v>
      </c>
      <c r="E209" s="162">
        <v>0.14199999999999999</v>
      </c>
      <c r="F209" s="162">
        <v>1.4E-2</v>
      </c>
      <c r="G209" s="162">
        <v>1.111</v>
      </c>
      <c r="H209" s="162">
        <v>0.50700000000000001</v>
      </c>
      <c r="I209" s="162">
        <v>7.0000000000000001E-3</v>
      </c>
      <c r="J209" s="162">
        <v>0.46300000000000002</v>
      </c>
      <c r="K209" s="162">
        <v>10.3</v>
      </c>
      <c r="L209" s="162">
        <v>18.579999999999998</v>
      </c>
      <c r="M209" s="162">
        <v>10.48</v>
      </c>
      <c r="N209" s="162">
        <v>5.6000000000000001E-2</v>
      </c>
    </row>
    <row r="210" spans="1:14" ht="16.5">
      <c r="A210" s="2" t="str">
        <f t="shared" si="3"/>
        <v>794상위25%</v>
      </c>
      <c r="B210" s="137">
        <v>794</v>
      </c>
      <c r="C210" s="98" t="s">
        <v>1623</v>
      </c>
      <c r="D210" s="162">
        <v>0.69599999999999995</v>
      </c>
      <c r="E210" s="162">
        <v>0.14099999999999999</v>
      </c>
      <c r="F210" s="162">
        <v>1.2999999999999999E-2</v>
      </c>
      <c r="G210" s="162">
        <v>0.83599999999999997</v>
      </c>
      <c r="H210" s="162">
        <v>0.38800000000000001</v>
      </c>
      <c r="I210" s="162">
        <v>5.0000000000000001E-3</v>
      </c>
      <c r="J210" s="162">
        <v>0.47</v>
      </c>
      <c r="K210" s="162">
        <v>7.02</v>
      </c>
      <c r="L210" s="162">
        <v>7.12</v>
      </c>
      <c r="M210" s="162">
        <v>17.29</v>
      </c>
      <c r="N210" s="162">
        <v>0.22500000000000001</v>
      </c>
    </row>
    <row r="211" spans="1:14" ht="16.5">
      <c r="A211" s="2" t="str">
        <f t="shared" si="3"/>
        <v>795상위25%</v>
      </c>
      <c r="B211" s="137">
        <v>795</v>
      </c>
      <c r="C211" s="98" t="s">
        <v>1623</v>
      </c>
      <c r="D211" s="162">
        <v>0.53200000000000003</v>
      </c>
      <c r="E211" s="162">
        <v>0.316</v>
      </c>
      <c r="F211" s="162">
        <v>1.0999999999999999E-2</v>
      </c>
      <c r="G211" s="162">
        <v>0.81</v>
      </c>
      <c r="H211" s="162">
        <v>0.218</v>
      </c>
      <c r="I211" s="162">
        <v>8.0000000000000002E-3</v>
      </c>
      <c r="J211" s="162">
        <v>0.27900000000000003</v>
      </c>
      <c r="K211" s="162">
        <v>10.45</v>
      </c>
      <c r="L211" s="162">
        <v>2.83</v>
      </c>
      <c r="M211" s="162">
        <v>26.94</v>
      </c>
      <c r="N211" s="162">
        <v>0.41199999999999998</v>
      </c>
    </row>
    <row r="212" spans="1:14" ht="16.5">
      <c r="A212" s="2" t="str">
        <f t="shared" si="3"/>
        <v>799상위25%</v>
      </c>
      <c r="B212" s="137">
        <v>799</v>
      </c>
      <c r="C212" s="98" t="s">
        <v>1623</v>
      </c>
      <c r="D212" s="162">
        <v>0.53200000000000003</v>
      </c>
      <c r="E212" s="162">
        <v>0.316</v>
      </c>
      <c r="F212" s="162">
        <v>1.0999999999999999E-2</v>
      </c>
      <c r="G212" s="162">
        <v>0.81</v>
      </c>
      <c r="H212" s="162">
        <v>0.218</v>
      </c>
      <c r="I212" s="162">
        <v>8.0000000000000002E-3</v>
      </c>
      <c r="J212" s="162">
        <v>0.27900000000000003</v>
      </c>
      <c r="K212" s="162">
        <v>10.45</v>
      </c>
      <c r="L212" s="162">
        <v>2.83</v>
      </c>
      <c r="M212" s="162">
        <v>26.94</v>
      </c>
      <c r="N212" s="162">
        <v>0.41199999999999998</v>
      </c>
    </row>
    <row r="213" spans="1:14" ht="16.5">
      <c r="A213" s="2" t="str">
        <f t="shared" si="3"/>
        <v>811상위25%</v>
      </c>
      <c r="B213" s="137">
        <v>811</v>
      </c>
      <c r="C213" s="98" t="s">
        <v>1623</v>
      </c>
      <c r="D213" s="162">
        <v>0.38600000000000001</v>
      </c>
      <c r="E213" s="162">
        <v>0.32500000000000001</v>
      </c>
      <c r="F213" s="162">
        <v>1.2E-2</v>
      </c>
      <c r="G213" s="162">
        <v>0.501</v>
      </c>
      <c r="H213" s="162">
        <v>0.249</v>
      </c>
      <c r="I213" s="162">
        <v>0.442</v>
      </c>
      <c r="J213" s="162">
        <v>1.381</v>
      </c>
      <c r="K213" s="162">
        <v>5.84</v>
      </c>
      <c r="L213" s="162">
        <v>16.66</v>
      </c>
      <c r="M213" s="162">
        <v>10.25</v>
      </c>
      <c r="N213" s="162">
        <v>0.13400000000000001</v>
      </c>
    </row>
    <row r="214" spans="1:14" ht="16.5">
      <c r="A214" s="2" t="str">
        <f t="shared" si="3"/>
        <v>812상위25%</v>
      </c>
      <c r="B214" s="137">
        <v>812</v>
      </c>
      <c r="C214" s="98" t="s">
        <v>1623</v>
      </c>
      <c r="D214" s="162">
        <v>0.60199999999999998</v>
      </c>
      <c r="E214" s="162">
        <v>0.20200000000000001</v>
      </c>
      <c r="F214" s="162">
        <v>8.0000000000000002E-3</v>
      </c>
      <c r="G214" s="162">
        <v>0.59599999999999997</v>
      </c>
      <c r="H214" s="162">
        <v>0.214</v>
      </c>
      <c r="I214" s="162">
        <v>5.5E-2</v>
      </c>
      <c r="J214" s="162">
        <v>0.45100000000000001</v>
      </c>
      <c r="K214" s="162">
        <v>5.09</v>
      </c>
      <c r="L214" s="162">
        <v>9.7200000000000006</v>
      </c>
      <c r="M214" s="162">
        <v>25.45</v>
      </c>
      <c r="N214" s="162">
        <v>0.26</v>
      </c>
    </row>
    <row r="215" spans="1:14" ht="16.5">
      <c r="A215" s="2" t="str">
        <f t="shared" si="3"/>
        <v>821상위25%</v>
      </c>
      <c r="B215" s="137">
        <v>821</v>
      </c>
      <c r="C215" s="98" t="s">
        <v>1623</v>
      </c>
      <c r="D215" s="162">
        <v>0.59699999999999998</v>
      </c>
      <c r="E215" s="162">
        <v>0.28000000000000003</v>
      </c>
      <c r="F215" s="162">
        <v>2.1000000000000001E-2</v>
      </c>
      <c r="G215" s="162">
        <v>1.2529999999999999</v>
      </c>
      <c r="H215" s="162">
        <v>0.58099999999999996</v>
      </c>
      <c r="I215" s="162">
        <v>1.2E-2</v>
      </c>
      <c r="J215" s="162">
        <v>0.47399999999999998</v>
      </c>
      <c r="K215" s="162">
        <v>12.01</v>
      </c>
      <c r="L215" s="162">
        <v>15.46</v>
      </c>
      <c r="M215" s="162">
        <v>27.76</v>
      </c>
      <c r="N215" s="162">
        <v>0.112</v>
      </c>
    </row>
    <row r="216" spans="1:14" ht="16.5">
      <c r="A216" s="2" t="str">
        <f t="shared" si="3"/>
        <v>822상위25%</v>
      </c>
      <c r="B216" s="137">
        <v>822</v>
      </c>
      <c r="C216" s="98" t="s">
        <v>1623</v>
      </c>
      <c r="D216" s="162">
        <v>0</v>
      </c>
      <c r="E216" s="162">
        <v>0</v>
      </c>
      <c r="F216" s="162">
        <v>0</v>
      </c>
      <c r="G216" s="162">
        <v>0</v>
      </c>
      <c r="H216" s="162">
        <v>0</v>
      </c>
      <c r="I216" s="162">
        <v>0</v>
      </c>
      <c r="J216" s="162">
        <v>0</v>
      </c>
      <c r="K216" s="162">
        <v>0</v>
      </c>
      <c r="L216" s="162">
        <v>0</v>
      </c>
      <c r="M216" s="162">
        <v>0</v>
      </c>
      <c r="N216" s="162">
        <v>0</v>
      </c>
    </row>
    <row r="217" spans="1:14" ht="16.5">
      <c r="A217" s="2" t="str">
        <f t="shared" si="3"/>
        <v>911상위25%</v>
      </c>
      <c r="B217" s="137">
        <v>911</v>
      </c>
      <c r="C217" s="98" t="s">
        <v>1623</v>
      </c>
      <c r="D217" s="162">
        <v>0.626</v>
      </c>
      <c r="E217" s="162">
        <v>0.14000000000000001</v>
      </c>
      <c r="F217" s="162">
        <v>1.2999999999999999E-2</v>
      </c>
      <c r="G217" s="162">
        <v>0.26800000000000002</v>
      </c>
      <c r="H217" s="162">
        <v>0.19800000000000001</v>
      </c>
      <c r="I217" s="162">
        <v>1.4999999999999999E-2</v>
      </c>
      <c r="J217" s="162">
        <v>0.79300000000000004</v>
      </c>
      <c r="K217" s="162">
        <v>6.13</v>
      </c>
      <c r="L217" s="162">
        <v>9.92</v>
      </c>
      <c r="M217" s="162">
        <v>16.05</v>
      </c>
      <c r="N217" s="162">
        <v>0.20200000000000001</v>
      </c>
    </row>
    <row r="218" spans="1:14" ht="16.5">
      <c r="A218" s="2" t="str">
        <f t="shared" si="3"/>
        <v>912상위25%</v>
      </c>
      <c r="B218" s="137">
        <v>912</v>
      </c>
      <c r="C218" s="98" t="s">
        <v>1623</v>
      </c>
      <c r="D218" s="162">
        <v>0.61899999999999999</v>
      </c>
      <c r="E218" s="162">
        <v>0.24</v>
      </c>
      <c r="F218" s="162">
        <v>6.0000000000000001E-3</v>
      </c>
      <c r="G218" s="162">
        <v>1.2749999999999999</v>
      </c>
      <c r="H218" s="162">
        <v>0.23799999999999999</v>
      </c>
      <c r="I218" s="162">
        <v>1.9E-2</v>
      </c>
      <c r="J218" s="162">
        <v>0.20200000000000001</v>
      </c>
      <c r="K218" s="162">
        <v>5.91</v>
      </c>
      <c r="L218" s="162">
        <v>9.3000000000000007</v>
      </c>
      <c r="M218" s="162">
        <v>14.52</v>
      </c>
      <c r="N218" s="162">
        <v>0.20799999999999999</v>
      </c>
    </row>
    <row r="219" spans="1:14" ht="16.5">
      <c r="A219" s="2" t="str">
        <f t="shared" si="3"/>
        <v>913상위25%</v>
      </c>
      <c r="B219" s="137">
        <v>913</v>
      </c>
      <c r="C219" s="98" t="s">
        <v>1623</v>
      </c>
      <c r="D219" s="162">
        <v>0.70899999999999996</v>
      </c>
      <c r="E219" s="162">
        <v>0.121</v>
      </c>
      <c r="F219" s="162">
        <v>1.6E-2</v>
      </c>
      <c r="G219" s="162">
        <v>0.72199999999999998</v>
      </c>
      <c r="H219" s="162">
        <v>0.49399999999999999</v>
      </c>
      <c r="I219" s="162">
        <v>8.0000000000000002E-3</v>
      </c>
      <c r="J219" s="162">
        <v>0.69499999999999995</v>
      </c>
      <c r="K219" s="162">
        <v>4.9400000000000004</v>
      </c>
      <c r="L219" s="162">
        <v>10.48</v>
      </c>
      <c r="M219" s="162">
        <v>14.16</v>
      </c>
      <c r="N219" s="162">
        <v>0.22700000000000001</v>
      </c>
    </row>
    <row r="220" spans="1:14" ht="16.5">
      <c r="A220" s="2" t="str">
        <f t="shared" si="3"/>
        <v>914상위25%</v>
      </c>
      <c r="B220" s="137">
        <v>914</v>
      </c>
      <c r="C220" s="98" t="s">
        <v>1623</v>
      </c>
      <c r="D220" s="162">
        <v>0.64600000000000002</v>
      </c>
      <c r="E220" s="162">
        <v>0.22500000000000001</v>
      </c>
      <c r="F220" s="162">
        <v>2.1000000000000001E-2</v>
      </c>
      <c r="G220" s="162">
        <v>1.1930000000000001</v>
      </c>
      <c r="H220" s="162">
        <v>0.36799999999999999</v>
      </c>
      <c r="I220" s="162">
        <v>6.0000000000000001E-3</v>
      </c>
      <c r="J220" s="162">
        <v>0.314</v>
      </c>
      <c r="K220" s="162">
        <v>9.4499999999999993</v>
      </c>
      <c r="L220" s="162">
        <v>10.65</v>
      </c>
      <c r="M220" s="162">
        <v>13.8</v>
      </c>
      <c r="N220" s="162">
        <v>0.127</v>
      </c>
    </row>
    <row r="221" spans="1:14" ht="16.5">
      <c r="A221" s="2" t="str">
        <f t="shared" si="3"/>
        <v>915상위25%</v>
      </c>
      <c r="B221" s="137">
        <v>915</v>
      </c>
      <c r="C221" s="98" t="s">
        <v>1623</v>
      </c>
      <c r="D221" s="162">
        <v>0.745</v>
      </c>
      <c r="E221" s="162">
        <v>0.11</v>
      </c>
      <c r="F221" s="162">
        <v>0.01</v>
      </c>
      <c r="G221" s="162">
        <v>0.73799999999999999</v>
      </c>
      <c r="H221" s="162">
        <v>0.45400000000000001</v>
      </c>
      <c r="I221" s="162">
        <v>3.9E-2</v>
      </c>
      <c r="J221" s="162">
        <v>0.66900000000000004</v>
      </c>
      <c r="K221" s="162">
        <v>5.53</v>
      </c>
      <c r="L221" s="162">
        <v>10.3</v>
      </c>
      <c r="M221" s="162">
        <v>13.25</v>
      </c>
      <c r="N221" s="162">
        <v>0.20300000000000001</v>
      </c>
    </row>
    <row r="222" spans="1:14" ht="16.5">
      <c r="A222" s="2" t="str">
        <f t="shared" si="3"/>
        <v>919상위25%</v>
      </c>
      <c r="B222" s="137">
        <v>919</v>
      </c>
      <c r="C222" s="98" t="s">
        <v>1623</v>
      </c>
      <c r="D222" s="162">
        <v>0.61299999999999999</v>
      </c>
      <c r="E222" s="162">
        <v>0.191</v>
      </c>
      <c r="F222" s="162">
        <v>1.4999999999999999E-2</v>
      </c>
      <c r="G222" s="162">
        <v>0.23599999999999999</v>
      </c>
      <c r="H222" s="162">
        <v>0.27400000000000002</v>
      </c>
      <c r="I222" s="162">
        <v>8.9999999999999993E-3</v>
      </c>
      <c r="J222" s="162">
        <v>1.202</v>
      </c>
      <c r="K222" s="162">
        <v>5.14</v>
      </c>
      <c r="L222" s="162">
        <v>4.79</v>
      </c>
      <c r="M222" s="162">
        <v>20.89</v>
      </c>
      <c r="N222" s="162">
        <v>0.35499999999999998</v>
      </c>
    </row>
    <row r="223" spans="1:14" ht="16.5">
      <c r="A223" s="2" t="str">
        <f t="shared" si="3"/>
        <v>921상위25%</v>
      </c>
      <c r="B223" s="137">
        <v>921</v>
      </c>
      <c r="C223" s="98" t="s">
        <v>1623</v>
      </c>
      <c r="D223" s="162">
        <v>0.36299999999999999</v>
      </c>
      <c r="E223" s="162">
        <v>0.42699999999999999</v>
      </c>
      <c r="F223" s="162">
        <v>2.9000000000000001E-2</v>
      </c>
      <c r="G223" s="162">
        <v>0.375</v>
      </c>
      <c r="H223" s="162">
        <v>0.189</v>
      </c>
      <c r="I223" s="162">
        <v>7.4999999999999997E-2</v>
      </c>
      <c r="J223" s="162">
        <v>0.70499999999999996</v>
      </c>
      <c r="K223" s="162">
        <v>5.37</v>
      </c>
      <c r="L223" s="162">
        <v>1.46</v>
      </c>
      <c r="M223" s="162">
        <v>55.73</v>
      </c>
      <c r="N223" s="162">
        <v>0.85199999999999998</v>
      </c>
    </row>
    <row r="224" spans="1:14" ht="16.5">
      <c r="A224" s="2" t="str">
        <f t="shared" si="3"/>
        <v>922상위25%</v>
      </c>
      <c r="B224" s="137">
        <v>922</v>
      </c>
      <c r="C224" s="98" t="s">
        <v>1623</v>
      </c>
      <c r="D224" s="162">
        <v>0.307</v>
      </c>
      <c r="E224" s="162">
        <v>0.45800000000000002</v>
      </c>
      <c r="F224" s="162">
        <v>3.1E-2</v>
      </c>
      <c r="G224" s="162">
        <v>0.59799999999999998</v>
      </c>
      <c r="H224" s="162">
        <v>0.14000000000000001</v>
      </c>
      <c r="I224" s="162">
        <v>7.6999999999999999E-2</v>
      </c>
      <c r="J224" s="162">
        <v>0.36299999999999999</v>
      </c>
      <c r="K224" s="162">
        <v>7.05</v>
      </c>
      <c r="L224" s="162">
        <v>96.63</v>
      </c>
      <c r="M224" s="162">
        <v>40.770000000000003</v>
      </c>
      <c r="N224" s="162">
        <v>0.128</v>
      </c>
    </row>
    <row r="225" spans="1:14" ht="16.5">
      <c r="A225" s="2" t="str">
        <f t="shared" si="3"/>
        <v>923상위25%</v>
      </c>
      <c r="B225" s="137">
        <v>923</v>
      </c>
      <c r="C225" s="98" t="s">
        <v>1623</v>
      </c>
      <c r="D225" s="162">
        <v>0.32600000000000001</v>
      </c>
      <c r="E225" s="162">
        <v>0.441</v>
      </c>
      <c r="F225" s="162">
        <v>3.7999999999999999E-2</v>
      </c>
      <c r="G225" s="162">
        <v>0.65600000000000003</v>
      </c>
      <c r="H225" s="162">
        <v>0.47</v>
      </c>
      <c r="I225" s="162">
        <v>7.0000000000000001E-3</v>
      </c>
      <c r="J225" s="162">
        <v>0.72599999999999998</v>
      </c>
      <c r="K225" s="162">
        <v>7.27</v>
      </c>
      <c r="L225" s="162">
        <v>198.95</v>
      </c>
      <c r="M225" s="162">
        <v>82.23</v>
      </c>
      <c r="N225" s="162">
        <v>0.13</v>
      </c>
    </row>
    <row r="226" spans="1:14" ht="16.5">
      <c r="A226" s="2" t="str">
        <f t="shared" si="3"/>
        <v>924상위25%</v>
      </c>
      <c r="B226" s="137">
        <v>924</v>
      </c>
      <c r="C226" s="98" t="s">
        <v>1623</v>
      </c>
      <c r="D226" s="162">
        <v>0.52100000000000002</v>
      </c>
      <c r="E226" s="162">
        <v>0.192</v>
      </c>
      <c r="F226" s="162">
        <v>2.4E-2</v>
      </c>
      <c r="G226" s="162">
        <v>0.41799999999999998</v>
      </c>
      <c r="H226" s="162">
        <v>0.38100000000000001</v>
      </c>
      <c r="I226" s="162">
        <v>6.5000000000000002E-2</v>
      </c>
      <c r="J226" s="162">
        <v>1.0660000000000001</v>
      </c>
      <c r="K226" s="162">
        <v>8.25</v>
      </c>
      <c r="L226" s="162">
        <v>84.54</v>
      </c>
      <c r="M226" s="162">
        <v>43.05</v>
      </c>
      <c r="N226" s="162">
        <v>0.11</v>
      </c>
    </row>
    <row r="227" spans="1:14" ht="16.5">
      <c r="A227" s="2" t="str">
        <f t="shared" si="3"/>
        <v>929상위25%</v>
      </c>
      <c r="B227" s="137">
        <v>929</v>
      </c>
      <c r="C227" s="98" t="s">
        <v>1623</v>
      </c>
      <c r="D227" s="162">
        <v>0.215</v>
      </c>
      <c r="E227" s="162">
        <v>0.379</v>
      </c>
      <c r="F227" s="162">
        <v>1.7000000000000001E-2</v>
      </c>
      <c r="G227" s="162">
        <v>0.40699999999999997</v>
      </c>
      <c r="H227" s="162">
        <v>4.2000000000000003E-2</v>
      </c>
      <c r="I227" s="162">
        <v>2.7E-2</v>
      </c>
      <c r="J227" s="162">
        <v>0.16800000000000001</v>
      </c>
      <c r="K227" s="162">
        <v>12.04</v>
      </c>
      <c r="L227" s="162">
        <v>39.729999999999997</v>
      </c>
      <c r="M227" s="162">
        <v>36.25</v>
      </c>
      <c r="N227" s="162">
        <v>8.1000000000000003E-2</v>
      </c>
    </row>
    <row r="228" spans="1:14" ht="16.5">
      <c r="A228" s="2" t="str">
        <f t="shared" si="3"/>
        <v>111하위25%</v>
      </c>
      <c r="B228" s="138">
        <v>111</v>
      </c>
      <c r="C228" s="100" t="s">
        <v>1624</v>
      </c>
      <c r="D228" s="163">
        <v>0.86799999999999999</v>
      </c>
      <c r="E228" s="163">
        <v>0.114</v>
      </c>
      <c r="F228" s="163">
        <v>1.4E-2</v>
      </c>
      <c r="G228" s="163">
        <v>1.474</v>
      </c>
      <c r="H228" s="163">
        <v>0.35799999999999998</v>
      </c>
      <c r="I228" s="163">
        <v>7.0000000000000001E-3</v>
      </c>
      <c r="J228" s="163">
        <v>0.248</v>
      </c>
      <c r="K228" s="163">
        <v>11.15</v>
      </c>
      <c r="L228" s="163">
        <v>5.79</v>
      </c>
      <c r="M228" s="163">
        <v>26.94</v>
      </c>
      <c r="N228" s="163">
        <v>0.22500000000000001</v>
      </c>
    </row>
    <row r="229" spans="1:14" ht="16.5">
      <c r="A229" s="2" t="str">
        <f t="shared" si="3"/>
        <v>112하위25%</v>
      </c>
      <c r="B229" s="138">
        <v>112</v>
      </c>
      <c r="C229" s="100" t="s">
        <v>1624</v>
      </c>
      <c r="D229" s="163">
        <v>0.58499999999999996</v>
      </c>
      <c r="E229" s="163">
        <v>0.38700000000000001</v>
      </c>
      <c r="F229" s="163">
        <v>1.4E-2</v>
      </c>
      <c r="G229" s="163">
        <v>0.42399999999999999</v>
      </c>
      <c r="H229" s="163">
        <v>0.253</v>
      </c>
      <c r="I229" s="163">
        <v>0.01</v>
      </c>
      <c r="J229" s="163">
        <v>0.621</v>
      </c>
      <c r="K229" s="163">
        <v>2.23</v>
      </c>
      <c r="L229" s="163">
        <v>1.84</v>
      </c>
      <c r="M229" s="163">
        <v>11.38</v>
      </c>
      <c r="N229" s="163">
        <v>0.90400000000000003</v>
      </c>
    </row>
    <row r="230" spans="1:14" ht="16.5">
      <c r="A230" s="2" t="str">
        <f t="shared" si="3"/>
        <v>113하위25%</v>
      </c>
      <c r="B230" s="138">
        <v>113</v>
      </c>
      <c r="C230" s="100" t="s">
        <v>1624</v>
      </c>
      <c r="D230" s="163">
        <v>0.79600000000000004</v>
      </c>
      <c r="E230" s="163">
        <v>0.188</v>
      </c>
      <c r="F230" s="163">
        <v>1.7000000000000001E-2</v>
      </c>
      <c r="G230" s="163">
        <v>1.512</v>
      </c>
      <c r="H230" s="163">
        <v>0.55900000000000005</v>
      </c>
      <c r="I230" s="163">
        <v>1.7000000000000001E-2</v>
      </c>
      <c r="J230" s="163">
        <v>0.38</v>
      </c>
      <c r="K230" s="163">
        <v>11.53</v>
      </c>
      <c r="L230" s="163">
        <v>11.69</v>
      </c>
      <c r="M230" s="163">
        <v>20.91</v>
      </c>
      <c r="N230" s="163">
        <v>0.125</v>
      </c>
    </row>
    <row r="231" spans="1:14" ht="16.5">
      <c r="A231" s="2" t="str">
        <f t="shared" si="3"/>
        <v>114하위25%</v>
      </c>
      <c r="B231" s="138">
        <v>114</v>
      </c>
      <c r="C231" s="100" t="s">
        <v>1624</v>
      </c>
      <c r="D231" s="163">
        <v>0.83299999999999996</v>
      </c>
      <c r="E231" s="163">
        <v>0.14399999999999999</v>
      </c>
      <c r="F231" s="163">
        <v>1.7999999999999999E-2</v>
      </c>
      <c r="G231" s="163">
        <v>0.88200000000000001</v>
      </c>
      <c r="H231" s="163">
        <v>0.40799999999999997</v>
      </c>
      <c r="I231" s="163">
        <v>5.0000000000000001E-3</v>
      </c>
      <c r="J231" s="163">
        <v>0.46800000000000003</v>
      </c>
      <c r="K231" s="163">
        <v>7.85</v>
      </c>
      <c r="L231" s="163">
        <v>6.35</v>
      </c>
      <c r="M231" s="163">
        <v>13.37</v>
      </c>
      <c r="N231" s="163">
        <v>0.21</v>
      </c>
    </row>
    <row r="232" spans="1:14" ht="16.5">
      <c r="A232" s="2" t="str">
        <f t="shared" si="3"/>
        <v>115하위25%</v>
      </c>
      <c r="B232" s="138">
        <v>115</v>
      </c>
      <c r="C232" s="100" t="s">
        <v>1624</v>
      </c>
      <c r="D232" s="163">
        <v>0.85099999999999998</v>
      </c>
      <c r="E232" s="163">
        <v>0.12</v>
      </c>
      <c r="F232" s="163">
        <v>4.0000000000000001E-3</v>
      </c>
      <c r="G232" s="163">
        <v>0.95299999999999996</v>
      </c>
      <c r="H232" s="163">
        <v>0.32800000000000001</v>
      </c>
      <c r="I232" s="163">
        <v>3.0000000000000001E-3</v>
      </c>
      <c r="J232" s="163">
        <v>0.34799999999999998</v>
      </c>
      <c r="K232" s="163">
        <v>4.66</v>
      </c>
      <c r="L232" s="163">
        <v>8.48</v>
      </c>
      <c r="M232" s="163">
        <v>5.55</v>
      </c>
      <c r="N232" s="163">
        <v>0.152</v>
      </c>
    </row>
    <row r="233" spans="1:14" ht="16.5">
      <c r="A233" s="2" t="str">
        <f t="shared" si="3"/>
        <v>119하위25%</v>
      </c>
      <c r="B233" s="138">
        <v>119</v>
      </c>
      <c r="C233" s="100" t="s">
        <v>1624</v>
      </c>
      <c r="D233" s="163">
        <v>0.83899999999999997</v>
      </c>
      <c r="E233" s="163">
        <v>0.13800000000000001</v>
      </c>
      <c r="F233" s="163">
        <v>3.0000000000000001E-3</v>
      </c>
      <c r="G233" s="163">
        <v>1.4890000000000001</v>
      </c>
      <c r="H233" s="163">
        <v>0.3</v>
      </c>
      <c r="I233" s="163">
        <v>3.0000000000000001E-3</v>
      </c>
      <c r="J233" s="163">
        <v>0.20399999999999999</v>
      </c>
      <c r="K233" s="163">
        <v>11</v>
      </c>
      <c r="L233" s="163">
        <v>6.1</v>
      </c>
      <c r="M233" s="163">
        <v>26.71</v>
      </c>
      <c r="N233" s="163">
        <v>0.217</v>
      </c>
    </row>
    <row r="234" spans="1:14" ht="16.5">
      <c r="A234" s="2" t="str">
        <f t="shared" si="3"/>
        <v>121하위25%</v>
      </c>
      <c r="B234" s="138">
        <v>121</v>
      </c>
      <c r="C234" s="100" t="s">
        <v>1624</v>
      </c>
      <c r="D234" s="163">
        <v>0.89100000000000001</v>
      </c>
      <c r="E234" s="163">
        <v>9.6000000000000002E-2</v>
      </c>
      <c r="F234" s="163">
        <v>5.0000000000000001E-3</v>
      </c>
      <c r="G234" s="163">
        <v>2.722</v>
      </c>
      <c r="H234" s="163">
        <v>0.39100000000000001</v>
      </c>
      <c r="I234" s="163">
        <v>3.0000000000000001E-3</v>
      </c>
      <c r="J234" s="163">
        <v>0.14499999999999999</v>
      </c>
      <c r="K234" s="163">
        <v>11.94</v>
      </c>
      <c r="L234" s="163">
        <v>18.489999999999998</v>
      </c>
      <c r="M234" s="163">
        <v>20.190000000000001</v>
      </c>
      <c r="N234" s="163">
        <v>8.7999999999999995E-2</v>
      </c>
    </row>
    <row r="235" spans="1:14" ht="16.5">
      <c r="A235" s="2" t="str">
        <f t="shared" si="3"/>
        <v>122하위25%</v>
      </c>
      <c r="B235" s="138">
        <v>122</v>
      </c>
      <c r="C235" s="100" t="s">
        <v>1624</v>
      </c>
      <c r="D235" s="163">
        <v>0.91600000000000004</v>
      </c>
      <c r="E235" s="163">
        <v>5.1999999999999998E-2</v>
      </c>
      <c r="F235" s="163">
        <v>1.0999999999999999E-2</v>
      </c>
      <c r="G235" s="163">
        <v>1.4330000000000001</v>
      </c>
      <c r="H235" s="163">
        <v>0.34300000000000003</v>
      </c>
      <c r="I235" s="163">
        <v>0</v>
      </c>
      <c r="J235" s="163">
        <v>0.23899999999999999</v>
      </c>
      <c r="K235" s="163">
        <v>6.97</v>
      </c>
      <c r="L235" s="163">
        <v>5.68</v>
      </c>
      <c r="M235" s="163">
        <v>25.95</v>
      </c>
      <c r="N235" s="163">
        <v>0.28100000000000003</v>
      </c>
    </row>
    <row r="236" spans="1:14" ht="16.5">
      <c r="A236" s="2" t="str">
        <f t="shared" si="3"/>
        <v>123하위25%</v>
      </c>
      <c r="B236" s="138">
        <v>123</v>
      </c>
      <c r="C236" s="100" t="s">
        <v>1624</v>
      </c>
      <c r="D236" s="163">
        <v>0.92700000000000005</v>
      </c>
      <c r="E236" s="163">
        <v>5.7000000000000002E-2</v>
      </c>
      <c r="F236" s="163">
        <v>2.5999999999999999E-2</v>
      </c>
      <c r="G236" s="163">
        <v>1.268</v>
      </c>
      <c r="H236" s="163">
        <v>0.48</v>
      </c>
      <c r="I236" s="163">
        <v>5.0000000000000001E-3</v>
      </c>
      <c r="J236" s="163">
        <v>0.38200000000000001</v>
      </c>
      <c r="K236" s="163">
        <v>7.64</v>
      </c>
      <c r="L236" s="163">
        <v>12.34</v>
      </c>
      <c r="M236" s="163">
        <v>10.42</v>
      </c>
      <c r="N236" s="163">
        <v>0.11600000000000001</v>
      </c>
    </row>
    <row r="237" spans="1:14" ht="16.5">
      <c r="A237" s="2" t="str">
        <f t="shared" si="3"/>
        <v>124하위25%</v>
      </c>
      <c r="B237" s="138">
        <v>124</v>
      </c>
      <c r="C237" s="100" t="s">
        <v>1624</v>
      </c>
      <c r="D237" s="163">
        <v>0.88200000000000001</v>
      </c>
      <c r="E237" s="163">
        <v>0.105</v>
      </c>
      <c r="F237" s="163">
        <v>8.0000000000000002E-3</v>
      </c>
      <c r="G237" s="163">
        <v>2.101</v>
      </c>
      <c r="H237" s="163">
        <v>0.311</v>
      </c>
      <c r="I237" s="163">
        <v>2E-3</v>
      </c>
      <c r="J237" s="163">
        <v>0.14899999999999999</v>
      </c>
      <c r="K237" s="163">
        <v>12</v>
      </c>
      <c r="L237" s="163">
        <v>15.1</v>
      </c>
      <c r="M237" s="163">
        <v>20.72</v>
      </c>
      <c r="N237" s="163">
        <v>0.10100000000000001</v>
      </c>
    </row>
    <row r="238" spans="1:14" ht="16.5">
      <c r="A238" s="2" t="str">
        <f t="shared" si="3"/>
        <v>129하위25%</v>
      </c>
      <c r="B238" s="138">
        <v>129</v>
      </c>
      <c r="C238" s="100" t="s">
        <v>1624</v>
      </c>
      <c r="D238" s="163">
        <v>0.90200000000000002</v>
      </c>
      <c r="E238" s="163">
        <v>6.5000000000000002E-2</v>
      </c>
      <c r="F238" s="163">
        <v>2.9000000000000001E-2</v>
      </c>
      <c r="G238" s="163">
        <v>0.83399999999999996</v>
      </c>
      <c r="H238" s="163">
        <v>0.504</v>
      </c>
      <c r="I238" s="163">
        <v>1.0999999999999999E-2</v>
      </c>
      <c r="J238" s="163">
        <v>0.61699999999999999</v>
      </c>
      <c r="K238" s="163">
        <v>15.71</v>
      </c>
      <c r="L238" s="163">
        <v>5.04</v>
      </c>
      <c r="M238" s="163">
        <v>9.6199999999999992</v>
      </c>
      <c r="N238" s="163">
        <v>0.158</v>
      </c>
    </row>
    <row r="239" spans="1:14" ht="16.5">
      <c r="A239" s="2" t="str">
        <f t="shared" si="3"/>
        <v>211하위25%</v>
      </c>
      <c r="B239" s="138">
        <v>211</v>
      </c>
      <c r="C239" s="100" t="s">
        <v>1624</v>
      </c>
      <c r="D239" s="163">
        <v>0.91300000000000003</v>
      </c>
      <c r="E239" s="163">
        <v>6.9000000000000006E-2</v>
      </c>
      <c r="F239" s="163">
        <v>4.0000000000000001E-3</v>
      </c>
      <c r="G239" s="163">
        <v>0.71799999999999997</v>
      </c>
      <c r="H239" s="163">
        <v>0.27</v>
      </c>
      <c r="I239" s="163">
        <v>3.0000000000000001E-3</v>
      </c>
      <c r="J239" s="163">
        <v>0.38</v>
      </c>
      <c r="K239" s="163">
        <v>5.56</v>
      </c>
      <c r="L239" s="163">
        <v>3.67</v>
      </c>
      <c r="M239" s="163">
        <v>19.05</v>
      </c>
      <c r="N239" s="163">
        <v>0.39900000000000002</v>
      </c>
    </row>
    <row r="240" spans="1:14" ht="16.5">
      <c r="A240" s="2" t="str">
        <f t="shared" si="3"/>
        <v>212하위25%</v>
      </c>
      <c r="B240" s="138">
        <v>212</v>
      </c>
      <c r="C240" s="100" t="s">
        <v>1624</v>
      </c>
      <c r="D240" s="163">
        <v>0.873</v>
      </c>
      <c r="E240" s="163">
        <v>0.10199999999999999</v>
      </c>
      <c r="F240" s="163">
        <v>2E-3</v>
      </c>
      <c r="G240" s="163">
        <v>0.39100000000000001</v>
      </c>
      <c r="H240" s="163">
        <v>0.45300000000000001</v>
      </c>
      <c r="I240" s="163">
        <v>8.0000000000000002E-3</v>
      </c>
      <c r="J240" s="163">
        <v>1.177</v>
      </c>
      <c r="K240" s="163">
        <v>0</v>
      </c>
      <c r="L240" s="163">
        <v>14.46</v>
      </c>
      <c r="M240" s="163">
        <v>0</v>
      </c>
      <c r="N240" s="163">
        <v>0</v>
      </c>
    </row>
    <row r="241" spans="1:14" ht="16.5">
      <c r="A241" s="2" t="str">
        <f t="shared" si="3"/>
        <v>213하위25%</v>
      </c>
      <c r="B241" s="138">
        <v>213</v>
      </c>
      <c r="C241" s="100" t="s">
        <v>1624</v>
      </c>
      <c r="D241" s="163">
        <v>0.873</v>
      </c>
      <c r="E241" s="163">
        <v>0.104</v>
      </c>
      <c r="F241" s="163">
        <v>6.0000000000000001E-3</v>
      </c>
      <c r="G241" s="163">
        <v>1.1140000000000001</v>
      </c>
      <c r="H241" s="163">
        <v>0.34699999999999998</v>
      </c>
      <c r="I241" s="163">
        <v>5.0000000000000001E-3</v>
      </c>
      <c r="J241" s="163">
        <v>0.316</v>
      </c>
      <c r="K241" s="163">
        <v>9.58</v>
      </c>
      <c r="L241" s="163">
        <v>3.57</v>
      </c>
      <c r="M241" s="163">
        <v>18.98</v>
      </c>
      <c r="N241" s="163">
        <v>0.33200000000000002</v>
      </c>
    </row>
    <row r="242" spans="1:14" ht="16.5">
      <c r="A242" s="2" t="str">
        <f t="shared" si="3"/>
        <v>214하위25%</v>
      </c>
      <c r="B242" s="138">
        <v>214</v>
      </c>
      <c r="C242" s="100" t="s">
        <v>1624</v>
      </c>
      <c r="D242" s="163">
        <v>0.68300000000000005</v>
      </c>
      <c r="E242" s="163">
        <v>0.28999999999999998</v>
      </c>
      <c r="F242" s="163">
        <v>7.0000000000000001E-3</v>
      </c>
      <c r="G242" s="163">
        <v>0.79200000000000004</v>
      </c>
      <c r="H242" s="163">
        <v>0.27400000000000002</v>
      </c>
      <c r="I242" s="163">
        <v>3.7999999999999999E-2</v>
      </c>
      <c r="J242" s="163">
        <v>0.39400000000000002</v>
      </c>
      <c r="K242" s="163">
        <v>3.69</v>
      </c>
      <c r="L242" s="163">
        <v>5.24</v>
      </c>
      <c r="M242" s="163">
        <v>8.81</v>
      </c>
      <c r="N242" s="163">
        <v>0.34799999999999998</v>
      </c>
    </row>
    <row r="243" spans="1:14" ht="16.5">
      <c r="A243" s="2" t="str">
        <f t="shared" si="3"/>
        <v>215하위25%</v>
      </c>
      <c r="B243" s="138">
        <v>215</v>
      </c>
      <c r="C243" s="100" t="s">
        <v>1624</v>
      </c>
      <c r="D243" s="163">
        <v>0.72199999999999998</v>
      </c>
      <c r="E243" s="163">
        <v>0.255</v>
      </c>
      <c r="F243" s="163">
        <v>1.0999999999999999E-2</v>
      </c>
      <c r="G243" s="163">
        <v>1.0429999999999999</v>
      </c>
      <c r="H243" s="163">
        <v>0.32500000000000001</v>
      </c>
      <c r="I243" s="163">
        <v>1.7000000000000001E-2</v>
      </c>
      <c r="J243" s="163">
        <v>0.32800000000000001</v>
      </c>
      <c r="K243" s="163">
        <v>6.11</v>
      </c>
      <c r="L243" s="163">
        <v>7.78</v>
      </c>
      <c r="M243" s="163">
        <v>10.45</v>
      </c>
      <c r="N243" s="163">
        <v>0.19600000000000001</v>
      </c>
    </row>
    <row r="244" spans="1:14" ht="16.5">
      <c r="A244" s="2" t="str">
        <f t="shared" si="3"/>
        <v>219하위25%</v>
      </c>
      <c r="B244" s="138">
        <v>219</v>
      </c>
      <c r="C244" s="100" t="s">
        <v>1624</v>
      </c>
      <c r="D244" s="163">
        <v>0.872</v>
      </c>
      <c r="E244" s="163">
        <v>0.106</v>
      </c>
      <c r="F244" s="163">
        <v>8.9999999999999993E-3</v>
      </c>
      <c r="G244" s="163">
        <v>1.1359999999999999</v>
      </c>
      <c r="H244" s="163">
        <v>0.432</v>
      </c>
      <c r="I244" s="163">
        <v>1.6E-2</v>
      </c>
      <c r="J244" s="163">
        <v>0.39400000000000002</v>
      </c>
      <c r="K244" s="163">
        <v>6.11</v>
      </c>
      <c r="L244" s="163">
        <v>8.68</v>
      </c>
      <c r="M244" s="163">
        <v>11.9</v>
      </c>
      <c r="N244" s="163">
        <v>0.19500000000000001</v>
      </c>
    </row>
    <row r="245" spans="1:14" ht="16.5">
      <c r="A245" s="2" t="str">
        <f t="shared" si="3"/>
        <v>221하위25%</v>
      </c>
      <c r="B245" s="138">
        <v>221</v>
      </c>
      <c r="C245" s="100" t="s">
        <v>1624</v>
      </c>
      <c r="D245" s="163">
        <v>0.85899999999999999</v>
      </c>
      <c r="E245" s="163">
        <v>0.11700000000000001</v>
      </c>
      <c r="F245" s="163">
        <v>8.9999999999999993E-3</v>
      </c>
      <c r="G245" s="163">
        <v>0.90300000000000002</v>
      </c>
      <c r="H245" s="163">
        <v>0.38900000000000001</v>
      </c>
      <c r="I245" s="163">
        <v>4.8000000000000001E-2</v>
      </c>
      <c r="J245" s="163">
        <v>0.48399999999999999</v>
      </c>
      <c r="K245" s="163">
        <v>5.33</v>
      </c>
      <c r="L245" s="163">
        <v>8.6300000000000008</v>
      </c>
      <c r="M245" s="163">
        <v>11.19</v>
      </c>
      <c r="N245" s="163">
        <v>0.214</v>
      </c>
    </row>
    <row r="246" spans="1:14" ht="16.5">
      <c r="A246" s="2" t="str">
        <f t="shared" si="3"/>
        <v>222하위25%</v>
      </c>
      <c r="B246" s="138">
        <v>222</v>
      </c>
      <c r="C246" s="100" t="s">
        <v>1624</v>
      </c>
      <c r="D246" s="163">
        <v>0.83199999999999996</v>
      </c>
      <c r="E246" s="163">
        <v>0.14599999999999999</v>
      </c>
      <c r="F246" s="163">
        <v>8.9999999999999993E-3</v>
      </c>
      <c r="G246" s="163">
        <v>1.0509999999999999</v>
      </c>
      <c r="H246" s="163">
        <v>0.374</v>
      </c>
      <c r="I246" s="163">
        <v>1.7000000000000001E-2</v>
      </c>
      <c r="J246" s="163">
        <v>0.372</v>
      </c>
      <c r="K246" s="163">
        <v>9.36</v>
      </c>
      <c r="L246" s="163">
        <v>4.18</v>
      </c>
      <c r="M246" s="163">
        <v>12.07</v>
      </c>
      <c r="N246" s="163">
        <v>0.26300000000000001</v>
      </c>
    </row>
    <row r="247" spans="1:14" ht="16.5">
      <c r="A247" s="2" t="str">
        <f t="shared" si="3"/>
        <v>223하위25%</v>
      </c>
      <c r="B247" s="138">
        <v>223</v>
      </c>
      <c r="C247" s="100" t="s">
        <v>1624</v>
      </c>
      <c r="D247" s="163">
        <v>0.86899999999999999</v>
      </c>
      <c r="E247" s="163">
        <v>0.111</v>
      </c>
      <c r="F247" s="163">
        <v>1.2999999999999999E-2</v>
      </c>
      <c r="G247" s="163">
        <v>1.24</v>
      </c>
      <c r="H247" s="163">
        <v>0.42399999999999999</v>
      </c>
      <c r="I247" s="163">
        <v>1.0999999999999999E-2</v>
      </c>
      <c r="J247" s="163">
        <v>0.35099999999999998</v>
      </c>
      <c r="K247" s="163">
        <v>6.25</v>
      </c>
      <c r="L247" s="163">
        <v>11.53</v>
      </c>
      <c r="M247" s="163">
        <v>10.4</v>
      </c>
      <c r="N247" s="163">
        <v>0.151</v>
      </c>
    </row>
    <row r="248" spans="1:14" ht="16.5">
      <c r="A248" s="2" t="str">
        <f t="shared" si="3"/>
        <v>224하위25%</v>
      </c>
      <c r="B248" s="138">
        <v>224</v>
      </c>
      <c r="C248" s="100" t="s">
        <v>1624</v>
      </c>
      <c r="D248" s="163">
        <v>0.88500000000000001</v>
      </c>
      <c r="E248" s="163">
        <v>9.2999999999999999E-2</v>
      </c>
      <c r="F248" s="163">
        <v>1.2999999999999999E-2</v>
      </c>
      <c r="G248" s="163">
        <v>1.0509999999999999</v>
      </c>
      <c r="H248" s="163">
        <v>0.39200000000000002</v>
      </c>
      <c r="I248" s="163">
        <v>1.2999999999999999E-2</v>
      </c>
      <c r="J248" s="163">
        <v>0.38600000000000001</v>
      </c>
      <c r="K248" s="163">
        <v>6.08</v>
      </c>
      <c r="L248" s="163">
        <v>8.0500000000000007</v>
      </c>
      <c r="M248" s="163">
        <v>9.5</v>
      </c>
      <c r="N248" s="163">
        <v>0.184</v>
      </c>
    </row>
    <row r="249" spans="1:14" ht="16.5">
      <c r="A249" s="2" t="str">
        <f t="shared" si="3"/>
        <v>225하위25%</v>
      </c>
      <c r="B249" s="138">
        <v>225</v>
      </c>
      <c r="C249" s="100" t="s">
        <v>1624</v>
      </c>
      <c r="D249" s="163">
        <v>0.83399999999999996</v>
      </c>
      <c r="E249" s="163">
        <v>0.14599999999999999</v>
      </c>
      <c r="F249" s="163">
        <v>0.01</v>
      </c>
      <c r="G249" s="163">
        <v>0.94699999999999995</v>
      </c>
      <c r="H249" s="163">
        <v>0.30599999999999999</v>
      </c>
      <c r="I249" s="163">
        <v>0.02</v>
      </c>
      <c r="J249" s="163">
        <v>0.34499999999999997</v>
      </c>
      <c r="K249" s="163">
        <v>4.05</v>
      </c>
      <c r="L249" s="163">
        <v>5.0999999999999996</v>
      </c>
      <c r="M249" s="163">
        <v>7.24</v>
      </c>
      <c r="N249" s="163">
        <v>0.30399999999999999</v>
      </c>
    </row>
    <row r="250" spans="1:14" ht="16.5">
      <c r="A250" s="2" t="str">
        <f t="shared" si="3"/>
        <v>226하위25%</v>
      </c>
      <c r="B250" s="138">
        <v>226</v>
      </c>
      <c r="C250" s="100" t="s">
        <v>1624</v>
      </c>
      <c r="D250" s="163">
        <v>0.82</v>
      </c>
      <c r="E250" s="163">
        <v>0.156</v>
      </c>
      <c r="F250" s="163">
        <v>1.6E-2</v>
      </c>
      <c r="G250" s="163">
        <v>1.1040000000000001</v>
      </c>
      <c r="H250" s="163">
        <v>0.311</v>
      </c>
      <c r="I250" s="163">
        <v>0.06</v>
      </c>
      <c r="J250" s="163">
        <v>0.33600000000000002</v>
      </c>
      <c r="K250" s="163">
        <v>5.6</v>
      </c>
      <c r="L250" s="163">
        <v>7.11</v>
      </c>
      <c r="M250" s="163">
        <v>9.6300000000000008</v>
      </c>
      <c r="N250" s="163">
        <v>0.215</v>
      </c>
    </row>
    <row r="251" spans="1:14" ht="16.5">
      <c r="A251" s="2" t="str">
        <f t="shared" si="3"/>
        <v>227하위25%</v>
      </c>
      <c r="B251" s="138">
        <v>227</v>
      </c>
      <c r="C251" s="100" t="s">
        <v>1624</v>
      </c>
      <c r="D251" s="163">
        <v>0.68300000000000005</v>
      </c>
      <c r="E251" s="163">
        <v>0.28999999999999998</v>
      </c>
      <c r="F251" s="163">
        <v>7.0000000000000001E-3</v>
      </c>
      <c r="G251" s="163">
        <v>0.79200000000000004</v>
      </c>
      <c r="H251" s="163">
        <v>0.27400000000000002</v>
      </c>
      <c r="I251" s="163">
        <v>3.7999999999999999E-2</v>
      </c>
      <c r="J251" s="163">
        <v>0.39400000000000002</v>
      </c>
      <c r="K251" s="163">
        <v>3.69</v>
      </c>
      <c r="L251" s="163">
        <v>5.24</v>
      </c>
      <c r="M251" s="163">
        <v>8.81</v>
      </c>
      <c r="N251" s="163">
        <v>0.34799999999999998</v>
      </c>
    </row>
    <row r="252" spans="1:14" ht="16.5">
      <c r="A252" s="2" t="str">
        <f t="shared" si="3"/>
        <v>229하위25%</v>
      </c>
      <c r="B252" s="138">
        <v>229</v>
      </c>
      <c r="C252" s="100" t="s">
        <v>1624</v>
      </c>
      <c r="D252" s="163">
        <v>0.85399999999999998</v>
      </c>
      <c r="E252" s="163">
        <v>0.123</v>
      </c>
      <c r="F252" s="163">
        <v>1.0999999999999999E-2</v>
      </c>
      <c r="G252" s="163">
        <v>1.3759999999999999</v>
      </c>
      <c r="H252" s="163">
        <v>0.35299999999999998</v>
      </c>
      <c r="I252" s="163">
        <v>1.7000000000000001E-2</v>
      </c>
      <c r="J252" s="163">
        <v>0.26900000000000002</v>
      </c>
      <c r="K252" s="163">
        <v>6.49</v>
      </c>
      <c r="L252" s="163">
        <v>8.44</v>
      </c>
      <c r="M252" s="163">
        <v>8.93</v>
      </c>
      <c r="N252" s="163">
        <v>0.161</v>
      </c>
    </row>
    <row r="253" spans="1:14" ht="16.5">
      <c r="A253" s="2" t="str">
        <f t="shared" si="3"/>
        <v>231하위25%</v>
      </c>
      <c r="B253" s="138">
        <v>231</v>
      </c>
      <c r="C253" s="100" t="s">
        <v>1624</v>
      </c>
      <c r="D253" s="163">
        <v>0.92200000000000004</v>
      </c>
      <c r="E253" s="163">
        <v>6.0999999999999999E-2</v>
      </c>
      <c r="F253" s="163">
        <v>1.2999999999999999E-2</v>
      </c>
      <c r="G253" s="163">
        <v>1.875</v>
      </c>
      <c r="H253" s="163">
        <v>0.66200000000000003</v>
      </c>
      <c r="I253" s="163">
        <v>0</v>
      </c>
      <c r="J253" s="163">
        <v>0.35299999999999998</v>
      </c>
      <c r="K253" s="163">
        <v>50.29</v>
      </c>
      <c r="L253" s="163">
        <v>8.89</v>
      </c>
      <c r="M253" s="163">
        <v>90.38</v>
      </c>
      <c r="N253" s="163">
        <v>0.121</v>
      </c>
    </row>
    <row r="254" spans="1:14" ht="16.5">
      <c r="A254" s="2" t="str">
        <f t="shared" si="3"/>
        <v>232하위25%</v>
      </c>
      <c r="B254" s="138">
        <v>232</v>
      </c>
      <c r="C254" s="100" t="s">
        <v>1624</v>
      </c>
      <c r="D254" s="163">
        <v>0.78800000000000003</v>
      </c>
      <c r="E254" s="163">
        <v>0.19400000000000001</v>
      </c>
      <c r="F254" s="163">
        <v>8.0000000000000002E-3</v>
      </c>
      <c r="G254" s="163">
        <v>1.341</v>
      </c>
      <c r="H254" s="163">
        <v>0.19600000000000001</v>
      </c>
      <c r="I254" s="163">
        <v>1.9E-2</v>
      </c>
      <c r="J254" s="163">
        <v>0.16</v>
      </c>
      <c r="K254" s="163">
        <v>4.21</v>
      </c>
      <c r="L254" s="163">
        <v>74.78</v>
      </c>
      <c r="M254" s="163">
        <v>8.7100000000000009</v>
      </c>
      <c r="N254" s="163">
        <v>0.13600000000000001</v>
      </c>
    </row>
    <row r="255" spans="1:14" ht="16.5">
      <c r="A255" s="2" t="str">
        <f t="shared" si="3"/>
        <v>233하위25%</v>
      </c>
      <c r="B255" s="138">
        <v>233</v>
      </c>
      <c r="C255" s="100" t="s">
        <v>1624</v>
      </c>
      <c r="D255" s="163">
        <v>0.40100000000000002</v>
      </c>
      <c r="E255" s="163">
        <v>0.58799999999999997</v>
      </c>
      <c r="F255" s="163">
        <v>7.0000000000000001E-3</v>
      </c>
      <c r="G255" s="163">
        <v>1.909</v>
      </c>
      <c r="H255" s="163">
        <v>0.26700000000000002</v>
      </c>
      <c r="I255" s="163">
        <v>1.2E-2</v>
      </c>
      <c r="J255" s="163">
        <v>0.14599999999999999</v>
      </c>
      <c r="K255" s="163">
        <v>14.04</v>
      </c>
      <c r="L255" s="163">
        <v>58.04</v>
      </c>
      <c r="M255" s="163">
        <v>65.319999999999993</v>
      </c>
      <c r="N255" s="163">
        <v>7.2999999999999995E-2</v>
      </c>
    </row>
    <row r="256" spans="1:14" ht="16.5">
      <c r="A256" s="2" t="str">
        <f t="shared" si="3"/>
        <v>234하위25%</v>
      </c>
      <c r="B256" s="138">
        <v>234</v>
      </c>
      <c r="C256" s="100" t="s">
        <v>1624</v>
      </c>
      <c r="D256" s="163">
        <v>0.254</v>
      </c>
      <c r="E256" s="163">
        <v>0.71599999999999997</v>
      </c>
      <c r="F256" s="163">
        <v>2.7E-2</v>
      </c>
      <c r="G256" s="163">
        <v>2.0150000000000001</v>
      </c>
      <c r="H256" s="163">
        <v>0.32700000000000001</v>
      </c>
      <c r="I256" s="163">
        <v>0</v>
      </c>
      <c r="J256" s="163">
        <v>0.16300000000000001</v>
      </c>
      <c r="K256" s="163">
        <v>42.25</v>
      </c>
      <c r="L256" s="163">
        <v>11.82</v>
      </c>
      <c r="M256" s="163">
        <v>40.19</v>
      </c>
      <c r="N256" s="163">
        <v>8.3000000000000004E-2</v>
      </c>
    </row>
    <row r="257" spans="1:14" ht="16.5">
      <c r="A257" s="2" t="str">
        <f t="shared" si="3"/>
        <v>235하위25%</v>
      </c>
      <c r="B257" s="138">
        <v>235</v>
      </c>
      <c r="C257" s="100" t="s">
        <v>1624</v>
      </c>
      <c r="D257" s="163">
        <v>0.70299999999999996</v>
      </c>
      <c r="E257" s="163">
        <v>0.26700000000000002</v>
      </c>
      <c r="F257" s="163">
        <v>0.03</v>
      </c>
      <c r="G257" s="163">
        <v>1.07</v>
      </c>
      <c r="H257" s="163">
        <v>0.372</v>
      </c>
      <c r="I257" s="163">
        <v>6.9000000000000006E-2</v>
      </c>
      <c r="J257" s="163">
        <v>0.41199999999999998</v>
      </c>
      <c r="K257" s="163">
        <v>11.7</v>
      </c>
      <c r="L257" s="163">
        <v>10.18</v>
      </c>
      <c r="M257" s="163">
        <v>55.01</v>
      </c>
      <c r="N257" s="163">
        <v>0.16500000000000001</v>
      </c>
    </row>
    <row r="258" spans="1:14" ht="16.5">
      <c r="A258" s="2" t="str">
        <f t="shared" si="3"/>
        <v>236하위25%</v>
      </c>
      <c r="B258" s="138">
        <v>236</v>
      </c>
      <c r="C258" s="100" t="s">
        <v>1624</v>
      </c>
      <c r="D258" s="163">
        <v>0.66400000000000003</v>
      </c>
      <c r="E258" s="163">
        <v>0.32</v>
      </c>
      <c r="F258" s="163">
        <v>1.0999999999999999E-2</v>
      </c>
      <c r="G258" s="163">
        <v>1.64</v>
      </c>
      <c r="H258" s="163">
        <v>0.128</v>
      </c>
      <c r="I258" s="163">
        <v>6.4000000000000001E-2</v>
      </c>
      <c r="J258" s="163">
        <v>0.11700000000000001</v>
      </c>
      <c r="K258" s="163">
        <v>6.67</v>
      </c>
      <c r="L258" s="163">
        <v>28.97</v>
      </c>
      <c r="M258" s="163">
        <v>10.97</v>
      </c>
      <c r="N258" s="163">
        <v>9.2999999999999999E-2</v>
      </c>
    </row>
    <row r="259" spans="1:14" ht="16.5">
      <c r="A259" s="2" t="str">
        <f t="shared" ref="A259:A322" si="4">B259&amp;C259</f>
        <v>237하위25%</v>
      </c>
      <c r="B259" s="138">
        <v>237</v>
      </c>
      <c r="C259" s="100" t="s">
        <v>1624</v>
      </c>
      <c r="D259" s="163">
        <v>0.83</v>
      </c>
      <c r="E259" s="163">
        <v>0.152</v>
      </c>
      <c r="F259" s="163">
        <v>1.0999999999999999E-2</v>
      </c>
      <c r="G259" s="163">
        <v>1.464</v>
      </c>
      <c r="H259" s="163">
        <v>0.46100000000000002</v>
      </c>
      <c r="I259" s="163">
        <v>5.6000000000000001E-2</v>
      </c>
      <c r="J259" s="163">
        <v>0.35299999999999998</v>
      </c>
      <c r="K259" s="163">
        <v>16.95</v>
      </c>
      <c r="L259" s="163">
        <v>23.27</v>
      </c>
      <c r="M259" s="163">
        <v>33.840000000000003</v>
      </c>
      <c r="N259" s="163">
        <v>7.1999999999999995E-2</v>
      </c>
    </row>
    <row r="260" spans="1:14" ht="16.5">
      <c r="A260" s="2" t="str">
        <f t="shared" si="4"/>
        <v>239하위25%</v>
      </c>
      <c r="B260" s="138">
        <v>239</v>
      </c>
      <c r="C260" s="100" t="s">
        <v>1624</v>
      </c>
      <c r="D260" s="163">
        <v>0.52700000000000002</v>
      </c>
      <c r="E260" s="163">
        <v>0.45400000000000001</v>
      </c>
      <c r="F260" s="163">
        <v>2.3E-2</v>
      </c>
      <c r="G260" s="163">
        <v>1.0669999999999999</v>
      </c>
      <c r="H260" s="163">
        <v>0.39600000000000002</v>
      </c>
      <c r="I260" s="163">
        <v>2.3E-2</v>
      </c>
      <c r="J260" s="163">
        <v>0.39200000000000002</v>
      </c>
      <c r="K260" s="163">
        <v>8.48</v>
      </c>
      <c r="L260" s="163">
        <v>76.83</v>
      </c>
      <c r="M260" s="163">
        <v>51.35</v>
      </c>
      <c r="N260" s="163">
        <v>0.111</v>
      </c>
    </row>
    <row r="261" spans="1:14" ht="16.5">
      <c r="A261" s="2" t="str">
        <f t="shared" si="4"/>
        <v>311하위25%</v>
      </c>
      <c r="B261" s="138">
        <v>311</v>
      </c>
      <c r="C261" s="100" t="s">
        <v>1624</v>
      </c>
      <c r="D261" s="163">
        <v>0.42399999999999999</v>
      </c>
      <c r="E261" s="163">
        <v>0.13700000000000001</v>
      </c>
      <c r="F261" s="163">
        <v>5.0000000000000001E-3</v>
      </c>
      <c r="G261" s="163">
        <v>0.317</v>
      </c>
      <c r="H261" s="163">
        <v>0.11700000000000001</v>
      </c>
      <c r="I261" s="163">
        <v>1E-3</v>
      </c>
      <c r="J261" s="163">
        <v>0.372</v>
      </c>
      <c r="K261" s="163">
        <v>27.63</v>
      </c>
      <c r="L261" s="163">
        <v>25.48</v>
      </c>
      <c r="M261" s="163">
        <v>87.11</v>
      </c>
      <c r="N261" s="163">
        <v>6.4000000000000001E-2</v>
      </c>
    </row>
    <row r="262" spans="1:14" ht="16.5">
      <c r="A262" s="2" t="str">
        <f t="shared" si="4"/>
        <v>312하위25%</v>
      </c>
      <c r="B262" s="138">
        <v>312</v>
      </c>
      <c r="C262" s="100" t="s">
        <v>1624</v>
      </c>
      <c r="D262" s="163">
        <v>0.79500000000000004</v>
      </c>
      <c r="E262" s="163">
        <v>0.189</v>
      </c>
      <c r="F262" s="163">
        <v>1.9E-2</v>
      </c>
      <c r="G262" s="163">
        <v>1.2010000000000001</v>
      </c>
      <c r="H262" s="163">
        <v>0.63600000000000001</v>
      </c>
      <c r="I262" s="163">
        <v>0</v>
      </c>
      <c r="J262" s="163">
        <v>0.53</v>
      </c>
      <c r="K262" s="163">
        <v>7.77</v>
      </c>
      <c r="L262" s="163">
        <v>28.89</v>
      </c>
      <c r="M262" s="163">
        <v>12.23</v>
      </c>
      <c r="N262" s="163">
        <v>8.2000000000000003E-2</v>
      </c>
    </row>
    <row r="263" spans="1:14" ht="16.5">
      <c r="A263" s="2" t="str">
        <f t="shared" si="4"/>
        <v>390하위25%</v>
      </c>
      <c r="B263" s="138">
        <v>390</v>
      </c>
      <c r="C263" s="100" t="s">
        <v>1624</v>
      </c>
      <c r="D263" s="163">
        <v>0.74399999999999999</v>
      </c>
      <c r="E263" s="163">
        <v>0.23799999999999999</v>
      </c>
      <c r="F263" s="163">
        <v>5.0000000000000001E-3</v>
      </c>
      <c r="G263" s="163">
        <v>0.82199999999999995</v>
      </c>
      <c r="H263" s="163">
        <v>1.2999999999999999E-2</v>
      </c>
      <c r="I263" s="163">
        <v>0</v>
      </c>
      <c r="J263" s="163">
        <v>1.6E-2</v>
      </c>
      <c r="K263" s="163">
        <v>0</v>
      </c>
      <c r="L263" s="163">
        <v>0</v>
      </c>
      <c r="M263" s="163">
        <v>0</v>
      </c>
      <c r="N263" s="163">
        <v>0</v>
      </c>
    </row>
    <row r="264" spans="1:14" ht="16.5">
      <c r="A264" s="2" t="str">
        <f t="shared" si="4"/>
        <v>411하위25%</v>
      </c>
      <c r="B264" s="138">
        <v>411</v>
      </c>
      <c r="C264" s="100" t="s">
        <v>1624</v>
      </c>
      <c r="D264" s="163">
        <v>0.90200000000000002</v>
      </c>
      <c r="E264" s="163">
        <v>7.6999999999999999E-2</v>
      </c>
      <c r="F264" s="163">
        <v>8.9999999999999993E-3</v>
      </c>
      <c r="G264" s="163">
        <v>1.3660000000000001</v>
      </c>
      <c r="H264" s="163">
        <v>0.35699999999999998</v>
      </c>
      <c r="I264" s="163">
        <v>8.9999999999999993E-3</v>
      </c>
      <c r="J264" s="163">
        <v>0.26800000000000002</v>
      </c>
      <c r="K264" s="163">
        <v>7.14</v>
      </c>
      <c r="L264" s="163">
        <v>6.08</v>
      </c>
      <c r="M264" s="163">
        <v>13.3</v>
      </c>
      <c r="N264" s="163">
        <v>0.22900000000000001</v>
      </c>
    </row>
    <row r="265" spans="1:14" ht="16.5">
      <c r="A265" s="2" t="str">
        <f t="shared" si="4"/>
        <v>412하위25%</v>
      </c>
      <c r="B265" s="138">
        <v>412</v>
      </c>
      <c r="C265" s="100" t="s">
        <v>1624</v>
      </c>
      <c r="D265" s="163">
        <v>0.89300000000000002</v>
      </c>
      <c r="E265" s="163">
        <v>8.4000000000000005E-2</v>
      </c>
      <c r="F265" s="163">
        <v>1.0999999999999999E-2</v>
      </c>
      <c r="G265" s="163">
        <v>0.90100000000000002</v>
      </c>
      <c r="H265" s="163">
        <v>0.49</v>
      </c>
      <c r="I265" s="163">
        <v>6.0000000000000001E-3</v>
      </c>
      <c r="J265" s="163">
        <v>0.55100000000000005</v>
      </c>
      <c r="K265" s="163">
        <v>5.77</v>
      </c>
      <c r="L265" s="163">
        <v>8.0500000000000007</v>
      </c>
      <c r="M265" s="163">
        <v>8.35</v>
      </c>
      <c r="N265" s="163">
        <v>0.17799999999999999</v>
      </c>
    </row>
    <row r="266" spans="1:14" ht="16.5">
      <c r="A266" s="2" t="str">
        <f t="shared" si="4"/>
        <v>413하위25%</v>
      </c>
      <c r="B266" s="138">
        <v>413</v>
      </c>
      <c r="C266" s="100" t="s">
        <v>1624</v>
      </c>
      <c r="D266" s="163">
        <v>0.82699999999999996</v>
      </c>
      <c r="E266" s="163">
        <v>0.14699999999999999</v>
      </c>
      <c r="F266" s="163">
        <v>0.01</v>
      </c>
      <c r="G266" s="163">
        <v>1.139</v>
      </c>
      <c r="H266" s="163">
        <v>0.49399999999999999</v>
      </c>
      <c r="I266" s="163">
        <v>6.0000000000000001E-3</v>
      </c>
      <c r="J266" s="163">
        <v>0.439</v>
      </c>
      <c r="K266" s="163">
        <v>7.64</v>
      </c>
      <c r="L266" s="163">
        <v>7.98</v>
      </c>
      <c r="M266" s="163">
        <v>15.04</v>
      </c>
      <c r="N266" s="163">
        <v>0.19</v>
      </c>
    </row>
    <row r="267" spans="1:14" ht="16.5">
      <c r="A267" s="2" t="str">
        <f t="shared" si="4"/>
        <v>414하위25%</v>
      </c>
      <c r="B267" s="138">
        <v>414</v>
      </c>
      <c r="C267" s="100" t="s">
        <v>1624</v>
      </c>
      <c r="D267" s="163">
        <v>0.88</v>
      </c>
      <c r="E267" s="163">
        <v>8.4000000000000005E-2</v>
      </c>
      <c r="F267" s="163">
        <v>1.0999999999999999E-2</v>
      </c>
      <c r="G267" s="163">
        <v>1.272</v>
      </c>
      <c r="H267" s="163">
        <v>0.33100000000000002</v>
      </c>
      <c r="I267" s="163">
        <v>0.01</v>
      </c>
      <c r="J267" s="163">
        <v>0.26800000000000002</v>
      </c>
      <c r="K267" s="163">
        <v>5.22</v>
      </c>
      <c r="L267" s="163">
        <v>11.54</v>
      </c>
      <c r="M267" s="163">
        <v>7.9</v>
      </c>
      <c r="N267" s="163">
        <v>0.152</v>
      </c>
    </row>
    <row r="268" spans="1:14" ht="16.5">
      <c r="A268" s="2" t="str">
        <f t="shared" si="4"/>
        <v>415하위25%</v>
      </c>
      <c r="B268" s="138">
        <v>415</v>
      </c>
      <c r="C268" s="100" t="s">
        <v>1624</v>
      </c>
      <c r="D268" s="163">
        <v>0.83899999999999997</v>
      </c>
      <c r="E268" s="163">
        <v>0.14000000000000001</v>
      </c>
      <c r="F268" s="163">
        <v>0.01</v>
      </c>
      <c r="G268" s="163">
        <v>1.59</v>
      </c>
      <c r="H268" s="163">
        <v>0.38700000000000001</v>
      </c>
      <c r="I268" s="163">
        <v>1.7999999999999999E-2</v>
      </c>
      <c r="J268" s="163">
        <v>0.255</v>
      </c>
      <c r="K268" s="163">
        <v>6.85</v>
      </c>
      <c r="L268" s="163">
        <v>9.48</v>
      </c>
      <c r="M268" s="163">
        <v>7.79</v>
      </c>
      <c r="N268" s="163">
        <v>0.123</v>
      </c>
    </row>
    <row r="269" spans="1:14" ht="16.5">
      <c r="A269" s="2" t="str">
        <f t="shared" si="4"/>
        <v>416하위25%</v>
      </c>
      <c r="B269" s="138">
        <v>416</v>
      </c>
      <c r="C269" s="100" t="s">
        <v>1624</v>
      </c>
      <c r="D269" s="163">
        <v>0.871</v>
      </c>
      <c r="E269" s="163">
        <v>0.108</v>
      </c>
      <c r="F269" s="163">
        <v>1.4E-2</v>
      </c>
      <c r="G269" s="163">
        <v>1.296</v>
      </c>
      <c r="H269" s="163">
        <v>0.45</v>
      </c>
      <c r="I269" s="163">
        <v>0.01</v>
      </c>
      <c r="J269" s="163">
        <v>0.35399999999999998</v>
      </c>
      <c r="K269" s="163">
        <v>8.17</v>
      </c>
      <c r="L269" s="163">
        <v>7.41</v>
      </c>
      <c r="M269" s="163">
        <v>11.53</v>
      </c>
      <c r="N269" s="163">
        <v>0.17100000000000001</v>
      </c>
    </row>
    <row r="270" spans="1:14" ht="16.5">
      <c r="A270" s="2" t="str">
        <f t="shared" si="4"/>
        <v>419하위25%</v>
      </c>
      <c r="B270" s="138">
        <v>419</v>
      </c>
      <c r="C270" s="100" t="s">
        <v>1624</v>
      </c>
      <c r="D270" s="163">
        <v>0.879</v>
      </c>
      <c r="E270" s="163">
        <v>9.7000000000000003E-2</v>
      </c>
      <c r="F270" s="163">
        <v>8.0000000000000002E-3</v>
      </c>
      <c r="G270" s="163">
        <v>1.2</v>
      </c>
      <c r="H270" s="163">
        <v>0.45900000000000002</v>
      </c>
      <c r="I270" s="163">
        <v>1.2999999999999999E-2</v>
      </c>
      <c r="J270" s="163">
        <v>0.39400000000000002</v>
      </c>
      <c r="K270" s="163">
        <v>7.53</v>
      </c>
      <c r="L270" s="163">
        <v>7.61</v>
      </c>
      <c r="M270" s="163">
        <v>16.64</v>
      </c>
      <c r="N270" s="163">
        <v>0.20399999999999999</v>
      </c>
    </row>
    <row r="271" spans="1:14" ht="16.5">
      <c r="A271" s="2" t="str">
        <f t="shared" si="4"/>
        <v>421하위25%</v>
      </c>
      <c r="B271" s="138">
        <v>421</v>
      </c>
      <c r="C271" s="100" t="s">
        <v>1624</v>
      </c>
      <c r="D271" s="163">
        <v>0.84899999999999998</v>
      </c>
      <c r="E271" s="163">
        <v>0.124</v>
      </c>
      <c r="F271" s="163">
        <v>4.0000000000000001E-3</v>
      </c>
      <c r="G271" s="163">
        <v>0.79200000000000004</v>
      </c>
      <c r="H271" s="163">
        <v>0.51900000000000002</v>
      </c>
      <c r="I271" s="163">
        <v>0</v>
      </c>
      <c r="J271" s="163">
        <v>0.65500000000000003</v>
      </c>
      <c r="K271" s="163">
        <v>3.68</v>
      </c>
      <c r="L271" s="163">
        <v>3.98</v>
      </c>
      <c r="M271" s="163">
        <v>7.92</v>
      </c>
      <c r="N271" s="163">
        <v>0.39600000000000002</v>
      </c>
    </row>
    <row r="272" spans="1:14" ht="16.5">
      <c r="A272" s="2" t="str">
        <f t="shared" si="4"/>
        <v>422하위25%</v>
      </c>
      <c r="B272" s="138">
        <v>422</v>
      </c>
      <c r="C272" s="100" t="s">
        <v>1624</v>
      </c>
      <c r="D272" s="163">
        <v>0.67800000000000005</v>
      </c>
      <c r="E272" s="163">
        <v>0.3</v>
      </c>
      <c r="F272" s="163">
        <v>1.0999999999999999E-2</v>
      </c>
      <c r="G272" s="163">
        <v>1.0289999999999999</v>
      </c>
      <c r="H272" s="163">
        <v>0.28399999999999997</v>
      </c>
      <c r="I272" s="163">
        <v>1.7000000000000001E-2</v>
      </c>
      <c r="J272" s="163">
        <v>0.29199999999999998</v>
      </c>
      <c r="K272" s="163">
        <v>5.9</v>
      </c>
      <c r="L272" s="163">
        <v>7.35</v>
      </c>
      <c r="M272" s="163">
        <v>9.35</v>
      </c>
      <c r="N272" s="163">
        <v>0.19900000000000001</v>
      </c>
    </row>
    <row r="273" spans="1:14" ht="16.5">
      <c r="A273" s="2" t="str">
        <f t="shared" si="4"/>
        <v>423하위25%</v>
      </c>
      <c r="B273" s="138">
        <v>423</v>
      </c>
      <c r="C273" s="100" t="s">
        <v>1624</v>
      </c>
      <c r="D273" s="163">
        <v>0.91800000000000004</v>
      </c>
      <c r="E273" s="163">
        <v>7.4999999999999997E-2</v>
      </c>
      <c r="F273" s="163">
        <v>3.0000000000000001E-3</v>
      </c>
      <c r="G273" s="163">
        <v>0.52500000000000002</v>
      </c>
      <c r="H273" s="163">
        <v>0.25600000000000001</v>
      </c>
      <c r="I273" s="163">
        <v>8.0000000000000002E-3</v>
      </c>
      <c r="J273" s="163">
        <v>0.502</v>
      </c>
      <c r="K273" s="163">
        <v>3.99</v>
      </c>
      <c r="L273" s="163">
        <v>4.62</v>
      </c>
      <c r="M273" s="163">
        <v>6.75</v>
      </c>
      <c r="N273" s="163">
        <v>0.31900000000000001</v>
      </c>
    </row>
    <row r="274" spans="1:14" ht="16.5">
      <c r="A274" s="2" t="str">
        <f t="shared" si="4"/>
        <v>429하위25%</v>
      </c>
      <c r="B274" s="138">
        <v>429</v>
      </c>
      <c r="C274" s="100" t="s">
        <v>1624</v>
      </c>
      <c r="D274" s="163">
        <v>0.89700000000000002</v>
      </c>
      <c r="E274" s="163">
        <v>8.7999999999999995E-2</v>
      </c>
      <c r="F274" s="163">
        <v>3.0000000000000001E-3</v>
      </c>
      <c r="G274" s="163">
        <v>0.74</v>
      </c>
      <c r="H274" s="163">
        <v>0.36599999999999999</v>
      </c>
      <c r="I274" s="163">
        <v>2E-3</v>
      </c>
      <c r="J274" s="163">
        <v>0.497</v>
      </c>
      <c r="K274" s="163">
        <v>5.46</v>
      </c>
      <c r="L274" s="163">
        <v>6.59</v>
      </c>
      <c r="M274" s="163">
        <v>14.23</v>
      </c>
      <c r="N274" s="163">
        <v>0.26500000000000001</v>
      </c>
    </row>
    <row r="275" spans="1:14" ht="16.5">
      <c r="A275" s="2" t="str">
        <f t="shared" si="4"/>
        <v>431하위25%</v>
      </c>
      <c r="B275" s="138">
        <v>431</v>
      </c>
      <c r="C275" s="100" t="s">
        <v>1624</v>
      </c>
      <c r="D275" s="163">
        <v>0.84499999999999997</v>
      </c>
      <c r="E275" s="163">
        <v>0.128</v>
      </c>
      <c r="F275" s="163">
        <v>1.2999999999999999E-2</v>
      </c>
      <c r="G275" s="163">
        <v>0.98299999999999998</v>
      </c>
      <c r="H275" s="163">
        <v>0.312</v>
      </c>
      <c r="I275" s="163">
        <v>0.01</v>
      </c>
      <c r="J275" s="163">
        <v>0.32700000000000001</v>
      </c>
      <c r="K275" s="163">
        <v>5.48</v>
      </c>
      <c r="L275" s="163">
        <v>6.66</v>
      </c>
      <c r="M275" s="163">
        <v>14.09</v>
      </c>
      <c r="N275" s="163">
        <v>0.26200000000000001</v>
      </c>
    </row>
    <row r="276" spans="1:14" ht="16.5">
      <c r="A276" s="2" t="str">
        <f t="shared" si="4"/>
        <v>432하위25%</v>
      </c>
      <c r="B276" s="138">
        <v>432</v>
      </c>
      <c r="C276" s="100" t="s">
        <v>1624</v>
      </c>
      <c r="D276" s="163">
        <v>0.89100000000000001</v>
      </c>
      <c r="E276" s="163">
        <v>8.6999999999999994E-2</v>
      </c>
      <c r="F276" s="163">
        <v>1.0999999999999999E-2</v>
      </c>
      <c r="G276" s="163">
        <v>1.1739999999999999</v>
      </c>
      <c r="H276" s="163">
        <v>0.38400000000000001</v>
      </c>
      <c r="I276" s="163">
        <v>0.01</v>
      </c>
      <c r="J276" s="163">
        <v>0.33500000000000002</v>
      </c>
      <c r="K276" s="163">
        <v>5.78</v>
      </c>
      <c r="L276" s="163">
        <v>8.89</v>
      </c>
      <c r="M276" s="163">
        <v>8.9499999999999993</v>
      </c>
      <c r="N276" s="163">
        <v>0.17399999999999999</v>
      </c>
    </row>
    <row r="277" spans="1:14" ht="16.5">
      <c r="A277" s="2" t="str">
        <f t="shared" si="4"/>
        <v>433하위25%</v>
      </c>
      <c r="B277" s="138">
        <v>433</v>
      </c>
      <c r="C277" s="100" t="s">
        <v>1624</v>
      </c>
      <c r="D277" s="163">
        <v>0.83</v>
      </c>
      <c r="E277" s="163">
        <v>0.14799999999999999</v>
      </c>
      <c r="F277" s="163">
        <v>1.0999999999999999E-2</v>
      </c>
      <c r="G277" s="163">
        <v>0.997</v>
      </c>
      <c r="H277" s="163">
        <v>0.315</v>
      </c>
      <c r="I277" s="163">
        <v>2.1000000000000001E-2</v>
      </c>
      <c r="J277" s="163">
        <v>0.33700000000000002</v>
      </c>
      <c r="K277" s="163">
        <v>4.2300000000000004</v>
      </c>
      <c r="L277" s="163">
        <v>5.53</v>
      </c>
      <c r="M277" s="163">
        <v>7.73</v>
      </c>
      <c r="N277" s="163">
        <v>0.28799999999999998</v>
      </c>
    </row>
    <row r="278" spans="1:14" ht="16.5">
      <c r="A278" s="2" t="str">
        <f t="shared" si="4"/>
        <v>439하위25%</v>
      </c>
      <c r="B278" s="138">
        <v>439</v>
      </c>
      <c r="C278" s="100" t="s">
        <v>1624</v>
      </c>
      <c r="D278" s="163">
        <v>0.84699999999999998</v>
      </c>
      <c r="E278" s="163">
        <v>0.13200000000000001</v>
      </c>
      <c r="F278" s="163">
        <v>1.0999999999999999E-2</v>
      </c>
      <c r="G278" s="163">
        <v>0.996</v>
      </c>
      <c r="H278" s="163">
        <v>0.252</v>
      </c>
      <c r="I278" s="163">
        <v>4.1000000000000002E-2</v>
      </c>
      <c r="J278" s="163">
        <v>0.29399999999999998</v>
      </c>
      <c r="K278" s="163">
        <v>4.5199999999999996</v>
      </c>
      <c r="L278" s="163">
        <v>9.2799999999999994</v>
      </c>
      <c r="M278" s="163">
        <v>7.17</v>
      </c>
      <c r="N278" s="163">
        <v>0.19</v>
      </c>
    </row>
    <row r="279" spans="1:14" ht="16.5">
      <c r="A279" s="2" t="str">
        <f t="shared" si="4"/>
        <v>441하위25%</v>
      </c>
      <c r="B279" s="138">
        <v>441</v>
      </c>
      <c r="C279" s="100" t="s">
        <v>1624</v>
      </c>
      <c r="D279" s="163">
        <v>0.56499999999999995</v>
      </c>
      <c r="E279" s="163">
        <v>0.28899999999999998</v>
      </c>
      <c r="F279" s="163">
        <v>8.0000000000000002E-3</v>
      </c>
      <c r="G279" s="163">
        <v>0.32800000000000001</v>
      </c>
      <c r="H279" s="163">
        <v>4.7E-2</v>
      </c>
      <c r="I279" s="163">
        <v>2E-3</v>
      </c>
      <c r="J279" s="163">
        <v>0.14799999999999999</v>
      </c>
      <c r="K279" s="163">
        <v>73.36</v>
      </c>
      <c r="L279" s="163">
        <v>29.72</v>
      </c>
      <c r="M279" s="163">
        <v>158.16</v>
      </c>
      <c r="N279" s="163">
        <v>4.1000000000000002E-2</v>
      </c>
    </row>
    <row r="280" spans="1:14" ht="16.5">
      <c r="A280" s="2" t="str">
        <f t="shared" si="4"/>
        <v>442하위25%</v>
      </c>
      <c r="B280" s="138">
        <v>442</v>
      </c>
      <c r="C280" s="100" t="s">
        <v>1624</v>
      </c>
      <c r="D280" s="163">
        <v>0.66400000000000003</v>
      </c>
      <c r="E280" s="163">
        <v>0.32</v>
      </c>
      <c r="F280" s="163">
        <v>1.0999999999999999E-2</v>
      </c>
      <c r="G280" s="163">
        <v>1.64</v>
      </c>
      <c r="H280" s="163">
        <v>0.128</v>
      </c>
      <c r="I280" s="163">
        <v>6.4000000000000001E-2</v>
      </c>
      <c r="J280" s="163">
        <v>0.11700000000000001</v>
      </c>
      <c r="K280" s="163">
        <v>6.67</v>
      </c>
      <c r="L280" s="163">
        <v>28.97</v>
      </c>
      <c r="M280" s="163">
        <v>10.97</v>
      </c>
      <c r="N280" s="163">
        <v>9.2999999999999999E-2</v>
      </c>
    </row>
    <row r="281" spans="1:14" ht="16.5">
      <c r="A281" s="2" t="str">
        <f t="shared" si="4"/>
        <v>443하위25%</v>
      </c>
      <c r="B281" s="138">
        <v>443</v>
      </c>
      <c r="C281" s="100" t="s">
        <v>1624</v>
      </c>
      <c r="D281" s="163">
        <v>0.56499999999999995</v>
      </c>
      <c r="E281" s="163">
        <v>0.28899999999999998</v>
      </c>
      <c r="F281" s="163">
        <v>8.0000000000000002E-3</v>
      </c>
      <c r="G281" s="163">
        <v>0.32800000000000001</v>
      </c>
      <c r="H281" s="163">
        <v>4.7E-2</v>
      </c>
      <c r="I281" s="163">
        <v>2E-3</v>
      </c>
      <c r="J281" s="163">
        <v>0.14799999999999999</v>
      </c>
      <c r="K281" s="163">
        <v>73.36</v>
      </c>
      <c r="L281" s="163">
        <v>29.72</v>
      </c>
      <c r="M281" s="163">
        <v>158.16</v>
      </c>
      <c r="N281" s="163">
        <v>4.1000000000000002E-2</v>
      </c>
    </row>
    <row r="282" spans="1:14" ht="16.5">
      <c r="A282" s="2" t="str">
        <f t="shared" si="4"/>
        <v>444하위25%</v>
      </c>
      <c r="B282" s="138">
        <v>444</v>
      </c>
      <c r="C282" s="100" t="s">
        <v>1624</v>
      </c>
      <c r="D282" s="163">
        <v>0.81399999999999995</v>
      </c>
      <c r="E282" s="163">
        <v>0.17799999999999999</v>
      </c>
      <c r="F282" s="163">
        <v>1.2999999999999999E-2</v>
      </c>
      <c r="G282" s="163">
        <v>1.07</v>
      </c>
      <c r="H282" s="163">
        <v>0.46800000000000003</v>
      </c>
      <c r="I282" s="163">
        <v>9.0999999999999998E-2</v>
      </c>
      <c r="J282" s="163">
        <v>0.52300000000000002</v>
      </c>
      <c r="K282" s="163">
        <v>36.1</v>
      </c>
      <c r="L282" s="163">
        <v>43.27</v>
      </c>
      <c r="M282" s="163">
        <v>159.97</v>
      </c>
      <c r="N282" s="163">
        <v>4.4999999999999998E-2</v>
      </c>
    </row>
    <row r="283" spans="1:14" ht="16.5">
      <c r="A283" s="2" t="str">
        <f t="shared" si="4"/>
        <v>445하위25%</v>
      </c>
      <c r="B283" s="138">
        <v>445</v>
      </c>
      <c r="C283" s="100" t="s">
        <v>1624</v>
      </c>
      <c r="D283" s="163">
        <v>0.83</v>
      </c>
      <c r="E283" s="163">
        <v>0.152</v>
      </c>
      <c r="F283" s="163">
        <v>1.0999999999999999E-2</v>
      </c>
      <c r="G283" s="163">
        <v>1.464</v>
      </c>
      <c r="H283" s="163">
        <v>0.46100000000000002</v>
      </c>
      <c r="I283" s="163">
        <v>5.6000000000000001E-2</v>
      </c>
      <c r="J283" s="163">
        <v>0.35299999999999998</v>
      </c>
      <c r="K283" s="163">
        <v>16.95</v>
      </c>
      <c r="L283" s="163">
        <v>23.27</v>
      </c>
      <c r="M283" s="163">
        <v>33.840000000000003</v>
      </c>
      <c r="N283" s="163">
        <v>7.1999999999999995E-2</v>
      </c>
    </row>
    <row r="284" spans="1:14" ht="16.5">
      <c r="A284" s="2" t="str">
        <f t="shared" si="4"/>
        <v>446하위25%</v>
      </c>
      <c r="B284" s="138">
        <v>446</v>
      </c>
      <c r="C284" s="100" t="s">
        <v>1624</v>
      </c>
      <c r="D284" s="163">
        <v>0.91200000000000003</v>
      </c>
      <c r="E284" s="163">
        <v>7.2999999999999995E-2</v>
      </c>
      <c r="F284" s="163">
        <v>3.0000000000000001E-3</v>
      </c>
      <c r="G284" s="163">
        <v>1.853</v>
      </c>
      <c r="H284" s="163">
        <v>0.16200000000000001</v>
      </c>
      <c r="I284" s="163">
        <v>4.0000000000000001E-3</v>
      </c>
      <c r="J284" s="163">
        <v>8.8999999999999996E-2</v>
      </c>
      <c r="K284" s="163">
        <v>11.81</v>
      </c>
      <c r="L284" s="163">
        <v>15.21</v>
      </c>
      <c r="M284" s="163">
        <v>20.03</v>
      </c>
      <c r="N284" s="163">
        <v>0.1</v>
      </c>
    </row>
    <row r="285" spans="1:14" ht="16.5">
      <c r="A285" s="2" t="str">
        <f t="shared" si="4"/>
        <v>447하위25%</v>
      </c>
      <c r="B285" s="138">
        <v>447</v>
      </c>
      <c r="C285" s="100" t="s">
        <v>1624</v>
      </c>
      <c r="D285" s="163">
        <v>0.83599999999999997</v>
      </c>
      <c r="E285" s="163">
        <v>0.13100000000000001</v>
      </c>
      <c r="F285" s="163">
        <v>7.0000000000000001E-3</v>
      </c>
      <c r="G285" s="163">
        <v>1.8260000000000001</v>
      </c>
      <c r="H285" s="163">
        <v>0.22800000000000001</v>
      </c>
      <c r="I285" s="163">
        <v>7.0000000000000001E-3</v>
      </c>
      <c r="J285" s="163">
        <v>0.129</v>
      </c>
      <c r="K285" s="163">
        <v>12.47</v>
      </c>
      <c r="L285" s="163">
        <v>14.52</v>
      </c>
      <c r="M285" s="163">
        <v>25.51</v>
      </c>
      <c r="N285" s="163">
        <v>0.11</v>
      </c>
    </row>
    <row r="286" spans="1:14" ht="16.5">
      <c r="A286" s="2" t="str">
        <f t="shared" si="4"/>
        <v>449하위25%</v>
      </c>
      <c r="B286" s="138">
        <v>449</v>
      </c>
      <c r="C286" s="100" t="s">
        <v>1624</v>
      </c>
      <c r="D286" s="163">
        <v>0.218</v>
      </c>
      <c r="E286" s="163">
        <v>0.749</v>
      </c>
      <c r="F286" s="163">
        <v>1.4E-2</v>
      </c>
      <c r="G286" s="163">
        <v>1.137</v>
      </c>
      <c r="H286" s="163">
        <v>0.214</v>
      </c>
      <c r="I286" s="163">
        <v>1.4E-2</v>
      </c>
      <c r="J286" s="163">
        <v>0.20100000000000001</v>
      </c>
      <c r="K286" s="163">
        <v>8.6999999999999993</v>
      </c>
      <c r="L286" s="163">
        <v>215.37</v>
      </c>
      <c r="M286" s="163">
        <v>90.08</v>
      </c>
      <c r="N286" s="163">
        <v>0.108</v>
      </c>
    </row>
    <row r="287" spans="1:14" ht="16.5">
      <c r="A287" s="2" t="str">
        <f t="shared" si="4"/>
        <v>511하위25%</v>
      </c>
      <c r="B287" s="138">
        <v>511</v>
      </c>
      <c r="C287" s="100" t="s">
        <v>1624</v>
      </c>
      <c r="D287" s="163">
        <v>0.90900000000000003</v>
      </c>
      <c r="E287" s="163">
        <v>7.1999999999999995E-2</v>
      </c>
      <c r="F287" s="163">
        <v>4.0000000000000001E-3</v>
      </c>
      <c r="G287" s="163">
        <v>0.57799999999999996</v>
      </c>
      <c r="H287" s="163">
        <v>0.28599999999999998</v>
      </c>
      <c r="I287" s="163">
        <v>7.0000000000000001E-3</v>
      </c>
      <c r="J287" s="163">
        <v>0.50700000000000001</v>
      </c>
      <c r="K287" s="163">
        <v>11.37</v>
      </c>
      <c r="L287" s="163">
        <v>5.61</v>
      </c>
      <c r="M287" s="163">
        <v>18.28</v>
      </c>
      <c r="N287" s="163">
        <v>0.21099999999999999</v>
      </c>
    </row>
    <row r="288" spans="1:14" ht="16.5">
      <c r="A288" s="2" t="str">
        <f t="shared" si="4"/>
        <v>512하위25%</v>
      </c>
      <c r="B288" s="138">
        <v>512</v>
      </c>
      <c r="C288" s="100" t="s">
        <v>1624</v>
      </c>
      <c r="D288" s="163">
        <v>0.91800000000000004</v>
      </c>
      <c r="E288" s="163">
        <v>4.0000000000000001E-3</v>
      </c>
      <c r="F288" s="163">
        <v>2E-3</v>
      </c>
      <c r="G288" s="163">
        <v>1.647</v>
      </c>
      <c r="H288" s="163">
        <v>0.29099999999999998</v>
      </c>
      <c r="I288" s="163">
        <v>0</v>
      </c>
      <c r="J288" s="163">
        <v>0.17699999999999999</v>
      </c>
      <c r="K288" s="163">
        <v>0</v>
      </c>
      <c r="L288" s="163">
        <v>2.84</v>
      </c>
      <c r="M288" s="163">
        <v>0</v>
      </c>
      <c r="N288" s="163">
        <v>0</v>
      </c>
    </row>
    <row r="289" spans="1:14" ht="16.5">
      <c r="A289" s="2" t="str">
        <f t="shared" si="4"/>
        <v>520하위25%</v>
      </c>
      <c r="B289" s="138">
        <v>520</v>
      </c>
      <c r="C289" s="100" t="s">
        <v>1624</v>
      </c>
      <c r="D289" s="163">
        <v>0.90800000000000003</v>
      </c>
      <c r="E289" s="163">
        <v>6.6000000000000003E-2</v>
      </c>
      <c r="F289" s="163">
        <v>2.1000000000000001E-2</v>
      </c>
      <c r="G289" s="163">
        <v>0.99</v>
      </c>
      <c r="H289" s="163">
        <v>0.39400000000000002</v>
      </c>
      <c r="I289" s="163">
        <v>5.0000000000000001E-3</v>
      </c>
      <c r="J289" s="163">
        <v>0.40300000000000002</v>
      </c>
      <c r="K289" s="163">
        <v>13.42</v>
      </c>
      <c r="L289" s="163">
        <v>3.3</v>
      </c>
      <c r="M289" s="163">
        <v>19.78</v>
      </c>
      <c r="N289" s="163">
        <v>0.32700000000000001</v>
      </c>
    </row>
    <row r="290" spans="1:14" ht="16.5">
      <c r="A290" s="2" t="str">
        <f t="shared" si="4"/>
        <v>611하위25%</v>
      </c>
      <c r="B290" s="138">
        <v>611</v>
      </c>
      <c r="C290" s="100" t="s">
        <v>1624</v>
      </c>
      <c r="D290" s="163">
        <v>0.81399999999999995</v>
      </c>
      <c r="E290" s="163">
        <v>0.17799999999999999</v>
      </c>
      <c r="F290" s="163">
        <v>0.01</v>
      </c>
      <c r="G290" s="163">
        <v>2.9809999999999999</v>
      </c>
      <c r="H290" s="163">
        <v>0.20599999999999999</v>
      </c>
      <c r="I290" s="163">
        <v>2.3E-2</v>
      </c>
      <c r="J290" s="163">
        <v>7.6999999999999999E-2</v>
      </c>
      <c r="K290" s="163">
        <v>14.18</v>
      </c>
      <c r="L290" s="163">
        <v>9.11</v>
      </c>
      <c r="M290" s="163">
        <v>73.760000000000005</v>
      </c>
      <c r="N290" s="163">
        <v>0.16700000000000001</v>
      </c>
    </row>
    <row r="291" spans="1:14" ht="16.5">
      <c r="A291" s="2" t="str">
        <f t="shared" si="4"/>
        <v>612하위25%</v>
      </c>
      <c r="B291" s="138">
        <v>612</v>
      </c>
      <c r="C291" s="100" t="s">
        <v>1624</v>
      </c>
      <c r="D291" s="163">
        <v>0.82699999999999996</v>
      </c>
      <c r="E291" s="163">
        <v>0.15</v>
      </c>
      <c r="F291" s="163">
        <v>1.0999999999999999E-2</v>
      </c>
      <c r="G291" s="163">
        <v>1.589</v>
      </c>
      <c r="H291" s="163">
        <v>0.39200000000000002</v>
      </c>
      <c r="I291" s="163">
        <v>2.1000000000000001E-2</v>
      </c>
      <c r="J291" s="163">
        <v>0.26</v>
      </c>
      <c r="K291" s="163">
        <v>7.06</v>
      </c>
      <c r="L291" s="163">
        <v>8.84</v>
      </c>
      <c r="M291" s="163">
        <v>8.19</v>
      </c>
      <c r="N291" s="163">
        <v>0.13300000000000001</v>
      </c>
    </row>
    <row r="292" spans="1:14" ht="16.5">
      <c r="A292" s="2" t="str">
        <f t="shared" si="4"/>
        <v>619하위25%</v>
      </c>
      <c r="B292" s="138">
        <v>619</v>
      </c>
      <c r="C292" s="100" t="s">
        <v>1624</v>
      </c>
      <c r="D292" s="163">
        <v>0.86899999999999999</v>
      </c>
      <c r="E292" s="163">
        <v>0.108</v>
      </c>
      <c r="F292" s="163">
        <v>5.0000000000000001E-3</v>
      </c>
      <c r="G292" s="163">
        <v>1.218</v>
      </c>
      <c r="H292" s="163">
        <v>0.28599999999999998</v>
      </c>
      <c r="I292" s="163">
        <v>7.1999999999999995E-2</v>
      </c>
      <c r="J292" s="163">
        <v>0.29399999999999998</v>
      </c>
      <c r="K292" s="163">
        <v>7.28</v>
      </c>
      <c r="L292" s="163">
        <v>11.1</v>
      </c>
      <c r="M292" s="163">
        <v>10.34</v>
      </c>
      <c r="N292" s="163">
        <v>0.13100000000000001</v>
      </c>
    </row>
    <row r="293" spans="1:14" ht="16.5">
      <c r="A293" s="2" t="str">
        <f t="shared" si="4"/>
        <v>621하위25%</v>
      </c>
      <c r="B293" s="138">
        <v>621</v>
      </c>
      <c r="C293" s="100" t="s">
        <v>1624</v>
      </c>
      <c r="D293" s="163">
        <v>0.93200000000000005</v>
      </c>
      <c r="E293" s="163">
        <v>5.7000000000000002E-2</v>
      </c>
      <c r="F293" s="163">
        <v>6.0000000000000001E-3</v>
      </c>
      <c r="G293" s="163">
        <v>0.53500000000000003</v>
      </c>
      <c r="H293" s="163">
        <v>0.35</v>
      </c>
      <c r="I293" s="163">
        <v>4.0000000000000001E-3</v>
      </c>
      <c r="J293" s="163">
        <v>0.66200000000000003</v>
      </c>
      <c r="K293" s="163">
        <v>10.58</v>
      </c>
      <c r="L293" s="163">
        <v>15.18</v>
      </c>
      <c r="M293" s="163">
        <v>10.34</v>
      </c>
      <c r="N293" s="163">
        <v>6.4000000000000001E-2</v>
      </c>
    </row>
    <row r="294" spans="1:14" ht="16.5">
      <c r="A294" s="2" t="str">
        <f t="shared" si="4"/>
        <v>622하위25%</v>
      </c>
      <c r="B294" s="138">
        <v>622</v>
      </c>
      <c r="C294" s="100" t="s">
        <v>1624</v>
      </c>
      <c r="D294" s="163">
        <v>0.88900000000000001</v>
      </c>
      <c r="E294" s="163">
        <v>8.1000000000000003E-2</v>
      </c>
      <c r="F294" s="163">
        <v>1.9E-2</v>
      </c>
      <c r="G294" s="163">
        <v>1.3660000000000001</v>
      </c>
      <c r="H294" s="163">
        <v>0.56599999999999995</v>
      </c>
      <c r="I294" s="163">
        <v>5.0000000000000001E-3</v>
      </c>
      <c r="J294" s="163">
        <v>0.41799999999999998</v>
      </c>
      <c r="K294" s="163">
        <v>8.15</v>
      </c>
      <c r="L294" s="163">
        <v>18.46</v>
      </c>
      <c r="M294" s="163">
        <v>16.84</v>
      </c>
      <c r="N294" s="163">
        <v>0.11799999999999999</v>
      </c>
    </row>
    <row r="295" spans="1:14" ht="16.5">
      <c r="A295" s="2" t="str">
        <f t="shared" si="4"/>
        <v>623하위25%</v>
      </c>
      <c r="B295" s="138">
        <v>623</v>
      </c>
      <c r="C295" s="100" t="s">
        <v>1624</v>
      </c>
      <c r="D295" s="163">
        <v>0.67800000000000005</v>
      </c>
      <c r="E295" s="163">
        <v>0.27500000000000002</v>
      </c>
      <c r="F295" s="163">
        <v>6.0000000000000001E-3</v>
      </c>
      <c r="G295" s="163">
        <v>0.34599999999999997</v>
      </c>
      <c r="H295" s="163">
        <v>0.621</v>
      </c>
      <c r="I295" s="163">
        <v>0.02</v>
      </c>
      <c r="J295" s="163">
        <v>1.8540000000000001</v>
      </c>
      <c r="K295" s="163">
        <v>2.12</v>
      </c>
      <c r="L295" s="163">
        <v>3.92</v>
      </c>
      <c r="M295" s="163">
        <v>3.52</v>
      </c>
      <c r="N295" s="163">
        <v>0.443</v>
      </c>
    </row>
    <row r="296" spans="1:14" ht="16.5">
      <c r="A296" s="2" t="str">
        <f t="shared" si="4"/>
        <v>624하위25%</v>
      </c>
      <c r="B296" s="138">
        <v>624</v>
      </c>
      <c r="C296" s="100" t="s">
        <v>1624</v>
      </c>
      <c r="D296" s="163">
        <v>0.89200000000000002</v>
      </c>
      <c r="E296" s="163">
        <v>9.0999999999999998E-2</v>
      </c>
      <c r="F296" s="163">
        <v>8.0000000000000002E-3</v>
      </c>
      <c r="G296" s="163">
        <v>0.90900000000000003</v>
      </c>
      <c r="H296" s="163">
        <v>0.51900000000000002</v>
      </c>
      <c r="I296" s="163">
        <v>1.4E-2</v>
      </c>
      <c r="J296" s="163">
        <v>0.58599999999999997</v>
      </c>
      <c r="K296" s="163">
        <v>8.3699999999999992</v>
      </c>
      <c r="L296" s="163">
        <v>8.4700000000000006</v>
      </c>
      <c r="M296" s="163">
        <v>11.02</v>
      </c>
      <c r="N296" s="163">
        <v>0.14699999999999999</v>
      </c>
    </row>
    <row r="297" spans="1:14" ht="16.5">
      <c r="A297" s="2" t="str">
        <f t="shared" si="4"/>
        <v>625하위25%</v>
      </c>
      <c r="B297" s="138">
        <v>625</v>
      </c>
      <c r="C297" s="100" t="s">
        <v>1624</v>
      </c>
      <c r="D297" s="163">
        <v>0.86099999999999999</v>
      </c>
      <c r="E297" s="163">
        <v>0.11799999999999999</v>
      </c>
      <c r="F297" s="163">
        <v>1.0999999999999999E-2</v>
      </c>
      <c r="G297" s="163">
        <v>0.98799999999999999</v>
      </c>
      <c r="H297" s="163">
        <v>0.441</v>
      </c>
      <c r="I297" s="163">
        <v>8.0000000000000002E-3</v>
      </c>
      <c r="J297" s="163">
        <v>0.45400000000000001</v>
      </c>
      <c r="K297" s="163">
        <v>5.68</v>
      </c>
      <c r="L297" s="163">
        <v>14.08</v>
      </c>
      <c r="M297" s="163">
        <v>6.72</v>
      </c>
      <c r="N297" s="163">
        <v>9.8000000000000004E-2</v>
      </c>
    </row>
    <row r="298" spans="1:14" ht="16.5">
      <c r="A298" s="2" t="str">
        <f t="shared" si="4"/>
        <v>626하위25%</v>
      </c>
      <c r="B298" s="138">
        <v>626</v>
      </c>
      <c r="C298" s="100" t="s">
        <v>1624</v>
      </c>
      <c r="D298" s="163">
        <v>0.82</v>
      </c>
      <c r="E298" s="163">
        <v>0.156</v>
      </c>
      <c r="F298" s="163">
        <v>1.6E-2</v>
      </c>
      <c r="G298" s="163">
        <v>1.1040000000000001</v>
      </c>
      <c r="H298" s="163">
        <v>0.311</v>
      </c>
      <c r="I298" s="163">
        <v>0.06</v>
      </c>
      <c r="J298" s="163">
        <v>0.33600000000000002</v>
      </c>
      <c r="K298" s="163">
        <v>5.6</v>
      </c>
      <c r="L298" s="163">
        <v>7.11</v>
      </c>
      <c r="M298" s="163">
        <v>9.6300000000000008</v>
      </c>
      <c r="N298" s="163">
        <v>0.215</v>
      </c>
    </row>
    <row r="299" spans="1:14" ht="16.5">
      <c r="A299" s="2" t="str">
        <f t="shared" si="4"/>
        <v>627하위25%</v>
      </c>
      <c r="B299" s="138">
        <v>627</v>
      </c>
      <c r="C299" s="100" t="s">
        <v>1624</v>
      </c>
      <c r="D299" s="163">
        <v>0.86799999999999999</v>
      </c>
      <c r="E299" s="163">
        <v>0.109</v>
      </c>
      <c r="F299" s="163">
        <v>0.01</v>
      </c>
      <c r="G299" s="163">
        <v>1.0129999999999999</v>
      </c>
      <c r="H299" s="163">
        <v>0.32</v>
      </c>
      <c r="I299" s="163">
        <v>2.4E-2</v>
      </c>
      <c r="J299" s="163">
        <v>0.33900000000000002</v>
      </c>
      <c r="K299" s="163">
        <v>5.4</v>
      </c>
      <c r="L299" s="163">
        <v>8.57</v>
      </c>
      <c r="M299" s="163">
        <v>8.93</v>
      </c>
      <c r="N299" s="163">
        <v>0.19</v>
      </c>
    </row>
    <row r="300" spans="1:14" ht="16.5">
      <c r="A300" s="2" t="str">
        <f t="shared" si="4"/>
        <v>628하위25%</v>
      </c>
      <c r="B300" s="138">
        <v>628</v>
      </c>
      <c r="C300" s="100" t="s">
        <v>1624</v>
      </c>
      <c r="D300" s="163">
        <v>0.85499999999999998</v>
      </c>
      <c r="E300" s="163">
        <v>0.122</v>
      </c>
      <c r="F300" s="163">
        <v>4.0000000000000001E-3</v>
      </c>
      <c r="G300" s="163">
        <v>1.1579999999999999</v>
      </c>
      <c r="H300" s="163">
        <v>0.49399999999999999</v>
      </c>
      <c r="I300" s="163">
        <v>1E-3</v>
      </c>
      <c r="J300" s="163">
        <v>0.42699999999999999</v>
      </c>
      <c r="K300" s="163">
        <v>6.47</v>
      </c>
      <c r="L300" s="163">
        <v>6.85</v>
      </c>
      <c r="M300" s="163">
        <v>17.16</v>
      </c>
      <c r="N300" s="163">
        <v>0.24199999999999999</v>
      </c>
    </row>
    <row r="301" spans="1:14" ht="16.5">
      <c r="A301" s="2" t="str">
        <f t="shared" si="4"/>
        <v>629하위25%</v>
      </c>
      <c r="B301" s="138">
        <v>629</v>
      </c>
      <c r="C301" s="100" t="s">
        <v>1624</v>
      </c>
      <c r="D301" s="163">
        <v>0.89100000000000001</v>
      </c>
      <c r="E301" s="163">
        <v>8.6999999999999994E-2</v>
      </c>
      <c r="F301" s="163">
        <v>1.0999999999999999E-2</v>
      </c>
      <c r="G301" s="163">
        <v>1.1739999999999999</v>
      </c>
      <c r="H301" s="163">
        <v>0.38400000000000001</v>
      </c>
      <c r="I301" s="163">
        <v>0.01</v>
      </c>
      <c r="J301" s="163">
        <v>0.33500000000000002</v>
      </c>
      <c r="K301" s="163">
        <v>5.78</v>
      </c>
      <c r="L301" s="163">
        <v>8.89</v>
      </c>
      <c r="M301" s="163">
        <v>8.9499999999999993</v>
      </c>
      <c r="N301" s="163">
        <v>0.17399999999999999</v>
      </c>
    </row>
    <row r="302" spans="1:14" ht="16.5">
      <c r="A302" s="2" t="str">
        <f t="shared" si="4"/>
        <v>631하위25%</v>
      </c>
      <c r="B302" s="138">
        <v>631</v>
      </c>
      <c r="C302" s="100" t="s">
        <v>1624</v>
      </c>
      <c r="D302" s="163">
        <v>0.81200000000000006</v>
      </c>
      <c r="E302" s="163">
        <v>0.17399999999999999</v>
      </c>
      <c r="F302" s="163">
        <v>5.0000000000000001E-3</v>
      </c>
      <c r="G302" s="163">
        <v>2.4830000000000001</v>
      </c>
      <c r="H302" s="163">
        <v>0.113</v>
      </c>
      <c r="I302" s="163">
        <v>0.01</v>
      </c>
      <c r="J302" s="163">
        <v>0.05</v>
      </c>
      <c r="K302" s="163">
        <v>12.33</v>
      </c>
      <c r="L302" s="163">
        <v>31.66</v>
      </c>
      <c r="M302" s="163">
        <v>14.61</v>
      </c>
      <c r="N302" s="163">
        <v>4.3999999999999997E-2</v>
      </c>
    </row>
    <row r="303" spans="1:14" ht="16.5">
      <c r="A303" s="2" t="str">
        <f t="shared" si="4"/>
        <v>632하위25%</v>
      </c>
      <c r="B303" s="138">
        <v>632</v>
      </c>
      <c r="C303" s="100" t="s">
        <v>1624</v>
      </c>
      <c r="D303" s="163">
        <v>0.88700000000000001</v>
      </c>
      <c r="E303" s="163">
        <v>9.9000000000000005E-2</v>
      </c>
      <c r="F303" s="163">
        <v>4.0000000000000001E-3</v>
      </c>
      <c r="G303" s="163">
        <v>1.8380000000000001</v>
      </c>
      <c r="H303" s="163">
        <v>0.112</v>
      </c>
      <c r="I303" s="163">
        <v>5.0000000000000001E-3</v>
      </c>
      <c r="J303" s="163">
        <v>6.3E-2</v>
      </c>
      <c r="K303" s="163">
        <v>9.8699999999999992</v>
      </c>
      <c r="L303" s="163">
        <v>13.93</v>
      </c>
      <c r="M303" s="163">
        <v>23.09</v>
      </c>
      <c r="N303" s="163">
        <v>0.13</v>
      </c>
    </row>
    <row r="304" spans="1:14" ht="16.5">
      <c r="A304" s="2" t="str">
        <f t="shared" si="4"/>
        <v>633하위25%</v>
      </c>
      <c r="B304" s="138">
        <v>633</v>
      </c>
      <c r="C304" s="100" t="s">
        <v>1624</v>
      </c>
      <c r="D304" s="163">
        <v>0.66400000000000003</v>
      </c>
      <c r="E304" s="163">
        <v>0.32</v>
      </c>
      <c r="F304" s="163">
        <v>1.0999999999999999E-2</v>
      </c>
      <c r="G304" s="163">
        <v>1.64</v>
      </c>
      <c r="H304" s="163">
        <v>0.128</v>
      </c>
      <c r="I304" s="163">
        <v>6.4000000000000001E-2</v>
      </c>
      <c r="J304" s="163">
        <v>0.11700000000000001</v>
      </c>
      <c r="K304" s="163">
        <v>6.67</v>
      </c>
      <c r="L304" s="163">
        <v>28.97</v>
      </c>
      <c r="M304" s="163">
        <v>10.97</v>
      </c>
      <c r="N304" s="163">
        <v>9.2999999999999999E-2</v>
      </c>
    </row>
    <row r="305" spans="1:14" ht="16.5">
      <c r="A305" s="2" t="str">
        <f t="shared" si="4"/>
        <v>634하위25%</v>
      </c>
      <c r="B305" s="138">
        <v>634</v>
      </c>
      <c r="C305" s="100" t="s">
        <v>1624</v>
      </c>
      <c r="D305" s="163">
        <v>0.874</v>
      </c>
      <c r="E305" s="163">
        <v>0.115</v>
      </c>
      <c r="F305" s="163">
        <v>1.2E-2</v>
      </c>
      <c r="G305" s="163">
        <v>1.216</v>
      </c>
      <c r="H305" s="163">
        <v>0.441</v>
      </c>
      <c r="I305" s="163">
        <v>5.5E-2</v>
      </c>
      <c r="J305" s="163">
        <v>0.40899999999999997</v>
      </c>
      <c r="K305" s="163">
        <v>10.65</v>
      </c>
      <c r="L305" s="163">
        <v>68.650000000000006</v>
      </c>
      <c r="M305" s="163">
        <v>30.25</v>
      </c>
      <c r="N305" s="163">
        <v>7.4999999999999997E-2</v>
      </c>
    </row>
    <row r="306" spans="1:14" ht="16.5">
      <c r="A306" s="2" t="str">
        <f t="shared" si="4"/>
        <v>635하위25%</v>
      </c>
      <c r="B306" s="138">
        <v>635</v>
      </c>
      <c r="C306" s="100" t="s">
        <v>1624</v>
      </c>
      <c r="D306" s="163">
        <v>0.52700000000000002</v>
      </c>
      <c r="E306" s="163">
        <v>0.45400000000000001</v>
      </c>
      <c r="F306" s="163">
        <v>2.3E-2</v>
      </c>
      <c r="G306" s="163">
        <v>1.0669999999999999</v>
      </c>
      <c r="H306" s="163">
        <v>0.39600000000000002</v>
      </c>
      <c r="I306" s="163">
        <v>2.3E-2</v>
      </c>
      <c r="J306" s="163">
        <v>0.39200000000000002</v>
      </c>
      <c r="K306" s="163">
        <v>8.48</v>
      </c>
      <c r="L306" s="163">
        <v>76.83</v>
      </c>
      <c r="M306" s="163">
        <v>51.35</v>
      </c>
      <c r="N306" s="163">
        <v>0.111</v>
      </c>
    </row>
    <row r="307" spans="1:14" ht="16.5">
      <c r="A307" s="2" t="str">
        <f t="shared" si="4"/>
        <v>636하위25%</v>
      </c>
      <c r="B307" s="138">
        <v>636</v>
      </c>
      <c r="C307" s="100" t="s">
        <v>1624</v>
      </c>
      <c r="D307" s="163">
        <v>0.83</v>
      </c>
      <c r="E307" s="163">
        <v>0.152</v>
      </c>
      <c r="F307" s="163">
        <v>1.0999999999999999E-2</v>
      </c>
      <c r="G307" s="163">
        <v>1.464</v>
      </c>
      <c r="H307" s="163">
        <v>0.46100000000000002</v>
      </c>
      <c r="I307" s="163">
        <v>5.6000000000000001E-2</v>
      </c>
      <c r="J307" s="163">
        <v>0.35299999999999998</v>
      </c>
      <c r="K307" s="163">
        <v>16.95</v>
      </c>
      <c r="L307" s="163">
        <v>23.27</v>
      </c>
      <c r="M307" s="163">
        <v>33.840000000000003</v>
      </c>
      <c r="N307" s="163">
        <v>7.1999999999999995E-2</v>
      </c>
    </row>
    <row r="308" spans="1:14" ht="16.5">
      <c r="A308" s="2" t="str">
        <f t="shared" si="4"/>
        <v>637하위25%</v>
      </c>
      <c r="B308" s="138">
        <v>637</v>
      </c>
      <c r="C308" s="100" t="s">
        <v>1624</v>
      </c>
      <c r="D308" s="163">
        <v>0.78800000000000003</v>
      </c>
      <c r="E308" s="163">
        <v>0.19400000000000001</v>
      </c>
      <c r="F308" s="163">
        <v>8.0000000000000002E-3</v>
      </c>
      <c r="G308" s="163">
        <v>1.341</v>
      </c>
      <c r="H308" s="163">
        <v>0.19600000000000001</v>
      </c>
      <c r="I308" s="163">
        <v>1.9E-2</v>
      </c>
      <c r="J308" s="163">
        <v>0.16</v>
      </c>
      <c r="K308" s="163">
        <v>4.21</v>
      </c>
      <c r="L308" s="163">
        <v>74.78</v>
      </c>
      <c r="M308" s="163">
        <v>8.7100000000000009</v>
      </c>
      <c r="N308" s="163">
        <v>0.13600000000000001</v>
      </c>
    </row>
    <row r="309" spans="1:14" ht="16.5">
      <c r="A309" s="2" t="str">
        <f t="shared" si="4"/>
        <v>639하위25%</v>
      </c>
      <c r="B309" s="138">
        <v>639</v>
      </c>
      <c r="C309" s="100" t="s">
        <v>1624</v>
      </c>
      <c r="D309" s="163">
        <v>0.254</v>
      </c>
      <c r="E309" s="163">
        <v>0.71599999999999997</v>
      </c>
      <c r="F309" s="163">
        <v>2.7E-2</v>
      </c>
      <c r="G309" s="163">
        <v>2.0150000000000001</v>
      </c>
      <c r="H309" s="163">
        <v>0.32700000000000001</v>
      </c>
      <c r="I309" s="163">
        <v>0</v>
      </c>
      <c r="J309" s="163">
        <v>0.16300000000000001</v>
      </c>
      <c r="K309" s="163">
        <v>42.25</v>
      </c>
      <c r="L309" s="163">
        <v>11.82</v>
      </c>
      <c r="M309" s="163">
        <v>40.19</v>
      </c>
      <c r="N309" s="163">
        <v>8.3000000000000004E-2</v>
      </c>
    </row>
    <row r="310" spans="1:14" ht="16.5">
      <c r="A310" s="2" t="str">
        <f t="shared" si="4"/>
        <v>711하위25%</v>
      </c>
      <c r="B310" s="138">
        <v>711</v>
      </c>
      <c r="C310" s="100" t="s">
        <v>1624</v>
      </c>
      <c r="D310" s="163">
        <v>0.94</v>
      </c>
      <c r="E310" s="163">
        <v>5.0999999999999997E-2</v>
      </c>
      <c r="F310" s="163">
        <v>5.0000000000000001E-3</v>
      </c>
      <c r="G310" s="163">
        <v>2.331</v>
      </c>
      <c r="H310" s="163">
        <v>0.40300000000000002</v>
      </c>
      <c r="I310" s="163">
        <v>3.0000000000000001E-3</v>
      </c>
      <c r="J310" s="163">
        <v>0.17499999999999999</v>
      </c>
      <c r="K310" s="163">
        <v>9.7100000000000009</v>
      </c>
      <c r="L310" s="163">
        <v>20.239999999999998</v>
      </c>
      <c r="M310" s="163">
        <v>28.32</v>
      </c>
      <c r="N310" s="163">
        <v>0.11700000000000001</v>
      </c>
    </row>
    <row r="311" spans="1:14" ht="16.5">
      <c r="A311" s="2" t="str">
        <f t="shared" si="4"/>
        <v>712하위25%</v>
      </c>
      <c r="B311" s="138">
        <v>712</v>
      </c>
      <c r="C311" s="100" t="s">
        <v>1624</v>
      </c>
      <c r="D311" s="163">
        <v>0.91200000000000003</v>
      </c>
      <c r="E311" s="163">
        <v>7.5999999999999998E-2</v>
      </c>
      <c r="F311" s="163">
        <v>5.0000000000000001E-3</v>
      </c>
      <c r="G311" s="163">
        <v>2.7709999999999999</v>
      </c>
      <c r="H311" s="163">
        <v>0.38500000000000001</v>
      </c>
      <c r="I311" s="163">
        <v>8.0000000000000002E-3</v>
      </c>
      <c r="J311" s="163">
        <v>0.14199999999999999</v>
      </c>
      <c r="K311" s="163">
        <v>12.42</v>
      </c>
      <c r="L311" s="163">
        <v>18.82</v>
      </c>
      <c r="M311" s="163">
        <v>32.33</v>
      </c>
      <c r="N311" s="163">
        <v>0.10299999999999999</v>
      </c>
    </row>
    <row r="312" spans="1:14" ht="16.5">
      <c r="A312" s="2" t="str">
        <f t="shared" si="4"/>
        <v>721하위25%</v>
      </c>
      <c r="B312" s="138">
        <v>721</v>
      </c>
      <c r="C312" s="100" t="s">
        <v>1624</v>
      </c>
      <c r="D312" s="163">
        <v>0.83899999999999997</v>
      </c>
      <c r="E312" s="163">
        <v>0.14000000000000001</v>
      </c>
      <c r="F312" s="163">
        <v>6.0000000000000001E-3</v>
      </c>
      <c r="G312" s="163">
        <v>1.468</v>
      </c>
      <c r="H312" s="163">
        <v>0.33900000000000002</v>
      </c>
      <c r="I312" s="163">
        <v>5.0000000000000001E-3</v>
      </c>
      <c r="J312" s="163">
        <v>0.23499999999999999</v>
      </c>
      <c r="K312" s="163">
        <v>9.26</v>
      </c>
      <c r="L312" s="163">
        <v>6.71</v>
      </c>
      <c r="M312" s="163">
        <v>14.83</v>
      </c>
      <c r="N312" s="163">
        <v>0.189</v>
      </c>
    </row>
    <row r="313" spans="1:14" ht="16.5">
      <c r="A313" s="2" t="str">
        <f t="shared" si="4"/>
        <v>722하위25%</v>
      </c>
      <c r="B313" s="138">
        <v>722</v>
      </c>
      <c r="C313" s="100" t="s">
        <v>1624</v>
      </c>
      <c r="D313" s="163">
        <v>0.872</v>
      </c>
      <c r="E313" s="163">
        <v>0.1</v>
      </c>
      <c r="F313" s="163">
        <v>1.4E-2</v>
      </c>
      <c r="G313" s="163">
        <v>1.3580000000000001</v>
      </c>
      <c r="H313" s="163">
        <v>0.41499999999999998</v>
      </c>
      <c r="I313" s="163">
        <v>5.0000000000000001E-3</v>
      </c>
      <c r="J313" s="163">
        <v>0.309</v>
      </c>
      <c r="K313" s="163">
        <v>9.16</v>
      </c>
      <c r="L313" s="163">
        <v>5.3</v>
      </c>
      <c r="M313" s="163">
        <v>14.16</v>
      </c>
      <c r="N313" s="163">
        <v>0.22700000000000001</v>
      </c>
    </row>
    <row r="314" spans="1:14" ht="16.5">
      <c r="A314" s="2" t="str">
        <f t="shared" si="4"/>
        <v>730하위25%</v>
      </c>
      <c r="B314" s="138">
        <v>730</v>
      </c>
      <c r="C314" s="100" t="s">
        <v>1624</v>
      </c>
      <c r="D314" s="163">
        <v>0.84899999999999998</v>
      </c>
      <c r="E314" s="163">
        <v>0.13500000000000001</v>
      </c>
      <c r="F314" s="163">
        <v>1.0999999999999999E-2</v>
      </c>
      <c r="G314" s="163">
        <v>1.67</v>
      </c>
      <c r="H314" s="163">
        <v>0.41299999999999998</v>
      </c>
      <c r="I314" s="163">
        <v>2.8000000000000001E-2</v>
      </c>
      <c r="J314" s="163">
        <v>0.26400000000000001</v>
      </c>
      <c r="K314" s="163">
        <v>10.74</v>
      </c>
      <c r="L314" s="163">
        <v>8.93</v>
      </c>
      <c r="M314" s="163">
        <v>19.649999999999999</v>
      </c>
      <c r="N314" s="163">
        <v>0.154</v>
      </c>
    </row>
    <row r="315" spans="1:14" ht="16.5">
      <c r="A315" s="2" t="str">
        <f t="shared" si="4"/>
        <v>740하위25%</v>
      </c>
      <c r="B315" s="138">
        <v>740</v>
      </c>
      <c r="C315" s="100" t="s">
        <v>1624</v>
      </c>
      <c r="D315" s="163">
        <v>0.90100000000000002</v>
      </c>
      <c r="E315" s="163">
        <v>8.1000000000000003E-2</v>
      </c>
      <c r="F315" s="163">
        <v>5.0000000000000001E-3</v>
      </c>
      <c r="G315" s="163">
        <v>1.399</v>
      </c>
      <c r="H315" s="163">
        <v>0.28599999999999998</v>
      </c>
      <c r="I315" s="163">
        <v>1.4E-2</v>
      </c>
      <c r="J315" s="163">
        <v>0.214</v>
      </c>
      <c r="K315" s="163">
        <v>9.19</v>
      </c>
      <c r="L315" s="163">
        <v>6.96</v>
      </c>
      <c r="M315" s="163">
        <v>13.48</v>
      </c>
      <c r="N315" s="163">
        <v>0.17799999999999999</v>
      </c>
    </row>
    <row r="316" spans="1:14" ht="16.5">
      <c r="A316" s="2" t="str">
        <f t="shared" si="4"/>
        <v>750하위25%</v>
      </c>
      <c r="B316" s="138">
        <v>750</v>
      </c>
      <c r="C316" s="100" t="s">
        <v>1624</v>
      </c>
      <c r="D316" s="163">
        <v>0.79200000000000004</v>
      </c>
      <c r="E316" s="163">
        <v>0.193</v>
      </c>
      <c r="F316" s="163">
        <v>1.4E-2</v>
      </c>
      <c r="G316" s="163">
        <v>1.264</v>
      </c>
      <c r="H316" s="163">
        <v>0.36</v>
      </c>
      <c r="I316" s="163">
        <v>1.4999999999999999E-2</v>
      </c>
      <c r="J316" s="163">
        <v>0.29699999999999999</v>
      </c>
      <c r="K316" s="163">
        <v>8.39</v>
      </c>
      <c r="L316" s="163">
        <v>8.6199999999999992</v>
      </c>
      <c r="M316" s="163">
        <v>18.16</v>
      </c>
      <c r="N316" s="163">
        <v>0.18</v>
      </c>
    </row>
    <row r="317" spans="1:14" ht="16.5">
      <c r="A317" s="2" t="str">
        <f t="shared" si="4"/>
        <v>761하위25%</v>
      </c>
      <c r="B317" s="138">
        <v>761</v>
      </c>
      <c r="C317" s="100" t="s">
        <v>1624</v>
      </c>
      <c r="D317" s="163">
        <v>0.92800000000000005</v>
      </c>
      <c r="E317" s="163">
        <v>5.8999999999999997E-2</v>
      </c>
      <c r="F317" s="163">
        <v>0.01</v>
      </c>
      <c r="G317" s="163">
        <v>1.581</v>
      </c>
      <c r="H317" s="163">
        <v>0.29599999999999999</v>
      </c>
      <c r="I317" s="163">
        <v>1.0999999999999999E-2</v>
      </c>
      <c r="J317" s="163">
        <v>0.19400000000000001</v>
      </c>
      <c r="K317" s="163">
        <v>11.31</v>
      </c>
      <c r="L317" s="163">
        <v>4.99</v>
      </c>
      <c r="M317" s="163">
        <v>19.03</v>
      </c>
      <c r="N317" s="163">
        <v>0.23599999999999999</v>
      </c>
    </row>
    <row r="318" spans="1:14" ht="16.5">
      <c r="A318" s="2" t="str">
        <f t="shared" si="4"/>
        <v>762하위25%</v>
      </c>
      <c r="B318" s="138">
        <v>762</v>
      </c>
      <c r="C318" s="100" t="s">
        <v>1624</v>
      </c>
      <c r="D318" s="163">
        <v>0.84299999999999997</v>
      </c>
      <c r="E318" s="163">
        <v>0.128</v>
      </c>
      <c r="F318" s="163">
        <v>8.9999999999999993E-3</v>
      </c>
      <c r="G318" s="163">
        <v>0.93</v>
      </c>
      <c r="H318" s="163">
        <v>0.29899999999999999</v>
      </c>
      <c r="I318" s="163">
        <v>1.4999999999999999E-2</v>
      </c>
      <c r="J318" s="163">
        <v>0.33800000000000002</v>
      </c>
      <c r="K318" s="163">
        <v>6.29</v>
      </c>
      <c r="L318" s="163">
        <v>8.07</v>
      </c>
      <c r="M318" s="163">
        <v>13.99</v>
      </c>
      <c r="N318" s="163">
        <v>0.21099999999999999</v>
      </c>
    </row>
    <row r="319" spans="1:14" ht="16.5">
      <c r="A319" s="2" t="str">
        <f t="shared" si="4"/>
        <v>770하위25%</v>
      </c>
      <c r="B319" s="138">
        <v>770</v>
      </c>
      <c r="C319" s="100" t="s">
        <v>1624</v>
      </c>
      <c r="D319" s="163">
        <v>0.86499999999999999</v>
      </c>
      <c r="E319" s="163">
        <v>0.121</v>
      </c>
      <c r="F319" s="163">
        <v>4.0000000000000001E-3</v>
      </c>
      <c r="G319" s="163">
        <v>1.2529999999999999</v>
      </c>
      <c r="H319" s="163">
        <v>0.23599999999999999</v>
      </c>
      <c r="I319" s="163">
        <v>4.0000000000000001E-3</v>
      </c>
      <c r="J319" s="163">
        <v>0.192</v>
      </c>
      <c r="K319" s="163">
        <v>6.85</v>
      </c>
      <c r="L319" s="163">
        <v>7.28</v>
      </c>
      <c r="M319" s="163">
        <v>15.02</v>
      </c>
      <c r="N319" s="163">
        <v>0.217</v>
      </c>
    </row>
    <row r="320" spans="1:14" ht="16.5">
      <c r="A320" s="2" t="str">
        <f t="shared" si="4"/>
        <v>791하위25%</v>
      </c>
      <c r="B320" s="138">
        <v>791</v>
      </c>
      <c r="C320" s="100" t="s">
        <v>1624</v>
      </c>
      <c r="D320" s="163">
        <v>0.67200000000000004</v>
      </c>
      <c r="E320" s="163">
        <v>0.30399999999999999</v>
      </c>
      <c r="F320" s="163">
        <v>1.6E-2</v>
      </c>
      <c r="G320" s="163">
        <v>0.64500000000000002</v>
      </c>
      <c r="H320" s="163">
        <v>0.29599999999999999</v>
      </c>
      <c r="I320" s="163">
        <v>0.04</v>
      </c>
      <c r="J320" s="163">
        <v>0.52100000000000002</v>
      </c>
      <c r="K320" s="163">
        <v>9.0399999999999991</v>
      </c>
      <c r="L320" s="163">
        <v>18.48</v>
      </c>
      <c r="M320" s="163">
        <v>11.66</v>
      </c>
      <c r="N320" s="163">
        <v>7.9000000000000001E-2</v>
      </c>
    </row>
    <row r="321" spans="1:14" ht="16.5">
      <c r="A321" s="2" t="str">
        <f t="shared" si="4"/>
        <v>792하위25%</v>
      </c>
      <c r="B321" s="138">
        <v>792</v>
      </c>
      <c r="C321" s="100" t="s">
        <v>1624</v>
      </c>
      <c r="D321" s="163">
        <v>0.86099999999999999</v>
      </c>
      <c r="E321" s="163">
        <v>0.11799999999999999</v>
      </c>
      <c r="F321" s="163">
        <v>3.0000000000000001E-3</v>
      </c>
      <c r="G321" s="163">
        <v>1.0069999999999999</v>
      </c>
      <c r="H321" s="163">
        <v>0.33500000000000002</v>
      </c>
      <c r="I321" s="163">
        <v>7.0000000000000001E-3</v>
      </c>
      <c r="J321" s="163">
        <v>0.33900000000000002</v>
      </c>
      <c r="K321" s="163">
        <v>9.94</v>
      </c>
      <c r="L321" s="163">
        <v>6.56</v>
      </c>
      <c r="M321" s="163">
        <v>20.27</v>
      </c>
      <c r="N321" s="163">
        <v>0.20399999999999999</v>
      </c>
    </row>
    <row r="322" spans="1:14" ht="16.5">
      <c r="A322" s="2" t="str">
        <f t="shared" si="4"/>
        <v>793하위25%</v>
      </c>
      <c r="B322" s="138">
        <v>793</v>
      </c>
      <c r="C322" s="100" t="s">
        <v>1624</v>
      </c>
      <c r="D322" s="163">
        <v>0.72299999999999998</v>
      </c>
      <c r="E322" s="163">
        <v>0.245</v>
      </c>
      <c r="F322" s="163">
        <v>1.4E-2</v>
      </c>
      <c r="G322" s="163">
        <v>0.78400000000000003</v>
      </c>
      <c r="H322" s="163">
        <v>0.32100000000000001</v>
      </c>
      <c r="I322" s="163">
        <v>6.0000000000000001E-3</v>
      </c>
      <c r="J322" s="163">
        <v>0.41699999999999998</v>
      </c>
      <c r="K322" s="163">
        <v>11.53</v>
      </c>
      <c r="L322" s="163">
        <v>14.52</v>
      </c>
      <c r="M322" s="163">
        <v>9.36</v>
      </c>
      <c r="N322" s="163">
        <v>4.9000000000000002E-2</v>
      </c>
    </row>
    <row r="323" spans="1:14" ht="16.5">
      <c r="A323" s="2" t="str">
        <f t="shared" ref="A323:A340" si="5">B323&amp;C323</f>
        <v>794하위25%</v>
      </c>
      <c r="B323" s="138">
        <v>794</v>
      </c>
      <c r="C323" s="100" t="s">
        <v>1624</v>
      </c>
      <c r="D323" s="163">
        <v>0.85899999999999999</v>
      </c>
      <c r="E323" s="163">
        <v>0.11600000000000001</v>
      </c>
      <c r="F323" s="163">
        <v>8.0000000000000002E-3</v>
      </c>
      <c r="G323" s="163">
        <v>1.647</v>
      </c>
      <c r="H323" s="163">
        <v>0.42099999999999999</v>
      </c>
      <c r="I323" s="163">
        <v>0.05</v>
      </c>
      <c r="J323" s="163">
        <v>0.28599999999999998</v>
      </c>
      <c r="K323" s="163">
        <v>8.9600000000000009</v>
      </c>
      <c r="L323" s="163">
        <v>9.73</v>
      </c>
      <c r="M323" s="163">
        <v>13.47</v>
      </c>
      <c r="N323" s="163">
        <v>0.14000000000000001</v>
      </c>
    </row>
    <row r="324" spans="1:14" ht="16.5">
      <c r="A324" s="2" t="str">
        <f t="shared" si="5"/>
        <v>795하위25%</v>
      </c>
      <c r="B324" s="138">
        <v>795</v>
      </c>
      <c r="C324" s="100" t="s">
        <v>1624</v>
      </c>
      <c r="D324" s="163">
        <v>0.77600000000000002</v>
      </c>
      <c r="E324" s="163">
        <v>0.20200000000000001</v>
      </c>
      <c r="F324" s="163">
        <v>1.4999999999999999E-2</v>
      </c>
      <c r="G324" s="163">
        <v>1.115</v>
      </c>
      <c r="H324" s="163">
        <v>0.41099999999999998</v>
      </c>
      <c r="I324" s="163">
        <v>0.02</v>
      </c>
      <c r="J324" s="163">
        <v>0.38700000000000001</v>
      </c>
      <c r="K324" s="163">
        <v>8.1300000000000008</v>
      </c>
      <c r="L324" s="163">
        <v>5.21</v>
      </c>
      <c r="M324" s="163">
        <v>10.28</v>
      </c>
      <c r="N324" s="163">
        <v>0.218</v>
      </c>
    </row>
    <row r="325" spans="1:14" ht="16.5">
      <c r="A325" s="2" t="str">
        <f t="shared" si="5"/>
        <v>799하위25%</v>
      </c>
      <c r="B325" s="138">
        <v>799</v>
      </c>
      <c r="C325" s="100" t="s">
        <v>1624</v>
      </c>
      <c r="D325" s="163">
        <v>0.77600000000000002</v>
      </c>
      <c r="E325" s="163">
        <v>0.20200000000000001</v>
      </c>
      <c r="F325" s="163">
        <v>1.4999999999999999E-2</v>
      </c>
      <c r="G325" s="163">
        <v>1.115</v>
      </c>
      <c r="H325" s="163">
        <v>0.41099999999999998</v>
      </c>
      <c r="I325" s="163">
        <v>0.02</v>
      </c>
      <c r="J325" s="163">
        <v>0.38700000000000001</v>
      </c>
      <c r="K325" s="163">
        <v>8.1300000000000008</v>
      </c>
      <c r="L325" s="163">
        <v>5.21</v>
      </c>
      <c r="M325" s="163">
        <v>10.28</v>
      </c>
      <c r="N325" s="163">
        <v>0.218</v>
      </c>
    </row>
    <row r="326" spans="1:14" ht="16.5">
      <c r="A326" s="2" t="str">
        <f t="shared" si="5"/>
        <v>811하위25%</v>
      </c>
      <c r="B326" s="138">
        <v>811</v>
      </c>
      <c r="C326" s="100" t="s">
        <v>1624</v>
      </c>
      <c r="D326" s="163">
        <v>0.63500000000000001</v>
      </c>
      <c r="E326" s="163">
        <v>0.35</v>
      </c>
      <c r="F326" s="163">
        <v>2.5999999999999999E-2</v>
      </c>
      <c r="G326" s="163">
        <v>0.60599999999999998</v>
      </c>
      <c r="H326" s="163">
        <v>0.53200000000000003</v>
      </c>
      <c r="I326" s="163">
        <v>0.01</v>
      </c>
      <c r="J326" s="163">
        <v>0.89600000000000002</v>
      </c>
      <c r="K326" s="163">
        <v>14.27</v>
      </c>
      <c r="L326" s="163">
        <v>5.77</v>
      </c>
      <c r="M326" s="163">
        <v>20.86</v>
      </c>
      <c r="N326" s="163">
        <v>0.19500000000000001</v>
      </c>
    </row>
    <row r="327" spans="1:14" ht="16.5">
      <c r="A327" s="2" t="str">
        <f t="shared" si="5"/>
        <v>812하위25%</v>
      </c>
      <c r="B327" s="138">
        <v>812</v>
      </c>
      <c r="C327" s="100" t="s">
        <v>1624</v>
      </c>
      <c r="D327" s="163">
        <v>0.57899999999999996</v>
      </c>
      <c r="E327" s="163">
        <v>0.372</v>
      </c>
      <c r="F327" s="163">
        <v>1.2999999999999999E-2</v>
      </c>
      <c r="G327" s="163">
        <v>0.52700000000000002</v>
      </c>
      <c r="H327" s="163">
        <v>0.55500000000000005</v>
      </c>
      <c r="I327" s="163">
        <v>4.7E-2</v>
      </c>
      <c r="J327" s="163">
        <v>1.141</v>
      </c>
      <c r="K327" s="163">
        <v>4.13</v>
      </c>
      <c r="L327" s="163">
        <v>11.83</v>
      </c>
      <c r="M327" s="163">
        <v>17.809999999999999</v>
      </c>
      <c r="N327" s="163">
        <v>0.27</v>
      </c>
    </row>
    <row r="328" spans="1:14" ht="16.5">
      <c r="A328" s="2" t="str">
        <f t="shared" si="5"/>
        <v>821하위25%</v>
      </c>
      <c r="B328" s="138">
        <v>821</v>
      </c>
      <c r="C328" s="100" t="s">
        <v>1624</v>
      </c>
      <c r="D328" s="163">
        <v>0.67</v>
      </c>
      <c r="E328" s="163">
        <v>0.30099999999999999</v>
      </c>
      <c r="F328" s="163">
        <v>1.7000000000000001E-2</v>
      </c>
      <c r="G328" s="163">
        <v>0.76100000000000001</v>
      </c>
      <c r="H328" s="163">
        <v>0.60799999999999998</v>
      </c>
      <c r="I328" s="163">
        <v>1.7999999999999999E-2</v>
      </c>
      <c r="J328" s="163">
        <v>0.82199999999999995</v>
      </c>
      <c r="K328" s="163">
        <v>9.27</v>
      </c>
      <c r="L328" s="163">
        <v>7.75</v>
      </c>
      <c r="M328" s="163">
        <v>13.47</v>
      </c>
      <c r="N328" s="163">
        <v>0.16300000000000001</v>
      </c>
    </row>
    <row r="329" spans="1:14" ht="16.5">
      <c r="A329" s="2" t="str">
        <f t="shared" si="5"/>
        <v>822하위25%</v>
      </c>
      <c r="B329" s="138">
        <v>822</v>
      </c>
      <c r="C329" s="100" t="s">
        <v>1624</v>
      </c>
      <c r="D329" s="163">
        <v>0</v>
      </c>
      <c r="E329" s="163">
        <v>0</v>
      </c>
      <c r="F329" s="163">
        <v>0</v>
      </c>
      <c r="G329" s="163">
        <v>0</v>
      </c>
      <c r="H329" s="163">
        <v>0</v>
      </c>
      <c r="I329" s="163">
        <v>0</v>
      </c>
      <c r="J329" s="163">
        <v>0</v>
      </c>
      <c r="K329" s="163">
        <v>0</v>
      </c>
      <c r="L329" s="163">
        <v>0</v>
      </c>
      <c r="M329" s="163">
        <v>0</v>
      </c>
      <c r="N329" s="163">
        <v>0</v>
      </c>
    </row>
    <row r="330" spans="1:14" ht="16.5">
      <c r="A330" s="2" t="str">
        <f t="shared" si="5"/>
        <v>911하위25%</v>
      </c>
      <c r="B330" s="138">
        <v>911</v>
      </c>
      <c r="C330" s="100" t="s">
        <v>1624</v>
      </c>
      <c r="D330" s="163">
        <v>0.80500000000000005</v>
      </c>
      <c r="E330" s="163">
        <v>0.17399999999999999</v>
      </c>
      <c r="F330" s="163">
        <v>8.0000000000000002E-3</v>
      </c>
      <c r="G330" s="163">
        <v>1.431</v>
      </c>
      <c r="H330" s="163">
        <v>0.41299999999999998</v>
      </c>
      <c r="I330" s="163">
        <v>1.2E-2</v>
      </c>
      <c r="J330" s="163">
        <v>0.29699999999999999</v>
      </c>
      <c r="K330" s="163">
        <v>8.15</v>
      </c>
      <c r="L330" s="163">
        <v>7.85</v>
      </c>
      <c r="M330" s="163">
        <v>10.44</v>
      </c>
      <c r="N330" s="163">
        <v>0.154</v>
      </c>
    </row>
    <row r="331" spans="1:14" ht="16.5">
      <c r="A331" s="2" t="str">
        <f t="shared" si="5"/>
        <v>912하위25%</v>
      </c>
      <c r="B331" s="138">
        <v>912</v>
      </c>
      <c r="C331" s="100" t="s">
        <v>1624</v>
      </c>
      <c r="D331" s="163">
        <v>0.79600000000000004</v>
      </c>
      <c r="E331" s="163">
        <v>0.185</v>
      </c>
      <c r="F331" s="163">
        <v>8.0000000000000002E-3</v>
      </c>
      <c r="G331" s="163">
        <v>1.3879999999999999</v>
      </c>
      <c r="H331" s="163">
        <v>0.41899999999999998</v>
      </c>
      <c r="I331" s="163">
        <v>2.1000000000000001E-2</v>
      </c>
      <c r="J331" s="163">
        <v>0.317</v>
      </c>
      <c r="K331" s="163">
        <v>7.35</v>
      </c>
      <c r="L331" s="163">
        <v>9.2799999999999994</v>
      </c>
      <c r="M331" s="163">
        <v>8.34</v>
      </c>
      <c r="N331" s="163">
        <v>0.124</v>
      </c>
    </row>
    <row r="332" spans="1:14" ht="16.5">
      <c r="A332" s="2" t="str">
        <f t="shared" si="5"/>
        <v>913하위25%</v>
      </c>
      <c r="B332" s="138">
        <v>913</v>
      </c>
      <c r="C332" s="100" t="s">
        <v>1624</v>
      </c>
      <c r="D332" s="163">
        <v>0.88500000000000001</v>
      </c>
      <c r="E332" s="163">
        <v>9.2999999999999999E-2</v>
      </c>
      <c r="F332" s="163">
        <v>1.2999999999999999E-2</v>
      </c>
      <c r="G332" s="163">
        <v>1.0509999999999999</v>
      </c>
      <c r="H332" s="163">
        <v>0.39200000000000002</v>
      </c>
      <c r="I332" s="163">
        <v>1.2999999999999999E-2</v>
      </c>
      <c r="J332" s="163">
        <v>0.38600000000000001</v>
      </c>
      <c r="K332" s="163">
        <v>6.08</v>
      </c>
      <c r="L332" s="163">
        <v>8.0500000000000007</v>
      </c>
      <c r="M332" s="163">
        <v>9.5</v>
      </c>
      <c r="N332" s="163">
        <v>0.184</v>
      </c>
    </row>
    <row r="333" spans="1:14" ht="16.5">
      <c r="A333" s="2" t="str">
        <f t="shared" si="5"/>
        <v>914하위25%</v>
      </c>
      <c r="B333" s="138">
        <v>914</v>
      </c>
      <c r="C333" s="100" t="s">
        <v>1624</v>
      </c>
      <c r="D333" s="163">
        <v>0.83099999999999996</v>
      </c>
      <c r="E333" s="163">
        <v>0.14699999999999999</v>
      </c>
      <c r="F333" s="163">
        <v>1.0999999999999999E-2</v>
      </c>
      <c r="G333" s="163">
        <v>1.137</v>
      </c>
      <c r="H333" s="163">
        <v>0.47499999999999998</v>
      </c>
      <c r="I333" s="163">
        <v>8.9999999999999993E-3</v>
      </c>
      <c r="J333" s="163">
        <v>0.42599999999999999</v>
      </c>
      <c r="K333" s="163">
        <v>6</v>
      </c>
      <c r="L333" s="163">
        <v>8.5399999999999991</v>
      </c>
      <c r="M333" s="163">
        <v>10.92</v>
      </c>
      <c r="N333" s="163">
        <v>0.192</v>
      </c>
    </row>
    <row r="334" spans="1:14" ht="16.5">
      <c r="A334" s="2" t="str">
        <f t="shared" si="5"/>
        <v>915하위25%</v>
      </c>
      <c r="B334" s="138">
        <v>915</v>
      </c>
      <c r="C334" s="100" t="s">
        <v>1624</v>
      </c>
      <c r="D334" s="163">
        <v>0.88100000000000001</v>
      </c>
      <c r="E334" s="163">
        <v>9.9000000000000005E-2</v>
      </c>
      <c r="F334" s="163">
        <v>1.2E-2</v>
      </c>
      <c r="G334" s="163">
        <v>1.113</v>
      </c>
      <c r="H334" s="163">
        <v>0.42699999999999999</v>
      </c>
      <c r="I334" s="163">
        <v>8.0000000000000002E-3</v>
      </c>
      <c r="J334" s="163">
        <v>0.39100000000000001</v>
      </c>
      <c r="K334" s="163">
        <v>6.28</v>
      </c>
      <c r="L334" s="163">
        <v>10.51</v>
      </c>
      <c r="M334" s="163">
        <v>10.35</v>
      </c>
      <c r="N334" s="163">
        <v>0.158</v>
      </c>
    </row>
    <row r="335" spans="1:14" ht="16.5">
      <c r="A335" s="2" t="str">
        <f t="shared" si="5"/>
        <v>919하위25%</v>
      </c>
      <c r="B335" s="138">
        <v>919</v>
      </c>
      <c r="C335" s="100" t="s">
        <v>1624</v>
      </c>
      <c r="D335" s="163">
        <v>0.872</v>
      </c>
      <c r="E335" s="163">
        <v>0.108</v>
      </c>
      <c r="F335" s="163">
        <v>0.01</v>
      </c>
      <c r="G335" s="163">
        <v>1.3089999999999999</v>
      </c>
      <c r="H335" s="163">
        <v>0.379</v>
      </c>
      <c r="I335" s="163">
        <v>1.0999999999999999E-2</v>
      </c>
      <c r="J335" s="163">
        <v>0.29799999999999999</v>
      </c>
      <c r="K335" s="163">
        <v>6.43</v>
      </c>
      <c r="L335" s="163">
        <v>10.79</v>
      </c>
      <c r="M335" s="163">
        <v>8.1999999999999993</v>
      </c>
      <c r="N335" s="163">
        <v>0.126</v>
      </c>
    </row>
    <row r="336" spans="1:14" ht="16.5">
      <c r="A336" s="2" t="str">
        <f t="shared" si="5"/>
        <v>921하위25%</v>
      </c>
      <c r="B336" s="138">
        <v>921</v>
      </c>
      <c r="C336" s="100" t="s">
        <v>1624</v>
      </c>
      <c r="D336" s="163">
        <v>0.874</v>
      </c>
      <c r="E336" s="163">
        <v>0.115</v>
      </c>
      <c r="F336" s="163">
        <v>1.2E-2</v>
      </c>
      <c r="G336" s="163">
        <v>1.216</v>
      </c>
      <c r="H336" s="163">
        <v>0.441</v>
      </c>
      <c r="I336" s="163">
        <v>5.5E-2</v>
      </c>
      <c r="J336" s="163">
        <v>0.40899999999999997</v>
      </c>
      <c r="K336" s="163">
        <v>10.65</v>
      </c>
      <c r="L336" s="163">
        <v>68.650000000000006</v>
      </c>
      <c r="M336" s="163">
        <v>30.25</v>
      </c>
      <c r="N336" s="163">
        <v>7.4999999999999997E-2</v>
      </c>
    </row>
    <row r="337" spans="1:14" ht="16.5">
      <c r="A337" s="2" t="str">
        <f t="shared" si="5"/>
        <v>922하위25%</v>
      </c>
      <c r="B337" s="138">
        <v>922</v>
      </c>
      <c r="C337" s="100" t="s">
        <v>1624</v>
      </c>
      <c r="D337" s="163">
        <v>0.66400000000000003</v>
      </c>
      <c r="E337" s="163">
        <v>0.32</v>
      </c>
      <c r="F337" s="163">
        <v>1.0999999999999999E-2</v>
      </c>
      <c r="G337" s="163">
        <v>1.64</v>
      </c>
      <c r="H337" s="163">
        <v>0.128</v>
      </c>
      <c r="I337" s="163">
        <v>6.4000000000000001E-2</v>
      </c>
      <c r="J337" s="163">
        <v>0.11700000000000001</v>
      </c>
      <c r="K337" s="163">
        <v>6.67</v>
      </c>
      <c r="L337" s="163">
        <v>28.97</v>
      </c>
      <c r="M337" s="163">
        <v>10.97</v>
      </c>
      <c r="N337" s="163">
        <v>9.2999999999999999E-2</v>
      </c>
    </row>
    <row r="338" spans="1:14" ht="16.5">
      <c r="A338" s="2" t="str">
        <f t="shared" si="5"/>
        <v>923하위25%</v>
      </c>
      <c r="B338" s="138">
        <v>923</v>
      </c>
      <c r="C338" s="100" t="s">
        <v>1624</v>
      </c>
      <c r="D338" s="163">
        <v>0.52700000000000002</v>
      </c>
      <c r="E338" s="163">
        <v>0.45400000000000001</v>
      </c>
      <c r="F338" s="163">
        <v>2.3E-2</v>
      </c>
      <c r="G338" s="163">
        <v>1.0669999999999999</v>
      </c>
      <c r="H338" s="163">
        <v>0.39600000000000002</v>
      </c>
      <c r="I338" s="163">
        <v>2.3E-2</v>
      </c>
      <c r="J338" s="163">
        <v>0.39200000000000002</v>
      </c>
      <c r="K338" s="163">
        <v>8.48</v>
      </c>
      <c r="L338" s="163">
        <v>76.83</v>
      </c>
      <c r="M338" s="163">
        <v>51.35</v>
      </c>
      <c r="N338" s="163">
        <v>0.111</v>
      </c>
    </row>
    <row r="339" spans="1:14" ht="16.5">
      <c r="A339" s="2" t="str">
        <f t="shared" si="5"/>
        <v>924하위25%</v>
      </c>
      <c r="B339" s="138">
        <v>924</v>
      </c>
      <c r="C339" s="100" t="s">
        <v>1624</v>
      </c>
      <c r="D339" s="163">
        <v>0.83</v>
      </c>
      <c r="E339" s="163">
        <v>0.152</v>
      </c>
      <c r="F339" s="163">
        <v>1.0999999999999999E-2</v>
      </c>
      <c r="G339" s="163">
        <v>1.464</v>
      </c>
      <c r="H339" s="163">
        <v>0.46100000000000002</v>
      </c>
      <c r="I339" s="163">
        <v>5.6000000000000001E-2</v>
      </c>
      <c r="J339" s="163">
        <v>0.35299999999999998</v>
      </c>
      <c r="K339" s="163">
        <v>16.95</v>
      </c>
      <c r="L339" s="163">
        <v>23.27</v>
      </c>
      <c r="M339" s="163">
        <v>33.840000000000003</v>
      </c>
      <c r="N339" s="163">
        <v>7.1999999999999995E-2</v>
      </c>
    </row>
    <row r="340" spans="1:14" ht="16.5">
      <c r="A340" s="2" t="str">
        <f t="shared" si="5"/>
        <v>929하위25%</v>
      </c>
      <c r="B340" s="138">
        <v>929</v>
      </c>
      <c r="C340" s="100" t="s">
        <v>1624</v>
      </c>
      <c r="D340" s="163">
        <v>0.59899999999999998</v>
      </c>
      <c r="E340" s="163">
        <v>0.38900000000000001</v>
      </c>
      <c r="F340" s="163">
        <v>0.01</v>
      </c>
      <c r="G340" s="163">
        <v>2.2930000000000001</v>
      </c>
      <c r="H340" s="163">
        <v>0.189</v>
      </c>
      <c r="I340" s="163">
        <v>0.02</v>
      </c>
      <c r="J340" s="163">
        <v>9.0999999999999998E-2</v>
      </c>
      <c r="K340" s="163">
        <v>11.42</v>
      </c>
      <c r="L340" s="163">
        <v>54.82</v>
      </c>
      <c r="M340" s="163">
        <v>56.67</v>
      </c>
      <c r="N340" s="163">
        <v>8.7999999999999995E-2</v>
      </c>
    </row>
  </sheetData>
  <autoFilter ref="A1:N340" xr:uid="{00000000-0009-0000-0000-000014000000}"/>
  <phoneticPr fontId="1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1"/>
  </sheetPr>
  <dimension ref="A1:N340"/>
  <sheetViews>
    <sheetView topLeftCell="A190" workbookViewId="0">
      <selection activeCell="I377" sqref="I377"/>
    </sheetView>
  </sheetViews>
  <sheetFormatPr defaultRowHeight="11.25"/>
  <cols>
    <col min="1" max="1" width="8.88671875" style="2"/>
    <col min="2" max="3" width="8.88671875" style="22"/>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2" t="s">
        <v>1192</v>
      </c>
      <c r="C1" s="102" t="s">
        <v>158</v>
      </c>
      <c r="D1" s="107" t="s">
        <v>2705</v>
      </c>
      <c r="E1" s="107" t="s">
        <v>1618</v>
      </c>
      <c r="F1" s="107" t="s">
        <v>1619</v>
      </c>
      <c r="G1" s="102" t="s">
        <v>1620</v>
      </c>
      <c r="H1" s="102" t="s">
        <v>2706</v>
      </c>
      <c r="I1" s="102" t="s">
        <v>2707</v>
      </c>
      <c r="J1" s="102" t="s">
        <v>2708</v>
      </c>
      <c r="K1" s="102" t="s">
        <v>9</v>
      </c>
      <c r="L1" s="102" t="s">
        <v>8</v>
      </c>
      <c r="M1" s="102" t="s">
        <v>10</v>
      </c>
      <c r="N1" s="102" t="s">
        <v>1621</v>
      </c>
    </row>
    <row r="2" spans="1:14" ht="16.5">
      <c r="A2" s="2" t="str">
        <f>B2&amp;C2</f>
        <v>111전체</v>
      </c>
      <c r="B2" s="142">
        <v>111</v>
      </c>
      <c r="C2" s="101" t="s">
        <v>1622</v>
      </c>
      <c r="D2" s="158">
        <v>0.76100000000000001</v>
      </c>
      <c r="E2" s="158">
        <v>0.154</v>
      </c>
      <c r="F2" s="158">
        <v>1.2E-2</v>
      </c>
      <c r="G2" s="158">
        <v>0.97199999999999998</v>
      </c>
      <c r="H2" s="158">
        <v>0.51</v>
      </c>
      <c r="I2" s="158">
        <v>4.0000000000000001E-3</v>
      </c>
      <c r="J2" s="158">
        <v>0.53</v>
      </c>
      <c r="K2" s="158">
        <v>8.41</v>
      </c>
      <c r="L2" s="158">
        <v>5.96</v>
      </c>
      <c r="M2" s="158">
        <v>21.24</v>
      </c>
      <c r="N2" s="158">
        <v>0.24</v>
      </c>
    </row>
    <row r="3" spans="1:14" ht="16.5">
      <c r="A3" s="2" t="str">
        <f t="shared" ref="A3:A66" si="0">B3&amp;C3</f>
        <v>112전체</v>
      </c>
      <c r="B3" s="142">
        <v>112</v>
      </c>
      <c r="C3" s="101" t="s">
        <v>1622</v>
      </c>
      <c r="D3" s="158">
        <v>0.48499999999999999</v>
      </c>
      <c r="E3" s="158">
        <v>0.39300000000000002</v>
      </c>
      <c r="F3" s="158">
        <v>8.9999999999999993E-3</v>
      </c>
      <c r="G3" s="158">
        <v>0.44400000000000001</v>
      </c>
      <c r="H3" s="158">
        <v>0.22600000000000001</v>
      </c>
      <c r="I3" s="158">
        <v>8.9999999999999993E-3</v>
      </c>
      <c r="J3" s="158">
        <v>0.52900000000000003</v>
      </c>
      <c r="K3" s="158">
        <v>2.39</v>
      </c>
      <c r="L3" s="158">
        <v>1.95</v>
      </c>
      <c r="M3" s="158">
        <v>13.87</v>
      </c>
      <c r="N3" s="158">
        <v>0.85899999999999999</v>
      </c>
    </row>
    <row r="4" spans="1:14" ht="16.5">
      <c r="A4" s="2" t="str">
        <f t="shared" si="0"/>
        <v>113전체</v>
      </c>
      <c r="B4" s="142">
        <v>113</v>
      </c>
      <c r="C4" s="101" t="s">
        <v>1622</v>
      </c>
      <c r="D4" s="158">
        <v>0.76900000000000002</v>
      </c>
      <c r="E4" s="158">
        <v>0.16800000000000001</v>
      </c>
      <c r="F4" s="158">
        <v>6.0000000000000001E-3</v>
      </c>
      <c r="G4" s="158">
        <v>0.97</v>
      </c>
      <c r="H4" s="158">
        <v>0.57299999999999995</v>
      </c>
      <c r="I4" s="158">
        <v>0.02</v>
      </c>
      <c r="J4" s="158">
        <v>0.61099999999999999</v>
      </c>
      <c r="K4" s="158">
        <v>11.02</v>
      </c>
      <c r="L4" s="158">
        <v>9.81</v>
      </c>
      <c r="M4" s="158">
        <v>25.23</v>
      </c>
      <c r="N4" s="158">
        <v>0.153</v>
      </c>
    </row>
    <row r="5" spans="1:14" ht="16.5">
      <c r="A5" s="2" t="str">
        <f t="shared" si="0"/>
        <v>114전체</v>
      </c>
      <c r="B5" s="142">
        <v>114</v>
      </c>
      <c r="C5" s="101" t="s">
        <v>1622</v>
      </c>
      <c r="D5" s="158">
        <v>0.76600000000000001</v>
      </c>
      <c r="E5" s="158">
        <v>0.152</v>
      </c>
      <c r="F5" s="158">
        <v>8.9999999999999993E-3</v>
      </c>
      <c r="G5" s="158">
        <v>0.55500000000000005</v>
      </c>
      <c r="H5" s="158">
        <v>0.50900000000000001</v>
      </c>
      <c r="I5" s="158">
        <v>1.4E-2</v>
      </c>
      <c r="J5" s="158">
        <v>0.94199999999999995</v>
      </c>
      <c r="K5" s="158">
        <v>8.07</v>
      </c>
      <c r="L5" s="158">
        <v>8.4</v>
      </c>
      <c r="M5" s="158">
        <v>21.86</v>
      </c>
      <c r="N5" s="158">
        <v>0.19700000000000001</v>
      </c>
    </row>
    <row r="6" spans="1:14" ht="16.5">
      <c r="A6" s="2" t="str">
        <f t="shared" si="0"/>
        <v>115전체</v>
      </c>
      <c r="B6" s="142">
        <v>115</v>
      </c>
      <c r="C6" s="101" t="s">
        <v>1622</v>
      </c>
      <c r="D6" s="158">
        <v>0.69699999999999995</v>
      </c>
      <c r="E6" s="158">
        <v>0.2</v>
      </c>
      <c r="F6" s="158">
        <v>5.0000000000000001E-3</v>
      </c>
      <c r="G6" s="158">
        <v>0.41899999999999998</v>
      </c>
      <c r="H6" s="158">
        <v>0.63400000000000001</v>
      </c>
      <c r="I6" s="158">
        <v>2E-3</v>
      </c>
      <c r="J6" s="158">
        <v>1.518</v>
      </c>
      <c r="K6" s="158">
        <v>4.0999999999999996</v>
      </c>
      <c r="L6" s="158">
        <v>6.53</v>
      </c>
      <c r="M6" s="158">
        <v>18.670000000000002</v>
      </c>
      <c r="N6" s="158">
        <v>0.34300000000000003</v>
      </c>
    </row>
    <row r="7" spans="1:14" ht="16.5">
      <c r="A7" s="2" t="str">
        <f t="shared" si="0"/>
        <v>119전체</v>
      </c>
      <c r="B7" s="142">
        <v>119</v>
      </c>
      <c r="C7" s="101" t="s">
        <v>1622</v>
      </c>
      <c r="D7" s="158">
        <v>0.74</v>
      </c>
      <c r="E7" s="158">
        <v>0.223</v>
      </c>
      <c r="F7" s="158">
        <v>7.0000000000000001E-3</v>
      </c>
      <c r="G7" s="158">
        <v>0.98399999999999999</v>
      </c>
      <c r="H7" s="158">
        <v>0.28699999999999998</v>
      </c>
      <c r="I7" s="158">
        <v>0</v>
      </c>
      <c r="J7" s="158">
        <v>0.29199999999999998</v>
      </c>
      <c r="K7" s="158">
        <v>13.95</v>
      </c>
      <c r="L7" s="158">
        <v>2.91</v>
      </c>
      <c r="M7" s="158">
        <v>269.18</v>
      </c>
      <c r="N7" s="158">
        <v>0.41199999999999998</v>
      </c>
    </row>
    <row r="8" spans="1:14" ht="16.5">
      <c r="A8" s="2" t="str">
        <f t="shared" si="0"/>
        <v>121전체</v>
      </c>
      <c r="B8" s="142">
        <v>121</v>
      </c>
      <c r="C8" s="101" t="s">
        <v>1622</v>
      </c>
      <c r="D8" s="158">
        <v>0.748</v>
      </c>
      <c r="E8" s="158">
        <v>0.159</v>
      </c>
      <c r="F8" s="158">
        <v>6.0000000000000001E-3</v>
      </c>
      <c r="G8" s="158">
        <v>1.6379999999999999</v>
      </c>
      <c r="H8" s="158">
        <v>0.41099999999999998</v>
      </c>
      <c r="I8" s="158">
        <v>1E-3</v>
      </c>
      <c r="J8" s="158">
        <v>0.251</v>
      </c>
      <c r="K8" s="158">
        <v>7.19</v>
      </c>
      <c r="L8" s="158">
        <v>31.13</v>
      </c>
      <c r="M8" s="158">
        <v>14.98</v>
      </c>
      <c r="N8" s="158">
        <v>0.104</v>
      </c>
    </row>
    <row r="9" spans="1:14" ht="16.5">
      <c r="A9" s="2" t="str">
        <f t="shared" si="0"/>
        <v>122전체</v>
      </c>
      <c r="B9" s="142">
        <v>122</v>
      </c>
      <c r="C9" s="101" t="s">
        <v>1622</v>
      </c>
      <c r="D9" s="158">
        <v>0.82</v>
      </c>
      <c r="E9" s="158">
        <v>4.1000000000000002E-2</v>
      </c>
      <c r="F9" s="158">
        <v>2E-3</v>
      </c>
      <c r="G9" s="158">
        <v>0.50900000000000001</v>
      </c>
      <c r="H9" s="158">
        <v>0.45300000000000001</v>
      </c>
      <c r="I9" s="158">
        <v>4.0000000000000001E-3</v>
      </c>
      <c r="J9" s="158">
        <v>0.89800000000000002</v>
      </c>
      <c r="K9" s="158">
        <v>19.95</v>
      </c>
      <c r="L9" s="158">
        <v>1.19</v>
      </c>
      <c r="M9" s="158">
        <v>30.53</v>
      </c>
      <c r="N9" s="158">
        <v>0.86099999999999999</v>
      </c>
    </row>
    <row r="10" spans="1:14" ht="16.5">
      <c r="A10" s="2" t="str">
        <f t="shared" si="0"/>
        <v>123전체</v>
      </c>
      <c r="B10" s="142">
        <v>123</v>
      </c>
      <c r="C10" s="101" t="s">
        <v>1622</v>
      </c>
      <c r="D10" s="158">
        <v>0.78900000000000003</v>
      </c>
      <c r="E10" s="158">
        <v>6.8000000000000005E-2</v>
      </c>
      <c r="F10" s="158">
        <v>6.0000000000000001E-3</v>
      </c>
      <c r="G10" s="158">
        <v>1.0489999999999999</v>
      </c>
      <c r="H10" s="158">
        <v>0.58599999999999997</v>
      </c>
      <c r="I10" s="158">
        <v>4.0000000000000001E-3</v>
      </c>
      <c r="J10" s="158">
        <v>0.56299999999999994</v>
      </c>
      <c r="K10" s="158">
        <v>8.89</v>
      </c>
      <c r="L10" s="158">
        <v>13.75</v>
      </c>
      <c r="M10" s="158">
        <v>13.7</v>
      </c>
      <c r="N10" s="158">
        <v>0.112</v>
      </c>
    </row>
    <row r="11" spans="1:14" ht="16.5">
      <c r="A11" s="2" t="str">
        <f t="shared" si="0"/>
        <v>124전체</v>
      </c>
      <c r="B11" s="142">
        <v>124</v>
      </c>
      <c r="C11" s="101" t="s">
        <v>1622</v>
      </c>
      <c r="D11" s="158">
        <v>0.747</v>
      </c>
      <c r="E11" s="158">
        <v>0.154</v>
      </c>
      <c r="F11" s="158">
        <v>5.0000000000000001E-3</v>
      </c>
      <c r="G11" s="158">
        <v>1.2629999999999999</v>
      </c>
      <c r="H11" s="158">
        <v>0.43099999999999999</v>
      </c>
      <c r="I11" s="158">
        <v>1E-3</v>
      </c>
      <c r="J11" s="158">
        <v>0.34200000000000003</v>
      </c>
      <c r="K11" s="158">
        <v>7.26</v>
      </c>
      <c r="L11" s="158">
        <v>14.76</v>
      </c>
      <c r="M11" s="158">
        <v>15.88</v>
      </c>
      <c r="N11" s="158">
        <v>0.14199999999999999</v>
      </c>
    </row>
    <row r="12" spans="1:14" ht="16.5">
      <c r="A12" s="2" t="str">
        <f t="shared" si="0"/>
        <v>129전체</v>
      </c>
      <c r="B12" s="142">
        <v>129</v>
      </c>
      <c r="C12" s="101" t="s">
        <v>1622</v>
      </c>
      <c r="D12" s="158">
        <v>0.80700000000000005</v>
      </c>
      <c r="E12" s="158">
        <v>5.3999999999999999E-2</v>
      </c>
      <c r="F12" s="158">
        <v>3.0000000000000001E-3</v>
      </c>
      <c r="G12" s="158">
        <v>0.83099999999999996</v>
      </c>
      <c r="H12" s="158">
        <v>0.54300000000000004</v>
      </c>
      <c r="I12" s="158">
        <v>6.0000000000000001E-3</v>
      </c>
      <c r="J12" s="158">
        <v>0.66200000000000003</v>
      </c>
      <c r="K12" s="158">
        <v>16.39</v>
      </c>
      <c r="L12" s="158">
        <v>5.36</v>
      </c>
      <c r="M12" s="158">
        <v>9.65</v>
      </c>
      <c r="N12" s="158">
        <v>0.14399999999999999</v>
      </c>
    </row>
    <row r="13" spans="1:14" ht="16.5">
      <c r="A13" s="2" t="str">
        <f t="shared" si="0"/>
        <v>211전체</v>
      </c>
      <c r="B13" s="142">
        <v>211</v>
      </c>
      <c r="C13" s="101" t="s">
        <v>1622</v>
      </c>
      <c r="D13" s="158">
        <v>0.879</v>
      </c>
      <c r="E13" s="158">
        <v>7.1999999999999995E-2</v>
      </c>
      <c r="F13" s="158">
        <v>3.0000000000000001E-3</v>
      </c>
      <c r="G13" s="158">
        <v>0.85899999999999999</v>
      </c>
      <c r="H13" s="158">
        <v>0.309</v>
      </c>
      <c r="I13" s="158">
        <v>3.0000000000000001E-3</v>
      </c>
      <c r="J13" s="158">
        <v>0.36299999999999999</v>
      </c>
      <c r="K13" s="158">
        <v>4.8899999999999997</v>
      </c>
      <c r="L13" s="158">
        <v>5.45</v>
      </c>
      <c r="M13" s="158">
        <v>15.1</v>
      </c>
      <c r="N13" s="158">
        <v>0.32200000000000001</v>
      </c>
    </row>
    <row r="14" spans="1:14" ht="16.5">
      <c r="A14" s="2" t="str">
        <f t="shared" si="0"/>
        <v>212전체</v>
      </c>
      <c r="B14" s="142">
        <v>212</v>
      </c>
      <c r="C14" s="101" t="s">
        <v>1622</v>
      </c>
      <c r="D14" s="158">
        <v>0.45500000000000002</v>
      </c>
      <c r="E14" s="158">
        <v>0.22600000000000001</v>
      </c>
      <c r="F14" s="158">
        <v>8.9999999999999993E-3</v>
      </c>
      <c r="G14" s="158">
        <v>0.43</v>
      </c>
      <c r="H14" s="158">
        <v>0.191</v>
      </c>
      <c r="I14" s="158">
        <v>3.0000000000000001E-3</v>
      </c>
      <c r="J14" s="158">
        <v>0.45</v>
      </c>
      <c r="K14" s="158">
        <v>4.2300000000000004</v>
      </c>
      <c r="L14" s="158">
        <v>4</v>
      </c>
      <c r="M14" s="158">
        <v>37.08</v>
      </c>
      <c r="N14" s="158">
        <v>0.45900000000000002</v>
      </c>
    </row>
    <row r="15" spans="1:14" ht="16.5">
      <c r="A15" s="2" t="str">
        <f t="shared" si="0"/>
        <v>213전체</v>
      </c>
      <c r="B15" s="142">
        <v>213</v>
      </c>
      <c r="C15" s="101" t="s">
        <v>1622</v>
      </c>
      <c r="D15" s="158">
        <v>0.83399999999999996</v>
      </c>
      <c r="E15" s="158">
        <v>8.7999999999999995E-2</v>
      </c>
      <c r="F15" s="158">
        <v>3.0000000000000001E-3</v>
      </c>
      <c r="G15" s="158">
        <v>0.83</v>
      </c>
      <c r="H15" s="158">
        <v>0.251</v>
      </c>
      <c r="I15" s="158">
        <v>3.0000000000000001E-3</v>
      </c>
      <c r="J15" s="158">
        <v>0.30499999999999999</v>
      </c>
      <c r="K15" s="158">
        <v>6.29</v>
      </c>
      <c r="L15" s="158">
        <v>3.25</v>
      </c>
      <c r="M15" s="158">
        <v>25.51</v>
      </c>
      <c r="N15" s="158">
        <v>0.42799999999999999</v>
      </c>
    </row>
    <row r="16" spans="1:14" ht="16.5">
      <c r="A16" s="2" t="str">
        <f t="shared" si="0"/>
        <v>214전체</v>
      </c>
      <c r="B16" s="142">
        <v>214</v>
      </c>
      <c r="C16" s="101" t="s">
        <v>1622</v>
      </c>
      <c r="D16" s="158">
        <v>0.57399999999999995</v>
      </c>
      <c r="E16" s="158">
        <v>0.30299999999999999</v>
      </c>
      <c r="F16" s="158">
        <v>6.0000000000000001E-3</v>
      </c>
      <c r="G16" s="158">
        <v>0.56399999999999995</v>
      </c>
      <c r="H16" s="158">
        <v>0.28000000000000003</v>
      </c>
      <c r="I16" s="158">
        <v>4.9000000000000002E-2</v>
      </c>
      <c r="J16" s="158">
        <v>0.58199999999999996</v>
      </c>
      <c r="K16" s="158">
        <v>3.65</v>
      </c>
      <c r="L16" s="158">
        <v>5.41</v>
      </c>
      <c r="M16" s="158">
        <v>13.19</v>
      </c>
      <c r="N16" s="158">
        <v>0.38300000000000001</v>
      </c>
    </row>
    <row r="17" spans="1:14" ht="16.5">
      <c r="A17" s="2" t="str">
        <f t="shared" si="0"/>
        <v>215전체</v>
      </c>
      <c r="B17" s="142">
        <v>215</v>
      </c>
      <c r="C17" s="101" t="s">
        <v>1622</v>
      </c>
      <c r="D17" s="158">
        <v>0.51600000000000001</v>
      </c>
      <c r="E17" s="158">
        <v>0.36099999999999999</v>
      </c>
      <c r="F17" s="158">
        <v>0.01</v>
      </c>
      <c r="G17" s="158">
        <v>1.0329999999999999</v>
      </c>
      <c r="H17" s="158">
        <v>0.32200000000000001</v>
      </c>
      <c r="I17" s="158">
        <v>2.9000000000000001E-2</v>
      </c>
      <c r="J17" s="158">
        <v>0.34</v>
      </c>
      <c r="K17" s="158">
        <v>7.65</v>
      </c>
      <c r="L17" s="158">
        <v>11.03</v>
      </c>
      <c r="M17" s="158">
        <v>14.84</v>
      </c>
      <c r="N17" s="158">
        <v>0.154</v>
      </c>
    </row>
    <row r="18" spans="1:14" ht="16.5">
      <c r="A18" s="2" t="str">
        <f t="shared" si="0"/>
        <v>219전체</v>
      </c>
      <c r="B18" s="142">
        <v>219</v>
      </c>
      <c r="C18" s="101" t="s">
        <v>1622</v>
      </c>
      <c r="D18" s="158">
        <v>0.78100000000000003</v>
      </c>
      <c r="E18" s="158">
        <v>0.11700000000000001</v>
      </c>
      <c r="F18" s="158">
        <v>4.0000000000000001E-3</v>
      </c>
      <c r="G18" s="158">
        <v>0.83799999999999997</v>
      </c>
      <c r="H18" s="158">
        <v>0.36699999999999999</v>
      </c>
      <c r="I18" s="158">
        <v>2.9000000000000001E-2</v>
      </c>
      <c r="J18" s="158">
        <v>0.47399999999999998</v>
      </c>
      <c r="K18" s="158">
        <v>5.92</v>
      </c>
      <c r="L18" s="158">
        <v>9.64</v>
      </c>
      <c r="M18" s="158">
        <v>12.53</v>
      </c>
      <c r="N18" s="158">
        <v>0.193</v>
      </c>
    </row>
    <row r="19" spans="1:14" ht="16.5">
      <c r="A19" s="2" t="str">
        <f t="shared" si="0"/>
        <v>221전체</v>
      </c>
      <c r="B19" s="142">
        <v>221</v>
      </c>
      <c r="C19" s="101" t="s">
        <v>1622</v>
      </c>
      <c r="D19" s="158">
        <v>0.81699999999999995</v>
      </c>
      <c r="E19" s="158">
        <v>8.6999999999999994E-2</v>
      </c>
      <c r="F19" s="158">
        <v>5.0000000000000001E-3</v>
      </c>
      <c r="G19" s="158">
        <v>1.085</v>
      </c>
      <c r="H19" s="158">
        <v>0.40500000000000003</v>
      </c>
      <c r="I19" s="158">
        <v>4.2999999999999997E-2</v>
      </c>
      <c r="J19" s="158">
        <v>0.41299999999999998</v>
      </c>
      <c r="K19" s="158">
        <v>6.12</v>
      </c>
      <c r="L19" s="158">
        <v>10.49</v>
      </c>
      <c r="M19" s="158">
        <v>13.29</v>
      </c>
      <c r="N19" s="158">
        <v>0.184</v>
      </c>
    </row>
    <row r="20" spans="1:14" ht="16.5">
      <c r="A20" s="2" t="str">
        <f t="shared" si="0"/>
        <v>222전체</v>
      </c>
      <c r="B20" s="142">
        <v>222</v>
      </c>
      <c r="C20" s="101" t="s">
        <v>1622</v>
      </c>
      <c r="D20" s="158">
        <v>0.76100000000000001</v>
      </c>
      <c r="E20" s="158">
        <v>0.182</v>
      </c>
      <c r="F20" s="158">
        <v>5.0000000000000001E-3</v>
      </c>
      <c r="G20" s="158">
        <v>0.9</v>
      </c>
      <c r="H20" s="158">
        <v>0.39100000000000001</v>
      </c>
      <c r="I20" s="158">
        <v>2.4E-2</v>
      </c>
      <c r="J20" s="158">
        <v>0.46100000000000002</v>
      </c>
      <c r="K20" s="158">
        <v>8.25</v>
      </c>
      <c r="L20" s="158">
        <v>3.67</v>
      </c>
      <c r="M20" s="158">
        <v>9.82</v>
      </c>
      <c r="N20" s="158">
        <v>0.29199999999999998</v>
      </c>
    </row>
    <row r="21" spans="1:14" ht="16.5">
      <c r="A21" s="2" t="str">
        <f t="shared" si="0"/>
        <v>223전체</v>
      </c>
      <c r="B21" s="142">
        <v>223</v>
      </c>
      <c r="C21" s="101" t="s">
        <v>1622</v>
      </c>
      <c r="D21" s="158">
        <v>0.82699999999999996</v>
      </c>
      <c r="E21" s="158">
        <v>0.107</v>
      </c>
      <c r="F21" s="158">
        <v>5.0000000000000001E-3</v>
      </c>
      <c r="G21" s="158">
        <v>1.034</v>
      </c>
      <c r="H21" s="158">
        <v>0.42799999999999999</v>
      </c>
      <c r="I21" s="158">
        <v>1.6E-2</v>
      </c>
      <c r="J21" s="158">
        <v>0.42899999999999999</v>
      </c>
      <c r="K21" s="158">
        <v>5.71</v>
      </c>
      <c r="L21" s="158">
        <v>11.61</v>
      </c>
      <c r="M21" s="158">
        <v>10.74</v>
      </c>
      <c r="N21" s="158">
        <v>0.16800000000000001</v>
      </c>
    </row>
    <row r="22" spans="1:14" ht="16.5">
      <c r="A22" s="2" t="str">
        <f t="shared" si="0"/>
        <v>224전체</v>
      </c>
      <c r="B22" s="142">
        <v>224</v>
      </c>
      <c r="C22" s="101" t="s">
        <v>1622</v>
      </c>
      <c r="D22" s="158">
        <v>0.83199999999999996</v>
      </c>
      <c r="E22" s="158">
        <v>0.104</v>
      </c>
      <c r="F22" s="158">
        <v>4.0000000000000001E-3</v>
      </c>
      <c r="G22" s="158">
        <v>0.93799999999999994</v>
      </c>
      <c r="H22" s="158">
        <v>0.42199999999999999</v>
      </c>
      <c r="I22" s="158">
        <v>1.0999999999999999E-2</v>
      </c>
      <c r="J22" s="158">
        <v>0.46100000000000002</v>
      </c>
      <c r="K22" s="158">
        <v>5.48</v>
      </c>
      <c r="L22" s="158">
        <v>8.19</v>
      </c>
      <c r="M22" s="158">
        <v>10</v>
      </c>
      <c r="N22" s="158">
        <v>0.20499999999999999</v>
      </c>
    </row>
    <row r="23" spans="1:14" ht="16.5">
      <c r="A23" s="2" t="str">
        <f t="shared" si="0"/>
        <v>225전체</v>
      </c>
      <c r="B23" s="142">
        <v>225</v>
      </c>
      <c r="C23" s="101" t="s">
        <v>1622</v>
      </c>
      <c r="D23" s="158">
        <v>0.81899999999999995</v>
      </c>
      <c r="E23" s="158">
        <v>0.14299999999999999</v>
      </c>
      <c r="F23" s="158">
        <v>0.01</v>
      </c>
      <c r="G23" s="158">
        <v>0.84299999999999997</v>
      </c>
      <c r="H23" s="158">
        <v>0.29599999999999999</v>
      </c>
      <c r="I23" s="158">
        <v>2.5999999999999999E-2</v>
      </c>
      <c r="J23" s="158">
        <v>0.38200000000000001</v>
      </c>
      <c r="K23" s="158">
        <v>3.82</v>
      </c>
      <c r="L23" s="158">
        <v>5.46</v>
      </c>
      <c r="M23" s="158">
        <v>7.4</v>
      </c>
      <c r="N23" s="158">
        <v>0.31</v>
      </c>
    </row>
    <row r="24" spans="1:14" ht="16.5">
      <c r="A24" s="2" t="str">
        <f t="shared" si="0"/>
        <v>226전체</v>
      </c>
      <c r="B24" s="142">
        <v>226</v>
      </c>
      <c r="C24" s="101" t="s">
        <v>1622</v>
      </c>
      <c r="D24" s="158">
        <v>0.74399999999999999</v>
      </c>
      <c r="E24" s="158">
        <v>0.153</v>
      </c>
      <c r="F24" s="158">
        <v>8.9999999999999993E-3</v>
      </c>
      <c r="G24" s="158">
        <v>0.94499999999999995</v>
      </c>
      <c r="H24" s="158">
        <v>0.28799999999999998</v>
      </c>
      <c r="I24" s="158">
        <v>3.4000000000000002E-2</v>
      </c>
      <c r="J24" s="158">
        <v>0.34100000000000003</v>
      </c>
      <c r="K24" s="158">
        <v>4.91</v>
      </c>
      <c r="L24" s="158">
        <v>8.2200000000000006</v>
      </c>
      <c r="M24" s="158">
        <v>9.7899999999999991</v>
      </c>
      <c r="N24" s="158">
        <v>0.223</v>
      </c>
    </row>
    <row r="25" spans="1:14" ht="16.5">
      <c r="A25" s="2" t="str">
        <f t="shared" si="0"/>
        <v>227전체</v>
      </c>
      <c r="B25" s="142">
        <v>227</v>
      </c>
      <c r="C25" s="101" t="s">
        <v>1622</v>
      </c>
      <c r="D25" s="158">
        <v>0.57399999999999995</v>
      </c>
      <c r="E25" s="158">
        <v>0.30299999999999999</v>
      </c>
      <c r="F25" s="158">
        <v>6.0000000000000001E-3</v>
      </c>
      <c r="G25" s="158">
        <v>0.56399999999999995</v>
      </c>
      <c r="H25" s="158">
        <v>0.28000000000000003</v>
      </c>
      <c r="I25" s="158">
        <v>4.9000000000000002E-2</v>
      </c>
      <c r="J25" s="158">
        <v>0.58199999999999996</v>
      </c>
      <c r="K25" s="158">
        <v>3.65</v>
      </c>
      <c r="L25" s="158">
        <v>5.41</v>
      </c>
      <c r="M25" s="158">
        <v>13.19</v>
      </c>
      <c r="N25" s="158">
        <v>0.38300000000000001</v>
      </c>
    </row>
    <row r="26" spans="1:14" ht="16.5">
      <c r="A26" s="2" t="str">
        <f t="shared" si="0"/>
        <v>229전체</v>
      </c>
      <c r="B26" s="142">
        <v>229</v>
      </c>
      <c r="C26" s="101" t="s">
        <v>1622</v>
      </c>
      <c r="D26" s="158">
        <v>0.81399999999999995</v>
      </c>
      <c r="E26" s="158">
        <v>0.124</v>
      </c>
      <c r="F26" s="158">
        <v>6.0000000000000001E-3</v>
      </c>
      <c r="G26" s="158">
        <v>1.1319999999999999</v>
      </c>
      <c r="H26" s="158">
        <v>0.38200000000000001</v>
      </c>
      <c r="I26" s="158">
        <v>1.7000000000000001E-2</v>
      </c>
      <c r="J26" s="158">
        <v>0.35299999999999998</v>
      </c>
      <c r="K26" s="158">
        <v>5.51</v>
      </c>
      <c r="L26" s="158">
        <v>8.68</v>
      </c>
      <c r="M26" s="158">
        <v>9.27</v>
      </c>
      <c r="N26" s="158">
        <v>0.189</v>
      </c>
    </row>
    <row r="27" spans="1:14" ht="16.5">
      <c r="A27" s="2" t="str">
        <f t="shared" si="0"/>
        <v>231전체</v>
      </c>
      <c r="B27" s="142">
        <v>231</v>
      </c>
      <c r="C27" s="101" t="s">
        <v>1622</v>
      </c>
      <c r="D27" s="158">
        <v>0.81799999999999995</v>
      </c>
      <c r="E27" s="158">
        <v>0.13100000000000001</v>
      </c>
      <c r="F27" s="158">
        <v>7.0000000000000001E-3</v>
      </c>
      <c r="G27" s="158">
        <v>1.274</v>
      </c>
      <c r="H27" s="158">
        <v>0.41799999999999998</v>
      </c>
      <c r="I27" s="158">
        <v>0</v>
      </c>
      <c r="J27" s="158">
        <v>0.32900000000000001</v>
      </c>
      <c r="K27" s="158">
        <v>9.1300000000000008</v>
      </c>
      <c r="L27" s="158">
        <v>13.93</v>
      </c>
      <c r="M27" s="158">
        <v>74.17</v>
      </c>
      <c r="N27" s="158">
        <v>0.16800000000000001</v>
      </c>
    </row>
    <row r="28" spans="1:14" ht="16.5">
      <c r="A28" s="2" t="str">
        <f t="shared" si="0"/>
        <v>232전체</v>
      </c>
      <c r="B28" s="142">
        <v>232</v>
      </c>
      <c r="C28" s="101" t="s">
        <v>1622</v>
      </c>
      <c r="D28" s="158">
        <v>0.72699999999999998</v>
      </c>
      <c r="E28" s="158">
        <v>0.20799999999999999</v>
      </c>
      <c r="F28" s="158">
        <v>8.0000000000000002E-3</v>
      </c>
      <c r="G28" s="158">
        <v>1.1950000000000001</v>
      </c>
      <c r="H28" s="158">
        <v>0.16300000000000001</v>
      </c>
      <c r="I28" s="158">
        <v>0.05</v>
      </c>
      <c r="J28" s="158">
        <v>0.17899999999999999</v>
      </c>
      <c r="K28" s="158">
        <v>4.91</v>
      </c>
      <c r="L28" s="158">
        <v>34.299999999999997</v>
      </c>
      <c r="M28" s="158">
        <v>8.52</v>
      </c>
      <c r="N28" s="158">
        <v>0.11600000000000001</v>
      </c>
    </row>
    <row r="29" spans="1:14" ht="16.5">
      <c r="A29" s="2" t="str">
        <f t="shared" si="0"/>
        <v>233전체</v>
      </c>
      <c r="B29" s="142">
        <v>233</v>
      </c>
      <c r="C29" s="101" t="s">
        <v>1622</v>
      </c>
      <c r="D29" s="158">
        <v>0.42499999999999999</v>
      </c>
      <c r="E29" s="158">
        <v>0.50600000000000001</v>
      </c>
      <c r="F29" s="158">
        <v>1.6E-2</v>
      </c>
      <c r="G29" s="158">
        <v>0.746</v>
      </c>
      <c r="H29" s="158">
        <v>0.52300000000000002</v>
      </c>
      <c r="I29" s="158">
        <v>1.0999999999999999E-2</v>
      </c>
      <c r="J29" s="158">
        <v>0.71599999999999997</v>
      </c>
      <c r="K29" s="158">
        <v>11.59</v>
      </c>
      <c r="L29" s="158">
        <v>42.44</v>
      </c>
      <c r="M29" s="158">
        <v>49.35</v>
      </c>
      <c r="N29" s="158">
        <v>0.09</v>
      </c>
    </row>
    <row r="30" spans="1:14" ht="16.5">
      <c r="A30" s="2" t="str">
        <f t="shared" si="0"/>
        <v>234전체</v>
      </c>
      <c r="B30" s="142">
        <v>234</v>
      </c>
      <c r="C30" s="101" t="s">
        <v>1622</v>
      </c>
      <c r="D30" s="158">
        <v>0.215</v>
      </c>
      <c r="E30" s="158">
        <v>0.66800000000000004</v>
      </c>
      <c r="F30" s="158">
        <v>5.8000000000000003E-2</v>
      </c>
      <c r="G30" s="158">
        <v>0.627</v>
      </c>
      <c r="H30" s="158">
        <v>0.79500000000000004</v>
      </c>
      <c r="I30" s="158">
        <v>0</v>
      </c>
      <c r="J30" s="158">
        <v>1.2669999999999999</v>
      </c>
      <c r="K30" s="158">
        <v>46.14</v>
      </c>
      <c r="L30" s="158">
        <v>36.909999999999997</v>
      </c>
      <c r="M30" s="158">
        <v>103.88</v>
      </c>
      <c r="N30" s="158">
        <v>3.9E-2</v>
      </c>
    </row>
    <row r="31" spans="1:14" ht="16.5">
      <c r="A31" s="2" t="str">
        <f t="shared" si="0"/>
        <v>235전체</v>
      </c>
      <c r="B31" s="142">
        <v>235</v>
      </c>
      <c r="C31" s="101" t="s">
        <v>1622</v>
      </c>
      <c r="D31" s="158">
        <v>0.41</v>
      </c>
      <c r="E31" s="158">
        <v>0.45700000000000002</v>
      </c>
      <c r="F31" s="158">
        <v>8.0000000000000002E-3</v>
      </c>
      <c r="G31" s="158">
        <v>1.3280000000000001</v>
      </c>
      <c r="H31" s="158">
        <v>0.27300000000000002</v>
      </c>
      <c r="I31" s="158">
        <v>4.4999999999999998E-2</v>
      </c>
      <c r="J31" s="158">
        <v>0.23899999999999999</v>
      </c>
      <c r="K31" s="158">
        <v>17.25</v>
      </c>
      <c r="L31" s="158">
        <v>45.82</v>
      </c>
      <c r="M31" s="158">
        <v>59.72</v>
      </c>
      <c r="N31" s="158">
        <v>6.3E-2</v>
      </c>
    </row>
    <row r="32" spans="1:14" ht="16.5">
      <c r="A32" s="2" t="str">
        <f t="shared" si="0"/>
        <v>236전체</v>
      </c>
      <c r="B32" s="142">
        <v>236</v>
      </c>
      <c r="C32" s="101" t="s">
        <v>1622</v>
      </c>
      <c r="D32" s="158">
        <v>0.55500000000000005</v>
      </c>
      <c r="E32" s="158">
        <v>0.34899999999999998</v>
      </c>
      <c r="F32" s="158">
        <v>1.6E-2</v>
      </c>
      <c r="G32" s="158">
        <v>0.92900000000000005</v>
      </c>
      <c r="H32" s="158">
        <v>0.14099999999999999</v>
      </c>
      <c r="I32" s="158">
        <v>0.09</v>
      </c>
      <c r="J32" s="158">
        <v>0.249</v>
      </c>
      <c r="K32" s="158">
        <v>6</v>
      </c>
      <c r="L32" s="158">
        <v>42.75</v>
      </c>
      <c r="M32" s="158">
        <v>14.01</v>
      </c>
      <c r="N32" s="158">
        <v>0.11899999999999999</v>
      </c>
    </row>
    <row r="33" spans="1:14" ht="16.5">
      <c r="A33" s="2" t="str">
        <f t="shared" si="0"/>
        <v>237전체</v>
      </c>
      <c r="B33" s="142">
        <v>237</v>
      </c>
      <c r="C33" s="101" t="s">
        <v>1622</v>
      </c>
      <c r="D33" s="158">
        <v>0.69799999999999995</v>
      </c>
      <c r="E33" s="158">
        <v>0.20399999999999999</v>
      </c>
      <c r="F33" s="158">
        <v>1.0999999999999999E-2</v>
      </c>
      <c r="G33" s="158">
        <v>0.83299999999999996</v>
      </c>
      <c r="H33" s="158">
        <v>0.41199999999999998</v>
      </c>
      <c r="I33" s="158">
        <v>5.8000000000000003E-2</v>
      </c>
      <c r="J33" s="158">
        <v>0.56399999999999995</v>
      </c>
      <c r="K33" s="158">
        <v>10.17</v>
      </c>
      <c r="L33" s="158">
        <v>28.03</v>
      </c>
      <c r="M33" s="158">
        <v>32.18</v>
      </c>
      <c r="N33" s="158">
        <v>0.10299999999999999</v>
      </c>
    </row>
    <row r="34" spans="1:14" ht="16.5">
      <c r="A34" s="2" t="str">
        <f t="shared" si="0"/>
        <v>239전체</v>
      </c>
      <c r="B34" s="142">
        <v>239</v>
      </c>
      <c r="C34" s="101" t="s">
        <v>1622</v>
      </c>
      <c r="D34" s="158">
        <v>0.35599999999999998</v>
      </c>
      <c r="E34" s="158">
        <v>0.55000000000000004</v>
      </c>
      <c r="F34" s="158">
        <v>3.4000000000000002E-2</v>
      </c>
      <c r="G34" s="158">
        <v>0.89800000000000002</v>
      </c>
      <c r="H34" s="158">
        <v>0.437</v>
      </c>
      <c r="I34" s="158">
        <v>1.6E-2</v>
      </c>
      <c r="J34" s="158">
        <v>0.504</v>
      </c>
      <c r="K34" s="158">
        <v>6.66</v>
      </c>
      <c r="L34" s="158">
        <v>81.58</v>
      </c>
      <c r="M34" s="158">
        <v>68.569999999999993</v>
      </c>
      <c r="N34" s="158">
        <v>0.14799999999999999</v>
      </c>
    </row>
    <row r="35" spans="1:14" ht="16.5">
      <c r="A35" s="2" t="str">
        <f t="shared" si="0"/>
        <v>311전체</v>
      </c>
      <c r="B35" s="142">
        <v>311</v>
      </c>
      <c r="C35" s="101" t="s">
        <v>1622</v>
      </c>
      <c r="D35" s="158">
        <v>0.68899999999999995</v>
      </c>
      <c r="E35" s="158">
        <v>0.214</v>
      </c>
      <c r="F35" s="158">
        <v>5.0000000000000001E-3</v>
      </c>
      <c r="G35" s="158">
        <v>1.157</v>
      </c>
      <c r="H35" s="158">
        <v>0.22</v>
      </c>
      <c r="I35" s="158">
        <v>2.3E-2</v>
      </c>
      <c r="J35" s="158">
        <v>0.21</v>
      </c>
      <c r="K35" s="158">
        <v>18.04</v>
      </c>
      <c r="L35" s="158">
        <v>10.96</v>
      </c>
      <c r="M35" s="158">
        <v>34.159999999999997</v>
      </c>
      <c r="N35" s="158">
        <v>0.11700000000000001</v>
      </c>
    </row>
    <row r="36" spans="1:14" ht="16.5">
      <c r="A36" s="2" t="str">
        <f t="shared" si="0"/>
        <v>312전체</v>
      </c>
      <c r="B36" s="142">
        <v>312</v>
      </c>
      <c r="C36" s="101" t="s">
        <v>1622</v>
      </c>
      <c r="D36" s="158">
        <v>0.90400000000000003</v>
      </c>
      <c r="E36" s="158">
        <v>7.3999999999999996E-2</v>
      </c>
      <c r="F36" s="158">
        <v>5.0000000000000001E-3</v>
      </c>
      <c r="G36" s="158">
        <v>3.9039999999999999</v>
      </c>
      <c r="H36" s="158">
        <v>4.3999999999999997E-2</v>
      </c>
      <c r="I36" s="158">
        <v>0</v>
      </c>
      <c r="J36" s="158">
        <v>1.0999999999999999E-2</v>
      </c>
      <c r="K36" s="158">
        <v>17.36</v>
      </c>
      <c r="L36" s="158">
        <v>47.79</v>
      </c>
      <c r="M36" s="158">
        <v>26.47</v>
      </c>
      <c r="N36" s="158">
        <v>4.1000000000000002E-2</v>
      </c>
    </row>
    <row r="37" spans="1:14" ht="16.5">
      <c r="A37" s="2" t="str">
        <f t="shared" si="0"/>
        <v>390전체</v>
      </c>
      <c r="B37" s="142">
        <v>390</v>
      </c>
      <c r="C37" s="101" t="s">
        <v>1622</v>
      </c>
      <c r="D37" s="158">
        <v>0.62</v>
      </c>
      <c r="E37" s="158">
        <v>0.33500000000000002</v>
      </c>
      <c r="F37" s="158">
        <v>0</v>
      </c>
      <c r="G37" s="158">
        <v>0.26300000000000001</v>
      </c>
      <c r="H37" s="158">
        <v>5.3999999999999999E-2</v>
      </c>
      <c r="I37" s="158">
        <v>0</v>
      </c>
      <c r="J37" s="158">
        <v>0.20699999999999999</v>
      </c>
      <c r="K37" s="158">
        <v>22.99</v>
      </c>
      <c r="L37" s="158">
        <v>0</v>
      </c>
      <c r="M37" s="158">
        <v>0</v>
      </c>
      <c r="N37" s="158">
        <v>0</v>
      </c>
    </row>
    <row r="38" spans="1:14" ht="16.5">
      <c r="A38" s="2" t="str">
        <f t="shared" si="0"/>
        <v>411전체</v>
      </c>
      <c r="B38" s="142">
        <v>411</v>
      </c>
      <c r="C38" s="101" t="s">
        <v>1622</v>
      </c>
      <c r="D38" s="158">
        <v>0.83699999999999997</v>
      </c>
      <c r="E38" s="158">
        <v>0.108</v>
      </c>
      <c r="F38" s="158">
        <v>4.0000000000000001E-3</v>
      </c>
      <c r="G38" s="158">
        <v>1.056</v>
      </c>
      <c r="H38" s="158">
        <v>0.42899999999999999</v>
      </c>
      <c r="I38" s="158">
        <v>8.0000000000000002E-3</v>
      </c>
      <c r="J38" s="158">
        <v>0.41299999999999998</v>
      </c>
      <c r="K38" s="158">
        <v>7.17</v>
      </c>
      <c r="L38" s="158">
        <v>7.73</v>
      </c>
      <c r="M38" s="158">
        <v>14.64</v>
      </c>
      <c r="N38" s="158">
        <v>0.20100000000000001</v>
      </c>
    </row>
    <row r="39" spans="1:14" ht="16.5">
      <c r="A39" s="2" t="str">
        <f t="shared" si="0"/>
        <v>412전체</v>
      </c>
      <c r="B39" s="142">
        <v>412</v>
      </c>
      <c r="C39" s="101" t="s">
        <v>1622</v>
      </c>
      <c r="D39" s="158">
        <v>0.82799999999999996</v>
      </c>
      <c r="E39" s="158">
        <v>0.108</v>
      </c>
      <c r="F39" s="158">
        <v>3.0000000000000001E-3</v>
      </c>
      <c r="G39" s="158">
        <v>0.72099999999999997</v>
      </c>
      <c r="H39" s="158">
        <v>0.48299999999999998</v>
      </c>
      <c r="I39" s="158">
        <v>1.2999999999999999E-2</v>
      </c>
      <c r="J39" s="158">
        <v>0.68700000000000006</v>
      </c>
      <c r="K39" s="158">
        <v>5.72</v>
      </c>
      <c r="L39" s="158">
        <v>9.19</v>
      </c>
      <c r="M39" s="158">
        <v>9.1</v>
      </c>
      <c r="N39" s="158">
        <v>0.17399999999999999</v>
      </c>
    </row>
    <row r="40" spans="1:14" ht="16.5">
      <c r="A40" s="2" t="str">
        <f t="shared" si="0"/>
        <v>413전체</v>
      </c>
      <c r="B40" s="142">
        <v>413</v>
      </c>
      <c r="C40" s="101" t="s">
        <v>1622</v>
      </c>
      <c r="D40" s="158">
        <v>0.80600000000000005</v>
      </c>
      <c r="E40" s="158">
        <v>0.13300000000000001</v>
      </c>
      <c r="F40" s="158">
        <v>4.0000000000000001E-3</v>
      </c>
      <c r="G40" s="158">
        <v>1.2689999999999999</v>
      </c>
      <c r="H40" s="158">
        <v>0.432</v>
      </c>
      <c r="I40" s="158">
        <v>8.9999999999999993E-3</v>
      </c>
      <c r="J40" s="158">
        <v>0.34799999999999998</v>
      </c>
      <c r="K40" s="158">
        <v>7.08</v>
      </c>
      <c r="L40" s="158">
        <v>10.91</v>
      </c>
      <c r="M40" s="158">
        <v>14.94</v>
      </c>
      <c r="N40" s="158">
        <v>0.16600000000000001</v>
      </c>
    </row>
    <row r="41" spans="1:14" ht="16.5">
      <c r="A41" s="2" t="str">
        <f t="shared" si="0"/>
        <v>414전체</v>
      </c>
      <c r="B41" s="142">
        <v>414</v>
      </c>
      <c r="C41" s="101" t="s">
        <v>1622</v>
      </c>
      <c r="D41" s="158">
        <v>0.81399999999999995</v>
      </c>
      <c r="E41" s="158">
        <v>0.113</v>
      </c>
      <c r="F41" s="158">
        <v>3.0000000000000001E-3</v>
      </c>
      <c r="G41" s="158">
        <v>1.0109999999999999</v>
      </c>
      <c r="H41" s="158">
        <v>0.40799999999999997</v>
      </c>
      <c r="I41" s="158">
        <v>5.0000000000000001E-3</v>
      </c>
      <c r="J41" s="158">
        <v>0.40799999999999997</v>
      </c>
      <c r="K41" s="158">
        <v>5.18</v>
      </c>
      <c r="L41" s="158">
        <v>10.06</v>
      </c>
      <c r="M41" s="158">
        <v>7.1</v>
      </c>
      <c r="N41" s="158">
        <v>0.151</v>
      </c>
    </row>
    <row r="42" spans="1:14" ht="16.5">
      <c r="A42" s="2" t="str">
        <f t="shared" si="0"/>
        <v>415전체</v>
      </c>
      <c r="B42" s="142">
        <v>415</v>
      </c>
      <c r="C42" s="101" t="s">
        <v>1622</v>
      </c>
      <c r="D42" s="158">
        <v>0.81200000000000006</v>
      </c>
      <c r="E42" s="158">
        <v>0.14000000000000001</v>
      </c>
      <c r="F42" s="158">
        <v>5.0000000000000001E-3</v>
      </c>
      <c r="G42" s="158">
        <v>1.306</v>
      </c>
      <c r="H42" s="158">
        <v>0.36499999999999999</v>
      </c>
      <c r="I42" s="158">
        <v>1.7000000000000001E-2</v>
      </c>
      <c r="J42" s="158">
        <v>0.29199999999999998</v>
      </c>
      <c r="K42" s="158">
        <v>5.85</v>
      </c>
      <c r="L42" s="158">
        <v>10.18</v>
      </c>
      <c r="M42" s="158">
        <v>7.26</v>
      </c>
      <c r="N42" s="158">
        <v>0.13200000000000001</v>
      </c>
    </row>
    <row r="43" spans="1:14" ht="16.5">
      <c r="A43" s="2" t="str">
        <f t="shared" si="0"/>
        <v>416전체</v>
      </c>
      <c r="B43" s="142">
        <v>416</v>
      </c>
      <c r="C43" s="101" t="s">
        <v>1622</v>
      </c>
      <c r="D43" s="158">
        <v>0.81299999999999994</v>
      </c>
      <c r="E43" s="158">
        <v>0.11700000000000001</v>
      </c>
      <c r="F43" s="158">
        <v>4.0000000000000001E-3</v>
      </c>
      <c r="G43" s="158">
        <v>1.2</v>
      </c>
      <c r="H43" s="158">
        <v>0.47499999999999998</v>
      </c>
      <c r="I43" s="158">
        <v>8.0000000000000002E-3</v>
      </c>
      <c r="J43" s="158">
        <v>0.40300000000000002</v>
      </c>
      <c r="K43" s="158">
        <v>7.2</v>
      </c>
      <c r="L43" s="158">
        <v>10.23</v>
      </c>
      <c r="M43" s="158">
        <v>15.13</v>
      </c>
      <c r="N43" s="158">
        <v>0.17</v>
      </c>
    </row>
    <row r="44" spans="1:14" ht="16.5">
      <c r="A44" s="2" t="str">
        <f t="shared" si="0"/>
        <v>419전체</v>
      </c>
      <c r="B44" s="142">
        <v>419</v>
      </c>
      <c r="C44" s="101" t="s">
        <v>1622</v>
      </c>
      <c r="D44" s="158">
        <v>0.85599999999999998</v>
      </c>
      <c r="E44" s="158">
        <v>7.6999999999999999E-2</v>
      </c>
      <c r="F44" s="158">
        <v>3.0000000000000001E-3</v>
      </c>
      <c r="G44" s="158">
        <v>0.95599999999999996</v>
      </c>
      <c r="H44" s="158">
        <v>0.50800000000000001</v>
      </c>
      <c r="I44" s="158">
        <v>8.0000000000000002E-3</v>
      </c>
      <c r="J44" s="158">
        <v>0.54</v>
      </c>
      <c r="K44" s="158">
        <v>6.71</v>
      </c>
      <c r="L44" s="158">
        <v>13.59</v>
      </c>
      <c r="M44" s="158">
        <v>13.46</v>
      </c>
      <c r="N44" s="158">
        <v>0.14799999999999999</v>
      </c>
    </row>
    <row r="45" spans="1:14" ht="16.5">
      <c r="A45" s="2" t="str">
        <f t="shared" si="0"/>
        <v>421전체</v>
      </c>
      <c r="B45" s="142">
        <v>421</v>
      </c>
      <c r="C45" s="101" t="s">
        <v>1622</v>
      </c>
      <c r="D45" s="158">
        <v>0.84499999999999997</v>
      </c>
      <c r="E45" s="158">
        <v>8.2000000000000003E-2</v>
      </c>
      <c r="F45" s="158">
        <v>1E-3</v>
      </c>
      <c r="G45" s="158">
        <v>0.55900000000000005</v>
      </c>
      <c r="H45" s="158">
        <v>0.68700000000000006</v>
      </c>
      <c r="I45" s="158">
        <v>3.0000000000000001E-3</v>
      </c>
      <c r="J45" s="158">
        <v>1.2330000000000001</v>
      </c>
      <c r="K45" s="158">
        <v>6.15</v>
      </c>
      <c r="L45" s="158">
        <v>5.62</v>
      </c>
      <c r="M45" s="158">
        <v>20.58</v>
      </c>
      <c r="N45" s="158">
        <v>0.29199999999999998</v>
      </c>
    </row>
    <row r="46" spans="1:14" ht="16.5">
      <c r="A46" s="2" t="str">
        <f t="shared" si="0"/>
        <v>422전체</v>
      </c>
      <c r="B46" s="142">
        <v>422</v>
      </c>
      <c r="C46" s="101" t="s">
        <v>1622</v>
      </c>
      <c r="D46" s="158">
        <v>0.47</v>
      </c>
      <c r="E46" s="158">
        <v>0.39200000000000002</v>
      </c>
      <c r="F46" s="158">
        <v>1.0999999999999999E-2</v>
      </c>
      <c r="G46" s="158">
        <v>0.995</v>
      </c>
      <c r="H46" s="158">
        <v>0.314</v>
      </c>
      <c r="I46" s="158">
        <v>3.2000000000000001E-2</v>
      </c>
      <c r="J46" s="158">
        <v>0.34799999999999998</v>
      </c>
      <c r="K46" s="158">
        <v>8.02</v>
      </c>
      <c r="L46" s="158">
        <v>11.33</v>
      </c>
      <c r="M46" s="158">
        <v>15.41</v>
      </c>
      <c r="N46" s="158">
        <v>0.14799999999999999</v>
      </c>
    </row>
    <row r="47" spans="1:14" ht="16.5">
      <c r="A47" s="2" t="str">
        <f t="shared" si="0"/>
        <v>423전체</v>
      </c>
      <c r="B47" s="142">
        <v>423</v>
      </c>
      <c r="C47" s="101" t="s">
        <v>1622</v>
      </c>
      <c r="D47" s="158">
        <v>0.73</v>
      </c>
      <c r="E47" s="158">
        <v>0.14099999999999999</v>
      </c>
      <c r="F47" s="158">
        <v>2E-3</v>
      </c>
      <c r="G47" s="158">
        <v>0.48099999999999998</v>
      </c>
      <c r="H47" s="158">
        <v>0.61299999999999999</v>
      </c>
      <c r="I47" s="158">
        <v>1E-3</v>
      </c>
      <c r="J47" s="158">
        <v>1.2769999999999999</v>
      </c>
      <c r="K47" s="158">
        <v>12.94</v>
      </c>
      <c r="L47" s="158">
        <v>2.04</v>
      </c>
      <c r="M47" s="158">
        <v>5.0999999999999996</v>
      </c>
      <c r="N47" s="158">
        <v>0.371</v>
      </c>
    </row>
    <row r="48" spans="1:14" ht="16.5">
      <c r="A48" s="2" t="str">
        <f t="shared" si="0"/>
        <v>429전체</v>
      </c>
      <c r="B48" s="142">
        <v>429</v>
      </c>
      <c r="C48" s="101" t="s">
        <v>1622</v>
      </c>
      <c r="D48" s="158">
        <v>0.85799999999999998</v>
      </c>
      <c r="E48" s="158">
        <v>9.4E-2</v>
      </c>
      <c r="F48" s="158">
        <v>2E-3</v>
      </c>
      <c r="G48" s="158">
        <v>0.89500000000000002</v>
      </c>
      <c r="H48" s="158">
        <v>0.50800000000000001</v>
      </c>
      <c r="I48" s="158">
        <v>4.0000000000000001E-3</v>
      </c>
      <c r="J48" s="158">
        <v>0.57099999999999995</v>
      </c>
      <c r="K48" s="158">
        <v>5.86</v>
      </c>
      <c r="L48" s="158">
        <v>8.26</v>
      </c>
      <c r="M48" s="158">
        <v>15.15</v>
      </c>
      <c r="N48" s="158">
        <v>0.22600000000000001</v>
      </c>
    </row>
    <row r="49" spans="1:14" ht="16.5">
      <c r="A49" s="2" t="str">
        <f t="shared" si="0"/>
        <v>431전체</v>
      </c>
      <c r="B49" s="142">
        <v>431</v>
      </c>
      <c r="C49" s="101" t="s">
        <v>1622</v>
      </c>
      <c r="D49" s="158">
        <v>0.76700000000000002</v>
      </c>
      <c r="E49" s="158">
        <v>0.13500000000000001</v>
      </c>
      <c r="F49" s="158">
        <v>5.0000000000000001E-3</v>
      </c>
      <c r="G49" s="158">
        <v>0.82499999999999996</v>
      </c>
      <c r="H49" s="158">
        <v>0.36499999999999999</v>
      </c>
      <c r="I49" s="158">
        <v>5.0000000000000001E-3</v>
      </c>
      <c r="J49" s="158">
        <v>0.44900000000000001</v>
      </c>
      <c r="K49" s="158">
        <v>4.66</v>
      </c>
      <c r="L49" s="158">
        <v>5.93</v>
      </c>
      <c r="M49" s="158">
        <v>11.63</v>
      </c>
      <c r="N49" s="158">
        <v>0.29699999999999999</v>
      </c>
    </row>
    <row r="50" spans="1:14" ht="16.5">
      <c r="A50" s="2" t="str">
        <f t="shared" si="0"/>
        <v>432전체</v>
      </c>
      <c r="B50" s="142">
        <v>432</v>
      </c>
      <c r="C50" s="101" t="s">
        <v>1622</v>
      </c>
      <c r="D50" s="158">
        <v>0.84199999999999997</v>
      </c>
      <c r="E50" s="158">
        <v>9.6000000000000002E-2</v>
      </c>
      <c r="F50" s="158">
        <v>4.0000000000000001E-3</v>
      </c>
      <c r="G50" s="158">
        <v>1.042</v>
      </c>
      <c r="H50" s="158">
        <v>0.42899999999999999</v>
      </c>
      <c r="I50" s="158">
        <v>0.01</v>
      </c>
      <c r="J50" s="158">
        <v>0.42099999999999999</v>
      </c>
      <c r="K50" s="158">
        <v>5.36</v>
      </c>
      <c r="L50" s="158">
        <v>9.39</v>
      </c>
      <c r="M50" s="158">
        <v>9.69</v>
      </c>
      <c r="N50" s="158">
        <v>0.19</v>
      </c>
    </row>
    <row r="51" spans="1:14" ht="16.5">
      <c r="A51" s="2" t="str">
        <f t="shared" si="0"/>
        <v>433전체</v>
      </c>
      <c r="B51" s="142">
        <v>433</v>
      </c>
      <c r="C51" s="101" t="s">
        <v>1622</v>
      </c>
      <c r="D51" s="158">
        <v>0.81200000000000006</v>
      </c>
      <c r="E51" s="158">
        <v>0.14499999999999999</v>
      </c>
      <c r="F51" s="158">
        <v>8.9999999999999993E-3</v>
      </c>
      <c r="G51" s="158">
        <v>0.874</v>
      </c>
      <c r="H51" s="158">
        <v>0.312</v>
      </c>
      <c r="I51" s="158">
        <v>2.5999999999999999E-2</v>
      </c>
      <c r="J51" s="158">
        <v>0.38700000000000001</v>
      </c>
      <c r="K51" s="158">
        <v>4</v>
      </c>
      <c r="L51" s="158">
        <v>5.69</v>
      </c>
      <c r="M51" s="158">
        <v>7.67</v>
      </c>
      <c r="N51" s="158">
        <v>0.29499999999999998</v>
      </c>
    </row>
    <row r="52" spans="1:14" ht="16.5">
      <c r="A52" s="2" t="str">
        <f t="shared" si="0"/>
        <v>439전체</v>
      </c>
      <c r="B52" s="142">
        <v>439</v>
      </c>
      <c r="C52" s="101" t="s">
        <v>1622</v>
      </c>
      <c r="D52" s="158">
        <v>0.79700000000000004</v>
      </c>
      <c r="E52" s="158">
        <v>0.11600000000000001</v>
      </c>
      <c r="F52" s="158">
        <v>6.0000000000000001E-3</v>
      </c>
      <c r="G52" s="158">
        <v>0.72499999999999998</v>
      </c>
      <c r="H52" s="158">
        <v>0.36699999999999999</v>
      </c>
      <c r="I52" s="158">
        <v>3.7999999999999999E-2</v>
      </c>
      <c r="J52" s="158">
        <v>0.55900000000000005</v>
      </c>
      <c r="K52" s="158">
        <v>5.39</v>
      </c>
      <c r="L52" s="158">
        <v>7.84</v>
      </c>
      <c r="M52" s="158">
        <v>11.07</v>
      </c>
      <c r="N52" s="158">
        <v>0.223</v>
      </c>
    </row>
    <row r="53" spans="1:14" ht="16.5">
      <c r="A53" s="2" t="str">
        <f t="shared" si="0"/>
        <v>441전체</v>
      </c>
      <c r="B53" s="142">
        <v>441</v>
      </c>
      <c r="C53" s="101" t="s">
        <v>1622</v>
      </c>
      <c r="D53" s="158">
        <v>0.58399999999999996</v>
      </c>
      <c r="E53" s="158">
        <v>0.32800000000000001</v>
      </c>
      <c r="F53" s="158">
        <v>7.0000000000000001E-3</v>
      </c>
      <c r="G53" s="158">
        <v>1.208</v>
      </c>
      <c r="H53" s="158">
        <v>8.5999999999999993E-2</v>
      </c>
      <c r="I53" s="158">
        <v>5.0000000000000001E-3</v>
      </c>
      <c r="J53" s="158">
        <v>7.4999999999999997E-2</v>
      </c>
      <c r="K53" s="158">
        <v>47.73</v>
      </c>
      <c r="L53" s="158">
        <v>35.07</v>
      </c>
      <c r="M53" s="158">
        <v>148.78</v>
      </c>
      <c r="N53" s="158">
        <v>4.2999999999999997E-2</v>
      </c>
    </row>
    <row r="54" spans="1:14" ht="16.5">
      <c r="A54" s="2" t="str">
        <f t="shared" si="0"/>
        <v>442전체</v>
      </c>
      <c r="B54" s="142">
        <v>442</v>
      </c>
      <c r="C54" s="101" t="s">
        <v>1622</v>
      </c>
      <c r="D54" s="158">
        <v>0.55500000000000005</v>
      </c>
      <c r="E54" s="158">
        <v>0.34899999999999998</v>
      </c>
      <c r="F54" s="158">
        <v>1.6E-2</v>
      </c>
      <c r="G54" s="158">
        <v>0.92900000000000005</v>
      </c>
      <c r="H54" s="158">
        <v>0.14099999999999999</v>
      </c>
      <c r="I54" s="158">
        <v>0.09</v>
      </c>
      <c r="J54" s="158">
        <v>0.249</v>
      </c>
      <c r="K54" s="158">
        <v>6</v>
      </c>
      <c r="L54" s="158">
        <v>42.75</v>
      </c>
      <c r="M54" s="158">
        <v>14.01</v>
      </c>
      <c r="N54" s="158">
        <v>0.11899999999999999</v>
      </c>
    </row>
    <row r="55" spans="1:14" ht="16.5">
      <c r="A55" s="2" t="str">
        <f t="shared" si="0"/>
        <v>443전체</v>
      </c>
      <c r="B55" s="142">
        <v>443</v>
      </c>
      <c r="C55" s="101" t="s">
        <v>1622</v>
      </c>
      <c r="D55" s="158">
        <v>0.58399999999999996</v>
      </c>
      <c r="E55" s="158">
        <v>0.32800000000000001</v>
      </c>
      <c r="F55" s="158">
        <v>7.0000000000000001E-3</v>
      </c>
      <c r="G55" s="158">
        <v>1.208</v>
      </c>
      <c r="H55" s="158">
        <v>8.5999999999999993E-2</v>
      </c>
      <c r="I55" s="158">
        <v>5.0000000000000001E-3</v>
      </c>
      <c r="J55" s="158">
        <v>7.4999999999999997E-2</v>
      </c>
      <c r="K55" s="158">
        <v>47.73</v>
      </c>
      <c r="L55" s="158">
        <v>35.07</v>
      </c>
      <c r="M55" s="158">
        <v>148.78</v>
      </c>
      <c r="N55" s="158">
        <v>4.2999999999999997E-2</v>
      </c>
    </row>
    <row r="56" spans="1:14" ht="16.5">
      <c r="A56" s="2" t="str">
        <f t="shared" si="0"/>
        <v>444전체</v>
      </c>
      <c r="B56" s="142">
        <v>444</v>
      </c>
      <c r="C56" s="101" t="s">
        <v>1622</v>
      </c>
      <c r="D56" s="158">
        <v>0.46600000000000003</v>
      </c>
      <c r="E56" s="158">
        <v>0.41</v>
      </c>
      <c r="F56" s="158">
        <v>1.9E-2</v>
      </c>
      <c r="G56" s="158">
        <v>0.66600000000000004</v>
      </c>
      <c r="H56" s="158">
        <v>0.28299999999999997</v>
      </c>
      <c r="I56" s="158">
        <v>3.4000000000000002E-2</v>
      </c>
      <c r="J56" s="158">
        <v>0.47599999999999998</v>
      </c>
      <c r="K56" s="158">
        <v>9.93</v>
      </c>
      <c r="L56" s="158">
        <v>21.39</v>
      </c>
      <c r="M56" s="158">
        <v>45.38</v>
      </c>
      <c r="N56" s="158">
        <v>0.125</v>
      </c>
    </row>
    <row r="57" spans="1:14" ht="16.5">
      <c r="A57" s="2" t="str">
        <f t="shared" si="0"/>
        <v>445전체</v>
      </c>
      <c r="B57" s="142">
        <v>445</v>
      </c>
      <c r="C57" s="101" t="s">
        <v>1622</v>
      </c>
      <c r="D57" s="158">
        <v>0.69799999999999995</v>
      </c>
      <c r="E57" s="158">
        <v>0.20399999999999999</v>
      </c>
      <c r="F57" s="158">
        <v>1.0999999999999999E-2</v>
      </c>
      <c r="G57" s="158">
        <v>0.83299999999999996</v>
      </c>
      <c r="H57" s="158">
        <v>0.41199999999999998</v>
      </c>
      <c r="I57" s="158">
        <v>5.8000000000000003E-2</v>
      </c>
      <c r="J57" s="158">
        <v>0.56399999999999995</v>
      </c>
      <c r="K57" s="158">
        <v>10.17</v>
      </c>
      <c r="L57" s="158">
        <v>28.03</v>
      </c>
      <c r="M57" s="158">
        <v>32.18</v>
      </c>
      <c r="N57" s="158">
        <v>0.10299999999999999</v>
      </c>
    </row>
    <row r="58" spans="1:14" ht="16.5">
      <c r="A58" s="2" t="str">
        <f t="shared" si="0"/>
        <v>446전체</v>
      </c>
      <c r="B58" s="142">
        <v>446</v>
      </c>
      <c r="C58" s="101" t="s">
        <v>1622</v>
      </c>
      <c r="D58" s="158">
        <v>0.86899999999999999</v>
      </c>
      <c r="E58" s="158">
        <v>8.8999999999999996E-2</v>
      </c>
      <c r="F58" s="158">
        <v>3.0000000000000001E-3</v>
      </c>
      <c r="G58" s="158">
        <v>1.6080000000000001</v>
      </c>
      <c r="H58" s="158">
        <v>0.16400000000000001</v>
      </c>
      <c r="I58" s="158">
        <v>6.0000000000000001E-3</v>
      </c>
      <c r="J58" s="158">
        <v>0.105</v>
      </c>
      <c r="K58" s="158">
        <v>13.59</v>
      </c>
      <c r="L58" s="158">
        <v>11.91</v>
      </c>
      <c r="M58" s="158">
        <v>22.9</v>
      </c>
      <c r="N58" s="158">
        <v>0.114</v>
      </c>
    </row>
    <row r="59" spans="1:14" ht="16.5">
      <c r="A59" s="2" t="str">
        <f t="shared" si="0"/>
        <v>447전체</v>
      </c>
      <c r="B59" s="142">
        <v>447</v>
      </c>
      <c r="C59" s="101" t="s">
        <v>1622</v>
      </c>
      <c r="D59" s="158">
        <v>0.55200000000000005</v>
      </c>
      <c r="E59" s="158">
        <v>0.33600000000000002</v>
      </c>
      <c r="F59" s="158">
        <v>8.0000000000000002E-3</v>
      </c>
      <c r="G59" s="158">
        <v>1.9970000000000001</v>
      </c>
      <c r="H59" s="158">
        <v>0.04</v>
      </c>
      <c r="I59" s="158">
        <v>0</v>
      </c>
      <c r="J59" s="158">
        <v>0.02</v>
      </c>
      <c r="K59" s="158">
        <v>12.62</v>
      </c>
      <c r="L59" s="158">
        <v>26.33</v>
      </c>
      <c r="M59" s="158">
        <v>411.69</v>
      </c>
      <c r="N59" s="158">
        <v>0.115</v>
      </c>
    </row>
    <row r="60" spans="1:14" ht="16.5">
      <c r="A60" s="2" t="str">
        <f t="shared" si="0"/>
        <v>449전체</v>
      </c>
      <c r="B60" s="142">
        <v>449</v>
      </c>
      <c r="C60" s="101" t="s">
        <v>1622</v>
      </c>
      <c r="D60" s="158">
        <v>0.318</v>
      </c>
      <c r="E60" s="158">
        <v>0.248</v>
      </c>
      <c r="F60" s="158">
        <v>6.0000000000000001E-3</v>
      </c>
      <c r="G60" s="158">
        <v>0.29699999999999999</v>
      </c>
      <c r="H60" s="158">
        <v>8.7999999999999995E-2</v>
      </c>
      <c r="I60" s="158">
        <v>5.0000000000000001E-3</v>
      </c>
      <c r="J60" s="158">
        <v>0.315</v>
      </c>
      <c r="K60" s="158">
        <v>42.65</v>
      </c>
      <c r="L60" s="158">
        <v>0.61</v>
      </c>
      <c r="M60" s="158">
        <v>548.51</v>
      </c>
      <c r="N60" s="158">
        <v>1.6619999999999999</v>
      </c>
    </row>
    <row r="61" spans="1:14" ht="16.5">
      <c r="A61" s="2" t="str">
        <f t="shared" si="0"/>
        <v>511전체</v>
      </c>
      <c r="B61" s="142">
        <v>511</v>
      </c>
      <c r="C61" s="101" t="s">
        <v>1622</v>
      </c>
      <c r="D61" s="158">
        <v>0.84199999999999997</v>
      </c>
      <c r="E61" s="158">
        <v>7.0000000000000007E-2</v>
      </c>
      <c r="F61" s="158">
        <v>1E-3</v>
      </c>
      <c r="G61" s="158">
        <v>0.77700000000000002</v>
      </c>
      <c r="H61" s="158">
        <v>0.27900000000000003</v>
      </c>
      <c r="I61" s="158">
        <v>7.0000000000000001E-3</v>
      </c>
      <c r="J61" s="158">
        <v>0.36799999999999999</v>
      </c>
      <c r="K61" s="158">
        <v>9.7100000000000009</v>
      </c>
      <c r="L61" s="158">
        <v>8.08</v>
      </c>
      <c r="M61" s="158">
        <v>17.72</v>
      </c>
      <c r="N61" s="158">
        <v>0.17</v>
      </c>
    </row>
    <row r="62" spans="1:14" ht="16.5">
      <c r="A62" s="2" t="str">
        <f t="shared" si="0"/>
        <v>512전체</v>
      </c>
      <c r="B62" s="142">
        <v>512</v>
      </c>
      <c r="C62" s="101" t="s">
        <v>1622</v>
      </c>
      <c r="D62" s="158">
        <v>0</v>
      </c>
      <c r="E62" s="158">
        <v>0</v>
      </c>
      <c r="F62" s="158">
        <v>0</v>
      </c>
      <c r="G62" s="158">
        <v>0</v>
      </c>
      <c r="H62" s="158">
        <v>0</v>
      </c>
      <c r="I62" s="158">
        <v>0</v>
      </c>
      <c r="J62" s="158">
        <v>0</v>
      </c>
      <c r="K62" s="158">
        <v>0</v>
      </c>
      <c r="L62" s="158">
        <v>0</v>
      </c>
      <c r="M62" s="158">
        <v>0</v>
      </c>
      <c r="N62" s="158">
        <v>0</v>
      </c>
    </row>
    <row r="63" spans="1:14" ht="16.5">
      <c r="A63" s="2" t="str">
        <f t="shared" si="0"/>
        <v>520전체</v>
      </c>
      <c r="B63" s="142">
        <v>520</v>
      </c>
      <c r="C63" s="101" t="s">
        <v>1622</v>
      </c>
      <c r="D63" s="158">
        <v>0.83699999999999997</v>
      </c>
      <c r="E63" s="158">
        <v>7.5999999999999998E-2</v>
      </c>
      <c r="F63" s="158">
        <v>8.9999999999999993E-3</v>
      </c>
      <c r="G63" s="158">
        <v>0.56699999999999995</v>
      </c>
      <c r="H63" s="158">
        <v>0.40100000000000002</v>
      </c>
      <c r="I63" s="158">
        <v>6.0000000000000001E-3</v>
      </c>
      <c r="J63" s="158">
        <v>0.71799999999999997</v>
      </c>
      <c r="K63" s="158">
        <v>9.5299999999999994</v>
      </c>
      <c r="L63" s="158">
        <v>1.54</v>
      </c>
      <c r="M63" s="158">
        <v>20.38</v>
      </c>
      <c r="N63" s="158">
        <v>0.70699999999999996</v>
      </c>
    </row>
    <row r="64" spans="1:14" ht="16.5">
      <c r="A64" s="2" t="str">
        <f t="shared" si="0"/>
        <v>611전체</v>
      </c>
      <c r="B64" s="142">
        <v>611</v>
      </c>
      <c r="C64" s="101" t="s">
        <v>1622</v>
      </c>
      <c r="D64" s="158">
        <v>0.65800000000000003</v>
      </c>
      <c r="E64" s="158">
        <v>0.30499999999999999</v>
      </c>
      <c r="F64" s="158">
        <v>1.2999999999999999E-2</v>
      </c>
      <c r="G64" s="158">
        <v>1.7589999999999999</v>
      </c>
      <c r="H64" s="158">
        <v>0.19800000000000001</v>
      </c>
      <c r="I64" s="158">
        <v>2.5000000000000001E-2</v>
      </c>
      <c r="J64" s="158">
        <v>0.127</v>
      </c>
      <c r="K64" s="158">
        <v>10.23</v>
      </c>
      <c r="L64" s="158">
        <v>4.2300000000000004</v>
      </c>
      <c r="M64" s="158">
        <v>54.98</v>
      </c>
      <c r="N64" s="158">
        <v>0.316</v>
      </c>
    </row>
    <row r="65" spans="1:14" ht="16.5">
      <c r="A65" s="2" t="str">
        <f t="shared" si="0"/>
        <v>612전체</v>
      </c>
      <c r="B65" s="142">
        <v>612</v>
      </c>
      <c r="C65" s="101" t="s">
        <v>1622</v>
      </c>
      <c r="D65" s="158">
        <v>0.8</v>
      </c>
      <c r="E65" s="158">
        <v>0.14899999999999999</v>
      </c>
      <c r="F65" s="158">
        <v>6.0000000000000001E-3</v>
      </c>
      <c r="G65" s="158">
        <v>1.242</v>
      </c>
      <c r="H65" s="158">
        <v>0.36599999999999999</v>
      </c>
      <c r="I65" s="158">
        <v>0.02</v>
      </c>
      <c r="J65" s="158">
        <v>0.31</v>
      </c>
      <c r="K65" s="158">
        <v>5.85</v>
      </c>
      <c r="L65" s="158">
        <v>9.35</v>
      </c>
      <c r="M65" s="158">
        <v>7.67</v>
      </c>
      <c r="N65" s="158">
        <v>0.14799999999999999</v>
      </c>
    </row>
    <row r="66" spans="1:14" ht="16.5">
      <c r="A66" s="2" t="str">
        <f t="shared" si="0"/>
        <v>619전체</v>
      </c>
      <c r="B66" s="142">
        <v>619</v>
      </c>
      <c r="C66" s="101" t="s">
        <v>1622</v>
      </c>
      <c r="D66" s="158">
        <v>0.73799999999999999</v>
      </c>
      <c r="E66" s="158">
        <v>0.114</v>
      </c>
      <c r="F66" s="158">
        <v>3.0000000000000001E-3</v>
      </c>
      <c r="G66" s="158">
        <v>1.032</v>
      </c>
      <c r="H66" s="158">
        <v>0.313</v>
      </c>
      <c r="I66" s="158">
        <v>1.7999999999999999E-2</v>
      </c>
      <c r="J66" s="158">
        <v>0.32100000000000001</v>
      </c>
      <c r="K66" s="158">
        <v>8.0299999999999994</v>
      </c>
      <c r="L66" s="158">
        <v>12.19</v>
      </c>
      <c r="M66" s="158">
        <v>12.62</v>
      </c>
      <c r="N66" s="158">
        <v>0.127</v>
      </c>
    </row>
    <row r="67" spans="1:14" ht="16.5">
      <c r="A67" s="2" t="str">
        <f t="shared" ref="A67:A130" si="1">B67&amp;C67</f>
        <v>621전체</v>
      </c>
      <c r="B67" s="142">
        <v>621</v>
      </c>
      <c r="C67" s="101" t="s">
        <v>1622</v>
      </c>
      <c r="D67" s="158">
        <v>0.89500000000000002</v>
      </c>
      <c r="E67" s="158">
        <v>6.9000000000000006E-2</v>
      </c>
      <c r="F67" s="158">
        <v>2E-3</v>
      </c>
      <c r="G67" s="158">
        <v>0.66500000000000004</v>
      </c>
      <c r="H67" s="158">
        <v>0.38800000000000001</v>
      </c>
      <c r="I67" s="158">
        <v>4.0000000000000001E-3</v>
      </c>
      <c r="J67" s="158">
        <v>0.58899999999999997</v>
      </c>
      <c r="K67" s="158">
        <v>14.25</v>
      </c>
      <c r="L67" s="158">
        <v>16.41</v>
      </c>
      <c r="M67" s="158">
        <v>12.18</v>
      </c>
      <c r="N67" s="158">
        <v>4.9000000000000002E-2</v>
      </c>
    </row>
    <row r="68" spans="1:14" ht="16.5">
      <c r="A68" s="2" t="str">
        <f t="shared" si="1"/>
        <v>622전체</v>
      </c>
      <c r="B68" s="142">
        <v>622</v>
      </c>
      <c r="C68" s="101" t="s">
        <v>1622</v>
      </c>
      <c r="D68" s="158">
        <v>0.83399999999999996</v>
      </c>
      <c r="E68" s="158">
        <v>8.6999999999999994E-2</v>
      </c>
      <c r="F68" s="158">
        <v>3.0000000000000001E-3</v>
      </c>
      <c r="G68" s="158">
        <v>1.093</v>
      </c>
      <c r="H68" s="158">
        <v>0.56699999999999995</v>
      </c>
      <c r="I68" s="158">
        <v>4.0000000000000001E-3</v>
      </c>
      <c r="J68" s="158">
        <v>0.52200000000000002</v>
      </c>
      <c r="K68" s="158">
        <v>7.01</v>
      </c>
      <c r="L68" s="158">
        <v>18.100000000000001</v>
      </c>
      <c r="M68" s="158">
        <v>18.2</v>
      </c>
      <c r="N68" s="158">
        <v>0.14299999999999999</v>
      </c>
    </row>
    <row r="69" spans="1:14" ht="16.5">
      <c r="A69" s="2" t="str">
        <f t="shared" si="1"/>
        <v>623전체</v>
      </c>
      <c r="B69" s="142">
        <v>623</v>
      </c>
      <c r="C69" s="101" t="s">
        <v>1622</v>
      </c>
      <c r="D69" s="158">
        <v>0.56799999999999995</v>
      </c>
      <c r="E69" s="158">
        <v>0.30099999999999999</v>
      </c>
      <c r="F69" s="158">
        <v>8.9999999999999993E-3</v>
      </c>
      <c r="G69" s="158">
        <v>0.371</v>
      </c>
      <c r="H69" s="158">
        <v>0.53700000000000003</v>
      </c>
      <c r="I69" s="158">
        <v>0.13500000000000001</v>
      </c>
      <c r="J69" s="158">
        <v>1.81</v>
      </c>
      <c r="K69" s="158">
        <v>3.56</v>
      </c>
      <c r="L69" s="158">
        <v>12.93</v>
      </c>
      <c r="M69" s="158">
        <v>7.38</v>
      </c>
      <c r="N69" s="158">
        <v>0.223</v>
      </c>
    </row>
    <row r="70" spans="1:14" ht="16.5">
      <c r="A70" s="2" t="str">
        <f t="shared" si="1"/>
        <v>624전체</v>
      </c>
      <c r="B70" s="142">
        <v>624</v>
      </c>
      <c r="C70" s="101" t="s">
        <v>1622</v>
      </c>
      <c r="D70" s="158">
        <v>0.84499999999999997</v>
      </c>
      <c r="E70" s="158">
        <v>9.1999999999999998E-2</v>
      </c>
      <c r="F70" s="158">
        <v>5.0000000000000001E-3</v>
      </c>
      <c r="G70" s="158">
        <v>0.71899999999999997</v>
      </c>
      <c r="H70" s="158">
        <v>0.56100000000000005</v>
      </c>
      <c r="I70" s="158">
        <v>8.9999999999999993E-3</v>
      </c>
      <c r="J70" s="158">
        <v>0.79400000000000004</v>
      </c>
      <c r="K70" s="158">
        <v>8.34</v>
      </c>
      <c r="L70" s="158">
        <v>9.6300000000000008</v>
      </c>
      <c r="M70" s="158">
        <v>12.11</v>
      </c>
      <c r="N70" s="158">
        <v>0.14099999999999999</v>
      </c>
    </row>
    <row r="71" spans="1:14" ht="16.5">
      <c r="A71" s="2" t="str">
        <f t="shared" si="1"/>
        <v>625전체</v>
      </c>
      <c r="B71" s="142">
        <v>625</v>
      </c>
      <c r="C71" s="101" t="s">
        <v>1622</v>
      </c>
      <c r="D71" s="158">
        <v>0.80200000000000005</v>
      </c>
      <c r="E71" s="158">
        <v>0.10199999999999999</v>
      </c>
      <c r="F71" s="158">
        <v>3.0000000000000001E-3</v>
      </c>
      <c r="G71" s="158">
        <v>0.91500000000000004</v>
      </c>
      <c r="H71" s="158">
        <v>0.36299999999999999</v>
      </c>
      <c r="I71" s="158">
        <v>8.0000000000000002E-3</v>
      </c>
      <c r="J71" s="158">
        <v>0.40500000000000003</v>
      </c>
      <c r="K71" s="158">
        <v>6.14</v>
      </c>
      <c r="L71" s="158">
        <v>11.9</v>
      </c>
      <c r="M71" s="158">
        <v>7.85</v>
      </c>
      <c r="N71" s="158">
        <v>0.11899999999999999</v>
      </c>
    </row>
    <row r="72" spans="1:14" ht="16.5">
      <c r="A72" s="2" t="str">
        <f t="shared" si="1"/>
        <v>626전체</v>
      </c>
      <c r="B72" s="142">
        <v>626</v>
      </c>
      <c r="C72" s="101" t="s">
        <v>1622</v>
      </c>
      <c r="D72" s="158">
        <v>0.74399999999999999</v>
      </c>
      <c r="E72" s="158">
        <v>0.153</v>
      </c>
      <c r="F72" s="158">
        <v>8.9999999999999993E-3</v>
      </c>
      <c r="G72" s="158">
        <v>0.94499999999999995</v>
      </c>
      <c r="H72" s="158">
        <v>0.28799999999999998</v>
      </c>
      <c r="I72" s="158">
        <v>3.4000000000000002E-2</v>
      </c>
      <c r="J72" s="158">
        <v>0.34100000000000003</v>
      </c>
      <c r="K72" s="158">
        <v>4.91</v>
      </c>
      <c r="L72" s="158">
        <v>8.2200000000000006</v>
      </c>
      <c r="M72" s="158">
        <v>9.7899999999999991</v>
      </c>
      <c r="N72" s="158">
        <v>0.223</v>
      </c>
    </row>
    <row r="73" spans="1:14" ht="16.5">
      <c r="A73" s="2" t="str">
        <f t="shared" si="1"/>
        <v>627전체</v>
      </c>
      <c r="B73" s="142">
        <v>627</v>
      </c>
      <c r="C73" s="101" t="s">
        <v>1622</v>
      </c>
      <c r="D73" s="158">
        <v>0.81200000000000006</v>
      </c>
      <c r="E73" s="158">
        <v>0.114</v>
      </c>
      <c r="F73" s="158">
        <v>6.0000000000000001E-3</v>
      </c>
      <c r="G73" s="158">
        <v>0.92400000000000004</v>
      </c>
      <c r="H73" s="158">
        <v>0.33200000000000002</v>
      </c>
      <c r="I73" s="158">
        <v>2.5000000000000001E-2</v>
      </c>
      <c r="J73" s="158">
        <v>0.38600000000000001</v>
      </c>
      <c r="K73" s="158">
        <v>5.38</v>
      </c>
      <c r="L73" s="158">
        <v>9.19</v>
      </c>
      <c r="M73" s="158">
        <v>9.2100000000000009</v>
      </c>
      <c r="N73" s="158">
        <v>0.186</v>
      </c>
    </row>
    <row r="74" spans="1:14" ht="16.5">
      <c r="A74" s="2" t="str">
        <f t="shared" si="1"/>
        <v>628전체</v>
      </c>
      <c r="B74" s="142">
        <v>628</v>
      </c>
      <c r="C74" s="101" t="s">
        <v>1622</v>
      </c>
      <c r="D74" s="158">
        <v>0.84099999999999997</v>
      </c>
      <c r="E74" s="158">
        <v>0.107</v>
      </c>
      <c r="F74" s="158">
        <v>4.0000000000000001E-3</v>
      </c>
      <c r="G74" s="158">
        <v>1.294</v>
      </c>
      <c r="H74" s="158">
        <v>0.42499999999999999</v>
      </c>
      <c r="I74" s="158">
        <v>2E-3</v>
      </c>
      <c r="J74" s="158">
        <v>0.33</v>
      </c>
      <c r="K74" s="158">
        <v>5.59</v>
      </c>
      <c r="L74" s="158">
        <v>8.7100000000000009</v>
      </c>
      <c r="M74" s="158">
        <v>15.41</v>
      </c>
      <c r="N74" s="158">
        <v>0.22900000000000001</v>
      </c>
    </row>
    <row r="75" spans="1:14" ht="16.5">
      <c r="A75" s="2" t="str">
        <f t="shared" si="1"/>
        <v>629전체</v>
      </c>
      <c r="B75" s="142">
        <v>629</v>
      </c>
      <c r="C75" s="101" t="s">
        <v>1622</v>
      </c>
      <c r="D75" s="158">
        <v>0.84199999999999997</v>
      </c>
      <c r="E75" s="158">
        <v>9.6000000000000002E-2</v>
      </c>
      <c r="F75" s="158">
        <v>4.0000000000000001E-3</v>
      </c>
      <c r="G75" s="158">
        <v>1.042</v>
      </c>
      <c r="H75" s="158">
        <v>0.42899999999999999</v>
      </c>
      <c r="I75" s="158">
        <v>0.01</v>
      </c>
      <c r="J75" s="158">
        <v>0.42099999999999999</v>
      </c>
      <c r="K75" s="158">
        <v>5.36</v>
      </c>
      <c r="L75" s="158">
        <v>9.39</v>
      </c>
      <c r="M75" s="158">
        <v>9.69</v>
      </c>
      <c r="N75" s="158">
        <v>0.19</v>
      </c>
    </row>
    <row r="76" spans="1:14" ht="16.5">
      <c r="A76" s="2" t="str">
        <f t="shared" si="1"/>
        <v>631전체</v>
      </c>
      <c r="B76" s="142">
        <v>631</v>
      </c>
      <c r="C76" s="101" t="s">
        <v>1622</v>
      </c>
      <c r="D76" s="158">
        <v>0.81</v>
      </c>
      <c r="E76" s="158">
        <v>0.13900000000000001</v>
      </c>
      <c r="F76" s="158">
        <v>4.0000000000000001E-3</v>
      </c>
      <c r="G76" s="158">
        <v>1.944</v>
      </c>
      <c r="H76" s="158">
        <v>0.127</v>
      </c>
      <c r="I76" s="158">
        <v>2.7E-2</v>
      </c>
      <c r="J76" s="158">
        <v>7.9000000000000001E-2</v>
      </c>
      <c r="K76" s="158">
        <v>11.6</v>
      </c>
      <c r="L76" s="158">
        <v>29.46</v>
      </c>
      <c r="M76" s="158">
        <v>14.86</v>
      </c>
      <c r="N76" s="158">
        <v>5.2999999999999999E-2</v>
      </c>
    </row>
    <row r="77" spans="1:14" ht="16.5">
      <c r="A77" s="2" t="str">
        <f t="shared" si="1"/>
        <v>632전체</v>
      </c>
      <c r="B77" s="142">
        <v>632</v>
      </c>
      <c r="C77" s="101" t="s">
        <v>1622</v>
      </c>
      <c r="D77" s="158">
        <v>0.84399999999999997</v>
      </c>
      <c r="E77" s="158">
        <v>0.10100000000000001</v>
      </c>
      <c r="F77" s="158">
        <v>4.0000000000000001E-3</v>
      </c>
      <c r="G77" s="158">
        <v>1.5980000000000001</v>
      </c>
      <c r="H77" s="158">
        <v>0.182</v>
      </c>
      <c r="I77" s="158">
        <v>7.0000000000000001E-3</v>
      </c>
      <c r="J77" s="158">
        <v>0.11799999999999999</v>
      </c>
      <c r="K77" s="158">
        <v>13.52</v>
      </c>
      <c r="L77" s="158">
        <v>14.45</v>
      </c>
      <c r="M77" s="158">
        <v>27.19</v>
      </c>
      <c r="N77" s="158">
        <v>0.106</v>
      </c>
    </row>
    <row r="78" spans="1:14" ht="16.5">
      <c r="A78" s="2" t="str">
        <f t="shared" si="1"/>
        <v>633전체</v>
      </c>
      <c r="B78" s="142">
        <v>633</v>
      </c>
      <c r="C78" s="101" t="s">
        <v>1622</v>
      </c>
      <c r="D78" s="158">
        <v>0.55500000000000005</v>
      </c>
      <c r="E78" s="158">
        <v>0.34899999999999998</v>
      </c>
      <c r="F78" s="158">
        <v>1.6E-2</v>
      </c>
      <c r="G78" s="158">
        <v>0.92900000000000005</v>
      </c>
      <c r="H78" s="158">
        <v>0.14099999999999999</v>
      </c>
      <c r="I78" s="158">
        <v>0.09</v>
      </c>
      <c r="J78" s="158">
        <v>0.249</v>
      </c>
      <c r="K78" s="158">
        <v>6</v>
      </c>
      <c r="L78" s="158">
        <v>42.75</v>
      </c>
      <c r="M78" s="158">
        <v>14.01</v>
      </c>
      <c r="N78" s="158">
        <v>0.11899999999999999</v>
      </c>
    </row>
    <row r="79" spans="1:14" ht="16.5">
      <c r="A79" s="2" t="str">
        <f t="shared" si="1"/>
        <v>634전체</v>
      </c>
      <c r="B79" s="142">
        <v>634</v>
      </c>
      <c r="C79" s="101" t="s">
        <v>1622</v>
      </c>
      <c r="D79" s="158">
        <v>0.77900000000000003</v>
      </c>
      <c r="E79" s="158">
        <v>0.16700000000000001</v>
      </c>
      <c r="F79" s="158">
        <v>1.7999999999999999E-2</v>
      </c>
      <c r="G79" s="158">
        <v>0.871</v>
      </c>
      <c r="H79" s="158">
        <v>0.41199999999999998</v>
      </c>
      <c r="I79" s="158">
        <v>2.8000000000000001E-2</v>
      </c>
      <c r="J79" s="158">
        <v>0.505</v>
      </c>
      <c r="K79" s="158">
        <v>9.68</v>
      </c>
      <c r="L79" s="158">
        <v>59.24</v>
      </c>
      <c r="M79" s="158">
        <v>44.6</v>
      </c>
      <c r="N79" s="158">
        <v>9.8000000000000004E-2</v>
      </c>
    </row>
    <row r="80" spans="1:14" ht="16.5">
      <c r="A80" s="2" t="str">
        <f t="shared" si="1"/>
        <v>635전체</v>
      </c>
      <c r="B80" s="142">
        <v>635</v>
      </c>
      <c r="C80" s="101" t="s">
        <v>1622</v>
      </c>
      <c r="D80" s="158">
        <v>0.35599999999999998</v>
      </c>
      <c r="E80" s="158">
        <v>0.55000000000000004</v>
      </c>
      <c r="F80" s="158">
        <v>3.4000000000000002E-2</v>
      </c>
      <c r="G80" s="158">
        <v>0.89800000000000002</v>
      </c>
      <c r="H80" s="158">
        <v>0.437</v>
      </c>
      <c r="I80" s="158">
        <v>1.6E-2</v>
      </c>
      <c r="J80" s="158">
        <v>0.504</v>
      </c>
      <c r="K80" s="158">
        <v>6.66</v>
      </c>
      <c r="L80" s="158">
        <v>81.58</v>
      </c>
      <c r="M80" s="158">
        <v>68.569999999999993</v>
      </c>
      <c r="N80" s="158">
        <v>0.14799999999999999</v>
      </c>
    </row>
    <row r="81" spans="1:14" ht="16.5">
      <c r="A81" s="2" t="str">
        <f t="shared" si="1"/>
        <v>636전체</v>
      </c>
      <c r="B81" s="142">
        <v>636</v>
      </c>
      <c r="C81" s="101" t="s">
        <v>1622</v>
      </c>
      <c r="D81" s="158">
        <v>0.69799999999999995</v>
      </c>
      <c r="E81" s="158">
        <v>0.20399999999999999</v>
      </c>
      <c r="F81" s="158">
        <v>1.0999999999999999E-2</v>
      </c>
      <c r="G81" s="158">
        <v>0.83299999999999996</v>
      </c>
      <c r="H81" s="158">
        <v>0.41199999999999998</v>
      </c>
      <c r="I81" s="158">
        <v>5.8000000000000003E-2</v>
      </c>
      <c r="J81" s="158">
        <v>0.56399999999999995</v>
      </c>
      <c r="K81" s="158">
        <v>10.17</v>
      </c>
      <c r="L81" s="158">
        <v>28.03</v>
      </c>
      <c r="M81" s="158">
        <v>32.18</v>
      </c>
      <c r="N81" s="158">
        <v>0.10299999999999999</v>
      </c>
    </row>
    <row r="82" spans="1:14" ht="16.5">
      <c r="A82" s="2" t="str">
        <f t="shared" si="1"/>
        <v>637전체</v>
      </c>
      <c r="B82" s="142">
        <v>637</v>
      </c>
      <c r="C82" s="101" t="s">
        <v>1622</v>
      </c>
      <c r="D82" s="158">
        <v>0.72699999999999998</v>
      </c>
      <c r="E82" s="158">
        <v>0.20799999999999999</v>
      </c>
      <c r="F82" s="158">
        <v>8.0000000000000002E-3</v>
      </c>
      <c r="G82" s="158">
        <v>1.1950000000000001</v>
      </c>
      <c r="H82" s="158">
        <v>0.16300000000000001</v>
      </c>
      <c r="I82" s="158">
        <v>0.05</v>
      </c>
      <c r="J82" s="158">
        <v>0.17899999999999999</v>
      </c>
      <c r="K82" s="158">
        <v>4.91</v>
      </c>
      <c r="L82" s="158">
        <v>34.299999999999997</v>
      </c>
      <c r="M82" s="158">
        <v>8.52</v>
      </c>
      <c r="N82" s="158">
        <v>0.11600000000000001</v>
      </c>
    </row>
    <row r="83" spans="1:14" ht="16.5">
      <c r="A83" s="2" t="str">
        <f t="shared" si="1"/>
        <v>639전체</v>
      </c>
      <c r="B83" s="142">
        <v>639</v>
      </c>
      <c r="C83" s="101" t="s">
        <v>1622</v>
      </c>
      <c r="D83" s="158">
        <v>0.215</v>
      </c>
      <c r="E83" s="158">
        <v>0.66800000000000004</v>
      </c>
      <c r="F83" s="158">
        <v>5.8000000000000003E-2</v>
      </c>
      <c r="G83" s="158">
        <v>0.627</v>
      </c>
      <c r="H83" s="158">
        <v>0.79500000000000004</v>
      </c>
      <c r="I83" s="158">
        <v>0</v>
      </c>
      <c r="J83" s="158">
        <v>1.2669999999999999</v>
      </c>
      <c r="K83" s="158">
        <v>46.14</v>
      </c>
      <c r="L83" s="158">
        <v>36.909999999999997</v>
      </c>
      <c r="M83" s="158">
        <v>103.88</v>
      </c>
      <c r="N83" s="158">
        <v>3.9E-2</v>
      </c>
    </row>
    <row r="84" spans="1:14" ht="16.5">
      <c r="A84" s="2" t="str">
        <f t="shared" si="1"/>
        <v>711전체</v>
      </c>
      <c r="B84" s="142">
        <v>711</v>
      </c>
      <c r="C84" s="101" t="s">
        <v>1622</v>
      </c>
      <c r="D84" s="158">
        <v>0.872</v>
      </c>
      <c r="E84" s="158">
        <v>9.0999999999999998E-2</v>
      </c>
      <c r="F84" s="158">
        <v>4.0000000000000001E-3</v>
      </c>
      <c r="G84" s="158">
        <v>1.464</v>
      </c>
      <c r="H84" s="158">
        <v>0.47</v>
      </c>
      <c r="I84" s="158">
        <v>8.0000000000000002E-3</v>
      </c>
      <c r="J84" s="158">
        <v>0.32600000000000001</v>
      </c>
      <c r="K84" s="158">
        <v>10.96</v>
      </c>
      <c r="L84" s="158">
        <v>13.06</v>
      </c>
      <c r="M84" s="158">
        <v>32.49</v>
      </c>
      <c r="N84" s="158">
        <v>0.13700000000000001</v>
      </c>
    </row>
    <row r="85" spans="1:14" ht="16.5">
      <c r="A85" s="2" t="str">
        <f t="shared" si="1"/>
        <v>712전체</v>
      </c>
      <c r="B85" s="142">
        <v>712</v>
      </c>
      <c r="C85" s="101" t="s">
        <v>1622</v>
      </c>
      <c r="D85" s="158">
        <v>0.88400000000000001</v>
      </c>
      <c r="E85" s="158">
        <v>0.08</v>
      </c>
      <c r="F85" s="158">
        <v>3.0000000000000001E-3</v>
      </c>
      <c r="G85" s="158">
        <v>2.1179999999999999</v>
      </c>
      <c r="H85" s="158">
        <v>0.39800000000000002</v>
      </c>
      <c r="I85" s="158">
        <v>0.01</v>
      </c>
      <c r="J85" s="158">
        <v>0.193</v>
      </c>
      <c r="K85" s="158">
        <v>10.56</v>
      </c>
      <c r="L85" s="158">
        <v>17.41</v>
      </c>
      <c r="M85" s="158">
        <v>29.08</v>
      </c>
      <c r="N85" s="158">
        <v>0.11799999999999999</v>
      </c>
    </row>
    <row r="86" spans="1:14" ht="16.5">
      <c r="A86" s="2" t="str">
        <f t="shared" si="1"/>
        <v>721전체</v>
      </c>
      <c r="B86" s="142">
        <v>721</v>
      </c>
      <c r="C86" s="101" t="s">
        <v>1622</v>
      </c>
      <c r="D86" s="158">
        <v>0.81100000000000005</v>
      </c>
      <c r="E86" s="158">
        <v>0.14699999999999999</v>
      </c>
      <c r="F86" s="158">
        <v>3.0000000000000001E-3</v>
      </c>
      <c r="G86" s="158">
        <v>1.3640000000000001</v>
      </c>
      <c r="H86" s="158">
        <v>0.34599999999999997</v>
      </c>
      <c r="I86" s="158">
        <v>8.0000000000000002E-3</v>
      </c>
      <c r="J86" s="158">
        <v>0.26</v>
      </c>
      <c r="K86" s="158">
        <v>9.4600000000000009</v>
      </c>
      <c r="L86" s="158">
        <v>7.08</v>
      </c>
      <c r="M86" s="158">
        <v>15.89</v>
      </c>
      <c r="N86" s="158">
        <v>0.184</v>
      </c>
    </row>
    <row r="87" spans="1:14" ht="16.5">
      <c r="A87" s="2" t="str">
        <f t="shared" si="1"/>
        <v>722전체</v>
      </c>
      <c r="B87" s="142">
        <v>722</v>
      </c>
      <c r="C87" s="101" t="s">
        <v>1622</v>
      </c>
      <c r="D87" s="158">
        <v>0.83599999999999997</v>
      </c>
      <c r="E87" s="158">
        <v>9.8000000000000004E-2</v>
      </c>
      <c r="F87" s="158">
        <v>4.0000000000000001E-3</v>
      </c>
      <c r="G87" s="158">
        <v>1.3340000000000001</v>
      </c>
      <c r="H87" s="158">
        <v>0.42899999999999999</v>
      </c>
      <c r="I87" s="158">
        <v>4.0000000000000001E-3</v>
      </c>
      <c r="J87" s="158">
        <v>0.32500000000000001</v>
      </c>
      <c r="K87" s="158">
        <v>10.7</v>
      </c>
      <c r="L87" s="158">
        <v>6.21</v>
      </c>
      <c r="M87" s="158">
        <v>21.45</v>
      </c>
      <c r="N87" s="158">
        <v>0.20799999999999999</v>
      </c>
    </row>
    <row r="88" spans="1:14" ht="16.5">
      <c r="A88" s="2" t="str">
        <f t="shared" si="1"/>
        <v>730전체</v>
      </c>
      <c r="B88" s="142">
        <v>730</v>
      </c>
      <c r="C88" s="101" t="s">
        <v>1622</v>
      </c>
      <c r="D88" s="158">
        <v>0.82699999999999996</v>
      </c>
      <c r="E88" s="158">
        <v>0.127</v>
      </c>
      <c r="F88" s="158">
        <v>6.0000000000000001E-3</v>
      </c>
      <c r="G88" s="158">
        <v>1.4159999999999999</v>
      </c>
      <c r="H88" s="158">
        <v>0.47</v>
      </c>
      <c r="I88" s="158">
        <v>0.01</v>
      </c>
      <c r="J88" s="158">
        <v>0.33900000000000002</v>
      </c>
      <c r="K88" s="158">
        <v>8.4600000000000009</v>
      </c>
      <c r="L88" s="158">
        <v>8.49</v>
      </c>
      <c r="M88" s="158">
        <v>19.079999999999998</v>
      </c>
      <c r="N88" s="158">
        <v>0.184</v>
      </c>
    </row>
    <row r="89" spans="1:14" ht="16.5">
      <c r="A89" s="2" t="str">
        <f t="shared" si="1"/>
        <v>740전체</v>
      </c>
      <c r="B89" s="142">
        <v>740</v>
      </c>
      <c r="C89" s="101" t="s">
        <v>1622</v>
      </c>
      <c r="D89" s="158">
        <v>0.88200000000000001</v>
      </c>
      <c r="E89" s="158">
        <v>6.2E-2</v>
      </c>
      <c r="F89" s="158">
        <v>2E-3</v>
      </c>
      <c r="G89" s="158">
        <v>1.2230000000000001</v>
      </c>
      <c r="H89" s="158">
        <v>0.308</v>
      </c>
      <c r="I89" s="158">
        <v>1.0999999999999999E-2</v>
      </c>
      <c r="J89" s="158">
        <v>0.26100000000000001</v>
      </c>
      <c r="K89" s="158">
        <v>8.2200000000000006</v>
      </c>
      <c r="L89" s="158">
        <v>9.6199999999999992</v>
      </c>
      <c r="M89" s="158">
        <v>22.44</v>
      </c>
      <c r="N89" s="158">
        <v>0.18099999999999999</v>
      </c>
    </row>
    <row r="90" spans="1:14" ht="16.5">
      <c r="A90" s="2" t="str">
        <f t="shared" si="1"/>
        <v>750전체</v>
      </c>
      <c r="B90" s="142">
        <v>750</v>
      </c>
      <c r="C90" s="101" t="s">
        <v>1622</v>
      </c>
      <c r="D90" s="158">
        <v>0.68700000000000006</v>
      </c>
      <c r="E90" s="158">
        <v>0.26700000000000002</v>
      </c>
      <c r="F90" s="158">
        <v>0.01</v>
      </c>
      <c r="G90" s="158">
        <v>1.2290000000000001</v>
      </c>
      <c r="H90" s="158">
        <v>0.34699999999999998</v>
      </c>
      <c r="I90" s="158">
        <v>1.4E-2</v>
      </c>
      <c r="J90" s="158">
        <v>0.29299999999999998</v>
      </c>
      <c r="K90" s="158">
        <v>9.02</v>
      </c>
      <c r="L90" s="158">
        <v>12.16</v>
      </c>
      <c r="M90" s="158">
        <v>17.350000000000001</v>
      </c>
      <c r="N90" s="158">
        <v>0.13500000000000001</v>
      </c>
    </row>
    <row r="91" spans="1:14" ht="16.5">
      <c r="A91" s="2" t="str">
        <f t="shared" si="1"/>
        <v>761전체</v>
      </c>
      <c r="B91" s="142">
        <v>761</v>
      </c>
      <c r="C91" s="101" t="s">
        <v>1622</v>
      </c>
      <c r="D91" s="158">
        <v>0.83499999999999996</v>
      </c>
      <c r="E91" s="158">
        <v>0.112</v>
      </c>
      <c r="F91" s="158">
        <v>4.0000000000000001E-3</v>
      </c>
      <c r="G91" s="158">
        <v>1.0409999999999999</v>
      </c>
      <c r="H91" s="158">
        <v>0.36299999999999999</v>
      </c>
      <c r="I91" s="158">
        <v>8.0000000000000002E-3</v>
      </c>
      <c r="J91" s="158">
        <v>0.35599999999999998</v>
      </c>
      <c r="K91" s="158">
        <v>9.0500000000000007</v>
      </c>
      <c r="L91" s="158">
        <v>6.26</v>
      </c>
      <c r="M91" s="158">
        <v>22.88</v>
      </c>
      <c r="N91" s="158">
        <v>0.22700000000000001</v>
      </c>
    </row>
    <row r="92" spans="1:14" ht="16.5">
      <c r="A92" s="2" t="str">
        <f t="shared" si="1"/>
        <v>762전체</v>
      </c>
      <c r="B92" s="142">
        <v>762</v>
      </c>
      <c r="C92" s="101" t="s">
        <v>1622</v>
      </c>
      <c r="D92" s="158">
        <v>0.72899999999999998</v>
      </c>
      <c r="E92" s="158">
        <v>0.22</v>
      </c>
      <c r="F92" s="158">
        <v>4.0000000000000001E-3</v>
      </c>
      <c r="G92" s="158">
        <v>1.1850000000000001</v>
      </c>
      <c r="H92" s="158">
        <v>0.36699999999999999</v>
      </c>
      <c r="I92" s="158">
        <v>3.1E-2</v>
      </c>
      <c r="J92" s="158">
        <v>0.33600000000000002</v>
      </c>
      <c r="K92" s="158">
        <v>8.85</v>
      </c>
      <c r="L92" s="158">
        <v>9.7100000000000009</v>
      </c>
      <c r="M92" s="158">
        <v>16.63</v>
      </c>
      <c r="N92" s="158">
        <v>0.156</v>
      </c>
    </row>
    <row r="93" spans="1:14" ht="16.5">
      <c r="A93" s="2" t="str">
        <f t="shared" si="1"/>
        <v>770전체</v>
      </c>
      <c r="B93" s="142">
        <v>770</v>
      </c>
      <c r="C93" s="101" t="s">
        <v>1622</v>
      </c>
      <c r="D93" s="158">
        <v>0.84299999999999997</v>
      </c>
      <c r="E93" s="158">
        <v>0.11600000000000001</v>
      </c>
      <c r="F93" s="158">
        <v>2E-3</v>
      </c>
      <c r="G93" s="158">
        <v>1.238</v>
      </c>
      <c r="H93" s="158">
        <v>0.26700000000000002</v>
      </c>
      <c r="I93" s="158">
        <v>1.0999999999999999E-2</v>
      </c>
      <c r="J93" s="158">
        <v>0.22500000000000001</v>
      </c>
      <c r="K93" s="158">
        <v>7.87</v>
      </c>
      <c r="L93" s="158">
        <v>9.32</v>
      </c>
      <c r="M93" s="158">
        <v>18.39</v>
      </c>
      <c r="N93" s="158">
        <v>0.18</v>
      </c>
    </row>
    <row r="94" spans="1:14" ht="16.5">
      <c r="A94" s="2" t="str">
        <f t="shared" si="1"/>
        <v>791전체</v>
      </c>
      <c r="B94" s="142">
        <v>791</v>
      </c>
      <c r="C94" s="101" t="s">
        <v>1622</v>
      </c>
      <c r="D94" s="158">
        <v>0.66600000000000004</v>
      </c>
      <c r="E94" s="158">
        <v>0.29399999999999998</v>
      </c>
      <c r="F94" s="158">
        <v>1.2E-2</v>
      </c>
      <c r="G94" s="158">
        <v>0.621</v>
      </c>
      <c r="H94" s="158">
        <v>0.36499999999999999</v>
      </c>
      <c r="I94" s="158">
        <v>2.7E-2</v>
      </c>
      <c r="J94" s="158">
        <v>0.63200000000000001</v>
      </c>
      <c r="K94" s="158">
        <v>7.4</v>
      </c>
      <c r="L94" s="158">
        <v>14.29</v>
      </c>
      <c r="M94" s="158">
        <v>12.08</v>
      </c>
      <c r="N94" s="158">
        <v>0.122</v>
      </c>
    </row>
    <row r="95" spans="1:14" ht="16.5">
      <c r="A95" s="2" t="str">
        <f t="shared" si="1"/>
        <v>792전체</v>
      </c>
      <c r="B95" s="142">
        <v>792</v>
      </c>
      <c r="C95" s="101" t="s">
        <v>1622</v>
      </c>
      <c r="D95" s="158">
        <v>0.755</v>
      </c>
      <c r="E95" s="158">
        <v>0.20699999999999999</v>
      </c>
      <c r="F95" s="158">
        <v>1.0999999999999999E-2</v>
      </c>
      <c r="G95" s="158">
        <v>0.81699999999999995</v>
      </c>
      <c r="H95" s="158">
        <v>0.376</v>
      </c>
      <c r="I95" s="158">
        <v>2.7E-2</v>
      </c>
      <c r="J95" s="158">
        <v>0.49399999999999999</v>
      </c>
      <c r="K95" s="158">
        <v>10.67</v>
      </c>
      <c r="L95" s="158">
        <v>8.65</v>
      </c>
      <c r="M95" s="158">
        <v>16.12</v>
      </c>
      <c r="N95" s="158">
        <v>0.14699999999999999</v>
      </c>
    </row>
    <row r="96" spans="1:14" ht="16.5">
      <c r="A96" s="2" t="str">
        <f t="shared" si="1"/>
        <v>793전체</v>
      </c>
      <c r="B96" s="142">
        <v>793</v>
      </c>
      <c r="C96" s="101" t="s">
        <v>1622</v>
      </c>
      <c r="D96" s="158">
        <v>0.76100000000000001</v>
      </c>
      <c r="E96" s="158">
        <v>0.186</v>
      </c>
      <c r="F96" s="158">
        <v>6.0000000000000001E-3</v>
      </c>
      <c r="G96" s="158">
        <v>1.008</v>
      </c>
      <c r="H96" s="158">
        <v>0.38900000000000001</v>
      </c>
      <c r="I96" s="158">
        <v>6.0000000000000001E-3</v>
      </c>
      <c r="J96" s="158">
        <v>0.39200000000000002</v>
      </c>
      <c r="K96" s="158">
        <v>10.130000000000001</v>
      </c>
      <c r="L96" s="158">
        <v>14.76</v>
      </c>
      <c r="M96" s="158">
        <v>9.48</v>
      </c>
      <c r="N96" s="158">
        <v>6.0999999999999999E-2</v>
      </c>
    </row>
    <row r="97" spans="1:14" ht="16.5">
      <c r="A97" s="2" t="str">
        <f t="shared" si="1"/>
        <v>794전체</v>
      </c>
      <c r="B97" s="142">
        <v>794</v>
      </c>
      <c r="C97" s="101" t="s">
        <v>1622</v>
      </c>
      <c r="D97" s="158">
        <v>0.78600000000000003</v>
      </c>
      <c r="E97" s="158">
        <v>0.14499999999999999</v>
      </c>
      <c r="F97" s="158">
        <v>5.0000000000000001E-3</v>
      </c>
      <c r="G97" s="158">
        <v>1.2190000000000001</v>
      </c>
      <c r="H97" s="158">
        <v>0.432</v>
      </c>
      <c r="I97" s="158">
        <v>2.3E-2</v>
      </c>
      <c r="J97" s="158">
        <v>0.374</v>
      </c>
      <c r="K97" s="158">
        <v>6.84</v>
      </c>
      <c r="L97" s="158">
        <v>8.84</v>
      </c>
      <c r="M97" s="158">
        <v>12.49</v>
      </c>
      <c r="N97" s="158">
        <v>0.17899999999999999</v>
      </c>
    </row>
    <row r="98" spans="1:14" ht="16.5">
      <c r="A98" s="2" t="str">
        <f t="shared" si="1"/>
        <v>795전체</v>
      </c>
      <c r="B98" s="142">
        <v>795</v>
      </c>
      <c r="C98" s="101" t="s">
        <v>1622</v>
      </c>
      <c r="D98" s="158">
        <v>0.625</v>
      </c>
      <c r="E98" s="158">
        <v>0.26800000000000002</v>
      </c>
      <c r="F98" s="158">
        <v>6.0000000000000001E-3</v>
      </c>
      <c r="G98" s="158">
        <v>0.90800000000000003</v>
      </c>
      <c r="H98" s="158">
        <v>0.27300000000000002</v>
      </c>
      <c r="I98" s="158">
        <v>1.2E-2</v>
      </c>
      <c r="J98" s="158">
        <v>0.314</v>
      </c>
      <c r="K98" s="158">
        <v>9.02</v>
      </c>
      <c r="L98" s="158">
        <v>3.64</v>
      </c>
      <c r="M98" s="158">
        <v>18.57</v>
      </c>
      <c r="N98" s="158">
        <v>0.33200000000000002</v>
      </c>
    </row>
    <row r="99" spans="1:14" ht="16.5">
      <c r="A99" s="2" t="str">
        <f t="shared" si="1"/>
        <v>799전체</v>
      </c>
      <c r="B99" s="142">
        <v>799</v>
      </c>
      <c r="C99" s="101" t="s">
        <v>1622</v>
      </c>
      <c r="D99" s="158">
        <v>0.625</v>
      </c>
      <c r="E99" s="158">
        <v>0.26800000000000002</v>
      </c>
      <c r="F99" s="158">
        <v>6.0000000000000001E-3</v>
      </c>
      <c r="G99" s="158">
        <v>0.90800000000000003</v>
      </c>
      <c r="H99" s="158">
        <v>0.27300000000000002</v>
      </c>
      <c r="I99" s="158">
        <v>1.2E-2</v>
      </c>
      <c r="J99" s="158">
        <v>0.314</v>
      </c>
      <c r="K99" s="158">
        <v>9.02</v>
      </c>
      <c r="L99" s="158">
        <v>3.64</v>
      </c>
      <c r="M99" s="158">
        <v>18.57</v>
      </c>
      <c r="N99" s="158">
        <v>0.33200000000000002</v>
      </c>
    </row>
    <row r="100" spans="1:14" ht="16.5">
      <c r="A100" s="2" t="str">
        <f t="shared" si="1"/>
        <v>811전체</v>
      </c>
      <c r="B100" s="142">
        <v>811</v>
      </c>
      <c r="C100" s="101" t="s">
        <v>1622</v>
      </c>
      <c r="D100" s="158">
        <v>0.38500000000000001</v>
      </c>
      <c r="E100" s="158">
        <v>0.33700000000000002</v>
      </c>
      <c r="F100" s="158">
        <v>7.0000000000000001E-3</v>
      </c>
      <c r="G100" s="158">
        <v>0.505</v>
      </c>
      <c r="H100" s="158">
        <v>0.24399999999999999</v>
      </c>
      <c r="I100" s="158">
        <v>0.38100000000000001</v>
      </c>
      <c r="J100" s="158">
        <v>1.238</v>
      </c>
      <c r="K100" s="158">
        <v>5.0599999999999996</v>
      </c>
      <c r="L100" s="158">
        <v>15.33</v>
      </c>
      <c r="M100" s="158">
        <v>12.12</v>
      </c>
      <c r="N100" s="158">
        <v>0.18</v>
      </c>
    </row>
    <row r="101" spans="1:14" ht="16.5">
      <c r="A101" s="2" t="str">
        <f t="shared" si="1"/>
        <v>812전체</v>
      </c>
      <c r="B101" s="142">
        <v>812</v>
      </c>
      <c r="C101" s="101" t="s">
        <v>1622</v>
      </c>
      <c r="D101" s="158">
        <v>0.56000000000000005</v>
      </c>
      <c r="E101" s="158">
        <v>0.34</v>
      </c>
      <c r="F101" s="158">
        <v>8.0000000000000002E-3</v>
      </c>
      <c r="G101" s="158">
        <v>0.53100000000000003</v>
      </c>
      <c r="H101" s="158">
        <v>0.42199999999999999</v>
      </c>
      <c r="I101" s="158">
        <v>0.04</v>
      </c>
      <c r="J101" s="158">
        <v>0.86899999999999999</v>
      </c>
      <c r="K101" s="158">
        <v>4.22</v>
      </c>
      <c r="L101" s="158">
        <v>12.41</v>
      </c>
      <c r="M101" s="158">
        <v>18.82</v>
      </c>
      <c r="N101" s="158">
        <v>0.26400000000000001</v>
      </c>
    </row>
    <row r="102" spans="1:14" ht="16.5">
      <c r="A102" s="2" t="str">
        <f t="shared" si="1"/>
        <v>821전체</v>
      </c>
      <c r="B102" s="142">
        <v>821</v>
      </c>
      <c r="C102" s="101" t="s">
        <v>1622</v>
      </c>
      <c r="D102" s="158">
        <v>0.623</v>
      </c>
      <c r="E102" s="158">
        <v>0.32400000000000001</v>
      </c>
      <c r="F102" s="158">
        <v>1.6E-2</v>
      </c>
      <c r="G102" s="158">
        <v>0.88200000000000001</v>
      </c>
      <c r="H102" s="158">
        <v>0.622</v>
      </c>
      <c r="I102" s="158">
        <v>2.5999999999999999E-2</v>
      </c>
      <c r="J102" s="158">
        <v>0.73499999999999999</v>
      </c>
      <c r="K102" s="158">
        <v>9.6999999999999993</v>
      </c>
      <c r="L102" s="158">
        <v>9.39</v>
      </c>
      <c r="M102" s="158">
        <v>14.61</v>
      </c>
      <c r="N102" s="158">
        <v>0.14099999999999999</v>
      </c>
    </row>
    <row r="103" spans="1:14" ht="16.5">
      <c r="A103" s="2" t="str">
        <f t="shared" si="1"/>
        <v>822전체</v>
      </c>
      <c r="B103" s="142">
        <v>822</v>
      </c>
      <c r="C103" s="101" t="s">
        <v>1622</v>
      </c>
      <c r="D103" s="158">
        <v>0</v>
      </c>
      <c r="E103" s="158">
        <v>0</v>
      </c>
      <c r="F103" s="158">
        <v>0</v>
      </c>
      <c r="G103" s="158">
        <v>0</v>
      </c>
      <c r="H103" s="158">
        <v>0</v>
      </c>
      <c r="I103" s="158">
        <v>0</v>
      </c>
      <c r="J103" s="158">
        <v>0</v>
      </c>
      <c r="K103" s="158">
        <v>0</v>
      </c>
      <c r="L103" s="158">
        <v>0</v>
      </c>
      <c r="M103" s="158">
        <v>0</v>
      </c>
      <c r="N103" s="158">
        <v>0</v>
      </c>
    </row>
    <row r="104" spans="1:14" ht="16.5">
      <c r="A104" s="2" t="str">
        <f t="shared" si="1"/>
        <v>911전체</v>
      </c>
      <c r="B104" s="142">
        <v>911</v>
      </c>
      <c r="C104" s="101" t="s">
        <v>1622</v>
      </c>
      <c r="D104" s="158">
        <v>0.748</v>
      </c>
      <c r="E104" s="158">
        <v>0.19500000000000001</v>
      </c>
      <c r="F104" s="158">
        <v>5.0000000000000001E-3</v>
      </c>
      <c r="G104" s="158">
        <v>0.90200000000000002</v>
      </c>
      <c r="H104" s="158">
        <v>0.36299999999999999</v>
      </c>
      <c r="I104" s="158">
        <v>1.0999999999999999E-2</v>
      </c>
      <c r="J104" s="158">
        <v>0.41499999999999998</v>
      </c>
      <c r="K104" s="158">
        <v>6.84</v>
      </c>
      <c r="L104" s="158">
        <v>8.8800000000000008</v>
      </c>
      <c r="M104" s="158">
        <v>8.7200000000000006</v>
      </c>
      <c r="N104" s="158">
        <v>0.14399999999999999</v>
      </c>
    </row>
    <row r="105" spans="1:14" ht="16.5">
      <c r="A105" s="2" t="str">
        <f t="shared" si="1"/>
        <v>912전체</v>
      </c>
      <c r="B105" s="142">
        <v>912</v>
      </c>
      <c r="C105" s="101" t="s">
        <v>1622</v>
      </c>
      <c r="D105" s="158">
        <v>0.74</v>
      </c>
      <c r="E105" s="158">
        <v>0.217</v>
      </c>
      <c r="F105" s="158">
        <v>7.0000000000000001E-3</v>
      </c>
      <c r="G105" s="158">
        <v>1.1439999999999999</v>
      </c>
      <c r="H105" s="158">
        <v>0.35499999999999998</v>
      </c>
      <c r="I105" s="158">
        <v>4.4999999999999998E-2</v>
      </c>
      <c r="J105" s="158">
        <v>0.34899999999999998</v>
      </c>
      <c r="K105" s="158">
        <v>5.12</v>
      </c>
      <c r="L105" s="158">
        <v>8.06</v>
      </c>
      <c r="M105" s="158">
        <v>7.77</v>
      </c>
      <c r="N105" s="158">
        <v>0.191</v>
      </c>
    </row>
    <row r="106" spans="1:14" ht="16.5">
      <c r="A106" s="2" t="str">
        <f t="shared" si="1"/>
        <v>913전체</v>
      </c>
      <c r="B106" s="142">
        <v>913</v>
      </c>
      <c r="C106" s="101" t="s">
        <v>1622</v>
      </c>
      <c r="D106" s="158">
        <v>0.83199999999999996</v>
      </c>
      <c r="E106" s="158">
        <v>0.104</v>
      </c>
      <c r="F106" s="158">
        <v>4.0000000000000001E-3</v>
      </c>
      <c r="G106" s="158">
        <v>0.93799999999999994</v>
      </c>
      <c r="H106" s="158">
        <v>0.42199999999999999</v>
      </c>
      <c r="I106" s="158">
        <v>1.0999999999999999E-2</v>
      </c>
      <c r="J106" s="158">
        <v>0.46100000000000002</v>
      </c>
      <c r="K106" s="158">
        <v>5.48</v>
      </c>
      <c r="L106" s="158">
        <v>8.19</v>
      </c>
      <c r="M106" s="158">
        <v>10</v>
      </c>
      <c r="N106" s="158">
        <v>0.20499999999999999</v>
      </c>
    </row>
    <row r="107" spans="1:14" ht="16.5">
      <c r="A107" s="2" t="str">
        <f t="shared" si="1"/>
        <v>914전체</v>
      </c>
      <c r="B107" s="142">
        <v>914</v>
      </c>
      <c r="C107" s="101" t="s">
        <v>1622</v>
      </c>
      <c r="D107" s="158">
        <v>0.71899999999999997</v>
      </c>
      <c r="E107" s="158">
        <v>0.20200000000000001</v>
      </c>
      <c r="F107" s="158">
        <v>4.0000000000000001E-3</v>
      </c>
      <c r="G107" s="158">
        <v>1.232</v>
      </c>
      <c r="H107" s="158">
        <v>0.44400000000000001</v>
      </c>
      <c r="I107" s="158">
        <v>8.0000000000000002E-3</v>
      </c>
      <c r="J107" s="158">
        <v>0.36699999999999999</v>
      </c>
      <c r="K107" s="158">
        <v>6.83</v>
      </c>
      <c r="L107" s="158">
        <v>9.4600000000000009</v>
      </c>
      <c r="M107" s="158">
        <v>11.43</v>
      </c>
      <c r="N107" s="158">
        <v>0.16500000000000001</v>
      </c>
    </row>
    <row r="108" spans="1:14" ht="16.5">
      <c r="A108" s="2" t="str">
        <f t="shared" si="1"/>
        <v>915전체</v>
      </c>
      <c r="B108" s="142">
        <v>915</v>
      </c>
      <c r="C108" s="101" t="s">
        <v>1622</v>
      </c>
      <c r="D108" s="158">
        <v>0.82599999999999996</v>
      </c>
      <c r="E108" s="158">
        <v>0.10199999999999999</v>
      </c>
      <c r="F108" s="158">
        <v>4.0000000000000001E-3</v>
      </c>
      <c r="G108" s="158">
        <v>0.91100000000000003</v>
      </c>
      <c r="H108" s="158">
        <v>0.44500000000000001</v>
      </c>
      <c r="I108" s="158">
        <v>2.3E-2</v>
      </c>
      <c r="J108" s="158">
        <v>0.51400000000000001</v>
      </c>
      <c r="K108" s="158">
        <v>5.47</v>
      </c>
      <c r="L108" s="158">
        <v>10.01</v>
      </c>
      <c r="M108" s="158">
        <v>10.63</v>
      </c>
      <c r="N108" s="158">
        <v>0.189</v>
      </c>
    </row>
    <row r="109" spans="1:14" ht="16.5">
      <c r="A109" s="2" t="str">
        <f t="shared" si="1"/>
        <v>919전체</v>
      </c>
      <c r="B109" s="142">
        <v>919</v>
      </c>
      <c r="C109" s="101" t="s">
        <v>1622</v>
      </c>
      <c r="D109" s="158">
        <v>0.78300000000000003</v>
      </c>
      <c r="E109" s="158">
        <v>0.127</v>
      </c>
      <c r="F109" s="158">
        <v>6.0000000000000001E-3</v>
      </c>
      <c r="G109" s="158">
        <v>0.49099999999999999</v>
      </c>
      <c r="H109" s="158">
        <v>0.29399999999999998</v>
      </c>
      <c r="I109" s="158">
        <v>0.01</v>
      </c>
      <c r="J109" s="158">
        <v>0.62</v>
      </c>
      <c r="K109" s="158">
        <v>5.99</v>
      </c>
      <c r="L109" s="158">
        <v>8.11</v>
      </c>
      <c r="M109" s="158">
        <v>10.63</v>
      </c>
      <c r="N109" s="158">
        <v>0.19600000000000001</v>
      </c>
    </row>
    <row r="110" spans="1:14" ht="16.5">
      <c r="A110" s="2" t="str">
        <f t="shared" si="1"/>
        <v>921전체</v>
      </c>
      <c r="B110" s="142">
        <v>921</v>
      </c>
      <c r="C110" s="101" t="s">
        <v>1622</v>
      </c>
      <c r="D110" s="158">
        <v>0.77900000000000003</v>
      </c>
      <c r="E110" s="158">
        <v>0.16700000000000001</v>
      </c>
      <c r="F110" s="158">
        <v>1.7999999999999999E-2</v>
      </c>
      <c r="G110" s="158">
        <v>0.871</v>
      </c>
      <c r="H110" s="158">
        <v>0.41199999999999998</v>
      </c>
      <c r="I110" s="158">
        <v>2.8000000000000001E-2</v>
      </c>
      <c r="J110" s="158">
        <v>0.505</v>
      </c>
      <c r="K110" s="158">
        <v>9.68</v>
      </c>
      <c r="L110" s="158">
        <v>59.24</v>
      </c>
      <c r="M110" s="158">
        <v>44.6</v>
      </c>
      <c r="N110" s="158">
        <v>9.8000000000000004E-2</v>
      </c>
    </row>
    <row r="111" spans="1:14" ht="16.5">
      <c r="A111" s="2" t="str">
        <f t="shared" si="1"/>
        <v>922전체</v>
      </c>
      <c r="B111" s="142">
        <v>922</v>
      </c>
      <c r="C111" s="101" t="s">
        <v>1622</v>
      </c>
      <c r="D111" s="158">
        <v>0.55500000000000005</v>
      </c>
      <c r="E111" s="158">
        <v>0.34899999999999998</v>
      </c>
      <c r="F111" s="158">
        <v>1.6E-2</v>
      </c>
      <c r="G111" s="158">
        <v>0.92900000000000005</v>
      </c>
      <c r="H111" s="158">
        <v>0.14099999999999999</v>
      </c>
      <c r="I111" s="158">
        <v>0.09</v>
      </c>
      <c r="J111" s="158">
        <v>0.249</v>
      </c>
      <c r="K111" s="158">
        <v>6</v>
      </c>
      <c r="L111" s="158">
        <v>42.75</v>
      </c>
      <c r="M111" s="158">
        <v>14.01</v>
      </c>
      <c r="N111" s="158">
        <v>0.11899999999999999</v>
      </c>
    </row>
    <row r="112" spans="1:14" ht="16.5">
      <c r="A112" s="2" t="str">
        <f t="shared" si="1"/>
        <v>923전체</v>
      </c>
      <c r="B112" s="142">
        <v>923</v>
      </c>
      <c r="C112" s="101" t="s">
        <v>1622</v>
      </c>
      <c r="D112" s="158">
        <v>0.35599999999999998</v>
      </c>
      <c r="E112" s="158">
        <v>0.55000000000000004</v>
      </c>
      <c r="F112" s="158">
        <v>3.4000000000000002E-2</v>
      </c>
      <c r="G112" s="158">
        <v>0.89800000000000002</v>
      </c>
      <c r="H112" s="158">
        <v>0.437</v>
      </c>
      <c r="I112" s="158">
        <v>1.6E-2</v>
      </c>
      <c r="J112" s="158">
        <v>0.504</v>
      </c>
      <c r="K112" s="158">
        <v>6.66</v>
      </c>
      <c r="L112" s="158">
        <v>81.58</v>
      </c>
      <c r="M112" s="158">
        <v>68.569999999999993</v>
      </c>
      <c r="N112" s="158">
        <v>0.14799999999999999</v>
      </c>
    </row>
    <row r="113" spans="1:14" ht="16.5">
      <c r="A113" s="2" t="str">
        <f t="shared" si="1"/>
        <v>924전체</v>
      </c>
      <c r="B113" s="142">
        <v>924</v>
      </c>
      <c r="C113" s="101" t="s">
        <v>1622</v>
      </c>
      <c r="D113" s="158">
        <v>0.69799999999999995</v>
      </c>
      <c r="E113" s="158">
        <v>0.20399999999999999</v>
      </c>
      <c r="F113" s="158">
        <v>1.0999999999999999E-2</v>
      </c>
      <c r="G113" s="158">
        <v>0.83299999999999996</v>
      </c>
      <c r="H113" s="158">
        <v>0.41199999999999998</v>
      </c>
      <c r="I113" s="158">
        <v>5.8000000000000003E-2</v>
      </c>
      <c r="J113" s="158">
        <v>0.56399999999999995</v>
      </c>
      <c r="K113" s="158">
        <v>10.17</v>
      </c>
      <c r="L113" s="158">
        <v>28.03</v>
      </c>
      <c r="M113" s="158">
        <v>32.18</v>
      </c>
      <c r="N113" s="158">
        <v>0.10299999999999999</v>
      </c>
    </row>
    <row r="114" spans="1:14" ht="16.5">
      <c r="A114" s="2" t="str">
        <f t="shared" si="1"/>
        <v>929전체</v>
      </c>
      <c r="B114" s="142">
        <v>929</v>
      </c>
      <c r="C114" s="101" t="s">
        <v>1622</v>
      </c>
      <c r="D114" s="158">
        <v>0.48499999999999999</v>
      </c>
      <c r="E114" s="158">
        <v>0.433</v>
      </c>
      <c r="F114" s="158">
        <v>1.4E-2</v>
      </c>
      <c r="G114" s="158">
        <v>0.97</v>
      </c>
      <c r="H114" s="158">
        <v>0.161</v>
      </c>
      <c r="I114" s="158">
        <v>2.7E-2</v>
      </c>
      <c r="J114" s="158">
        <v>0.19400000000000001</v>
      </c>
      <c r="K114" s="158">
        <v>7.67</v>
      </c>
      <c r="L114" s="158">
        <v>32.58</v>
      </c>
      <c r="M114" s="158">
        <v>27.26</v>
      </c>
      <c r="N114" s="158">
        <v>0.124</v>
      </c>
    </row>
    <row r="115" spans="1:14" ht="16.5">
      <c r="A115" s="2" t="str">
        <f t="shared" si="1"/>
        <v>111상위25%</v>
      </c>
      <c r="B115" s="142">
        <v>111</v>
      </c>
      <c r="C115" s="101" t="s">
        <v>1623</v>
      </c>
      <c r="D115" s="158">
        <v>0.38200000000000001</v>
      </c>
      <c r="E115" s="158">
        <v>0.249</v>
      </c>
      <c r="F115" s="158">
        <v>2.3E-2</v>
      </c>
      <c r="G115" s="158">
        <v>0.49</v>
      </c>
      <c r="H115" s="158">
        <v>0.65900000000000003</v>
      </c>
      <c r="I115" s="158">
        <v>8.9999999999999993E-3</v>
      </c>
      <c r="J115" s="158">
        <v>1.3620000000000001</v>
      </c>
      <c r="K115" s="158">
        <v>8.75</v>
      </c>
      <c r="L115" s="158">
        <v>9.0399999999999991</v>
      </c>
      <c r="M115" s="158">
        <v>41.23</v>
      </c>
      <c r="N115" s="158">
        <v>0.20100000000000001</v>
      </c>
    </row>
    <row r="116" spans="1:14" ht="16.5">
      <c r="A116" s="2" t="str">
        <f t="shared" si="1"/>
        <v>112상위25%</v>
      </c>
      <c r="B116" s="142">
        <v>112</v>
      </c>
      <c r="C116" s="101" t="s">
        <v>1623</v>
      </c>
      <c r="D116" s="158">
        <v>0.40799999999999997</v>
      </c>
      <c r="E116" s="158">
        <v>0.35799999999999998</v>
      </c>
      <c r="F116" s="158">
        <v>0.01</v>
      </c>
      <c r="G116" s="158">
        <v>0.54500000000000004</v>
      </c>
      <c r="H116" s="158">
        <v>0.16300000000000001</v>
      </c>
      <c r="I116" s="158">
        <v>0</v>
      </c>
      <c r="J116" s="158">
        <v>0.29899999999999999</v>
      </c>
      <c r="K116" s="158">
        <v>4.3600000000000003</v>
      </c>
      <c r="L116" s="158">
        <v>1.94</v>
      </c>
      <c r="M116" s="158">
        <v>13.94</v>
      </c>
      <c r="N116" s="158">
        <v>0.67200000000000004</v>
      </c>
    </row>
    <row r="117" spans="1:14" ht="16.5">
      <c r="A117" s="2" t="str">
        <f t="shared" si="1"/>
        <v>113상위25%</v>
      </c>
      <c r="B117" s="142">
        <v>113</v>
      </c>
      <c r="C117" s="101" t="s">
        <v>1623</v>
      </c>
      <c r="D117" s="158">
        <v>0.65300000000000002</v>
      </c>
      <c r="E117" s="158">
        <v>0.14399999999999999</v>
      </c>
      <c r="F117" s="158">
        <v>8.9999999999999993E-3</v>
      </c>
      <c r="G117" s="158">
        <v>0.24</v>
      </c>
      <c r="H117" s="158">
        <v>0.80400000000000005</v>
      </c>
      <c r="I117" s="158">
        <v>0</v>
      </c>
      <c r="J117" s="158">
        <v>3.347</v>
      </c>
      <c r="K117" s="158">
        <v>6.57</v>
      </c>
      <c r="L117" s="158">
        <v>7.11</v>
      </c>
      <c r="M117" s="158">
        <v>9.61</v>
      </c>
      <c r="N117" s="158">
        <v>0.189</v>
      </c>
    </row>
    <row r="118" spans="1:14" ht="16.5">
      <c r="A118" s="2" t="str">
        <f t="shared" si="1"/>
        <v>114상위25%</v>
      </c>
      <c r="B118" s="142">
        <v>114</v>
      </c>
      <c r="C118" s="101" t="s">
        <v>1623</v>
      </c>
      <c r="D118" s="158">
        <v>0.51400000000000001</v>
      </c>
      <c r="E118" s="158">
        <v>0.20499999999999999</v>
      </c>
      <c r="F118" s="158">
        <v>8.0000000000000002E-3</v>
      </c>
      <c r="G118" s="158">
        <v>0.59199999999999997</v>
      </c>
      <c r="H118" s="158">
        <v>0.59199999999999997</v>
      </c>
      <c r="I118" s="158">
        <v>3.1E-2</v>
      </c>
      <c r="J118" s="158">
        <v>1.054</v>
      </c>
      <c r="K118" s="158">
        <v>5.34</v>
      </c>
      <c r="L118" s="158">
        <v>11.35</v>
      </c>
      <c r="M118" s="158">
        <v>36.270000000000003</v>
      </c>
      <c r="N118" s="158">
        <v>0.248</v>
      </c>
    </row>
    <row r="119" spans="1:14" ht="16.5">
      <c r="A119" s="2" t="str">
        <f t="shared" si="1"/>
        <v>115상위25%</v>
      </c>
      <c r="B119" s="142">
        <v>115</v>
      </c>
      <c r="C119" s="101" t="s">
        <v>1623</v>
      </c>
      <c r="D119" s="158">
        <v>0.10199999999999999</v>
      </c>
      <c r="E119" s="158">
        <v>0.26</v>
      </c>
      <c r="F119" s="158">
        <v>4.0000000000000001E-3</v>
      </c>
      <c r="G119" s="158">
        <v>6.3E-2</v>
      </c>
      <c r="H119" s="158">
        <v>0.90600000000000003</v>
      </c>
      <c r="I119" s="158">
        <v>0</v>
      </c>
      <c r="J119" s="158">
        <v>14.412000000000001</v>
      </c>
      <c r="K119" s="158">
        <v>23.69</v>
      </c>
      <c r="L119" s="158">
        <v>0</v>
      </c>
      <c r="M119" s="158">
        <v>0</v>
      </c>
      <c r="N119" s="158">
        <v>0</v>
      </c>
    </row>
    <row r="120" spans="1:14" ht="16.5">
      <c r="A120" s="2" t="str">
        <f t="shared" si="1"/>
        <v>119상위25%</v>
      </c>
      <c r="B120" s="142">
        <v>119</v>
      </c>
      <c r="C120" s="101" t="s">
        <v>1623</v>
      </c>
      <c r="D120" s="158">
        <v>0.47799999999999998</v>
      </c>
      <c r="E120" s="158">
        <v>0.38900000000000001</v>
      </c>
      <c r="F120" s="158">
        <v>0</v>
      </c>
      <c r="G120" s="158">
        <v>0.311</v>
      </c>
      <c r="H120" s="158">
        <v>0.84899999999999998</v>
      </c>
      <c r="I120" s="158">
        <v>0</v>
      </c>
      <c r="J120" s="158">
        <v>2.7309999999999999</v>
      </c>
      <c r="K120" s="158">
        <v>10.4</v>
      </c>
      <c r="L120" s="158">
        <v>6.91</v>
      </c>
      <c r="M120" s="158">
        <v>0</v>
      </c>
      <c r="N120" s="158">
        <v>0</v>
      </c>
    </row>
    <row r="121" spans="1:14" ht="16.5">
      <c r="A121" s="2" t="str">
        <f t="shared" si="1"/>
        <v>121상위25%</v>
      </c>
      <c r="B121" s="142">
        <v>121</v>
      </c>
      <c r="C121" s="101" t="s">
        <v>1623</v>
      </c>
      <c r="D121" s="158">
        <v>0.499</v>
      </c>
      <c r="E121" s="158">
        <v>0.30599999999999999</v>
      </c>
      <c r="F121" s="158">
        <v>0.01</v>
      </c>
      <c r="G121" s="158">
        <v>1.2230000000000001</v>
      </c>
      <c r="H121" s="158">
        <v>0.49</v>
      </c>
      <c r="I121" s="158">
        <v>0</v>
      </c>
      <c r="J121" s="158">
        <v>0.40100000000000002</v>
      </c>
      <c r="K121" s="158">
        <v>7.79</v>
      </c>
      <c r="L121" s="158">
        <v>49.22</v>
      </c>
      <c r="M121" s="158">
        <v>38.159999999999997</v>
      </c>
      <c r="N121" s="158">
        <v>0.123</v>
      </c>
    </row>
    <row r="122" spans="1:14" ht="16.5">
      <c r="A122" s="2" t="str">
        <f t="shared" si="1"/>
        <v>122상위25%</v>
      </c>
      <c r="B122" s="142">
        <v>122</v>
      </c>
      <c r="C122" s="101" t="s">
        <v>1623</v>
      </c>
      <c r="D122" s="158">
        <v>0.77</v>
      </c>
      <c r="E122" s="158">
        <v>1.9E-2</v>
      </c>
      <c r="F122" s="158">
        <v>2E-3</v>
      </c>
      <c r="G122" s="158">
        <v>0.61499999999999999</v>
      </c>
      <c r="H122" s="158">
        <v>0.13100000000000001</v>
      </c>
      <c r="I122" s="158">
        <v>0</v>
      </c>
      <c r="J122" s="158">
        <v>0.21299999999999999</v>
      </c>
      <c r="K122" s="158">
        <v>217.23</v>
      </c>
      <c r="L122" s="158">
        <v>0.77</v>
      </c>
      <c r="M122" s="158">
        <v>197.15</v>
      </c>
      <c r="N122" s="158">
        <v>1.2989999999999999</v>
      </c>
    </row>
    <row r="123" spans="1:14" ht="16.5">
      <c r="A123" s="2" t="str">
        <f t="shared" si="1"/>
        <v>123상위25%</v>
      </c>
      <c r="B123" s="142">
        <v>123</v>
      </c>
      <c r="C123" s="101" t="s">
        <v>1623</v>
      </c>
      <c r="D123" s="158">
        <v>0.58599999999999997</v>
      </c>
      <c r="E123" s="158">
        <v>5.2999999999999999E-2</v>
      </c>
      <c r="F123" s="158">
        <v>5.0000000000000001E-3</v>
      </c>
      <c r="G123" s="158">
        <v>1.1399999999999999</v>
      </c>
      <c r="H123" s="158">
        <v>0.61499999999999999</v>
      </c>
      <c r="I123" s="158">
        <v>8.0000000000000002E-3</v>
      </c>
      <c r="J123" s="158">
        <v>0.54600000000000004</v>
      </c>
      <c r="K123" s="158">
        <v>7.91</v>
      </c>
      <c r="L123" s="158">
        <v>17.62</v>
      </c>
      <c r="M123" s="158">
        <v>22.06</v>
      </c>
      <c r="N123" s="158">
        <v>0.13800000000000001</v>
      </c>
    </row>
    <row r="124" spans="1:14" ht="16.5">
      <c r="A124" s="2" t="str">
        <f t="shared" si="1"/>
        <v>124상위25%</v>
      </c>
      <c r="B124" s="142">
        <v>124</v>
      </c>
      <c r="C124" s="101" t="s">
        <v>1623</v>
      </c>
      <c r="D124" s="158">
        <v>0.54500000000000004</v>
      </c>
      <c r="E124" s="158">
        <v>0.2</v>
      </c>
      <c r="F124" s="158">
        <v>1.4E-2</v>
      </c>
      <c r="G124" s="158">
        <v>0.84</v>
      </c>
      <c r="H124" s="158">
        <v>0.61799999999999999</v>
      </c>
      <c r="I124" s="158">
        <v>0</v>
      </c>
      <c r="J124" s="158">
        <v>0.73599999999999999</v>
      </c>
      <c r="K124" s="158">
        <v>12.49</v>
      </c>
      <c r="L124" s="158">
        <v>17.29</v>
      </c>
      <c r="M124" s="158">
        <v>32.700000000000003</v>
      </c>
      <c r="N124" s="158">
        <v>0.107</v>
      </c>
    </row>
    <row r="125" spans="1:14" ht="16.5">
      <c r="A125" s="2" t="str">
        <f t="shared" si="1"/>
        <v>129상위25%</v>
      </c>
      <c r="B125" s="142">
        <v>129</v>
      </c>
      <c r="C125" s="101" t="s">
        <v>1623</v>
      </c>
      <c r="D125" s="158">
        <v>0.64300000000000002</v>
      </c>
      <c r="E125" s="158">
        <v>3.5000000000000003E-2</v>
      </c>
      <c r="F125" s="158">
        <v>2E-3</v>
      </c>
      <c r="G125" s="158">
        <v>0.74199999999999999</v>
      </c>
      <c r="H125" s="158">
        <v>0.60499999999999998</v>
      </c>
      <c r="I125" s="158">
        <v>0</v>
      </c>
      <c r="J125" s="158">
        <v>0.81499999999999995</v>
      </c>
      <c r="K125" s="158">
        <v>23.03</v>
      </c>
      <c r="L125" s="158">
        <v>5.2</v>
      </c>
      <c r="M125" s="158">
        <v>28.99</v>
      </c>
      <c r="N125" s="158">
        <v>0.20100000000000001</v>
      </c>
    </row>
    <row r="126" spans="1:14" ht="16.5">
      <c r="A126" s="2" t="str">
        <f t="shared" si="1"/>
        <v>211상위25%</v>
      </c>
      <c r="B126" s="142">
        <v>211</v>
      </c>
      <c r="C126" s="101" t="s">
        <v>1623</v>
      </c>
      <c r="D126" s="158">
        <v>0.74199999999999999</v>
      </c>
      <c r="E126" s="158">
        <v>0.112</v>
      </c>
      <c r="F126" s="158">
        <v>6.0000000000000001E-3</v>
      </c>
      <c r="G126" s="158">
        <v>0.626</v>
      </c>
      <c r="H126" s="158">
        <v>0.55200000000000005</v>
      </c>
      <c r="I126" s="158">
        <v>1E-3</v>
      </c>
      <c r="J126" s="158">
        <v>0.88400000000000001</v>
      </c>
      <c r="K126" s="158">
        <v>3.54</v>
      </c>
      <c r="L126" s="158">
        <v>7.11</v>
      </c>
      <c r="M126" s="158">
        <v>15.73</v>
      </c>
      <c r="N126" s="158">
        <v>0.36</v>
      </c>
    </row>
    <row r="127" spans="1:14" ht="16.5">
      <c r="A127" s="2" t="str">
        <f t="shared" si="1"/>
        <v>212상위25%</v>
      </c>
      <c r="B127" s="142">
        <v>212</v>
      </c>
      <c r="C127" s="101" t="s">
        <v>1623</v>
      </c>
      <c r="D127" s="158">
        <v>0.36599999999999999</v>
      </c>
      <c r="E127" s="158">
        <v>0.219</v>
      </c>
      <c r="F127" s="158">
        <v>1.0999999999999999E-2</v>
      </c>
      <c r="G127" s="158">
        <v>0.34599999999999997</v>
      </c>
      <c r="H127" s="158">
        <v>0.14599999999999999</v>
      </c>
      <c r="I127" s="158">
        <v>3.0000000000000001E-3</v>
      </c>
      <c r="J127" s="158">
        <v>0.432</v>
      </c>
      <c r="K127" s="158">
        <v>3.48</v>
      </c>
      <c r="L127" s="158">
        <v>3.44</v>
      </c>
      <c r="M127" s="158">
        <v>87.48</v>
      </c>
      <c r="N127" s="158">
        <v>0.56599999999999995</v>
      </c>
    </row>
    <row r="128" spans="1:14" ht="16.5">
      <c r="A128" s="2" t="str">
        <f t="shared" si="1"/>
        <v>213상위25%</v>
      </c>
      <c r="B128" s="142">
        <v>213</v>
      </c>
      <c r="C128" s="101" t="s">
        <v>1623</v>
      </c>
      <c r="D128" s="158">
        <v>0.80300000000000005</v>
      </c>
      <c r="E128" s="158">
        <v>4.9000000000000002E-2</v>
      </c>
      <c r="F128" s="158">
        <v>2E-3</v>
      </c>
      <c r="G128" s="158">
        <v>0.64200000000000002</v>
      </c>
      <c r="H128" s="158">
        <v>0.16800000000000001</v>
      </c>
      <c r="I128" s="158">
        <v>2E-3</v>
      </c>
      <c r="J128" s="158">
        <v>0.26400000000000001</v>
      </c>
      <c r="K128" s="158">
        <v>5.51</v>
      </c>
      <c r="L128" s="158">
        <v>3.29</v>
      </c>
      <c r="M128" s="158">
        <v>31.56</v>
      </c>
      <c r="N128" s="158">
        <v>0.45300000000000001</v>
      </c>
    </row>
    <row r="129" spans="1:14" ht="16.5">
      <c r="A129" s="2" t="str">
        <f t="shared" si="1"/>
        <v>214상위25%</v>
      </c>
      <c r="B129" s="142">
        <v>214</v>
      </c>
      <c r="C129" s="101" t="s">
        <v>1623</v>
      </c>
      <c r="D129" s="158">
        <v>0.46200000000000002</v>
      </c>
      <c r="E129" s="158">
        <v>0.25800000000000001</v>
      </c>
      <c r="F129" s="158">
        <v>7.0000000000000001E-3</v>
      </c>
      <c r="G129" s="158">
        <v>0.33400000000000002</v>
      </c>
      <c r="H129" s="158">
        <v>0.23699999999999999</v>
      </c>
      <c r="I129" s="158">
        <v>5.3999999999999999E-2</v>
      </c>
      <c r="J129" s="158">
        <v>0.873</v>
      </c>
      <c r="K129" s="158">
        <v>3.37</v>
      </c>
      <c r="L129" s="158">
        <v>5.79</v>
      </c>
      <c r="M129" s="158">
        <v>21.1</v>
      </c>
      <c r="N129" s="158">
        <v>0.42199999999999999</v>
      </c>
    </row>
    <row r="130" spans="1:14" ht="16.5">
      <c r="A130" s="2" t="str">
        <f t="shared" si="1"/>
        <v>215상위25%</v>
      </c>
      <c r="B130" s="142">
        <v>215</v>
      </c>
      <c r="C130" s="101" t="s">
        <v>1623</v>
      </c>
      <c r="D130" s="158">
        <v>0.379</v>
      </c>
      <c r="E130" s="158">
        <v>0.435</v>
      </c>
      <c r="F130" s="158">
        <v>1.2999999999999999E-2</v>
      </c>
      <c r="G130" s="158">
        <v>0.95799999999999996</v>
      </c>
      <c r="H130" s="158">
        <v>0.34499999999999997</v>
      </c>
      <c r="I130" s="158">
        <v>3.4000000000000002E-2</v>
      </c>
      <c r="J130" s="158">
        <v>0.39600000000000002</v>
      </c>
      <c r="K130" s="158">
        <v>9.4</v>
      </c>
      <c r="L130" s="158">
        <v>13.91</v>
      </c>
      <c r="M130" s="158">
        <v>23.97</v>
      </c>
      <c r="N130" s="158">
        <v>0.13700000000000001</v>
      </c>
    </row>
    <row r="131" spans="1:14" ht="16.5">
      <c r="A131" s="2" t="str">
        <f t="shared" ref="A131:A194" si="2">B131&amp;C131</f>
        <v>219상위25%</v>
      </c>
      <c r="B131" s="142">
        <v>219</v>
      </c>
      <c r="C131" s="101" t="s">
        <v>1623</v>
      </c>
      <c r="D131" s="158">
        <v>0.64700000000000002</v>
      </c>
      <c r="E131" s="158">
        <v>0.14799999999999999</v>
      </c>
      <c r="F131" s="158">
        <v>5.0000000000000001E-3</v>
      </c>
      <c r="G131" s="158">
        <v>0.54100000000000004</v>
      </c>
      <c r="H131" s="158">
        <v>0.19900000000000001</v>
      </c>
      <c r="I131" s="158">
        <v>6.6000000000000003E-2</v>
      </c>
      <c r="J131" s="158">
        <v>0.49</v>
      </c>
      <c r="K131" s="158">
        <v>5.86</v>
      </c>
      <c r="L131" s="158">
        <v>10.23</v>
      </c>
      <c r="M131" s="158">
        <v>12.88</v>
      </c>
      <c r="N131" s="158">
        <v>0.191</v>
      </c>
    </row>
    <row r="132" spans="1:14" ht="16.5">
      <c r="A132" s="2" t="str">
        <f t="shared" si="2"/>
        <v>221상위25%</v>
      </c>
      <c r="B132" s="142">
        <v>221</v>
      </c>
      <c r="C132" s="101" t="s">
        <v>1623</v>
      </c>
      <c r="D132" s="158">
        <v>0.78200000000000003</v>
      </c>
      <c r="E132" s="158">
        <v>9.8000000000000004E-2</v>
      </c>
      <c r="F132" s="158">
        <v>6.0000000000000001E-3</v>
      </c>
      <c r="G132" s="158">
        <v>1.042</v>
      </c>
      <c r="H132" s="158">
        <v>0.40400000000000003</v>
      </c>
      <c r="I132" s="158">
        <v>5.7000000000000002E-2</v>
      </c>
      <c r="J132" s="158">
        <v>0.442</v>
      </c>
      <c r="K132" s="158">
        <v>5.94</v>
      </c>
      <c r="L132" s="158">
        <v>10.59</v>
      </c>
      <c r="M132" s="158">
        <v>14.96</v>
      </c>
      <c r="N132" s="158">
        <v>0.19600000000000001</v>
      </c>
    </row>
    <row r="133" spans="1:14" ht="16.5">
      <c r="A133" s="2" t="str">
        <f t="shared" si="2"/>
        <v>222상위25%</v>
      </c>
      <c r="B133" s="142">
        <v>222</v>
      </c>
      <c r="C133" s="101" t="s">
        <v>1623</v>
      </c>
      <c r="D133" s="158">
        <v>0.55700000000000005</v>
      </c>
      <c r="E133" s="158">
        <v>0.26600000000000001</v>
      </c>
      <c r="F133" s="158">
        <v>6.0000000000000001E-3</v>
      </c>
      <c r="G133" s="158">
        <v>0.94599999999999995</v>
      </c>
      <c r="H133" s="158">
        <v>0.38200000000000001</v>
      </c>
      <c r="I133" s="158">
        <v>3.3000000000000002E-2</v>
      </c>
      <c r="J133" s="158">
        <v>0.439</v>
      </c>
      <c r="K133" s="158">
        <v>7.39</v>
      </c>
      <c r="L133" s="158">
        <v>6.61</v>
      </c>
      <c r="M133" s="158">
        <v>9.24</v>
      </c>
      <c r="N133" s="158">
        <v>0.17799999999999999</v>
      </c>
    </row>
    <row r="134" spans="1:14" ht="16.5">
      <c r="A134" s="2" t="str">
        <f t="shared" si="2"/>
        <v>223상위25%</v>
      </c>
      <c r="B134" s="142">
        <v>223</v>
      </c>
      <c r="C134" s="101" t="s">
        <v>1623</v>
      </c>
      <c r="D134" s="158">
        <v>0.746</v>
      </c>
      <c r="E134" s="158">
        <v>0.105</v>
      </c>
      <c r="F134" s="158">
        <v>4.0000000000000001E-3</v>
      </c>
      <c r="G134" s="158">
        <v>0.78400000000000003</v>
      </c>
      <c r="H134" s="158">
        <v>0.41599999999999998</v>
      </c>
      <c r="I134" s="158">
        <v>2.5999999999999999E-2</v>
      </c>
      <c r="J134" s="158">
        <v>0.56399999999999995</v>
      </c>
      <c r="K134" s="158">
        <v>5.46</v>
      </c>
      <c r="L134" s="158">
        <v>12.07</v>
      </c>
      <c r="M134" s="158">
        <v>12.97</v>
      </c>
      <c r="N134" s="158">
        <v>0.189</v>
      </c>
    </row>
    <row r="135" spans="1:14" ht="16.5">
      <c r="A135" s="2" t="str">
        <f t="shared" si="2"/>
        <v>224상위25%</v>
      </c>
      <c r="B135" s="142">
        <v>224</v>
      </c>
      <c r="C135" s="101" t="s">
        <v>1623</v>
      </c>
      <c r="D135" s="158">
        <v>0.71399999999999997</v>
      </c>
      <c r="E135" s="158">
        <v>0.11799999999999999</v>
      </c>
      <c r="F135" s="158">
        <v>6.0000000000000001E-3</v>
      </c>
      <c r="G135" s="158">
        <v>0.78500000000000003</v>
      </c>
      <c r="H135" s="158">
        <v>0.49399999999999999</v>
      </c>
      <c r="I135" s="158">
        <v>8.9999999999999993E-3</v>
      </c>
      <c r="J135" s="158">
        <v>0.64100000000000001</v>
      </c>
      <c r="K135" s="158">
        <v>4.87</v>
      </c>
      <c r="L135" s="158">
        <v>10.41</v>
      </c>
      <c r="M135" s="158">
        <v>13.98</v>
      </c>
      <c r="N135" s="158">
        <v>0.23</v>
      </c>
    </row>
    <row r="136" spans="1:14" ht="16.5">
      <c r="A136" s="2" t="str">
        <f t="shared" si="2"/>
        <v>225상위25%</v>
      </c>
      <c r="B136" s="142">
        <v>225</v>
      </c>
      <c r="C136" s="101" t="s">
        <v>1623</v>
      </c>
      <c r="D136" s="158">
        <v>0.72399999999999998</v>
      </c>
      <c r="E136" s="158">
        <v>0.13300000000000001</v>
      </c>
      <c r="F136" s="158">
        <v>6.0000000000000001E-3</v>
      </c>
      <c r="G136" s="158">
        <v>0.68</v>
      </c>
      <c r="H136" s="158">
        <v>0.36</v>
      </c>
      <c r="I136" s="158">
        <v>6.0000000000000001E-3</v>
      </c>
      <c r="J136" s="158">
        <v>0.53900000000000003</v>
      </c>
      <c r="K136" s="158">
        <v>5.45</v>
      </c>
      <c r="L136" s="158">
        <v>7.53</v>
      </c>
      <c r="M136" s="158">
        <v>7.8</v>
      </c>
      <c r="N136" s="158">
        <v>0.188</v>
      </c>
    </row>
    <row r="137" spans="1:14" ht="16.5">
      <c r="A137" s="2" t="str">
        <f t="shared" si="2"/>
        <v>226상위25%</v>
      </c>
      <c r="B137" s="142">
        <v>226</v>
      </c>
      <c r="C137" s="101" t="s">
        <v>1623</v>
      </c>
      <c r="D137" s="158">
        <v>0.624</v>
      </c>
      <c r="E137" s="158">
        <v>0.16</v>
      </c>
      <c r="F137" s="158">
        <v>8.9999999999999993E-3</v>
      </c>
      <c r="G137" s="158">
        <v>0.79600000000000004</v>
      </c>
      <c r="H137" s="158">
        <v>0.248</v>
      </c>
      <c r="I137" s="158">
        <v>1.7000000000000001E-2</v>
      </c>
      <c r="J137" s="158">
        <v>0.33200000000000002</v>
      </c>
      <c r="K137" s="158">
        <v>4.4400000000000004</v>
      </c>
      <c r="L137" s="158">
        <v>10.050000000000001</v>
      </c>
      <c r="M137" s="158">
        <v>15.18</v>
      </c>
      <c r="N137" s="158">
        <v>0.25900000000000001</v>
      </c>
    </row>
    <row r="138" spans="1:14" ht="16.5">
      <c r="A138" s="2" t="str">
        <f t="shared" si="2"/>
        <v>227상위25%</v>
      </c>
      <c r="B138" s="142">
        <v>227</v>
      </c>
      <c r="C138" s="101" t="s">
        <v>1623</v>
      </c>
      <c r="D138" s="158">
        <v>0.46200000000000002</v>
      </c>
      <c r="E138" s="158">
        <v>0.25800000000000001</v>
      </c>
      <c r="F138" s="158">
        <v>7.0000000000000001E-3</v>
      </c>
      <c r="G138" s="158">
        <v>0.33400000000000002</v>
      </c>
      <c r="H138" s="158">
        <v>0.23699999999999999</v>
      </c>
      <c r="I138" s="158">
        <v>5.3999999999999999E-2</v>
      </c>
      <c r="J138" s="158">
        <v>0.873</v>
      </c>
      <c r="K138" s="158">
        <v>3.37</v>
      </c>
      <c r="L138" s="158">
        <v>5.79</v>
      </c>
      <c r="M138" s="158">
        <v>21.1</v>
      </c>
      <c r="N138" s="158">
        <v>0.42199999999999999</v>
      </c>
    </row>
    <row r="139" spans="1:14" ht="16.5">
      <c r="A139" s="2" t="str">
        <f t="shared" si="2"/>
        <v>229상위25%</v>
      </c>
      <c r="B139" s="142">
        <v>229</v>
      </c>
      <c r="C139" s="101" t="s">
        <v>1623</v>
      </c>
      <c r="D139" s="158">
        <v>0.70199999999999996</v>
      </c>
      <c r="E139" s="158">
        <v>0.13700000000000001</v>
      </c>
      <c r="F139" s="158">
        <v>7.0000000000000001E-3</v>
      </c>
      <c r="G139" s="158">
        <v>0.80200000000000005</v>
      </c>
      <c r="H139" s="158">
        <v>0.42399999999999999</v>
      </c>
      <c r="I139" s="158">
        <v>1.0999999999999999E-2</v>
      </c>
      <c r="J139" s="158">
        <v>0.54300000000000004</v>
      </c>
      <c r="K139" s="158">
        <v>4.63</v>
      </c>
      <c r="L139" s="158">
        <v>10.029999999999999</v>
      </c>
      <c r="M139" s="158">
        <v>12.3</v>
      </c>
      <c r="N139" s="158">
        <v>0.23400000000000001</v>
      </c>
    </row>
    <row r="140" spans="1:14" ht="16.5">
      <c r="A140" s="2" t="str">
        <f t="shared" si="2"/>
        <v>231상위25%</v>
      </c>
      <c r="B140" s="142">
        <v>231</v>
      </c>
      <c r="C140" s="101" t="s">
        <v>1623</v>
      </c>
      <c r="D140" s="158">
        <v>0.40699999999999997</v>
      </c>
      <c r="E140" s="158">
        <v>0.51</v>
      </c>
      <c r="F140" s="158">
        <v>6.0000000000000001E-3</v>
      </c>
      <c r="G140" s="158">
        <v>0.66500000000000004</v>
      </c>
      <c r="H140" s="158">
        <v>0.33900000000000002</v>
      </c>
      <c r="I140" s="158">
        <v>0</v>
      </c>
      <c r="J140" s="158">
        <v>0.50900000000000001</v>
      </c>
      <c r="K140" s="158">
        <v>32.020000000000003</v>
      </c>
      <c r="L140" s="158">
        <v>5.18</v>
      </c>
      <c r="M140" s="158">
        <v>209.27</v>
      </c>
      <c r="N140" s="158">
        <v>0.22</v>
      </c>
    </row>
    <row r="141" spans="1:14" ht="16.5">
      <c r="A141" s="2" t="str">
        <f t="shared" si="2"/>
        <v>232상위25%</v>
      </c>
      <c r="B141" s="142">
        <v>232</v>
      </c>
      <c r="C141" s="101" t="s">
        <v>1623</v>
      </c>
      <c r="D141" s="158">
        <v>0.33400000000000002</v>
      </c>
      <c r="E141" s="158">
        <v>0.439</v>
      </c>
      <c r="F141" s="158">
        <v>1.2999999999999999E-2</v>
      </c>
      <c r="G141" s="158">
        <v>0.996</v>
      </c>
      <c r="H141" s="158">
        <v>0.16200000000000001</v>
      </c>
      <c r="I141" s="158">
        <v>2.3E-2</v>
      </c>
      <c r="J141" s="158">
        <v>0.185</v>
      </c>
      <c r="K141" s="158">
        <v>6.87</v>
      </c>
      <c r="L141" s="158">
        <v>12.96</v>
      </c>
      <c r="M141" s="158">
        <v>33.82</v>
      </c>
      <c r="N141" s="158">
        <v>0.193</v>
      </c>
    </row>
    <row r="142" spans="1:14" ht="16.5">
      <c r="A142" s="2" t="str">
        <f t="shared" si="2"/>
        <v>233상위25%</v>
      </c>
      <c r="B142" s="142">
        <v>233</v>
      </c>
      <c r="C142" s="101" t="s">
        <v>1623</v>
      </c>
      <c r="D142" s="158">
        <v>0.36099999999999999</v>
      </c>
      <c r="E142" s="158">
        <v>0.43099999999999999</v>
      </c>
      <c r="F142" s="158">
        <v>2.4E-2</v>
      </c>
      <c r="G142" s="158">
        <v>0.38200000000000001</v>
      </c>
      <c r="H142" s="158">
        <v>0.66100000000000003</v>
      </c>
      <c r="I142" s="158">
        <v>2E-3</v>
      </c>
      <c r="J142" s="158">
        <v>1.7350000000000001</v>
      </c>
      <c r="K142" s="158">
        <v>12.02</v>
      </c>
      <c r="L142" s="158">
        <v>64.13</v>
      </c>
      <c r="M142" s="158">
        <v>25.15</v>
      </c>
      <c r="N142" s="158">
        <v>5.8999999999999997E-2</v>
      </c>
    </row>
    <row r="143" spans="1:14" ht="16.5">
      <c r="A143" s="2" t="str">
        <f t="shared" si="2"/>
        <v>234상위25%</v>
      </c>
      <c r="B143" s="142">
        <v>234</v>
      </c>
      <c r="C143" s="101" t="s">
        <v>1623</v>
      </c>
      <c r="D143" s="158">
        <v>0.217</v>
      </c>
      <c r="E143" s="158">
        <v>0.56299999999999994</v>
      </c>
      <c r="F143" s="158">
        <v>7.6999999999999999E-2</v>
      </c>
      <c r="G143" s="158">
        <v>0.46200000000000002</v>
      </c>
      <c r="H143" s="158">
        <v>0.95399999999999996</v>
      </c>
      <c r="I143" s="158">
        <v>0</v>
      </c>
      <c r="J143" s="158">
        <v>2.0670000000000002</v>
      </c>
      <c r="K143" s="158">
        <v>184.68</v>
      </c>
      <c r="L143" s="158">
        <v>43.51</v>
      </c>
      <c r="M143" s="158">
        <v>5853.39</v>
      </c>
      <c r="N143" s="158">
        <v>2.8000000000000001E-2</v>
      </c>
    </row>
    <row r="144" spans="1:14" ht="16.5">
      <c r="A144" s="2" t="str">
        <f t="shared" si="2"/>
        <v>235상위25%</v>
      </c>
      <c r="B144" s="142">
        <v>235</v>
      </c>
      <c r="C144" s="101" t="s">
        <v>1623</v>
      </c>
      <c r="D144" s="158">
        <v>0.38500000000000001</v>
      </c>
      <c r="E144" s="158">
        <v>0.39200000000000002</v>
      </c>
      <c r="F144" s="158">
        <v>1.2E-2</v>
      </c>
      <c r="G144" s="158">
        <v>1.2849999999999999</v>
      </c>
      <c r="H144" s="158">
        <v>0.313</v>
      </c>
      <c r="I144" s="158">
        <v>2.7E-2</v>
      </c>
      <c r="J144" s="158">
        <v>0.26500000000000001</v>
      </c>
      <c r="K144" s="158">
        <v>24.36</v>
      </c>
      <c r="L144" s="158">
        <v>39.39</v>
      </c>
      <c r="M144" s="158">
        <v>42.85</v>
      </c>
      <c r="N144" s="158">
        <v>4.2999999999999997E-2</v>
      </c>
    </row>
    <row r="145" spans="1:14" ht="16.5">
      <c r="A145" s="2" t="str">
        <f t="shared" si="2"/>
        <v>236상위25%</v>
      </c>
      <c r="B145" s="142">
        <v>236</v>
      </c>
      <c r="C145" s="101" t="s">
        <v>1623</v>
      </c>
      <c r="D145" s="158">
        <v>0.20799999999999999</v>
      </c>
      <c r="E145" s="158">
        <v>0.53100000000000003</v>
      </c>
      <c r="F145" s="158">
        <v>2.5999999999999999E-2</v>
      </c>
      <c r="G145" s="158">
        <v>0.61199999999999999</v>
      </c>
      <c r="H145" s="158">
        <v>0.14899999999999999</v>
      </c>
      <c r="I145" s="158">
        <v>4.2999999999999997E-2</v>
      </c>
      <c r="J145" s="158">
        <v>0.315</v>
      </c>
      <c r="K145" s="158">
        <v>6.96</v>
      </c>
      <c r="L145" s="158">
        <v>86.55</v>
      </c>
      <c r="M145" s="158">
        <v>36.340000000000003</v>
      </c>
      <c r="N145" s="158">
        <v>0.128</v>
      </c>
    </row>
    <row r="146" spans="1:14" ht="16.5">
      <c r="A146" s="2" t="str">
        <f t="shared" si="2"/>
        <v>237상위25%</v>
      </c>
      <c r="B146" s="142">
        <v>237</v>
      </c>
      <c r="C146" s="101" t="s">
        <v>1623</v>
      </c>
      <c r="D146" s="158">
        <v>0.52900000000000003</v>
      </c>
      <c r="E146" s="158">
        <v>0.20599999999999999</v>
      </c>
      <c r="F146" s="158">
        <v>1.2E-2</v>
      </c>
      <c r="G146" s="158">
        <v>0.39100000000000001</v>
      </c>
      <c r="H146" s="158">
        <v>0.378</v>
      </c>
      <c r="I146" s="158">
        <v>8.1000000000000003E-2</v>
      </c>
      <c r="J146" s="158">
        <v>1.175</v>
      </c>
      <c r="K146" s="158">
        <v>7.44</v>
      </c>
      <c r="L146" s="158">
        <v>92.92</v>
      </c>
      <c r="M146" s="158">
        <v>43.59</v>
      </c>
      <c r="N146" s="158">
        <v>0.122</v>
      </c>
    </row>
    <row r="147" spans="1:14" ht="16.5">
      <c r="A147" s="2" t="str">
        <f t="shared" si="2"/>
        <v>239상위25%</v>
      </c>
      <c r="B147" s="142">
        <v>239</v>
      </c>
      <c r="C147" s="101" t="s">
        <v>1623</v>
      </c>
      <c r="D147" s="158">
        <v>0.28499999999999998</v>
      </c>
      <c r="E147" s="158">
        <v>0.501</v>
      </c>
      <c r="F147" s="158">
        <v>4.2999999999999997E-2</v>
      </c>
      <c r="G147" s="158">
        <v>0.76700000000000002</v>
      </c>
      <c r="H147" s="158">
        <v>0.48599999999999999</v>
      </c>
      <c r="I147" s="158">
        <v>5.0000000000000001E-3</v>
      </c>
      <c r="J147" s="158">
        <v>0.64</v>
      </c>
      <c r="K147" s="158">
        <v>9.7200000000000006</v>
      </c>
      <c r="L147" s="158">
        <v>559.38</v>
      </c>
      <c r="M147" s="158">
        <v>90.31</v>
      </c>
      <c r="N147" s="158">
        <v>9.4E-2</v>
      </c>
    </row>
    <row r="148" spans="1:14" ht="16.5">
      <c r="A148" s="2" t="str">
        <f t="shared" si="2"/>
        <v>311상위25%</v>
      </c>
      <c r="B148" s="142">
        <v>311</v>
      </c>
      <c r="C148" s="101" t="s">
        <v>1623</v>
      </c>
      <c r="D148" s="158">
        <v>0.47899999999999998</v>
      </c>
      <c r="E148" s="158">
        <v>0.30299999999999999</v>
      </c>
      <c r="F148" s="158">
        <v>6.0000000000000001E-3</v>
      </c>
      <c r="G148" s="158">
        <v>1.1160000000000001</v>
      </c>
      <c r="H148" s="158">
        <v>0.17599999999999999</v>
      </c>
      <c r="I148" s="158">
        <v>8.4000000000000005E-2</v>
      </c>
      <c r="J148" s="158">
        <v>0.23300000000000001</v>
      </c>
      <c r="K148" s="158">
        <v>25.52</v>
      </c>
      <c r="L148" s="158">
        <v>13.1</v>
      </c>
      <c r="M148" s="158">
        <v>30.35</v>
      </c>
      <c r="N148" s="158">
        <v>8.3000000000000004E-2</v>
      </c>
    </row>
    <row r="149" spans="1:14" ht="16.5">
      <c r="A149" s="2" t="str">
        <f t="shared" si="2"/>
        <v>312상위25%</v>
      </c>
      <c r="B149" s="142">
        <v>312</v>
      </c>
      <c r="C149" s="101" t="s">
        <v>1623</v>
      </c>
      <c r="D149" s="158">
        <v>0.65900000000000003</v>
      </c>
      <c r="E149" s="158">
        <v>0.26600000000000001</v>
      </c>
      <c r="F149" s="158">
        <v>4.0000000000000001E-3</v>
      </c>
      <c r="G149" s="158">
        <v>0.61199999999999999</v>
      </c>
      <c r="H149" s="158">
        <v>2E-3</v>
      </c>
      <c r="I149" s="158">
        <v>0</v>
      </c>
      <c r="J149" s="158">
        <v>3.0000000000000001E-3</v>
      </c>
      <c r="K149" s="158">
        <v>25.25</v>
      </c>
      <c r="L149" s="158">
        <v>72.45</v>
      </c>
      <c r="M149" s="158">
        <v>35.99</v>
      </c>
      <c r="N149" s="158">
        <v>2.5999999999999999E-2</v>
      </c>
    </row>
    <row r="150" spans="1:14" ht="16.5">
      <c r="A150" s="2" t="str">
        <f t="shared" si="2"/>
        <v>390상위25%</v>
      </c>
      <c r="B150" s="142">
        <v>390</v>
      </c>
      <c r="C150" s="101" t="s">
        <v>1623</v>
      </c>
      <c r="D150" s="158">
        <v>0</v>
      </c>
      <c r="E150" s="158">
        <v>0.23899999999999999</v>
      </c>
      <c r="F150" s="158">
        <v>0</v>
      </c>
      <c r="G150" s="158">
        <v>2.1999999999999999E-2</v>
      </c>
      <c r="H150" s="158">
        <v>8.8999999999999996E-2</v>
      </c>
      <c r="I150" s="158">
        <v>0</v>
      </c>
      <c r="J150" s="158">
        <v>3.9929999999999999</v>
      </c>
      <c r="K150" s="158">
        <v>1</v>
      </c>
      <c r="L150" s="158">
        <v>0</v>
      </c>
      <c r="M150" s="158">
        <v>0</v>
      </c>
      <c r="N150" s="158">
        <v>0</v>
      </c>
    </row>
    <row r="151" spans="1:14" ht="16.5">
      <c r="A151" s="2" t="str">
        <f t="shared" si="2"/>
        <v>411상위25%</v>
      </c>
      <c r="B151" s="142">
        <v>411</v>
      </c>
      <c r="C151" s="101" t="s">
        <v>1623</v>
      </c>
      <c r="D151" s="158">
        <v>0.72</v>
      </c>
      <c r="E151" s="158">
        <v>0.14699999999999999</v>
      </c>
      <c r="F151" s="158">
        <v>6.0000000000000001E-3</v>
      </c>
      <c r="G151" s="158">
        <v>0.59199999999999997</v>
      </c>
      <c r="H151" s="158">
        <v>0.32500000000000001</v>
      </c>
      <c r="I151" s="158">
        <v>3.0000000000000001E-3</v>
      </c>
      <c r="J151" s="158">
        <v>0.55400000000000005</v>
      </c>
      <c r="K151" s="158">
        <v>7.75</v>
      </c>
      <c r="L151" s="158">
        <v>16.2</v>
      </c>
      <c r="M151" s="158">
        <v>26.21</v>
      </c>
      <c r="N151" s="158">
        <v>0.153</v>
      </c>
    </row>
    <row r="152" spans="1:14" ht="16.5">
      <c r="A152" s="2" t="str">
        <f t="shared" si="2"/>
        <v>412상위25%</v>
      </c>
      <c r="B152" s="142">
        <v>412</v>
      </c>
      <c r="C152" s="101" t="s">
        <v>1623</v>
      </c>
      <c r="D152" s="158">
        <v>0.754</v>
      </c>
      <c r="E152" s="158">
        <v>0.129</v>
      </c>
      <c r="F152" s="158">
        <v>4.0000000000000001E-3</v>
      </c>
      <c r="G152" s="158">
        <v>0.48399999999999999</v>
      </c>
      <c r="H152" s="158">
        <v>0.46300000000000002</v>
      </c>
      <c r="I152" s="158">
        <v>0.02</v>
      </c>
      <c r="J152" s="158">
        <v>0.997</v>
      </c>
      <c r="K152" s="158">
        <v>6.25</v>
      </c>
      <c r="L152" s="158">
        <v>11.72</v>
      </c>
      <c r="M152" s="158">
        <v>11.93</v>
      </c>
      <c r="N152" s="158">
        <v>0.161</v>
      </c>
    </row>
    <row r="153" spans="1:14" ht="16.5">
      <c r="A153" s="2" t="str">
        <f t="shared" si="2"/>
        <v>413상위25%</v>
      </c>
      <c r="B153" s="142">
        <v>413</v>
      </c>
      <c r="C153" s="101" t="s">
        <v>1623</v>
      </c>
      <c r="D153" s="158">
        <v>0.72599999999999998</v>
      </c>
      <c r="E153" s="158">
        <v>0.14299999999999999</v>
      </c>
      <c r="F153" s="158">
        <v>1.7000000000000001E-2</v>
      </c>
      <c r="G153" s="158">
        <v>0.92300000000000004</v>
      </c>
      <c r="H153" s="158">
        <v>0.49</v>
      </c>
      <c r="I153" s="158">
        <v>4.4999999999999998E-2</v>
      </c>
      <c r="J153" s="158">
        <v>0.57999999999999996</v>
      </c>
      <c r="K153" s="158">
        <v>5.67</v>
      </c>
      <c r="L153" s="158">
        <v>18.05</v>
      </c>
      <c r="M153" s="158">
        <v>25.87</v>
      </c>
      <c r="N153" s="158">
        <v>0.193</v>
      </c>
    </row>
    <row r="154" spans="1:14" ht="16.5">
      <c r="A154" s="2" t="str">
        <f t="shared" si="2"/>
        <v>414상위25%</v>
      </c>
      <c r="B154" s="142">
        <v>414</v>
      </c>
      <c r="C154" s="101" t="s">
        <v>1623</v>
      </c>
      <c r="D154" s="158">
        <v>0.61099999999999999</v>
      </c>
      <c r="E154" s="158">
        <v>0.16200000000000001</v>
      </c>
      <c r="F154" s="158">
        <v>4.0000000000000001E-3</v>
      </c>
      <c r="G154" s="158">
        <v>0.69599999999999995</v>
      </c>
      <c r="H154" s="158">
        <v>0.44600000000000001</v>
      </c>
      <c r="I154" s="158">
        <v>3.0000000000000001E-3</v>
      </c>
      <c r="J154" s="158">
        <v>0.64500000000000002</v>
      </c>
      <c r="K154" s="158">
        <v>2.81</v>
      </c>
      <c r="L154" s="158">
        <v>52.69</v>
      </c>
      <c r="M154" s="158">
        <v>31.37</v>
      </c>
      <c r="N154" s="158">
        <v>0.34200000000000003</v>
      </c>
    </row>
    <row r="155" spans="1:14" ht="16.5">
      <c r="A155" s="2" t="str">
        <f t="shared" si="2"/>
        <v>415상위25%</v>
      </c>
      <c r="B155" s="142">
        <v>415</v>
      </c>
      <c r="C155" s="101" t="s">
        <v>1623</v>
      </c>
      <c r="D155" s="158">
        <v>0.73799999999999999</v>
      </c>
      <c r="E155" s="158">
        <v>0.121</v>
      </c>
      <c r="F155" s="158">
        <v>7.0000000000000001E-3</v>
      </c>
      <c r="G155" s="158">
        <v>0.877</v>
      </c>
      <c r="H155" s="158">
        <v>0.59199999999999997</v>
      </c>
      <c r="I155" s="158">
        <v>1.4E-2</v>
      </c>
      <c r="J155" s="158">
        <v>0.69</v>
      </c>
      <c r="K155" s="158">
        <v>6.15</v>
      </c>
      <c r="L155" s="158">
        <v>17.98</v>
      </c>
      <c r="M155" s="158">
        <v>13.57</v>
      </c>
      <c r="N155" s="158">
        <v>0.14499999999999999</v>
      </c>
    </row>
    <row r="156" spans="1:14" ht="16.5">
      <c r="A156" s="2" t="str">
        <f t="shared" si="2"/>
        <v>416상위25%</v>
      </c>
      <c r="B156" s="142">
        <v>416</v>
      </c>
      <c r="C156" s="101" t="s">
        <v>1623</v>
      </c>
      <c r="D156" s="158">
        <v>0.68700000000000006</v>
      </c>
      <c r="E156" s="158">
        <v>0.17699999999999999</v>
      </c>
      <c r="F156" s="158">
        <v>7.0000000000000001E-3</v>
      </c>
      <c r="G156" s="158">
        <v>0.86199999999999999</v>
      </c>
      <c r="H156" s="158">
        <v>0.61199999999999999</v>
      </c>
      <c r="I156" s="158">
        <v>0</v>
      </c>
      <c r="J156" s="158">
        <v>0.71099999999999997</v>
      </c>
      <c r="K156" s="158">
        <v>6.87</v>
      </c>
      <c r="L156" s="158">
        <v>18.239999999999998</v>
      </c>
      <c r="M156" s="158">
        <v>24.51</v>
      </c>
      <c r="N156" s="158">
        <v>0.159</v>
      </c>
    </row>
    <row r="157" spans="1:14" ht="16.5">
      <c r="A157" s="2" t="str">
        <f t="shared" si="2"/>
        <v>419상위25%</v>
      </c>
      <c r="B157" s="142">
        <v>419</v>
      </c>
      <c r="C157" s="101" t="s">
        <v>1623</v>
      </c>
      <c r="D157" s="158">
        <v>0.84599999999999997</v>
      </c>
      <c r="E157" s="158">
        <v>5.2999999999999999E-2</v>
      </c>
      <c r="F157" s="158">
        <v>2E-3</v>
      </c>
      <c r="G157" s="158">
        <v>0.79600000000000004</v>
      </c>
      <c r="H157" s="158">
        <v>0.505</v>
      </c>
      <c r="I157" s="158">
        <v>1E-3</v>
      </c>
      <c r="J157" s="158">
        <v>0.63600000000000001</v>
      </c>
      <c r="K157" s="158">
        <v>7.11</v>
      </c>
      <c r="L157" s="158">
        <v>53.29</v>
      </c>
      <c r="M157" s="158">
        <v>13.4</v>
      </c>
      <c r="N157" s="158">
        <v>8.5000000000000006E-2</v>
      </c>
    </row>
    <row r="158" spans="1:14" ht="16.5">
      <c r="A158" s="2" t="str">
        <f t="shared" si="2"/>
        <v>421상위25%</v>
      </c>
      <c r="B158" s="142">
        <v>421</v>
      </c>
      <c r="C158" s="101" t="s">
        <v>1623</v>
      </c>
      <c r="D158" s="158">
        <v>0.78900000000000003</v>
      </c>
      <c r="E158" s="158">
        <v>6.0999999999999999E-2</v>
      </c>
      <c r="F158" s="158">
        <v>0</v>
      </c>
      <c r="G158" s="158">
        <v>1.48</v>
      </c>
      <c r="H158" s="158">
        <v>0.20399999999999999</v>
      </c>
      <c r="I158" s="158">
        <v>0</v>
      </c>
      <c r="J158" s="158">
        <v>0.13800000000000001</v>
      </c>
      <c r="K158" s="158">
        <v>2.09</v>
      </c>
      <c r="L158" s="158">
        <v>19.14</v>
      </c>
      <c r="M158" s="158">
        <v>2.33</v>
      </c>
      <c r="N158" s="158">
        <v>0.10199999999999999</v>
      </c>
    </row>
    <row r="159" spans="1:14" ht="16.5">
      <c r="A159" s="2" t="str">
        <f t="shared" si="2"/>
        <v>422상위25%</v>
      </c>
      <c r="B159" s="142">
        <v>422</v>
      </c>
      <c r="C159" s="101" t="s">
        <v>1623</v>
      </c>
      <c r="D159" s="158">
        <v>0.40899999999999997</v>
      </c>
      <c r="E159" s="158">
        <v>0.36899999999999999</v>
      </c>
      <c r="F159" s="158">
        <v>7.0000000000000001E-3</v>
      </c>
      <c r="G159" s="158">
        <v>1.1259999999999999</v>
      </c>
      <c r="H159" s="158">
        <v>0.22</v>
      </c>
      <c r="I159" s="158">
        <v>3.3000000000000002E-2</v>
      </c>
      <c r="J159" s="158">
        <v>0.224</v>
      </c>
      <c r="K159" s="158">
        <v>8.83</v>
      </c>
      <c r="L159" s="158">
        <v>13.27</v>
      </c>
      <c r="M159" s="158">
        <v>19.96</v>
      </c>
      <c r="N159" s="158">
        <v>0.13900000000000001</v>
      </c>
    </row>
    <row r="160" spans="1:14" ht="16.5">
      <c r="A160" s="2" t="str">
        <f t="shared" si="2"/>
        <v>423상위25%</v>
      </c>
      <c r="B160" s="142">
        <v>423</v>
      </c>
      <c r="C160" s="101" t="s">
        <v>1623</v>
      </c>
      <c r="D160" s="158">
        <v>0.32600000000000001</v>
      </c>
      <c r="E160" s="158">
        <v>0.25</v>
      </c>
      <c r="F160" s="158">
        <v>0.01</v>
      </c>
      <c r="G160" s="158">
        <v>0.60699999999999998</v>
      </c>
      <c r="H160" s="158">
        <v>0.433</v>
      </c>
      <c r="I160" s="158">
        <v>0</v>
      </c>
      <c r="J160" s="158">
        <v>0.71399999999999997</v>
      </c>
      <c r="K160" s="158">
        <v>11.84</v>
      </c>
      <c r="L160" s="158">
        <v>33.96</v>
      </c>
      <c r="M160" s="158">
        <v>87.85</v>
      </c>
      <c r="N160" s="158">
        <v>0.10199999999999999</v>
      </c>
    </row>
    <row r="161" spans="1:14" ht="16.5">
      <c r="A161" s="2" t="str">
        <f t="shared" si="2"/>
        <v>429상위25%</v>
      </c>
      <c r="B161" s="142">
        <v>429</v>
      </c>
      <c r="C161" s="101" t="s">
        <v>1623</v>
      </c>
      <c r="D161" s="158">
        <v>0.80600000000000005</v>
      </c>
      <c r="E161" s="158">
        <v>9.5000000000000001E-2</v>
      </c>
      <c r="F161" s="158">
        <v>2E-3</v>
      </c>
      <c r="G161" s="158">
        <v>0.95399999999999996</v>
      </c>
      <c r="H161" s="158">
        <v>0.55600000000000005</v>
      </c>
      <c r="I161" s="158">
        <v>4.0000000000000001E-3</v>
      </c>
      <c r="J161" s="158">
        <v>0.58599999999999997</v>
      </c>
      <c r="K161" s="158">
        <v>5.26</v>
      </c>
      <c r="L161" s="158">
        <v>9.81</v>
      </c>
      <c r="M161" s="158">
        <v>16.18</v>
      </c>
      <c r="N161" s="158">
        <v>0.23</v>
      </c>
    </row>
    <row r="162" spans="1:14" ht="16.5">
      <c r="A162" s="2" t="str">
        <f t="shared" si="2"/>
        <v>431상위25%</v>
      </c>
      <c r="B162" s="142">
        <v>431</v>
      </c>
      <c r="C162" s="101" t="s">
        <v>1623</v>
      </c>
      <c r="D162" s="158">
        <v>0.70299999999999996</v>
      </c>
      <c r="E162" s="158">
        <v>0.126</v>
      </c>
      <c r="F162" s="158">
        <v>5.0000000000000001E-3</v>
      </c>
      <c r="G162" s="158">
        <v>0.73399999999999999</v>
      </c>
      <c r="H162" s="158">
        <v>0.43</v>
      </c>
      <c r="I162" s="158">
        <v>4.0000000000000001E-3</v>
      </c>
      <c r="J162" s="158">
        <v>0.59</v>
      </c>
      <c r="K162" s="158">
        <v>4.43</v>
      </c>
      <c r="L162" s="158">
        <v>4.43</v>
      </c>
      <c r="M162" s="158">
        <v>12.34</v>
      </c>
      <c r="N162" s="158">
        <v>0.37</v>
      </c>
    </row>
    <row r="163" spans="1:14" ht="16.5">
      <c r="A163" s="2" t="str">
        <f t="shared" si="2"/>
        <v>432상위25%</v>
      </c>
      <c r="B163" s="142">
        <v>432</v>
      </c>
      <c r="C163" s="101" t="s">
        <v>1623</v>
      </c>
      <c r="D163" s="158">
        <v>0.746</v>
      </c>
      <c r="E163" s="158">
        <v>0.107</v>
      </c>
      <c r="F163" s="158">
        <v>5.0000000000000001E-3</v>
      </c>
      <c r="G163" s="158">
        <v>0.85599999999999998</v>
      </c>
      <c r="H163" s="158">
        <v>0.53700000000000003</v>
      </c>
      <c r="I163" s="158">
        <v>0.01</v>
      </c>
      <c r="J163" s="158">
        <v>0.63800000000000001</v>
      </c>
      <c r="K163" s="158">
        <v>5.37</v>
      </c>
      <c r="L163" s="158">
        <v>15.46</v>
      </c>
      <c r="M163" s="158">
        <v>11.14</v>
      </c>
      <c r="N163" s="158">
        <v>0.161</v>
      </c>
    </row>
    <row r="164" spans="1:14" ht="16.5">
      <c r="A164" s="2" t="str">
        <f t="shared" si="2"/>
        <v>433상위25%</v>
      </c>
      <c r="B164" s="142">
        <v>433</v>
      </c>
      <c r="C164" s="101" t="s">
        <v>1623</v>
      </c>
      <c r="D164" s="158">
        <v>0.69899999999999995</v>
      </c>
      <c r="E164" s="158">
        <v>0.13900000000000001</v>
      </c>
      <c r="F164" s="158">
        <v>6.0000000000000001E-3</v>
      </c>
      <c r="G164" s="158">
        <v>0.65200000000000002</v>
      </c>
      <c r="H164" s="158">
        <v>0.39300000000000002</v>
      </c>
      <c r="I164" s="158">
        <v>1.4E-2</v>
      </c>
      <c r="J164" s="158">
        <v>0.624</v>
      </c>
      <c r="K164" s="158">
        <v>5.04</v>
      </c>
      <c r="L164" s="158">
        <v>7.99</v>
      </c>
      <c r="M164" s="158">
        <v>10.41</v>
      </c>
      <c r="N164" s="158">
        <v>0.22800000000000001</v>
      </c>
    </row>
    <row r="165" spans="1:14" ht="16.5">
      <c r="A165" s="2" t="str">
        <f t="shared" si="2"/>
        <v>439상위25%</v>
      </c>
      <c r="B165" s="142">
        <v>439</v>
      </c>
      <c r="C165" s="101" t="s">
        <v>1623</v>
      </c>
      <c r="D165" s="158">
        <v>0.76100000000000001</v>
      </c>
      <c r="E165" s="158">
        <v>0.10199999999999999</v>
      </c>
      <c r="F165" s="158">
        <v>4.0000000000000001E-3</v>
      </c>
      <c r="G165" s="158">
        <v>0.58299999999999996</v>
      </c>
      <c r="H165" s="158">
        <v>0.35699999999999998</v>
      </c>
      <c r="I165" s="158">
        <v>4.4999999999999998E-2</v>
      </c>
      <c r="J165" s="158">
        <v>0.69</v>
      </c>
      <c r="K165" s="158">
        <v>5.53</v>
      </c>
      <c r="L165" s="158">
        <v>9.5299999999999994</v>
      </c>
      <c r="M165" s="158">
        <v>13.46</v>
      </c>
      <c r="N165" s="158">
        <v>0.21099999999999999</v>
      </c>
    </row>
    <row r="166" spans="1:14" ht="16.5">
      <c r="A166" s="2" t="str">
        <f t="shared" si="2"/>
        <v>441상위25%</v>
      </c>
      <c r="B166" s="142">
        <v>441</v>
      </c>
      <c r="C166" s="101" t="s">
        <v>1623</v>
      </c>
      <c r="D166" s="158">
        <v>0.34100000000000003</v>
      </c>
      <c r="E166" s="158">
        <v>0.45300000000000001</v>
      </c>
      <c r="F166" s="158">
        <v>0.01</v>
      </c>
      <c r="G166" s="158">
        <v>1.101</v>
      </c>
      <c r="H166" s="158">
        <v>0.152</v>
      </c>
      <c r="I166" s="158">
        <v>0</v>
      </c>
      <c r="J166" s="158">
        <v>0.13800000000000001</v>
      </c>
      <c r="K166" s="158">
        <v>62.2</v>
      </c>
      <c r="L166" s="158">
        <v>343.47</v>
      </c>
      <c r="M166" s="158">
        <v>217.32</v>
      </c>
      <c r="N166" s="158">
        <v>1.4E-2</v>
      </c>
    </row>
    <row r="167" spans="1:14" ht="16.5">
      <c r="A167" s="2" t="str">
        <f t="shared" si="2"/>
        <v>442상위25%</v>
      </c>
      <c r="B167" s="142">
        <v>442</v>
      </c>
      <c r="C167" s="101" t="s">
        <v>1623</v>
      </c>
      <c r="D167" s="158">
        <v>0.20799999999999999</v>
      </c>
      <c r="E167" s="158">
        <v>0.53100000000000003</v>
      </c>
      <c r="F167" s="158">
        <v>2.5999999999999999E-2</v>
      </c>
      <c r="G167" s="158">
        <v>0.61199999999999999</v>
      </c>
      <c r="H167" s="158">
        <v>0.14899999999999999</v>
      </c>
      <c r="I167" s="158">
        <v>4.2999999999999997E-2</v>
      </c>
      <c r="J167" s="158">
        <v>0.315</v>
      </c>
      <c r="K167" s="158">
        <v>6.96</v>
      </c>
      <c r="L167" s="158">
        <v>86.55</v>
      </c>
      <c r="M167" s="158">
        <v>36.340000000000003</v>
      </c>
      <c r="N167" s="158">
        <v>0.128</v>
      </c>
    </row>
    <row r="168" spans="1:14" ht="16.5">
      <c r="A168" s="2" t="str">
        <f t="shared" si="2"/>
        <v>443상위25%</v>
      </c>
      <c r="B168" s="142">
        <v>443</v>
      </c>
      <c r="C168" s="101" t="s">
        <v>1623</v>
      </c>
      <c r="D168" s="158">
        <v>0.34100000000000003</v>
      </c>
      <c r="E168" s="158">
        <v>0.45300000000000001</v>
      </c>
      <c r="F168" s="158">
        <v>0.01</v>
      </c>
      <c r="G168" s="158">
        <v>1.101</v>
      </c>
      <c r="H168" s="158">
        <v>0.152</v>
      </c>
      <c r="I168" s="158">
        <v>0</v>
      </c>
      <c r="J168" s="158">
        <v>0.13800000000000001</v>
      </c>
      <c r="K168" s="158">
        <v>62.2</v>
      </c>
      <c r="L168" s="158">
        <v>343.47</v>
      </c>
      <c r="M168" s="158">
        <v>217.32</v>
      </c>
      <c r="N168" s="158">
        <v>1.4E-2</v>
      </c>
    </row>
    <row r="169" spans="1:14" ht="16.5">
      <c r="A169" s="2" t="str">
        <f t="shared" si="2"/>
        <v>444상위25%</v>
      </c>
      <c r="B169" s="142">
        <v>444</v>
      </c>
      <c r="C169" s="101" t="s">
        <v>1623</v>
      </c>
      <c r="D169" s="158">
        <v>0.27800000000000002</v>
      </c>
      <c r="E169" s="158">
        <v>0.35299999999999998</v>
      </c>
      <c r="F169" s="158">
        <v>2.1999999999999999E-2</v>
      </c>
      <c r="G169" s="158">
        <v>0.27600000000000002</v>
      </c>
      <c r="H169" s="158">
        <v>0.20200000000000001</v>
      </c>
      <c r="I169" s="158">
        <v>1.2E-2</v>
      </c>
      <c r="J169" s="158">
        <v>0.77600000000000002</v>
      </c>
      <c r="K169" s="158">
        <v>16.88</v>
      </c>
      <c r="L169" s="158">
        <v>16.11</v>
      </c>
      <c r="M169" s="158">
        <v>75.12</v>
      </c>
      <c r="N169" s="158">
        <v>0.108</v>
      </c>
    </row>
    <row r="170" spans="1:14" ht="16.5">
      <c r="A170" s="2" t="str">
        <f t="shared" si="2"/>
        <v>445상위25%</v>
      </c>
      <c r="B170" s="142">
        <v>445</v>
      </c>
      <c r="C170" s="101" t="s">
        <v>1623</v>
      </c>
      <c r="D170" s="158">
        <v>0.52900000000000003</v>
      </c>
      <c r="E170" s="158">
        <v>0.20599999999999999</v>
      </c>
      <c r="F170" s="158">
        <v>1.2E-2</v>
      </c>
      <c r="G170" s="158">
        <v>0.39100000000000001</v>
      </c>
      <c r="H170" s="158">
        <v>0.378</v>
      </c>
      <c r="I170" s="158">
        <v>8.1000000000000003E-2</v>
      </c>
      <c r="J170" s="158">
        <v>1.175</v>
      </c>
      <c r="K170" s="158">
        <v>7.44</v>
      </c>
      <c r="L170" s="158">
        <v>92.92</v>
      </c>
      <c r="M170" s="158">
        <v>43.59</v>
      </c>
      <c r="N170" s="158">
        <v>0.122</v>
      </c>
    </row>
    <row r="171" spans="1:14" ht="16.5">
      <c r="A171" s="2" t="str">
        <f t="shared" si="2"/>
        <v>446상위25%</v>
      </c>
      <c r="B171" s="142">
        <v>446</v>
      </c>
      <c r="C171" s="101" t="s">
        <v>1623</v>
      </c>
      <c r="D171" s="158">
        <v>0.74299999999999999</v>
      </c>
      <c r="E171" s="158">
        <v>0.13100000000000001</v>
      </c>
      <c r="F171" s="158">
        <v>5.0000000000000001E-3</v>
      </c>
      <c r="G171" s="158">
        <v>1.0740000000000001</v>
      </c>
      <c r="H171" s="158">
        <v>0.17499999999999999</v>
      </c>
      <c r="I171" s="158">
        <v>3.0000000000000001E-3</v>
      </c>
      <c r="J171" s="158">
        <v>0.16600000000000001</v>
      </c>
      <c r="K171" s="158">
        <v>12.47</v>
      </c>
      <c r="L171" s="158">
        <v>8.02</v>
      </c>
      <c r="M171" s="158">
        <v>31.12</v>
      </c>
      <c r="N171" s="158">
        <v>0.17299999999999999</v>
      </c>
    </row>
    <row r="172" spans="1:14" ht="16.5">
      <c r="A172" s="2" t="str">
        <f t="shared" si="2"/>
        <v>447상위25%</v>
      </c>
      <c r="B172" s="142">
        <v>447</v>
      </c>
      <c r="C172" s="101" t="s">
        <v>1623</v>
      </c>
      <c r="D172" s="158">
        <v>0</v>
      </c>
      <c r="E172" s="158">
        <v>0.69499999999999995</v>
      </c>
      <c r="F172" s="158">
        <v>1.2E-2</v>
      </c>
      <c r="G172" s="158">
        <v>1.76</v>
      </c>
      <c r="H172" s="158">
        <v>2.5999999999999999E-2</v>
      </c>
      <c r="I172" s="158">
        <v>0</v>
      </c>
      <c r="J172" s="158">
        <v>1.4999999999999999E-2</v>
      </c>
      <c r="K172" s="158">
        <v>0</v>
      </c>
      <c r="L172" s="158">
        <v>0</v>
      </c>
      <c r="M172" s="158">
        <v>0</v>
      </c>
      <c r="N172" s="158">
        <v>0</v>
      </c>
    </row>
    <row r="173" spans="1:14" ht="16.5">
      <c r="A173" s="2" t="str">
        <f t="shared" si="2"/>
        <v>449상위25%</v>
      </c>
      <c r="B173" s="142">
        <v>449</v>
      </c>
      <c r="C173" s="101" t="s">
        <v>1623</v>
      </c>
      <c r="D173" s="158">
        <v>0.374</v>
      </c>
      <c r="E173" s="158">
        <v>8.5999999999999993E-2</v>
      </c>
      <c r="F173" s="158">
        <v>4.0000000000000001E-3</v>
      </c>
      <c r="G173" s="158">
        <v>0.23799999999999999</v>
      </c>
      <c r="H173" s="158">
        <v>0.08</v>
      </c>
      <c r="I173" s="158">
        <v>4.0000000000000001E-3</v>
      </c>
      <c r="J173" s="158">
        <v>0.35199999999999998</v>
      </c>
      <c r="K173" s="158">
        <v>317.42</v>
      </c>
      <c r="L173" s="158">
        <v>0.46</v>
      </c>
      <c r="M173" s="158">
        <v>13196.58</v>
      </c>
      <c r="N173" s="158">
        <v>2.173</v>
      </c>
    </row>
    <row r="174" spans="1:14" ht="16.5">
      <c r="A174" s="2" t="str">
        <f t="shared" si="2"/>
        <v>511상위25%</v>
      </c>
      <c r="B174" s="142">
        <v>511</v>
      </c>
      <c r="C174" s="101" t="s">
        <v>1623</v>
      </c>
      <c r="D174" s="158">
        <v>0.64500000000000002</v>
      </c>
      <c r="E174" s="158">
        <v>9.4E-2</v>
      </c>
      <c r="F174" s="158">
        <v>3.0000000000000001E-3</v>
      </c>
      <c r="G174" s="158">
        <v>1.1140000000000001</v>
      </c>
      <c r="H174" s="158">
        <v>0.34100000000000003</v>
      </c>
      <c r="I174" s="158">
        <v>1.0999999999999999E-2</v>
      </c>
      <c r="J174" s="158">
        <v>0.316</v>
      </c>
      <c r="K174" s="158">
        <v>28.22</v>
      </c>
      <c r="L174" s="158">
        <v>6.21</v>
      </c>
      <c r="M174" s="158">
        <v>271.92</v>
      </c>
      <c r="N174" s="158">
        <v>0.193</v>
      </c>
    </row>
    <row r="175" spans="1:14" ht="16.5">
      <c r="A175" s="2" t="str">
        <f t="shared" si="2"/>
        <v>512상위25%</v>
      </c>
      <c r="B175" s="142">
        <v>512</v>
      </c>
      <c r="C175" s="101" t="s">
        <v>1623</v>
      </c>
      <c r="D175" s="158">
        <v>0</v>
      </c>
      <c r="E175" s="158">
        <v>0</v>
      </c>
      <c r="F175" s="158">
        <v>0</v>
      </c>
      <c r="G175" s="158">
        <v>0</v>
      </c>
      <c r="H175" s="158">
        <v>0</v>
      </c>
      <c r="I175" s="158">
        <v>0</v>
      </c>
      <c r="J175" s="158">
        <v>0</v>
      </c>
      <c r="K175" s="158">
        <v>0</v>
      </c>
      <c r="L175" s="158">
        <v>0</v>
      </c>
      <c r="M175" s="158">
        <v>0</v>
      </c>
      <c r="N175" s="158">
        <v>0</v>
      </c>
    </row>
    <row r="176" spans="1:14" ht="16.5">
      <c r="A176" s="2" t="str">
        <f t="shared" si="2"/>
        <v>520상위25%</v>
      </c>
      <c r="B176" s="142">
        <v>520</v>
      </c>
      <c r="C176" s="101" t="s">
        <v>1623</v>
      </c>
      <c r="D176" s="158">
        <v>0.65500000000000003</v>
      </c>
      <c r="E176" s="158">
        <v>9.8000000000000004E-2</v>
      </c>
      <c r="F176" s="158">
        <v>7.0000000000000001E-3</v>
      </c>
      <c r="G176" s="158">
        <v>0.46</v>
      </c>
      <c r="H176" s="158">
        <v>0.52</v>
      </c>
      <c r="I176" s="158">
        <v>5.0000000000000001E-3</v>
      </c>
      <c r="J176" s="158">
        <v>1.141</v>
      </c>
      <c r="K176" s="158">
        <v>15.78</v>
      </c>
      <c r="L176" s="158">
        <v>1.82</v>
      </c>
      <c r="M176" s="158">
        <v>55.56</v>
      </c>
      <c r="N176" s="158">
        <v>0.59299999999999997</v>
      </c>
    </row>
    <row r="177" spans="1:14" ht="16.5">
      <c r="A177" s="2" t="str">
        <f t="shared" si="2"/>
        <v>611상위25%</v>
      </c>
      <c r="B177" s="142">
        <v>611</v>
      </c>
      <c r="C177" s="101" t="s">
        <v>1623</v>
      </c>
      <c r="D177" s="158">
        <v>0.77</v>
      </c>
      <c r="E177" s="158">
        <v>9.2999999999999999E-2</v>
      </c>
      <c r="F177" s="158">
        <v>2E-3</v>
      </c>
      <c r="G177" s="158">
        <v>1.722</v>
      </c>
      <c r="H177" s="158">
        <v>0.309</v>
      </c>
      <c r="I177" s="158">
        <v>5.3999999999999999E-2</v>
      </c>
      <c r="J177" s="158">
        <v>0.21099999999999999</v>
      </c>
      <c r="K177" s="158">
        <v>15.88</v>
      </c>
      <c r="L177" s="158">
        <v>4.8099999999999996</v>
      </c>
      <c r="M177" s="158">
        <v>74.19</v>
      </c>
      <c r="N177" s="158">
        <v>0.25700000000000001</v>
      </c>
    </row>
    <row r="178" spans="1:14" ht="16.5">
      <c r="A178" s="2" t="str">
        <f t="shared" si="2"/>
        <v>612상위25%</v>
      </c>
      <c r="B178" s="142">
        <v>612</v>
      </c>
      <c r="C178" s="101" t="s">
        <v>1623</v>
      </c>
      <c r="D178" s="158">
        <v>0.74199999999999999</v>
      </c>
      <c r="E178" s="158">
        <v>0.125</v>
      </c>
      <c r="F178" s="158">
        <v>7.0000000000000001E-3</v>
      </c>
      <c r="G178" s="158">
        <v>0.92300000000000004</v>
      </c>
      <c r="H178" s="158">
        <v>0.55000000000000004</v>
      </c>
      <c r="I178" s="158">
        <v>1.4E-2</v>
      </c>
      <c r="J178" s="158">
        <v>0.61099999999999999</v>
      </c>
      <c r="K178" s="158">
        <v>6.13</v>
      </c>
      <c r="L178" s="158">
        <v>14.7</v>
      </c>
      <c r="M178" s="158">
        <v>13.57</v>
      </c>
      <c r="N178" s="158">
        <v>0.157</v>
      </c>
    </row>
    <row r="179" spans="1:14" ht="16.5">
      <c r="A179" s="2" t="str">
        <f t="shared" si="2"/>
        <v>619상위25%</v>
      </c>
      <c r="B179" s="142">
        <v>619</v>
      </c>
      <c r="C179" s="101" t="s">
        <v>1623</v>
      </c>
      <c r="D179" s="158">
        <v>0.70499999999999996</v>
      </c>
      <c r="E179" s="158">
        <v>8.8999999999999996E-2</v>
      </c>
      <c r="F179" s="158">
        <v>2E-3</v>
      </c>
      <c r="G179" s="158">
        <v>0.92900000000000005</v>
      </c>
      <c r="H179" s="158">
        <v>0.27300000000000002</v>
      </c>
      <c r="I179" s="158">
        <v>8.0000000000000002E-3</v>
      </c>
      <c r="J179" s="158">
        <v>0.30199999999999999</v>
      </c>
      <c r="K179" s="158">
        <v>8.2200000000000006</v>
      </c>
      <c r="L179" s="158">
        <v>11.36</v>
      </c>
      <c r="M179" s="158">
        <v>13.06</v>
      </c>
      <c r="N179" s="158">
        <v>0.13300000000000001</v>
      </c>
    </row>
    <row r="180" spans="1:14" ht="16.5">
      <c r="A180" s="2" t="str">
        <f t="shared" si="2"/>
        <v>621상위25%</v>
      </c>
      <c r="B180" s="142">
        <v>621</v>
      </c>
      <c r="C180" s="101" t="s">
        <v>1623</v>
      </c>
      <c r="D180" s="158">
        <v>0.71599999999999997</v>
      </c>
      <c r="E180" s="158">
        <v>0.11600000000000001</v>
      </c>
      <c r="F180" s="158">
        <v>8.0000000000000002E-3</v>
      </c>
      <c r="G180" s="158">
        <v>0.625</v>
      </c>
      <c r="H180" s="158">
        <v>0.53500000000000003</v>
      </c>
      <c r="I180" s="158">
        <v>2E-3</v>
      </c>
      <c r="J180" s="158">
        <v>0.85899999999999999</v>
      </c>
      <c r="K180" s="158">
        <v>8.27</v>
      </c>
      <c r="L180" s="158">
        <v>10.68</v>
      </c>
      <c r="M180" s="158">
        <v>15.7</v>
      </c>
      <c r="N180" s="158">
        <v>0.151</v>
      </c>
    </row>
    <row r="181" spans="1:14" ht="16.5">
      <c r="A181" s="2" t="str">
        <f t="shared" si="2"/>
        <v>622상위25%</v>
      </c>
      <c r="B181" s="142">
        <v>622</v>
      </c>
      <c r="C181" s="101" t="s">
        <v>1623</v>
      </c>
      <c r="D181" s="158">
        <v>0.68300000000000005</v>
      </c>
      <c r="E181" s="158">
        <v>0.106</v>
      </c>
      <c r="F181" s="158">
        <v>5.0000000000000001E-3</v>
      </c>
      <c r="G181" s="158">
        <v>0.75700000000000001</v>
      </c>
      <c r="H181" s="158">
        <v>0.53200000000000003</v>
      </c>
      <c r="I181" s="158">
        <v>0</v>
      </c>
      <c r="J181" s="158">
        <v>0.70399999999999996</v>
      </c>
      <c r="K181" s="158">
        <v>4.17</v>
      </c>
      <c r="L181" s="158">
        <v>43.69</v>
      </c>
      <c r="M181" s="158">
        <v>55.95</v>
      </c>
      <c r="N181" s="158">
        <v>0.245</v>
      </c>
    </row>
    <row r="182" spans="1:14" ht="16.5">
      <c r="A182" s="2" t="str">
        <f t="shared" si="2"/>
        <v>623상위25%</v>
      </c>
      <c r="B182" s="142">
        <v>623</v>
      </c>
      <c r="C182" s="101" t="s">
        <v>1623</v>
      </c>
      <c r="D182" s="158">
        <v>0.46400000000000002</v>
      </c>
      <c r="E182" s="158">
        <v>0.314</v>
      </c>
      <c r="F182" s="158">
        <v>0</v>
      </c>
      <c r="G182" s="158">
        <v>6.4000000000000001E-2</v>
      </c>
      <c r="H182" s="158">
        <v>0.81100000000000005</v>
      </c>
      <c r="I182" s="158">
        <v>3.9E-2</v>
      </c>
      <c r="J182" s="158">
        <v>13.379</v>
      </c>
      <c r="K182" s="158">
        <v>1.07</v>
      </c>
      <c r="L182" s="158">
        <v>1.39</v>
      </c>
      <c r="M182" s="158">
        <v>2.36</v>
      </c>
      <c r="N182" s="158">
        <v>1.228</v>
      </c>
    </row>
    <row r="183" spans="1:14" ht="16.5">
      <c r="A183" s="2" t="str">
        <f t="shared" si="2"/>
        <v>624상위25%</v>
      </c>
      <c r="B183" s="142">
        <v>624</v>
      </c>
      <c r="C183" s="101" t="s">
        <v>1623</v>
      </c>
      <c r="D183" s="158">
        <v>0.71899999999999997</v>
      </c>
      <c r="E183" s="158">
        <v>0.115</v>
      </c>
      <c r="F183" s="158">
        <v>8.0000000000000002E-3</v>
      </c>
      <c r="G183" s="158">
        <v>0.60099999999999998</v>
      </c>
      <c r="H183" s="158">
        <v>0.53500000000000003</v>
      </c>
      <c r="I183" s="158">
        <v>2E-3</v>
      </c>
      <c r="J183" s="158">
        <v>0.89400000000000002</v>
      </c>
      <c r="K183" s="158">
        <v>9.15</v>
      </c>
      <c r="L183" s="158">
        <v>10</v>
      </c>
      <c r="M183" s="158">
        <v>14.62</v>
      </c>
      <c r="N183" s="158">
        <v>0.14099999999999999</v>
      </c>
    </row>
    <row r="184" spans="1:14" ht="16.5">
      <c r="A184" s="2" t="str">
        <f t="shared" si="2"/>
        <v>625상위25%</v>
      </c>
      <c r="B184" s="142">
        <v>625</v>
      </c>
      <c r="C184" s="101" t="s">
        <v>1623</v>
      </c>
      <c r="D184" s="158">
        <v>0.72299999999999998</v>
      </c>
      <c r="E184" s="158">
        <v>0.106</v>
      </c>
      <c r="F184" s="158">
        <v>3.0000000000000001E-3</v>
      </c>
      <c r="G184" s="158">
        <v>0.752</v>
      </c>
      <c r="H184" s="158">
        <v>0.28999999999999998</v>
      </c>
      <c r="I184" s="158">
        <v>5.0000000000000001E-3</v>
      </c>
      <c r="J184" s="158">
        <v>0.39200000000000002</v>
      </c>
      <c r="K184" s="158">
        <v>8.2200000000000006</v>
      </c>
      <c r="L184" s="158">
        <v>7.84</v>
      </c>
      <c r="M184" s="158">
        <v>9.7200000000000006</v>
      </c>
      <c r="N184" s="158">
        <v>0.14599999999999999</v>
      </c>
    </row>
    <row r="185" spans="1:14" ht="16.5">
      <c r="A185" s="2" t="str">
        <f t="shared" si="2"/>
        <v>626상위25%</v>
      </c>
      <c r="B185" s="142">
        <v>626</v>
      </c>
      <c r="C185" s="101" t="s">
        <v>1623</v>
      </c>
      <c r="D185" s="158">
        <v>0.624</v>
      </c>
      <c r="E185" s="158">
        <v>0.16</v>
      </c>
      <c r="F185" s="158">
        <v>8.9999999999999993E-3</v>
      </c>
      <c r="G185" s="158">
        <v>0.79600000000000004</v>
      </c>
      <c r="H185" s="158">
        <v>0.248</v>
      </c>
      <c r="I185" s="158">
        <v>1.7000000000000001E-2</v>
      </c>
      <c r="J185" s="158">
        <v>0.33200000000000002</v>
      </c>
      <c r="K185" s="158">
        <v>4.4400000000000004</v>
      </c>
      <c r="L185" s="158">
        <v>10.050000000000001</v>
      </c>
      <c r="M185" s="158">
        <v>15.18</v>
      </c>
      <c r="N185" s="158">
        <v>0.25900000000000001</v>
      </c>
    </row>
    <row r="186" spans="1:14" ht="16.5">
      <c r="A186" s="2" t="str">
        <f t="shared" si="2"/>
        <v>627상위25%</v>
      </c>
      <c r="B186" s="142">
        <v>627</v>
      </c>
      <c r="C186" s="101" t="s">
        <v>1623</v>
      </c>
      <c r="D186" s="158">
        <v>0.70299999999999996</v>
      </c>
      <c r="E186" s="158">
        <v>0.11899999999999999</v>
      </c>
      <c r="F186" s="158">
        <v>5.0000000000000001E-3</v>
      </c>
      <c r="G186" s="158">
        <v>0.82499999999999996</v>
      </c>
      <c r="H186" s="158">
        <v>0.33500000000000002</v>
      </c>
      <c r="I186" s="158">
        <v>1.7000000000000001E-2</v>
      </c>
      <c r="J186" s="158">
        <v>0.42699999999999999</v>
      </c>
      <c r="K186" s="158">
        <v>5.63</v>
      </c>
      <c r="L186" s="158">
        <v>10.37</v>
      </c>
      <c r="M186" s="158">
        <v>12.64</v>
      </c>
      <c r="N186" s="158">
        <v>0.19500000000000001</v>
      </c>
    </row>
    <row r="187" spans="1:14" ht="16.5">
      <c r="A187" s="2" t="str">
        <f t="shared" si="2"/>
        <v>628상위25%</v>
      </c>
      <c r="B187" s="142">
        <v>628</v>
      </c>
      <c r="C187" s="101" t="s">
        <v>1623</v>
      </c>
      <c r="D187" s="158">
        <v>0.66500000000000004</v>
      </c>
      <c r="E187" s="158">
        <v>0.17199999999999999</v>
      </c>
      <c r="F187" s="158">
        <v>8.9999999999999993E-3</v>
      </c>
      <c r="G187" s="158">
        <v>0.85799999999999998</v>
      </c>
      <c r="H187" s="158">
        <v>0.496</v>
      </c>
      <c r="I187" s="158">
        <v>8.0000000000000002E-3</v>
      </c>
      <c r="J187" s="158">
        <v>0.58799999999999997</v>
      </c>
      <c r="K187" s="158">
        <v>5.2</v>
      </c>
      <c r="L187" s="158">
        <v>26.94</v>
      </c>
      <c r="M187" s="158">
        <v>10.33</v>
      </c>
      <c r="N187" s="158">
        <v>0.13200000000000001</v>
      </c>
    </row>
    <row r="188" spans="1:14" ht="16.5">
      <c r="A188" s="2" t="str">
        <f t="shared" si="2"/>
        <v>629상위25%</v>
      </c>
      <c r="B188" s="142">
        <v>629</v>
      </c>
      <c r="C188" s="101" t="s">
        <v>1623</v>
      </c>
      <c r="D188" s="158">
        <v>0.746</v>
      </c>
      <c r="E188" s="158">
        <v>0.107</v>
      </c>
      <c r="F188" s="158">
        <v>5.0000000000000001E-3</v>
      </c>
      <c r="G188" s="158">
        <v>0.85599999999999998</v>
      </c>
      <c r="H188" s="158">
        <v>0.53700000000000003</v>
      </c>
      <c r="I188" s="158">
        <v>0.01</v>
      </c>
      <c r="J188" s="158">
        <v>0.63800000000000001</v>
      </c>
      <c r="K188" s="158">
        <v>5.37</v>
      </c>
      <c r="L188" s="158">
        <v>15.46</v>
      </c>
      <c r="M188" s="158">
        <v>11.14</v>
      </c>
      <c r="N188" s="158">
        <v>0.161</v>
      </c>
    </row>
    <row r="189" spans="1:14" ht="16.5">
      <c r="A189" s="2" t="str">
        <f t="shared" si="2"/>
        <v>631상위25%</v>
      </c>
      <c r="B189" s="142">
        <v>631</v>
      </c>
      <c r="C189" s="101" t="s">
        <v>1623</v>
      </c>
      <c r="D189" s="158">
        <v>0.71299999999999997</v>
      </c>
      <c r="E189" s="158">
        <v>0.155</v>
      </c>
      <c r="F189" s="158">
        <v>7.0000000000000001E-3</v>
      </c>
      <c r="G189" s="158">
        <v>1.26</v>
      </c>
      <c r="H189" s="158">
        <v>0.11899999999999999</v>
      </c>
      <c r="I189" s="158">
        <v>7.0000000000000007E-2</v>
      </c>
      <c r="J189" s="158">
        <v>0.15</v>
      </c>
      <c r="K189" s="158">
        <v>9.27</v>
      </c>
      <c r="L189" s="158">
        <v>45.47</v>
      </c>
      <c r="M189" s="158">
        <v>13.6</v>
      </c>
      <c r="N189" s="158">
        <v>5.6000000000000001E-2</v>
      </c>
    </row>
    <row r="190" spans="1:14" ht="16.5">
      <c r="A190" s="2" t="str">
        <f t="shared" si="2"/>
        <v>632상위25%</v>
      </c>
      <c r="B190" s="142">
        <v>632</v>
      </c>
      <c r="C190" s="101" t="s">
        <v>1623</v>
      </c>
      <c r="D190" s="158">
        <v>0.72</v>
      </c>
      <c r="E190" s="158">
        <v>0.13500000000000001</v>
      </c>
      <c r="F190" s="158">
        <v>6.0000000000000001E-3</v>
      </c>
      <c r="G190" s="158">
        <v>1.111</v>
      </c>
      <c r="H190" s="158">
        <v>0.217</v>
      </c>
      <c r="I190" s="158">
        <v>4.0000000000000001E-3</v>
      </c>
      <c r="J190" s="158">
        <v>0.19900000000000001</v>
      </c>
      <c r="K190" s="158">
        <v>13.53</v>
      </c>
      <c r="L190" s="158">
        <v>15.61</v>
      </c>
      <c r="M190" s="158">
        <v>29.74</v>
      </c>
      <c r="N190" s="158">
        <v>0.104</v>
      </c>
    </row>
    <row r="191" spans="1:14" ht="16.5">
      <c r="A191" s="2" t="str">
        <f t="shared" si="2"/>
        <v>633상위25%</v>
      </c>
      <c r="B191" s="142">
        <v>633</v>
      </c>
      <c r="C191" s="101" t="s">
        <v>1623</v>
      </c>
      <c r="D191" s="158">
        <v>0.20799999999999999</v>
      </c>
      <c r="E191" s="158">
        <v>0.53100000000000003</v>
      </c>
      <c r="F191" s="158">
        <v>2.5999999999999999E-2</v>
      </c>
      <c r="G191" s="158">
        <v>0.61199999999999999</v>
      </c>
      <c r="H191" s="158">
        <v>0.14899999999999999</v>
      </c>
      <c r="I191" s="158">
        <v>4.2999999999999997E-2</v>
      </c>
      <c r="J191" s="158">
        <v>0.315</v>
      </c>
      <c r="K191" s="158">
        <v>6.96</v>
      </c>
      <c r="L191" s="158">
        <v>86.55</v>
      </c>
      <c r="M191" s="158">
        <v>36.340000000000003</v>
      </c>
      <c r="N191" s="158">
        <v>0.128</v>
      </c>
    </row>
    <row r="192" spans="1:14" ht="16.5">
      <c r="A192" s="2" t="str">
        <f t="shared" si="2"/>
        <v>634상위25%</v>
      </c>
      <c r="B192" s="142">
        <v>634</v>
      </c>
      <c r="C192" s="101" t="s">
        <v>1623</v>
      </c>
      <c r="D192" s="158">
        <v>0.34599999999999997</v>
      </c>
      <c r="E192" s="158">
        <v>0.34399999999999997</v>
      </c>
      <c r="F192" s="158">
        <v>2.5999999999999999E-2</v>
      </c>
      <c r="G192" s="158">
        <v>0.35599999999999998</v>
      </c>
      <c r="H192" s="158">
        <v>0.224</v>
      </c>
      <c r="I192" s="158">
        <v>1.7999999999999999E-2</v>
      </c>
      <c r="J192" s="158">
        <v>0.68200000000000005</v>
      </c>
      <c r="K192" s="158">
        <v>10.34</v>
      </c>
      <c r="L192" s="158">
        <v>20.38</v>
      </c>
      <c r="M192" s="158">
        <v>87.03</v>
      </c>
      <c r="N192" s="158">
        <v>0.13400000000000001</v>
      </c>
    </row>
    <row r="193" spans="1:14" ht="16.5">
      <c r="A193" s="2" t="str">
        <f t="shared" si="2"/>
        <v>635상위25%</v>
      </c>
      <c r="B193" s="142">
        <v>635</v>
      </c>
      <c r="C193" s="101" t="s">
        <v>1623</v>
      </c>
      <c r="D193" s="158">
        <v>0.28499999999999998</v>
      </c>
      <c r="E193" s="158">
        <v>0.501</v>
      </c>
      <c r="F193" s="158">
        <v>4.2999999999999997E-2</v>
      </c>
      <c r="G193" s="158">
        <v>0.76700000000000002</v>
      </c>
      <c r="H193" s="158">
        <v>0.48599999999999999</v>
      </c>
      <c r="I193" s="158">
        <v>5.0000000000000001E-3</v>
      </c>
      <c r="J193" s="158">
        <v>0.64</v>
      </c>
      <c r="K193" s="158">
        <v>9.7200000000000006</v>
      </c>
      <c r="L193" s="158">
        <v>559.38</v>
      </c>
      <c r="M193" s="158">
        <v>90.31</v>
      </c>
      <c r="N193" s="158">
        <v>9.4E-2</v>
      </c>
    </row>
    <row r="194" spans="1:14" ht="16.5">
      <c r="A194" s="2" t="str">
        <f t="shared" si="2"/>
        <v>636상위25%</v>
      </c>
      <c r="B194" s="142">
        <v>636</v>
      </c>
      <c r="C194" s="101" t="s">
        <v>1623</v>
      </c>
      <c r="D194" s="158">
        <v>0.52900000000000003</v>
      </c>
      <c r="E194" s="158">
        <v>0.20599999999999999</v>
      </c>
      <c r="F194" s="158">
        <v>1.2E-2</v>
      </c>
      <c r="G194" s="158">
        <v>0.39100000000000001</v>
      </c>
      <c r="H194" s="158">
        <v>0.378</v>
      </c>
      <c r="I194" s="158">
        <v>8.1000000000000003E-2</v>
      </c>
      <c r="J194" s="158">
        <v>1.175</v>
      </c>
      <c r="K194" s="158">
        <v>7.44</v>
      </c>
      <c r="L194" s="158">
        <v>92.92</v>
      </c>
      <c r="M194" s="158">
        <v>43.59</v>
      </c>
      <c r="N194" s="158">
        <v>0.122</v>
      </c>
    </row>
    <row r="195" spans="1:14" ht="16.5">
      <c r="A195" s="2" t="str">
        <f t="shared" ref="A195:A258" si="3">B195&amp;C195</f>
        <v>637상위25%</v>
      </c>
      <c r="B195" s="142">
        <v>637</v>
      </c>
      <c r="C195" s="101" t="s">
        <v>1623</v>
      </c>
      <c r="D195" s="158">
        <v>0.33400000000000002</v>
      </c>
      <c r="E195" s="158">
        <v>0.439</v>
      </c>
      <c r="F195" s="158">
        <v>1.2999999999999999E-2</v>
      </c>
      <c r="G195" s="158">
        <v>0.996</v>
      </c>
      <c r="H195" s="158">
        <v>0.16200000000000001</v>
      </c>
      <c r="I195" s="158">
        <v>2.3E-2</v>
      </c>
      <c r="J195" s="158">
        <v>0.185</v>
      </c>
      <c r="K195" s="158">
        <v>6.87</v>
      </c>
      <c r="L195" s="158">
        <v>12.96</v>
      </c>
      <c r="M195" s="158">
        <v>33.82</v>
      </c>
      <c r="N195" s="158">
        <v>0.193</v>
      </c>
    </row>
    <row r="196" spans="1:14" ht="16.5">
      <c r="A196" s="2" t="str">
        <f t="shared" si="3"/>
        <v>639상위25%</v>
      </c>
      <c r="B196" s="142">
        <v>639</v>
      </c>
      <c r="C196" s="101" t="s">
        <v>1623</v>
      </c>
      <c r="D196" s="158">
        <v>0.217</v>
      </c>
      <c r="E196" s="158">
        <v>0.56299999999999994</v>
      </c>
      <c r="F196" s="158">
        <v>7.6999999999999999E-2</v>
      </c>
      <c r="G196" s="158">
        <v>0.46200000000000002</v>
      </c>
      <c r="H196" s="158">
        <v>0.95399999999999996</v>
      </c>
      <c r="I196" s="158">
        <v>0</v>
      </c>
      <c r="J196" s="158">
        <v>2.0670000000000002</v>
      </c>
      <c r="K196" s="158">
        <v>184.68</v>
      </c>
      <c r="L196" s="158">
        <v>43.51</v>
      </c>
      <c r="M196" s="158">
        <v>5853.39</v>
      </c>
      <c r="N196" s="158">
        <v>2.8000000000000001E-2</v>
      </c>
    </row>
    <row r="197" spans="1:14" ht="16.5">
      <c r="A197" s="2" t="str">
        <f t="shared" si="3"/>
        <v>711상위25%</v>
      </c>
      <c r="B197" s="142">
        <v>711</v>
      </c>
      <c r="C197" s="101" t="s">
        <v>1623</v>
      </c>
      <c r="D197" s="158">
        <v>0.82299999999999995</v>
      </c>
      <c r="E197" s="158">
        <v>8.4000000000000005E-2</v>
      </c>
      <c r="F197" s="158">
        <v>5.0000000000000001E-3</v>
      </c>
      <c r="G197" s="158">
        <v>0.89700000000000002</v>
      </c>
      <c r="H197" s="158">
        <v>0.41299999999999998</v>
      </c>
      <c r="I197" s="158">
        <v>0.02</v>
      </c>
      <c r="J197" s="158">
        <v>0.48299999999999998</v>
      </c>
      <c r="K197" s="158">
        <v>13.81</v>
      </c>
      <c r="L197" s="158">
        <v>20.190000000000001</v>
      </c>
      <c r="M197" s="158">
        <v>33</v>
      </c>
      <c r="N197" s="158">
        <v>9.1999999999999998E-2</v>
      </c>
    </row>
    <row r="198" spans="1:14" ht="16.5">
      <c r="A198" s="2" t="str">
        <f t="shared" si="3"/>
        <v>712상위25%</v>
      </c>
      <c r="B198" s="142">
        <v>712</v>
      </c>
      <c r="C198" s="101" t="s">
        <v>1623</v>
      </c>
      <c r="D198" s="158">
        <v>0.81799999999999995</v>
      </c>
      <c r="E198" s="158">
        <v>9.0999999999999998E-2</v>
      </c>
      <c r="F198" s="158">
        <v>3.0000000000000001E-3</v>
      </c>
      <c r="G198" s="158">
        <v>1.4239999999999999</v>
      </c>
      <c r="H198" s="158">
        <v>0.45700000000000002</v>
      </c>
      <c r="I198" s="158">
        <v>1.0999999999999999E-2</v>
      </c>
      <c r="J198" s="158">
        <v>0.32800000000000001</v>
      </c>
      <c r="K198" s="158">
        <v>7.92</v>
      </c>
      <c r="L198" s="158">
        <v>13.91</v>
      </c>
      <c r="M198" s="158">
        <v>24.29</v>
      </c>
      <c r="N198" s="158">
        <v>0.157</v>
      </c>
    </row>
    <row r="199" spans="1:14" ht="16.5">
      <c r="A199" s="2" t="str">
        <f t="shared" si="3"/>
        <v>721상위25%</v>
      </c>
      <c r="B199" s="142">
        <v>721</v>
      </c>
      <c r="C199" s="101" t="s">
        <v>1623</v>
      </c>
      <c r="D199" s="158">
        <v>0.81499999999999995</v>
      </c>
      <c r="E199" s="158">
        <v>0.09</v>
      </c>
      <c r="F199" s="158">
        <v>3.0000000000000001E-3</v>
      </c>
      <c r="G199" s="158">
        <v>1.0529999999999999</v>
      </c>
      <c r="H199" s="158">
        <v>0.41299999999999998</v>
      </c>
      <c r="I199" s="158">
        <v>2.1000000000000001E-2</v>
      </c>
      <c r="J199" s="158">
        <v>0.41199999999999998</v>
      </c>
      <c r="K199" s="158">
        <v>7.43</v>
      </c>
      <c r="L199" s="158">
        <v>7.48</v>
      </c>
      <c r="M199" s="158">
        <v>21.25</v>
      </c>
      <c r="N199" s="158">
        <v>0.221</v>
      </c>
    </row>
    <row r="200" spans="1:14" ht="16.5">
      <c r="A200" s="2" t="str">
        <f t="shared" si="3"/>
        <v>722상위25%</v>
      </c>
      <c r="B200" s="142">
        <v>722</v>
      </c>
      <c r="C200" s="101" t="s">
        <v>1623</v>
      </c>
      <c r="D200" s="158">
        <v>0.70799999999999996</v>
      </c>
      <c r="E200" s="158">
        <v>0.14299999999999999</v>
      </c>
      <c r="F200" s="158">
        <v>4.0000000000000001E-3</v>
      </c>
      <c r="G200" s="158">
        <v>0.98499999999999999</v>
      </c>
      <c r="H200" s="158">
        <v>0.439</v>
      </c>
      <c r="I200" s="158">
        <v>1E-3</v>
      </c>
      <c r="J200" s="158">
        <v>0.44700000000000001</v>
      </c>
      <c r="K200" s="158">
        <v>9.64</v>
      </c>
      <c r="L200" s="158">
        <v>6.22</v>
      </c>
      <c r="M200" s="158">
        <v>23.23</v>
      </c>
      <c r="N200" s="158">
        <v>0.221</v>
      </c>
    </row>
    <row r="201" spans="1:14" ht="16.5">
      <c r="A201" s="2" t="str">
        <f t="shared" si="3"/>
        <v>730상위25%</v>
      </c>
      <c r="B201" s="142">
        <v>730</v>
      </c>
      <c r="C201" s="101" t="s">
        <v>1623</v>
      </c>
      <c r="D201" s="158">
        <v>0.73099999999999998</v>
      </c>
      <c r="E201" s="158">
        <v>0.16200000000000001</v>
      </c>
      <c r="F201" s="158">
        <v>8.9999999999999993E-3</v>
      </c>
      <c r="G201" s="158">
        <v>1.0229999999999999</v>
      </c>
      <c r="H201" s="158">
        <v>0.53100000000000003</v>
      </c>
      <c r="I201" s="158">
        <v>1.2E-2</v>
      </c>
      <c r="J201" s="158">
        <v>0.53100000000000003</v>
      </c>
      <c r="K201" s="158">
        <v>7.06</v>
      </c>
      <c r="L201" s="158">
        <v>9.16</v>
      </c>
      <c r="M201" s="158">
        <v>22.87</v>
      </c>
      <c r="N201" s="158">
        <v>0.20699999999999999</v>
      </c>
    </row>
    <row r="202" spans="1:14" ht="16.5">
      <c r="A202" s="2" t="str">
        <f t="shared" si="3"/>
        <v>740상위25%</v>
      </c>
      <c r="B202" s="142">
        <v>740</v>
      </c>
      <c r="C202" s="101" t="s">
        <v>1623</v>
      </c>
      <c r="D202" s="158">
        <v>0.85199999999999998</v>
      </c>
      <c r="E202" s="158">
        <v>4.1000000000000002E-2</v>
      </c>
      <c r="F202" s="158">
        <v>2E-3</v>
      </c>
      <c r="G202" s="158">
        <v>1.038</v>
      </c>
      <c r="H202" s="158">
        <v>0.23100000000000001</v>
      </c>
      <c r="I202" s="158">
        <v>1E-3</v>
      </c>
      <c r="J202" s="158">
        <v>0.224</v>
      </c>
      <c r="K202" s="158">
        <v>6.98</v>
      </c>
      <c r="L202" s="158">
        <v>11.07</v>
      </c>
      <c r="M202" s="158">
        <v>24.68</v>
      </c>
      <c r="N202" s="158">
        <v>0.193</v>
      </c>
    </row>
    <row r="203" spans="1:14" ht="16.5">
      <c r="A203" s="2" t="str">
        <f t="shared" si="3"/>
        <v>750상위25%</v>
      </c>
      <c r="B203" s="142">
        <v>750</v>
      </c>
      <c r="C203" s="101" t="s">
        <v>1623</v>
      </c>
      <c r="D203" s="158">
        <v>0.4</v>
      </c>
      <c r="E203" s="158">
        <v>0.495</v>
      </c>
      <c r="F203" s="158">
        <v>2.4E-2</v>
      </c>
      <c r="G203" s="158">
        <v>0.85499999999999998</v>
      </c>
      <c r="H203" s="158">
        <v>0.32100000000000001</v>
      </c>
      <c r="I203" s="158">
        <v>4.0000000000000001E-3</v>
      </c>
      <c r="J203" s="158">
        <v>0.38100000000000001</v>
      </c>
      <c r="K203" s="158">
        <v>13.08</v>
      </c>
      <c r="L203" s="158">
        <v>36.14</v>
      </c>
      <c r="M203" s="158">
        <v>35.75</v>
      </c>
      <c r="N203" s="158">
        <v>7.5999999999999998E-2</v>
      </c>
    </row>
    <row r="204" spans="1:14" ht="16.5">
      <c r="A204" s="2" t="str">
        <f t="shared" si="3"/>
        <v>761상위25%</v>
      </c>
      <c r="B204" s="142">
        <v>761</v>
      </c>
      <c r="C204" s="101" t="s">
        <v>1623</v>
      </c>
      <c r="D204" s="158">
        <v>0.69699999999999995</v>
      </c>
      <c r="E204" s="158">
        <v>0.19400000000000001</v>
      </c>
      <c r="F204" s="158">
        <v>4.0000000000000001E-3</v>
      </c>
      <c r="G204" s="158">
        <v>1.0169999999999999</v>
      </c>
      <c r="H204" s="158">
        <v>0.45100000000000001</v>
      </c>
      <c r="I204" s="158">
        <v>5.0000000000000001E-3</v>
      </c>
      <c r="J204" s="158">
        <v>0.44800000000000001</v>
      </c>
      <c r="K204" s="158">
        <v>7.71</v>
      </c>
      <c r="L204" s="158">
        <v>8.31</v>
      </c>
      <c r="M204" s="158">
        <v>16.23</v>
      </c>
      <c r="N204" s="158">
        <v>0.189</v>
      </c>
    </row>
    <row r="205" spans="1:14" ht="16.5">
      <c r="A205" s="2" t="str">
        <f t="shared" si="3"/>
        <v>762상위25%</v>
      </c>
      <c r="B205" s="142">
        <v>762</v>
      </c>
      <c r="C205" s="101" t="s">
        <v>1623</v>
      </c>
      <c r="D205" s="158">
        <v>0.77600000000000002</v>
      </c>
      <c r="E205" s="158">
        <v>0.13400000000000001</v>
      </c>
      <c r="F205" s="158">
        <v>2E-3</v>
      </c>
      <c r="G205" s="158">
        <v>1.645</v>
      </c>
      <c r="H205" s="158">
        <v>0.51</v>
      </c>
      <c r="I205" s="158">
        <v>1E-3</v>
      </c>
      <c r="J205" s="158">
        <v>0.311</v>
      </c>
      <c r="K205" s="158">
        <v>9.36</v>
      </c>
      <c r="L205" s="158">
        <v>6.59</v>
      </c>
      <c r="M205" s="158">
        <v>19.82</v>
      </c>
      <c r="N205" s="158">
        <v>0.20799999999999999</v>
      </c>
    </row>
    <row r="206" spans="1:14" ht="16.5">
      <c r="A206" s="2" t="str">
        <f t="shared" si="3"/>
        <v>770상위25%</v>
      </c>
      <c r="B206" s="142">
        <v>770</v>
      </c>
      <c r="C206" s="101" t="s">
        <v>1623</v>
      </c>
      <c r="D206" s="158">
        <v>0.71599999999999997</v>
      </c>
      <c r="E206" s="158">
        <v>0.13200000000000001</v>
      </c>
      <c r="F206" s="158">
        <v>6.0000000000000001E-3</v>
      </c>
      <c r="G206" s="158">
        <v>0.54300000000000004</v>
      </c>
      <c r="H206" s="158">
        <v>0.21199999999999999</v>
      </c>
      <c r="I206" s="158">
        <v>5.0000000000000001E-3</v>
      </c>
      <c r="J206" s="158">
        <v>0.4</v>
      </c>
      <c r="K206" s="158">
        <v>5.39</v>
      </c>
      <c r="L206" s="158">
        <v>9.7200000000000006</v>
      </c>
      <c r="M206" s="158">
        <v>10.06</v>
      </c>
      <c r="N206" s="158">
        <v>0.189</v>
      </c>
    </row>
    <row r="207" spans="1:14" ht="16.5">
      <c r="A207" s="2" t="str">
        <f t="shared" si="3"/>
        <v>791상위25%</v>
      </c>
      <c r="B207" s="142">
        <v>791</v>
      </c>
      <c r="C207" s="101" t="s">
        <v>1623</v>
      </c>
      <c r="D207" s="158">
        <v>0.59899999999999998</v>
      </c>
      <c r="E207" s="158">
        <v>0.27900000000000003</v>
      </c>
      <c r="F207" s="158">
        <v>1.2E-2</v>
      </c>
      <c r="G207" s="158">
        <v>0.47299999999999998</v>
      </c>
      <c r="H207" s="158">
        <v>0.53700000000000003</v>
      </c>
      <c r="I207" s="158">
        <v>2.5000000000000001E-2</v>
      </c>
      <c r="J207" s="158">
        <v>1.1890000000000001</v>
      </c>
      <c r="K207" s="158">
        <v>6.13</v>
      </c>
      <c r="L207" s="158">
        <v>9.9700000000000006</v>
      </c>
      <c r="M207" s="158">
        <v>16.47</v>
      </c>
      <c r="N207" s="158">
        <v>0.20300000000000001</v>
      </c>
    </row>
    <row r="208" spans="1:14" ht="16.5">
      <c r="A208" s="2" t="str">
        <f t="shared" si="3"/>
        <v>792상위25%</v>
      </c>
      <c r="B208" s="142">
        <v>792</v>
      </c>
      <c r="C208" s="101" t="s">
        <v>1623</v>
      </c>
      <c r="D208" s="158">
        <v>0.85</v>
      </c>
      <c r="E208" s="158">
        <v>9.4E-2</v>
      </c>
      <c r="F208" s="158">
        <v>0</v>
      </c>
      <c r="G208" s="158">
        <v>1.0249999999999999</v>
      </c>
      <c r="H208" s="158">
        <v>0.66600000000000004</v>
      </c>
      <c r="I208" s="158">
        <v>0</v>
      </c>
      <c r="J208" s="158">
        <v>0.65</v>
      </c>
      <c r="K208" s="158">
        <v>12.65</v>
      </c>
      <c r="L208" s="158">
        <v>5.63</v>
      </c>
      <c r="M208" s="158">
        <v>28.37</v>
      </c>
      <c r="N208" s="158">
        <v>0.222</v>
      </c>
    </row>
    <row r="209" spans="1:14" ht="16.5">
      <c r="A209" s="2" t="str">
        <f t="shared" si="3"/>
        <v>793상위25%</v>
      </c>
      <c r="B209" s="142">
        <v>793</v>
      </c>
      <c r="C209" s="101" t="s">
        <v>1623</v>
      </c>
      <c r="D209" s="158">
        <v>0.72499999999999998</v>
      </c>
      <c r="E209" s="158">
        <v>0.13700000000000001</v>
      </c>
      <c r="F209" s="158">
        <v>1.0999999999999999E-2</v>
      </c>
      <c r="G209" s="158">
        <v>0.77600000000000002</v>
      </c>
      <c r="H209" s="158">
        <v>0.45600000000000002</v>
      </c>
      <c r="I209" s="158">
        <v>1.4999999999999999E-2</v>
      </c>
      <c r="J209" s="158">
        <v>0.60799999999999998</v>
      </c>
      <c r="K209" s="158">
        <v>6.98</v>
      </c>
      <c r="L209" s="158">
        <v>9.32</v>
      </c>
      <c r="M209" s="158">
        <v>13.67</v>
      </c>
      <c r="N209" s="158">
        <v>0.17699999999999999</v>
      </c>
    </row>
    <row r="210" spans="1:14" ht="16.5">
      <c r="A210" s="2" t="str">
        <f t="shared" si="3"/>
        <v>794상위25%</v>
      </c>
      <c r="B210" s="142">
        <v>794</v>
      </c>
      <c r="C210" s="101" t="s">
        <v>1623</v>
      </c>
      <c r="D210" s="158">
        <v>0.70499999999999996</v>
      </c>
      <c r="E210" s="158">
        <v>0.13900000000000001</v>
      </c>
      <c r="F210" s="158">
        <v>6.0000000000000001E-3</v>
      </c>
      <c r="G210" s="158">
        <v>0.91100000000000003</v>
      </c>
      <c r="H210" s="158">
        <v>0.40300000000000002</v>
      </c>
      <c r="I210" s="158">
        <v>6.0000000000000001E-3</v>
      </c>
      <c r="J210" s="158">
        <v>0.45</v>
      </c>
      <c r="K210" s="158">
        <v>6.72</v>
      </c>
      <c r="L210" s="158">
        <v>7.78</v>
      </c>
      <c r="M210" s="158">
        <v>17.03</v>
      </c>
      <c r="N210" s="158">
        <v>0.219</v>
      </c>
    </row>
    <row r="211" spans="1:14" ht="16.5">
      <c r="A211" s="2" t="str">
        <f t="shared" si="3"/>
        <v>795상위25%</v>
      </c>
      <c r="B211" s="142">
        <v>795</v>
      </c>
      <c r="C211" s="101" t="s">
        <v>1623</v>
      </c>
      <c r="D211" s="158">
        <v>0.55100000000000005</v>
      </c>
      <c r="E211" s="158">
        <v>0.29899999999999999</v>
      </c>
      <c r="F211" s="158">
        <v>6.0000000000000001E-3</v>
      </c>
      <c r="G211" s="158">
        <v>0.78500000000000003</v>
      </c>
      <c r="H211" s="158">
        <v>0.21299999999999999</v>
      </c>
      <c r="I211" s="158">
        <v>7.0000000000000001E-3</v>
      </c>
      <c r="J211" s="158">
        <v>0.28000000000000003</v>
      </c>
      <c r="K211" s="158">
        <v>9.57</v>
      </c>
      <c r="L211" s="158">
        <v>2.67</v>
      </c>
      <c r="M211" s="158">
        <v>27.98</v>
      </c>
      <c r="N211" s="158">
        <v>0.44400000000000001</v>
      </c>
    </row>
    <row r="212" spans="1:14" ht="16.5">
      <c r="A212" s="2" t="str">
        <f t="shared" si="3"/>
        <v>799상위25%</v>
      </c>
      <c r="B212" s="142">
        <v>799</v>
      </c>
      <c r="C212" s="101" t="s">
        <v>1623</v>
      </c>
      <c r="D212" s="158">
        <v>0.55100000000000005</v>
      </c>
      <c r="E212" s="158">
        <v>0.29899999999999999</v>
      </c>
      <c r="F212" s="158">
        <v>6.0000000000000001E-3</v>
      </c>
      <c r="G212" s="158">
        <v>0.78500000000000003</v>
      </c>
      <c r="H212" s="158">
        <v>0.21299999999999999</v>
      </c>
      <c r="I212" s="158">
        <v>7.0000000000000001E-3</v>
      </c>
      <c r="J212" s="158">
        <v>0.28000000000000003</v>
      </c>
      <c r="K212" s="158">
        <v>9.57</v>
      </c>
      <c r="L212" s="158">
        <v>2.67</v>
      </c>
      <c r="M212" s="158">
        <v>27.98</v>
      </c>
      <c r="N212" s="158">
        <v>0.44400000000000001</v>
      </c>
    </row>
    <row r="213" spans="1:14" ht="16.5">
      <c r="A213" s="2" t="str">
        <f t="shared" si="3"/>
        <v>811상위25%</v>
      </c>
      <c r="B213" s="142">
        <v>811</v>
      </c>
      <c r="C213" s="101" t="s">
        <v>1623</v>
      </c>
      <c r="D213" s="158">
        <v>0.375</v>
      </c>
      <c r="E213" s="158">
        <v>0.32700000000000001</v>
      </c>
      <c r="F213" s="158">
        <v>8.0000000000000002E-3</v>
      </c>
      <c r="G213" s="158">
        <v>0.47099999999999997</v>
      </c>
      <c r="H213" s="158">
        <v>0.23400000000000001</v>
      </c>
      <c r="I213" s="158">
        <v>0.40799999999999997</v>
      </c>
      <c r="J213" s="158">
        <v>1.363</v>
      </c>
      <c r="K213" s="158">
        <v>5.47</v>
      </c>
      <c r="L213" s="158">
        <v>18.329999999999998</v>
      </c>
      <c r="M213" s="158">
        <v>11.42</v>
      </c>
      <c r="N213" s="158">
        <v>0.15</v>
      </c>
    </row>
    <row r="214" spans="1:14" ht="16.5">
      <c r="A214" s="2" t="str">
        <f t="shared" si="3"/>
        <v>812상위25%</v>
      </c>
      <c r="B214" s="142">
        <v>812</v>
      </c>
      <c r="C214" s="101" t="s">
        <v>1623</v>
      </c>
      <c r="D214" s="158">
        <v>0.61799999999999999</v>
      </c>
      <c r="E214" s="158">
        <v>0.157</v>
      </c>
      <c r="F214" s="158">
        <v>4.0000000000000001E-3</v>
      </c>
      <c r="G214" s="158">
        <v>0.49099999999999999</v>
      </c>
      <c r="H214" s="158">
        <v>0.23699999999999999</v>
      </c>
      <c r="I214" s="158">
        <v>1.4999999999999999E-2</v>
      </c>
      <c r="J214" s="158">
        <v>0.51300000000000001</v>
      </c>
      <c r="K214" s="158">
        <v>6.34</v>
      </c>
      <c r="L214" s="158">
        <v>12.67</v>
      </c>
      <c r="M214" s="158">
        <v>26.94</v>
      </c>
      <c r="N214" s="158">
        <v>0.19900000000000001</v>
      </c>
    </row>
    <row r="215" spans="1:14" ht="16.5">
      <c r="A215" s="2" t="str">
        <f t="shared" si="3"/>
        <v>821상위25%</v>
      </c>
      <c r="B215" s="142">
        <v>821</v>
      </c>
      <c r="C215" s="101" t="s">
        <v>1623</v>
      </c>
      <c r="D215" s="158">
        <v>0.57299999999999995</v>
      </c>
      <c r="E215" s="158">
        <v>0.31900000000000001</v>
      </c>
      <c r="F215" s="158">
        <v>1.4999999999999999E-2</v>
      </c>
      <c r="G215" s="158">
        <v>1.4690000000000001</v>
      </c>
      <c r="H215" s="158">
        <v>0.629</v>
      </c>
      <c r="I215" s="158">
        <v>1.4999999999999999E-2</v>
      </c>
      <c r="J215" s="158">
        <v>0.438</v>
      </c>
      <c r="K215" s="158">
        <v>12.41</v>
      </c>
      <c r="L215" s="158">
        <v>19</v>
      </c>
      <c r="M215" s="158">
        <v>29.96</v>
      </c>
      <c r="N215" s="158">
        <v>0.1</v>
      </c>
    </row>
    <row r="216" spans="1:14" ht="16.5">
      <c r="A216" s="2" t="str">
        <f t="shared" si="3"/>
        <v>822상위25%</v>
      </c>
      <c r="B216" s="142">
        <v>822</v>
      </c>
      <c r="C216" s="101" t="s">
        <v>1623</v>
      </c>
      <c r="D216" s="158">
        <v>0</v>
      </c>
      <c r="E216" s="158">
        <v>0</v>
      </c>
      <c r="F216" s="158">
        <v>0</v>
      </c>
      <c r="G216" s="158">
        <v>0</v>
      </c>
      <c r="H216" s="158">
        <v>0</v>
      </c>
      <c r="I216" s="158">
        <v>0</v>
      </c>
      <c r="J216" s="158">
        <v>0</v>
      </c>
      <c r="K216" s="158">
        <v>0</v>
      </c>
      <c r="L216" s="158">
        <v>0</v>
      </c>
      <c r="M216" s="158">
        <v>0</v>
      </c>
      <c r="N216" s="158">
        <v>0</v>
      </c>
    </row>
    <row r="217" spans="1:14" ht="16.5">
      <c r="A217" s="2" t="str">
        <f t="shared" si="3"/>
        <v>911상위25%</v>
      </c>
      <c r="B217" s="142">
        <v>911</v>
      </c>
      <c r="C217" s="101" t="s">
        <v>1623</v>
      </c>
      <c r="D217" s="158">
        <v>0.72699999999999998</v>
      </c>
      <c r="E217" s="158">
        <v>0.127</v>
      </c>
      <c r="F217" s="158">
        <v>5.0000000000000001E-3</v>
      </c>
      <c r="G217" s="158">
        <v>0.70799999999999996</v>
      </c>
      <c r="H217" s="158">
        <v>0.48299999999999998</v>
      </c>
      <c r="I217" s="158">
        <v>1.2E-2</v>
      </c>
      <c r="J217" s="158">
        <v>0.7</v>
      </c>
      <c r="K217" s="158">
        <v>5.77</v>
      </c>
      <c r="L217" s="158">
        <v>9.39</v>
      </c>
      <c r="M217" s="158">
        <v>15.84</v>
      </c>
      <c r="N217" s="158">
        <v>0.217</v>
      </c>
    </row>
    <row r="218" spans="1:14" ht="16.5">
      <c r="A218" s="2" t="str">
        <f t="shared" si="3"/>
        <v>912상위25%</v>
      </c>
      <c r="B218" s="142">
        <v>912</v>
      </c>
      <c r="C218" s="101" t="s">
        <v>1623</v>
      </c>
      <c r="D218" s="158">
        <v>0.67400000000000004</v>
      </c>
      <c r="E218" s="158">
        <v>0.20200000000000001</v>
      </c>
      <c r="F218" s="158">
        <v>1.6E-2</v>
      </c>
      <c r="G218" s="158">
        <v>0.48199999999999998</v>
      </c>
      <c r="H218" s="158">
        <v>0.28299999999999997</v>
      </c>
      <c r="I218" s="158">
        <v>3.1E-2</v>
      </c>
      <c r="J218" s="158">
        <v>0.65200000000000002</v>
      </c>
      <c r="K218" s="158">
        <v>1.75</v>
      </c>
      <c r="L218" s="158">
        <v>3.46</v>
      </c>
      <c r="M218" s="158">
        <v>4.49</v>
      </c>
      <c r="N218" s="158">
        <v>0.63700000000000001</v>
      </c>
    </row>
    <row r="219" spans="1:14" ht="16.5">
      <c r="A219" s="2" t="str">
        <f t="shared" si="3"/>
        <v>913상위25%</v>
      </c>
      <c r="B219" s="142">
        <v>913</v>
      </c>
      <c r="C219" s="101" t="s">
        <v>1623</v>
      </c>
      <c r="D219" s="158">
        <v>0.71399999999999997</v>
      </c>
      <c r="E219" s="158">
        <v>0.11799999999999999</v>
      </c>
      <c r="F219" s="158">
        <v>6.0000000000000001E-3</v>
      </c>
      <c r="G219" s="158">
        <v>0.78500000000000003</v>
      </c>
      <c r="H219" s="158">
        <v>0.49399999999999999</v>
      </c>
      <c r="I219" s="158">
        <v>8.9999999999999993E-3</v>
      </c>
      <c r="J219" s="158">
        <v>0.64100000000000001</v>
      </c>
      <c r="K219" s="158">
        <v>4.87</v>
      </c>
      <c r="L219" s="158">
        <v>10.41</v>
      </c>
      <c r="M219" s="158">
        <v>13.98</v>
      </c>
      <c r="N219" s="158">
        <v>0.23</v>
      </c>
    </row>
    <row r="220" spans="1:14" ht="16.5">
      <c r="A220" s="2" t="str">
        <f t="shared" si="3"/>
        <v>914상위25%</v>
      </c>
      <c r="B220" s="142">
        <v>914</v>
      </c>
      <c r="C220" s="101" t="s">
        <v>1623</v>
      </c>
      <c r="D220" s="158">
        <v>0.65</v>
      </c>
      <c r="E220" s="158">
        <v>0.21299999999999999</v>
      </c>
      <c r="F220" s="158">
        <v>4.0000000000000001E-3</v>
      </c>
      <c r="G220" s="158">
        <v>1.194</v>
      </c>
      <c r="H220" s="158">
        <v>0.40500000000000003</v>
      </c>
      <c r="I220" s="158">
        <v>3.0000000000000001E-3</v>
      </c>
      <c r="J220" s="158">
        <v>0.34200000000000003</v>
      </c>
      <c r="K220" s="158">
        <v>9.1199999999999992</v>
      </c>
      <c r="L220" s="158">
        <v>11.39</v>
      </c>
      <c r="M220" s="158">
        <v>13.09</v>
      </c>
      <c r="N220" s="158">
        <v>0.121</v>
      </c>
    </row>
    <row r="221" spans="1:14" ht="16.5">
      <c r="A221" s="2" t="str">
        <f t="shared" si="3"/>
        <v>915상위25%</v>
      </c>
      <c r="B221" s="142">
        <v>915</v>
      </c>
      <c r="C221" s="101" t="s">
        <v>1623</v>
      </c>
      <c r="D221" s="158">
        <v>0.76500000000000001</v>
      </c>
      <c r="E221" s="158">
        <v>9.7000000000000003E-2</v>
      </c>
      <c r="F221" s="158">
        <v>4.0000000000000001E-3</v>
      </c>
      <c r="G221" s="158">
        <v>0.69299999999999995</v>
      </c>
      <c r="H221" s="158">
        <v>0.42799999999999999</v>
      </c>
      <c r="I221" s="158">
        <v>4.7E-2</v>
      </c>
      <c r="J221" s="158">
        <v>0.68500000000000005</v>
      </c>
      <c r="K221" s="158">
        <v>5.07</v>
      </c>
      <c r="L221" s="158">
        <v>9.4</v>
      </c>
      <c r="M221" s="158">
        <v>10.96</v>
      </c>
      <c r="N221" s="158">
        <v>0.21199999999999999</v>
      </c>
    </row>
    <row r="222" spans="1:14" ht="16.5">
      <c r="A222" s="2" t="str">
        <f t="shared" si="3"/>
        <v>919상위25%</v>
      </c>
      <c r="B222" s="142">
        <v>919</v>
      </c>
      <c r="C222" s="101" t="s">
        <v>1623</v>
      </c>
      <c r="D222" s="158">
        <v>0.61</v>
      </c>
      <c r="E222" s="158">
        <v>0.16700000000000001</v>
      </c>
      <c r="F222" s="158">
        <v>1.0999999999999999E-2</v>
      </c>
      <c r="G222" s="158">
        <v>0.17899999999999999</v>
      </c>
      <c r="H222" s="158">
        <v>0.246</v>
      </c>
      <c r="I222" s="158">
        <v>7.0000000000000001E-3</v>
      </c>
      <c r="J222" s="158">
        <v>1.4159999999999999</v>
      </c>
      <c r="K222" s="158">
        <v>6.45</v>
      </c>
      <c r="L222" s="158">
        <v>5.55</v>
      </c>
      <c r="M222" s="158">
        <v>18.96</v>
      </c>
      <c r="N222" s="158">
        <v>0.28199999999999997</v>
      </c>
    </row>
    <row r="223" spans="1:14" ht="16.5">
      <c r="A223" s="2" t="str">
        <f t="shared" si="3"/>
        <v>921상위25%</v>
      </c>
      <c r="B223" s="142">
        <v>921</v>
      </c>
      <c r="C223" s="101" t="s">
        <v>1623</v>
      </c>
      <c r="D223" s="158">
        <v>0.34599999999999997</v>
      </c>
      <c r="E223" s="158">
        <v>0.34399999999999997</v>
      </c>
      <c r="F223" s="158">
        <v>2.5999999999999999E-2</v>
      </c>
      <c r="G223" s="158">
        <v>0.35599999999999998</v>
      </c>
      <c r="H223" s="158">
        <v>0.224</v>
      </c>
      <c r="I223" s="158">
        <v>1.7999999999999999E-2</v>
      </c>
      <c r="J223" s="158">
        <v>0.68200000000000005</v>
      </c>
      <c r="K223" s="158">
        <v>10.34</v>
      </c>
      <c r="L223" s="158">
        <v>20.38</v>
      </c>
      <c r="M223" s="158">
        <v>87.03</v>
      </c>
      <c r="N223" s="158">
        <v>0.13400000000000001</v>
      </c>
    </row>
    <row r="224" spans="1:14" ht="16.5">
      <c r="A224" s="2" t="str">
        <f t="shared" si="3"/>
        <v>922상위25%</v>
      </c>
      <c r="B224" s="142">
        <v>922</v>
      </c>
      <c r="C224" s="101" t="s">
        <v>1623</v>
      </c>
      <c r="D224" s="158">
        <v>0.20799999999999999</v>
      </c>
      <c r="E224" s="158">
        <v>0.53100000000000003</v>
      </c>
      <c r="F224" s="158">
        <v>2.5999999999999999E-2</v>
      </c>
      <c r="G224" s="158">
        <v>0.61199999999999999</v>
      </c>
      <c r="H224" s="158">
        <v>0.14899999999999999</v>
      </c>
      <c r="I224" s="158">
        <v>4.2999999999999997E-2</v>
      </c>
      <c r="J224" s="158">
        <v>0.315</v>
      </c>
      <c r="K224" s="158">
        <v>6.96</v>
      </c>
      <c r="L224" s="158">
        <v>86.55</v>
      </c>
      <c r="M224" s="158">
        <v>36.340000000000003</v>
      </c>
      <c r="N224" s="158">
        <v>0.128</v>
      </c>
    </row>
    <row r="225" spans="1:14" ht="16.5">
      <c r="A225" s="2" t="str">
        <f t="shared" si="3"/>
        <v>923상위25%</v>
      </c>
      <c r="B225" s="142">
        <v>923</v>
      </c>
      <c r="C225" s="101" t="s">
        <v>1623</v>
      </c>
      <c r="D225" s="158">
        <v>0.28499999999999998</v>
      </c>
      <c r="E225" s="158">
        <v>0.501</v>
      </c>
      <c r="F225" s="158">
        <v>4.2999999999999997E-2</v>
      </c>
      <c r="G225" s="158">
        <v>0.76700000000000002</v>
      </c>
      <c r="H225" s="158">
        <v>0.48599999999999999</v>
      </c>
      <c r="I225" s="158">
        <v>5.0000000000000001E-3</v>
      </c>
      <c r="J225" s="158">
        <v>0.64</v>
      </c>
      <c r="K225" s="158">
        <v>9.7200000000000006</v>
      </c>
      <c r="L225" s="158">
        <v>559.38</v>
      </c>
      <c r="M225" s="158">
        <v>90.31</v>
      </c>
      <c r="N225" s="158">
        <v>9.4E-2</v>
      </c>
    </row>
    <row r="226" spans="1:14" ht="16.5">
      <c r="A226" s="2" t="str">
        <f t="shared" si="3"/>
        <v>924상위25%</v>
      </c>
      <c r="B226" s="142">
        <v>924</v>
      </c>
      <c r="C226" s="101" t="s">
        <v>1623</v>
      </c>
      <c r="D226" s="158">
        <v>0.52900000000000003</v>
      </c>
      <c r="E226" s="158">
        <v>0.20599999999999999</v>
      </c>
      <c r="F226" s="158">
        <v>1.2E-2</v>
      </c>
      <c r="G226" s="158">
        <v>0.39100000000000001</v>
      </c>
      <c r="H226" s="158">
        <v>0.378</v>
      </c>
      <c r="I226" s="158">
        <v>8.1000000000000003E-2</v>
      </c>
      <c r="J226" s="158">
        <v>1.175</v>
      </c>
      <c r="K226" s="158">
        <v>7.44</v>
      </c>
      <c r="L226" s="158">
        <v>92.92</v>
      </c>
      <c r="M226" s="158">
        <v>43.59</v>
      </c>
      <c r="N226" s="158">
        <v>0.122</v>
      </c>
    </row>
    <row r="227" spans="1:14" ht="16.5">
      <c r="A227" s="2" t="str">
        <f t="shared" si="3"/>
        <v>929상위25%</v>
      </c>
      <c r="B227" s="142">
        <v>929</v>
      </c>
      <c r="C227" s="101" t="s">
        <v>1623</v>
      </c>
      <c r="D227" s="158">
        <v>0.442</v>
      </c>
      <c r="E227" s="158">
        <v>0.311</v>
      </c>
      <c r="F227" s="158">
        <v>7.0000000000000001E-3</v>
      </c>
      <c r="G227" s="158">
        <v>0.8</v>
      </c>
      <c r="H227" s="158">
        <v>6.6000000000000003E-2</v>
      </c>
      <c r="I227" s="158">
        <v>7.0000000000000001E-3</v>
      </c>
      <c r="J227" s="158">
        <v>9.0999999999999998E-2</v>
      </c>
      <c r="K227" s="158">
        <v>6.36</v>
      </c>
      <c r="L227" s="158">
        <v>43.58</v>
      </c>
      <c r="M227" s="158">
        <v>11.57</v>
      </c>
      <c r="N227" s="158">
        <v>9.4E-2</v>
      </c>
    </row>
    <row r="228" spans="1:14" ht="16.5">
      <c r="A228" s="2" t="str">
        <f t="shared" si="3"/>
        <v>111하위25%</v>
      </c>
      <c r="B228" s="142">
        <v>111</v>
      </c>
      <c r="C228" s="101" t="s">
        <v>1624</v>
      </c>
      <c r="D228" s="158">
        <v>0.875</v>
      </c>
      <c r="E228" s="158">
        <v>0.105</v>
      </c>
      <c r="F228" s="158">
        <v>8.9999999999999993E-3</v>
      </c>
      <c r="G228" s="158">
        <v>1.883</v>
      </c>
      <c r="H228" s="158">
        <v>0.32200000000000001</v>
      </c>
      <c r="I228" s="158">
        <v>5.0000000000000001E-3</v>
      </c>
      <c r="J228" s="158">
        <v>0.17399999999999999</v>
      </c>
      <c r="K228" s="158">
        <v>11.27</v>
      </c>
      <c r="L228" s="158">
        <v>6.21</v>
      </c>
      <c r="M228" s="158">
        <v>24.3</v>
      </c>
      <c r="N228" s="158">
        <v>0.20899999999999999</v>
      </c>
    </row>
    <row r="229" spans="1:14" ht="16.5">
      <c r="A229" s="2" t="str">
        <f t="shared" si="3"/>
        <v>112하위25%</v>
      </c>
      <c r="B229" s="142">
        <v>112</v>
      </c>
      <c r="C229" s="101" t="s">
        <v>1624</v>
      </c>
      <c r="D229" s="158">
        <v>0.53500000000000003</v>
      </c>
      <c r="E229" s="158">
        <v>0.42899999999999999</v>
      </c>
      <c r="F229" s="158">
        <v>1.2999999999999999E-2</v>
      </c>
      <c r="G229" s="158">
        <v>0.58799999999999997</v>
      </c>
      <c r="H229" s="158">
        <v>0.38</v>
      </c>
      <c r="I229" s="158">
        <v>3.5000000000000003E-2</v>
      </c>
      <c r="J229" s="158">
        <v>0.70799999999999996</v>
      </c>
      <c r="K229" s="158">
        <v>2.96</v>
      </c>
      <c r="L229" s="158">
        <v>2.5499999999999998</v>
      </c>
      <c r="M229" s="158">
        <v>35.78</v>
      </c>
      <c r="N229" s="158">
        <v>0.70199999999999996</v>
      </c>
    </row>
    <row r="230" spans="1:14" ht="16.5">
      <c r="A230" s="2" t="str">
        <f t="shared" si="3"/>
        <v>113하위25%</v>
      </c>
      <c r="B230" s="142">
        <v>113</v>
      </c>
      <c r="C230" s="101" t="s">
        <v>1624</v>
      </c>
      <c r="D230" s="158">
        <v>0.8</v>
      </c>
      <c r="E230" s="158">
        <v>0.17899999999999999</v>
      </c>
      <c r="F230" s="158">
        <v>7.0000000000000001E-3</v>
      </c>
      <c r="G230" s="158">
        <v>1.556</v>
      </c>
      <c r="H230" s="158">
        <v>0.39100000000000001</v>
      </c>
      <c r="I230" s="158">
        <v>2E-3</v>
      </c>
      <c r="J230" s="158">
        <v>0.252</v>
      </c>
      <c r="K230" s="158">
        <v>8.9</v>
      </c>
      <c r="L230" s="158">
        <v>6.68</v>
      </c>
      <c r="M230" s="158">
        <v>10.28</v>
      </c>
      <c r="N230" s="158">
        <v>0.16500000000000001</v>
      </c>
    </row>
    <row r="231" spans="1:14" ht="16.5">
      <c r="A231" s="2" t="str">
        <f t="shared" si="3"/>
        <v>114하위25%</v>
      </c>
      <c r="B231" s="142">
        <v>114</v>
      </c>
      <c r="C231" s="101" t="s">
        <v>1624</v>
      </c>
      <c r="D231" s="158">
        <v>0.84899999999999998</v>
      </c>
      <c r="E231" s="158">
        <v>0.13</v>
      </c>
      <c r="F231" s="158">
        <v>6.0000000000000001E-3</v>
      </c>
      <c r="G231" s="158">
        <v>0.53800000000000003</v>
      </c>
      <c r="H231" s="158">
        <v>0.37</v>
      </c>
      <c r="I231" s="158">
        <v>6.0000000000000001E-3</v>
      </c>
      <c r="J231" s="158">
        <v>0.69899999999999995</v>
      </c>
      <c r="K231" s="158">
        <v>10.62</v>
      </c>
      <c r="L231" s="158">
        <v>6.19</v>
      </c>
      <c r="M231" s="158">
        <v>16.53</v>
      </c>
      <c r="N231" s="158">
        <v>0.19500000000000001</v>
      </c>
    </row>
    <row r="232" spans="1:14" ht="16.5">
      <c r="A232" s="2" t="str">
        <f t="shared" si="3"/>
        <v>115하위25%</v>
      </c>
      <c r="B232" s="142">
        <v>115</v>
      </c>
      <c r="C232" s="101" t="s">
        <v>1624</v>
      </c>
      <c r="D232" s="158">
        <v>0.72599999999999998</v>
      </c>
      <c r="E232" s="158">
        <v>0.23</v>
      </c>
      <c r="F232" s="158">
        <v>3.0000000000000001E-3</v>
      </c>
      <c r="G232" s="158">
        <v>0.73099999999999998</v>
      </c>
      <c r="H232" s="158">
        <v>0.54800000000000004</v>
      </c>
      <c r="I232" s="158">
        <v>4.0000000000000001E-3</v>
      </c>
      <c r="J232" s="158">
        <v>0.75600000000000001</v>
      </c>
      <c r="K232" s="158">
        <v>3.34</v>
      </c>
      <c r="L232" s="158">
        <v>6.03</v>
      </c>
      <c r="M232" s="158">
        <v>14.57</v>
      </c>
      <c r="N232" s="158">
        <v>0.39700000000000002</v>
      </c>
    </row>
    <row r="233" spans="1:14" ht="16.5">
      <c r="A233" s="2" t="str">
        <f t="shared" si="3"/>
        <v>119하위25%</v>
      </c>
      <c r="B233" s="142">
        <v>119</v>
      </c>
      <c r="C233" s="101" t="s">
        <v>1624</v>
      </c>
      <c r="D233" s="158">
        <v>0.85699999999999998</v>
      </c>
      <c r="E233" s="158">
        <v>0.13900000000000001</v>
      </c>
      <c r="F233" s="158">
        <v>2E-3</v>
      </c>
      <c r="G233" s="158">
        <v>1.379</v>
      </c>
      <c r="H233" s="158">
        <v>9.6000000000000002E-2</v>
      </c>
      <c r="I233" s="158">
        <v>0</v>
      </c>
      <c r="J233" s="158">
        <v>7.0000000000000007E-2</v>
      </c>
      <c r="K233" s="158">
        <v>86.94</v>
      </c>
      <c r="L233" s="158">
        <v>2.15</v>
      </c>
      <c r="M233" s="158">
        <v>385.32</v>
      </c>
      <c r="N233" s="158">
        <v>0.47399999999999998</v>
      </c>
    </row>
    <row r="234" spans="1:14" ht="16.5">
      <c r="A234" s="2" t="str">
        <f t="shared" si="3"/>
        <v>121하위25%</v>
      </c>
      <c r="B234" s="142">
        <v>121</v>
      </c>
      <c r="C234" s="101" t="s">
        <v>1624</v>
      </c>
      <c r="D234" s="158">
        <v>0.874</v>
      </c>
      <c r="E234" s="158">
        <v>0.112</v>
      </c>
      <c r="F234" s="158">
        <v>3.0000000000000001E-3</v>
      </c>
      <c r="G234" s="158">
        <v>3.4430000000000001</v>
      </c>
      <c r="H234" s="158">
        <v>0.24199999999999999</v>
      </c>
      <c r="I234" s="158">
        <v>1.0999999999999999E-2</v>
      </c>
      <c r="J234" s="158">
        <v>7.3999999999999996E-2</v>
      </c>
      <c r="K234" s="158">
        <v>15.54</v>
      </c>
      <c r="L234" s="158">
        <v>23.08</v>
      </c>
      <c r="M234" s="158">
        <v>35.51</v>
      </c>
      <c r="N234" s="158">
        <v>0.08</v>
      </c>
    </row>
    <row r="235" spans="1:14" ht="16.5">
      <c r="A235" s="2" t="str">
        <f t="shared" si="3"/>
        <v>122하위25%</v>
      </c>
      <c r="B235" s="142">
        <v>122</v>
      </c>
      <c r="C235" s="101" t="s">
        <v>1624</v>
      </c>
      <c r="D235" s="158">
        <v>0.93700000000000006</v>
      </c>
      <c r="E235" s="158">
        <v>2.7E-2</v>
      </c>
      <c r="F235" s="158">
        <v>1E-3</v>
      </c>
      <c r="G235" s="158">
        <v>1.5029999999999999</v>
      </c>
      <c r="H235" s="158">
        <v>0.308</v>
      </c>
      <c r="I235" s="158">
        <v>0</v>
      </c>
      <c r="J235" s="158">
        <v>0.20499999999999999</v>
      </c>
      <c r="K235" s="158">
        <v>7</v>
      </c>
      <c r="L235" s="158">
        <v>4.82</v>
      </c>
      <c r="M235" s="158">
        <v>37.76</v>
      </c>
      <c r="N235" s="158">
        <v>0.32400000000000001</v>
      </c>
    </row>
    <row r="236" spans="1:14" ht="16.5">
      <c r="A236" s="2" t="str">
        <f t="shared" si="3"/>
        <v>123하위25%</v>
      </c>
      <c r="B236" s="142">
        <v>123</v>
      </c>
      <c r="C236" s="101" t="s">
        <v>1624</v>
      </c>
      <c r="D236" s="158">
        <v>0.94199999999999995</v>
      </c>
      <c r="E236" s="158">
        <v>3.9E-2</v>
      </c>
      <c r="F236" s="158">
        <v>3.0000000000000001E-3</v>
      </c>
      <c r="G236" s="158">
        <v>1.518</v>
      </c>
      <c r="H236" s="158">
        <v>0.47</v>
      </c>
      <c r="I236" s="158">
        <v>0</v>
      </c>
      <c r="J236" s="158">
        <v>0.31</v>
      </c>
      <c r="K236" s="158">
        <v>8.01</v>
      </c>
      <c r="L236" s="158">
        <v>11.35</v>
      </c>
      <c r="M236" s="158">
        <v>8.9600000000000009</v>
      </c>
      <c r="N236" s="158">
        <v>0.10100000000000001</v>
      </c>
    </row>
    <row r="237" spans="1:14" ht="16.5">
      <c r="A237" s="2" t="str">
        <f t="shared" si="3"/>
        <v>124하위25%</v>
      </c>
      <c r="B237" s="142">
        <v>124</v>
      </c>
      <c r="C237" s="101" t="s">
        <v>1624</v>
      </c>
      <c r="D237" s="158">
        <v>0.86599999999999999</v>
      </c>
      <c r="E237" s="158">
        <v>0.121</v>
      </c>
      <c r="F237" s="158">
        <v>3.0000000000000001E-3</v>
      </c>
      <c r="G237" s="158">
        <v>1.4079999999999999</v>
      </c>
      <c r="H237" s="158">
        <v>0.14099999999999999</v>
      </c>
      <c r="I237" s="158">
        <v>4.0000000000000001E-3</v>
      </c>
      <c r="J237" s="158">
        <v>0.10299999999999999</v>
      </c>
      <c r="K237" s="158">
        <v>12.49</v>
      </c>
      <c r="L237" s="158">
        <v>12.33</v>
      </c>
      <c r="M237" s="158">
        <v>36.93</v>
      </c>
      <c r="N237" s="158">
        <v>0.13400000000000001</v>
      </c>
    </row>
    <row r="238" spans="1:14" ht="16.5">
      <c r="A238" s="2" t="str">
        <f t="shared" si="3"/>
        <v>129하위25%</v>
      </c>
      <c r="B238" s="142">
        <v>129</v>
      </c>
      <c r="C238" s="101" t="s">
        <v>1624</v>
      </c>
      <c r="D238" s="158">
        <v>0.88600000000000001</v>
      </c>
      <c r="E238" s="158">
        <v>6.4000000000000001E-2</v>
      </c>
      <c r="F238" s="158">
        <v>4.0000000000000001E-3</v>
      </c>
      <c r="G238" s="158">
        <v>0.95</v>
      </c>
      <c r="H238" s="158">
        <v>0.51500000000000001</v>
      </c>
      <c r="I238" s="158">
        <v>1.7000000000000001E-2</v>
      </c>
      <c r="J238" s="158">
        <v>0.56000000000000005</v>
      </c>
      <c r="K238" s="158">
        <v>14.16</v>
      </c>
      <c r="L238" s="158">
        <v>5.01</v>
      </c>
      <c r="M238" s="158">
        <v>6.29</v>
      </c>
      <c r="N238" s="158">
        <v>0.112</v>
      </c>
    </row>
    <row r="239" spans="1:14" ht="16.5">
      <c r="A239" s="2" t="str">
        <f t="shared" si="3"/>
        <v>211하위25%</v>
      </c>
      <c r="B239" s="142">
        <v>211</v>
      </c>
      <c r="C239" s="101" t="s">
        <v>1624</v>
      </c>
      <c r="D239" s="158">
        <v>0.92</v>
      </c>
      <c r="E239" s="158">
        <v>6.6000000000000003E-2</v>
      </c>
      <c r="F239" s="158">
        <v>3.0000000000000001E-3</v>
      </c>
      <c r="G239" s="158">
        <v>0.69299999999999995</v>
      </c>
      <c r="H239" s="158">
        <v>0.27400000000000002</v>
      </c>
      <c r="I239" s="158">
        <v>2E-3</v>
      </c>
      <c r="J239" s="158">
        <v>0.39900000000000002</v>
      </c>
      <c r="K239" s="158">
        <v>5.76</v>
      </c>
      <c r="L239" s="158">
        <v>4.59</v>
      </c>
      <c r="M239" s="158">
        <v>19.07</v>
      </c>
      <c r="N239" s="158">
        <v>0.33900000000000002</v>
      </c>
    </row>
    <row r="240" spans="1:14" ht="16.5">
      <c r="A240" s="2" t="str">
        <f t="shared" si="3"/>
        <v>212하위25%</v>
      </c>
      <c r="B240" s="142">
        <v>212</v>
      </c>
      <c r="C240" s="101" t="s">
        <v>1624</v>
      </c>
      <c r="D240" s="158">
        <v>0.85799999999999998</v>
      </c>
      <c r="E240" s="158">
        <v>0.11</v>
      </c>
      <c r="F240" s="158">
        <v>2E-3</v>
      </c>
      <c r="G240" s="158">
        <v>1.046</v>
      </c>
      <c r="H240" s="158">
        <v>0.47599999999999998</v>
      </c>
      <c r="I240" s="158">
        <v>2.3E-2</v>
      </c>
      <c r="J240" s="158">
        <v>0.47799999999999998</v>
      </c>
      <c r="K240" s="158">
        <v>0</v>
      </c>
      <c r="L240" s="158">
        <v>23.9</v>
      </c>
      <c r="M240" s="158">
        <v>0</v>
      </c>
      <c r="N240" s="158">
        <v>0</v>
      </c>
    </row>
    <row r="241" spans="1:14" ht="16.5">
      <c r="A241" s="2" t="str">
        <f t="shared" si="3"/>
        <v>213하위25%</v>
      </c>
      <c r="B241" s="142">
        <v>213</v>
      </c>
      <c r="C241" s="101" t="s">
        <v>1624</v>
      </c>
      <c r="D241" s="158">
        <v>0.84799999999999998</v>
      </c>
      <c r="E241" s="158">
        <v>0.13500000000000001</v>
      </c>
      <c r="F241" s="158">
        <v>5.0000000000000001E-3</v>
      </c>
      <c r="G241" s="158">
        <v>1.1399999999999999</v>
      </c>
      <c r="H241" s="158">
        <v>0.31900000000000001</v>
      </c>
      <c r="I241" s="158">
        <v>6.0000000000000001E-3</v>
      </c>
      <c r="J241" s="158">
        <v>0.28499999999999998</v>
      </c>
      <c r="K241" s="158">
        <v>9.33</v>
      </c>
      <c r="L241" s="158">
        <v>3.65</v>
      </c>
      <c r="M241" s="158">
        <v>22.43</v>
      </c>
      <c r="N241" s="158">
        <v>0.33700000000000002</v>
      </c>
    </row>
    <row r="242" spans="1:14" ht="16.5">
      <c r="A242" s="2" t="str">
        <f t="shared" si="3"/>
        <v>214하위25%</v>
      </c>
      <c r="B242" s="142">
        <v>214</v>
      </c>
      <c r="C242" s="101" t="s">
        <v>1624</v>
      </c>
      <c r="D242" s="158">
        <v>0.67400000000000004</v>
      </c>
      <c r="E242" s="158">
        <v>0.31</v>
      </c>
      <c r="F242" s="158">
        <v>8.9999999999999993E-3</v>
      </c>
      <c r="G242" s="158">
        <v>0.71399999999999997</v>
      </c>
      <c r="H242" s="158">
        <v>0.33400000000000002</v>
      </c>
      <c r="I242" s="158">
        <v>6.2E-2</v>
      </c>
      <c r="J242" s="158">
        <v>0.55500000000000005</v>
      </c>
      <c r="K242" s="158">
        <v>2.9</v>
      </c>
      <c r="L242" s="158">
        <v>4.8099999999999996</v>
      </c>
      <c r="M242" s="158">
        <v>6.8</v>
      </c>
      <c r="N242" s="158">
        <v>0.40600000000000003</v>
      </c>
    </row>
    <row r="243" spans="1:14" ht="16.5">
      <c r="A243" s="2" t="str">
        <f t="shared" si="3"/>
        <v>215하위25%</v>
      </c>
      <c r="B243" s="142">
        <v>215</v>
      </c>
      <c r="C243" s="101" t="s">
        <v>1624</v>
      </c>
      <c r="D243" s="158">
        <v>0.72899999999999998</v>
      </c>
      <c r="E243" s="158">
        <v>0.247</v>
      </c>
      <c r="F243" s="158">
        <v>7.0000000000000001E-3</v>
      </c>
      <c r="G243" s="158">
        <v>1.121</v>
      </c>
      <c r="H243" s="158">
        <v>0.317</v>
      </c>
      <c r="I243" s="158">
        <v>1.7999999999999999E-2</v>
      </c>
      <c r="J243" s="158">
        <v>0.29899999999999999</v>
      </c>
      <c r="K243" s="158">
        <v>5.92</v>
      </c>
      <c r="L243" s="158">
        <v>8.06</v>
      </c>
      <c r="M243" s="158">
        <v>9.01</v>
      </c>
      <c r="N243" s="158">
        <v>0.182</v>
      </c>
    </row>
    <row r="244" spans="1:14" ht="16.5">
      <c r="A244" s="2" t="str">
        <f t="shared" si="3"/>
        <v>219하위25%</v>
      </c>
      <c r="B244" s="142">
        <v>219</v>
      </c>
      <c r="C244" s="101" t="s">
        <v>1624</v>
      </c>
      <c r="D244" s="158">
        <v>0.85099999999999998</v>
      </c>
      <c r="E244" s="158">
        <v>0.125</v>
      </c>
      <c r="F244" s="158">
        <v>6.0000000000000001E-3</v>
      </c>
      <c r="G244" s="158">
        <v>1.034</v>
      </c>
      <c r="H244" s="158">
        <v>0.41399999999999998</v>
      </c>
      <c r="I244" s="158">
        <v>1.6E-2</v>
      </c>
      <c r="J244" s="158">
        <v>0.41599999999999998</v>
      </c>
      <c r="K244" s="158">
        <v>5.86</v>
      </c>
      <c r="L244" s="158">
        <v>9.02</v>
      </c>
      <c r="M244" s="158">
        <v>9.7899999999999991</v>
      </c>
      <c r="N244" s="158">
        <v>0.17899999999999999</v>
      </c>
    </row>
    <row r="245" spans="1:14" ht="16.5">
      <c r="A245" s="2" t="str">
        <f t="shared" si="3"/>
        <v>221하위25%</v>
      </c>
      <c r="B245" s="142">
        <v>221</v>
      </c>
      <c r="C245" s="101" t="s">
        <v>1624</v>
      </c>
      <c r="D245" s="158">
        <v>0.91200000000000003</v>
      </c>
      <c r="E245" s="158">
        <v>6.2E-2</v>
      </c>
      <c r="F245" s="158">
        <v>3.0000000000000001E-3</v>
      </c>
      <c r="G245" s="158">
        <v>1.1060000000000001</v>
      </c>
      <c r="H245" s="158">
        <v>0.39300000000000002</v>
      </c>
      <c r="I245" s="158">
        <v>0.02</v>
      </c>
      <c r="J245" s="158">
        <v>0.374</v>
      </c>
      <c r="K245" s="158">
        <v>5.95</v>
      </c>
      <c r="L245" s="158">
        <v>10.07</v>
      </c>
      <c r="M245" s="158">
        <v>10.75</v>
      </c>
      <c r="N245" s="158">
        <v>0.17399999999999999</v>
      </c>
    </row>
    <row r="246" spans="1:14" ht="16.5">
      <c r="A246" s="2" t="str">
        <f t="shared" si="3"/>
        <v>222하위25%</v>
      </c>
      <c r="B246" s="142">
        <v>222</v>
      </c>
      <c r="C246" s="101" t="s">
        <v>1624</v>
      </c>
      <c r="D246" s="158">
        <v>0.84499999999999997</v>
      </c>
      <c r="E246" s="158">
        <v>0.13</v>
      </c>
      <c r="F246" s="158">
        <v>3.0000000000000001E-3</v>
      </c>
      <c r="G246" s="158">
        <v>1.218</v>
      </c>
      <c r="H246" s="158">
        <v>0.36299999999999999</v>
      </c>
      <c r="I246" s="158">
        <v>6.0000000000000001E-3</v>
      </c>
      <c r="J246" s="158">
        <v>0.30299999999999999</v>
      </c>
      <c r="K246" s="158">
        <v>8.31</v>
      </c>
      <c r="L246" s="158">
        <v>5.44</v>
      </c>
      <c r="M246" s="158">
        <v>14.52</v>
      </c>
      <c r="N246" s="158">
        <v>0.23499999999999999</v>
      </c>
    </row>
    <row r="247" spans="1:14" ht="16.5">
      <c r="A247" s="2" t="str">
        <f t="shared" si="3"/>
        <v>223하위25%</v>
      </c>
      <c r="B247" s="142">
        <v>223</v>
      </c>
      <c r="C247" s="101" t="s">
        <v>1624</v>
      </c>
      <c r="D247" s="158">
        <v>0.873</v>
      </c>
      <c r="E247" s="158">
        <v>0.106</v>
      </c>
      <c r="F247" s="158">
        <v>5.0000000000000001E-3</v>
      </c>
      <c r="G247" s="158">
        <v>1.1910000000000001</v>
      </c>
      <c r="H247" s="158">
        <v>0.41299999999999998</v>
      </c>
      <c r="I247" s="158">
        <v>0.01</v>
      </c>
      <c r="J247" s="158">
        <v>0.35499999999999998</v>
      </c>
      <c r="K247" s="158">
        <v>6.38</v>
      </c>
      <c r="L247" s="158">
        <v>10.4</v>
      </c>
      <c r="M247" s="158">
        <v>9.24</v>
      </c>
      <c r="N247" s="158">
        <v>0.14499999999999999</v>
      </c>
    </row>
    <row r="248" spans="1:14" ht="16.5">
      <c r="A248" s="2" t="str">
        <f t="shared" si="3"/>
        <v>224하위25%</v>
      </c>
      <c r="B248" s="142">
        <v>224</v>
      </c>
      <c r="C248" s="101" t="s">
        <v>1624</v>
      </c>
      <c r="D248" s="158">
        <v>0.88700000000000001</v>
      </c>
      <c r="E248" s="158">
        <v>9.1999999999999998E-2</v>
      </c>
      <c r="F248" s="158">
        <v>4.0000000000000001E-3</v>
      </c>
      <c r="G248" s="158">
        <v>1.0509999999999999</v>
      </c>
      <c r="H248" s="158">
        <v>0.39</v>
      </c>
      <c r="I248" s="158">
        <v>1.2E-2</v>
      </c>
      <c r="J248" s="158">
        <v>0.38200000000000001</v>
      </c>
      <c r="K248" s="158">
        <v>5.96</v>
      </c>
      <c r="L248" s="158">
        <v>7.51</v>
      </c>
      <c r="M248" s="158">
        <v>8.77</v>
      </c>
      <c r="N248" s="158">
        <v>0.187</v>
      </c>
    </row>
    <row r="249" spans="1:14" ht="16.5">
      <c r="A249" s="2" t="str">
        <f t="shared" si="3"/>
        <v>225하위25%</v>
      </c>
      <c r="B249" s="142">
        <v>225</v>
      </c>
      <c r="C249" s="101" t="s">
        <v>1624</v>
      </c>
      <c r="D249" s="158">
        <v>0.83799999999999997</v>
      </c>
      <c r="E249" s="158">
        <v>0.14399999999999999</v>
      </c>
      <c r="F249" s="158">
        <v>1.0999999999999999E-2</v>
      </c>
      <c r="G249" s="158">
        <v>0.83899999999999997</v>
      </c>
      <c r="H249" s="158">
        <v>0.26100000000000001</v>
      </c>
      <c r="I249" s="158">
        <v>3.1E-2</v>
      </c>
      <c r="J249" s="158">
        <v>0.34799999999999998</v>
      </c>
      <c r="K249" s="158">
        <v>3.41</v>
      </c>
      <c r="L249" s="158">
        <v>5.41</v>
      </c>
      <c r="M249" s="158">
        <v>6.74</v>
      </c>
      <c r="N249" s="158">
        <v>0.33</v>
      </c>
    </row>
    <row r="250" spans="1:14" ht="16.5">
      <c r="A250" s="2" t="str">
        <f t="shared" si="3"/>
        <v>226하위25%</v>
      </c>
      <c r="B250" s="142">
        <v>226</v>
      </c>
      <c r="C250" s="101" t="s">
        <v>1624</v>
      </c>
      <c r="D250" s="158">
        <v>0.81799999999999995</v>
      </c>
      <c r="E250" s="158">
        <v>0.158</v>
      </c>
      <c r="F250" s="158">
        <v>1.0999999999999999E-2</v>
      </c>
      <c r="G250" s="158">
        <v>1.175</v>
      </c>
      <c r="H250" s="158">
        <v>0.29599999999999999</v>
      </c>
      <c r="I250" s="158">
        <v>7.6999999999999999E-2</v>
      </c>
      <c r="J250" s="158">
        <v>0.318</v>
      </c>
      <c r="K250" s="158">
        <v>6.28</v>
      </c>
      <c r="L250" s="158">
        <v>7.11</v>
      </c>
      <c r="M250" s="158">
        <v>8.6300000000000008</v>
      </c>
      <c r="N250" s="158">
        <v>0.184</v>
      </c>
    </row>
    <row r="251" spans="1:14" ht="16.5">
      <c r="A251" s="2" t="str">
        <f t="shared" si="3"/>
        <v>227하위25%</v>
      </c>
      <c r="B251" s="142">
        <v>227</v>
      </c>
      <c r="C251" s="101" t="s">
        <v>1624</v>
      </c>
      <c r="D251" s="158">
        <v>0.67400000000000004</v>
      </c>
      <c r="E251" s="158">
        <v>0.31</v>
      </c>
      <c r="F251" s="158">
        <v>8.9999999999999993E-3</v>
      </c>
      <c r="G251" s="158">
        <v>0.71399999999999997</v>
      </c>
      <c r="H251" s="158">
        <v>0.33400000000000002</v>
      </c>
      <c r="I251" s="158">
        <v>6.2E-2</v>
      </c>
      <c r="J251" s="158">
        <v>0.55500000000000005</v>
      </c>
      <c r="K251" s="158">
        <v>2.9</v>
      </c>
      <c r="L251" s="158">
        <v>4.8099999999999996</v>
      </c>
      <c r="M251" s="158">
        <v>6.8</v>
      </c>
      <c r="N251" s="158">
        <v>0.40600000000000003</v>
      </c>
    </row>
    <row r="252" spans="1:14" ht="16.5">
      <c r="A252" s="2" t="str">
        <f t="shared" si="3"/>
        <v>229하위25%</v>
      </c>
      <c r="B252" s="142">
        <v>229</v>
      </c>
      <c r="C252" s="101" t="s">
        <v>1624</v>
      </c>
      <c r="D252" s="158">
        <v>0.85499999999999998</v>
      </c>
      <c r="E252" s="158">
        <v>0.122</v>
      </c>
      <c r="F252" s="158">
        <v>5.0000000000000001E-3</v>
      </c>
      <c r="G252" s="158">
        <v>1.4039999999999999</v>
      </c>
      <c r="H252" s="158">
        <v>0.35499999999999998</v>
      </c>
      <c r="I252" s="158">
        <v>1.7000000000000001E-2</v>
      </c>
      <c r="J252" s="158">
        <v>0.26500000000000001</v>
      </c>
      <c r="K252" s="158">
        <v>6.1</v>
      </c>
      <c r="L252" s="158">
        <v>9.3800000000000008</v>
      </c>
      <c r="M252" s="158">
        <v>7.75</v>
      </c>
      <c r="N252" s="158">
        <v>0.14199999999999999</v>
      </c>
    </row>
    <row r="253" spans="1:14" ht="16.5">
      <c r="A253" s="2" t="str">
        <f t="shared" si="3"/>
        <v>231하위25%</v>
      </c>
      <c r="B253" s="142">
        <v>231</v>
      </c>
      <c r="C253" s="101" t="s">
        <v>1624</v>
      </c>
      <c r="D253" s="158">
        <v>0.75800000000000001</v>
      </c>
      <c r="E253" s="158">
        <v>0.218</v>
      </c>
      <c r="F253" s="158">
        <v>5.8999999999999997E-2</v>
      </c>
      <c r="G253" s="158">
        <v>0.54</v>
      </c>
      <c r="H253" s="158">
        <v>0.79800000000000004</v>
      </c>
      <c r="I253" s="158">
        <v>0</v>
      </c>
      <c r="J253" s="158">
        <v>1.4770000000000001</v>
      </c>
      <c r="K253" s="158">
        <v>0</v>
      </c>
      <c r="L253" s="158">
        <v>8.1999999999999993</v>
      </c>
      <c r="M253" s="158">
        <v>29.05</v>
      </c>
      <c r="N253" s="158">
        <v>0</v>
      </c>
    </row>
    <row r="254" spans="1:14" ht="16.5">
      <c r="A254" s="2" t="str">
        <f t="shared" si="3"/>
        <v>232하위25%</v>
      </c>
      <c r="B254" s="142">
        <v>232</v>
      </c>
      <c r="C254" s="101" t="s">
        <v>1624</v>
      </c>
      <c r="D254" s="158">
        <v>0.82799999999999996</v>
      </c>
      <c r="E254" s="158">
        <v>0.14899999999999999</v>
      </c>
      <c r="F254" s="158">
        <v>6.0000000000000001E-3</v>
      </c>
      <c r="G254" s="158">
        <v>1.417</v>
      </c>
      <c r="H254" s="158">
        <v>0.24299999999999999</v>
      </c>
      <c r="I254" s="158">
        <v>1.6E-2</v>
      </c>
      <c r="J254" s="158">
        <v>0.182</v>
      </c>
      <c r="K254" s="158">
        <v>3.75</v>
      </c>
      <c r="L254" s="158">
        <v>104.07</v>
      </c>
      <c r="M254" s="158">
        <v>5.53</v>
      </c>
      <c r="N254" s="158">
        <v>9.5000000000000001E-2</v>
      </c>
    </row>
    <row r="255" spans="1:14" ht="16.5">
      <c r="A255" s="2" t="str">
        <f t="shared" si="3"/>
        <v>233하위25%</v>
      </c>
      <c r="B255" s="142">
        <v>233</v>
      </c>
      <c r="C255" s="101" t="s">
        <v>1624</v>
      </c>
      <c r="D255" s="158">
        <v>0.33</v>
      </c>
      <c r="E255" s="158">
        <v>0.65900000000000003</v>
      </c>
      <c r="F255" s="158">
        <v>7.0000000000000001E-3</v>
      </c>
      <c r="G255" s="158">
        <v>1.175</v>
      </c>
      <c r="H255" s="158">
        <v>0.39200000000000002</v>
      </c>
      <c r="I255" s="158">
        <v>6.0000000000000001E-3</v>
      </c>
      <c r="J255" s="158">
        <v>0.33900000000000002</v>
      </c>
      <c r="K255" s="158">
        <v>15.78</v>
      </c>
      <c r="L255" s="158">
        <v>56.09</v>
      </c>
      <c r="M255" s="158">
        <v>74.16</v>
      </c>
      <c r="N255" s="158">
        <v>6.8000000000000005E-2</v>
      </c>
    </row>
    <row r="256" spans="1:14" ht="16.5">
      <c r="A256" s="2" t="str">
        <f t="shared" si="3"/>
        <v>234하위25%</v>
      </c>
      <c r="B256" s="142">
        <v>234</v>
      </c>
      <c r="C256" s="101" t="s">
        <v>1624</v>
      </c>
      <c r="D256" s="158">
        <v>0.30399999999999999</v>
      </c>
      <c r="E256" s="158">
        <v>0.65300000000000002</v>
      </c>
      <c r="F256" s="158">
        <v>0.03</v>
      </c>
      <c r="G256" s="158">
        <v>2.073</v>
      </c>
      <c r="H256" s="158">
        <v>0.39200000000000002</v>
      </c>
      <c r="I256" s="158">
        <v>0</v>
      </c>
      <c r="J256" s="158">
        <v>0.189</v>
      </c>
      <c r="K256" s="158">
        <v>18.72</v>
      </c>
      <c r="L256" s="158">
        <v>23.96</v>
      </c>
      <c r="M256" s="158">
        <v>148.41</v>
      </c>
      <c r="N256" s="158">
        <v>8.7999999999999995E-2</v>
      </c>
    </row>
    <row r="257" spans="1:14" ht="16.5">
      <c r="A257" s="2" t="str">
        <f t="shared" si="3"/>
        <v>235하위25%</v>
      </c>
      <c r="B257" s="142">
        <v>235</v>
      </c>
      <c r="C257" s="101" t="s">
        <v>1624</v>
      </c>
      <c r="D257" s="158">
        <v>0.59599999999999997</v>
      </c>
      <c r="E257" s="158">
        <v>0.36199999999999999</v>
      </c>
      <c r="F257" s="158">
        <v>3.0000000000000001E-3</v>
      </c>
      <c r="G257" s="158">
        <v>1.153</v>
      </c>
      <c r="H257" s="158">
        <v>0.435</v>
      </c>
      <c r="I257" s="158">
        <v>5.3999999999999999E-2</v>
      </c>
      <c r="J257" s="158">
        <v>0.42299999999999999</v>
      </c>
      <c r="K257" s="158">
        <v>12.82</v>
      </c>
      <c r="L257" s="158">
        <v>23.39</v>
      </c>
      <c r="M257" s="158">
        <v>36.53</v>
      </c>
      <c r="N257" s="158">
        <v>9.2999999999999999E-2</v>
      </c>
    </row>
    <row r="258" spans="1:14" ht="16.5">
      <c r="A258" s="2" t="str">
        <f t="shared" si="3"/>
        <v>236하위25%</v>
      </c>
      <c r="B258" s="142">
        <v>236</v>
      </c>
      <c r="C258" s="101" t="s">
        <v>1624</v>
      </c>
      <c r="D258" s="158">
        <v>0.64200000000000002</v>
      </c>
      <c r="E258" s="158">
        <v>0.34300000000000003</v>
      </c>
      <c r="F258" s="158">
        <v>8.9999999999999993E-3</v>
      </c>
      <c r="G258" s="158">
        <v>1.6339999999999999</v>
      </c>
      <c r="H258" s="158">
        <v>0.11</v>
      </c>
      <c r="I258" s="158">
        <v>7.2999999999999995E-2</v>
      </c>
      <c r="J258" s="158">
        <v>0.112</v>
      </c>
      <c r="K258" s="158">
        <v>6.33</v>
      </c>
      <c r="L258" s="158">
        <v>27.1</v>
      </c>
      <c r="M258" s="158">
        <v>11.19</v>
      </c>
      <c r="N258" s="158">
        <v>0.105</v>
      </c>
    </row>
    <row r="259" spans="1:14" ht="16.5">
      <c r="A259" s="2" t="str">
        <f t="shared" ref="A259:A322" si="4">B259&amp;C259</f>
        <v>237하위25%</v>
      </c>
      <c r="B259" s="142">
        <v>237</v>
      </c>
      <c r="C259" s="101" t="s">
        <v>1624</v>
      </c>
      <c r="D259" s="158">
        <v>0.84199999999999997</v>
      </c>
      <c r="E259" s="158">
        <v>0.13900000000000001</v>
      </c>
      <c r="F259" s="158">
        <v>6.0000000000000001E-3</v>
      </c>
      <c r="G259" s="158">
        <v>1.6890000000000001</v>
      </c>
      <c r="H259" s="158">
        <v>0.38100000000000001</v>
      </c>
      <c r="I259" s="158">
        <v>3.6999999999999998E-2</v>
      </c>
      <c r="J259" s="158">
        <v>0.248</v>
      </c>
      <c r="K259" s="158">
        <v>15.83</v>
      </c>
      <c r="L259" s="158">
        <v>22.18</v>
      </c>
      <c r="M259" s="158">
        <v>28.25</v>
      </c>
      <c r="N259" s="158">
        <v>7.2999999999999995E-2</v>
      </c>
    </row>
    <row r="260" spans="1:14" ht="16.5">
      <c r="A260" s="2" t="str">
        <f t="shared" si="4"/>
        <v>239하위25%</v>
      </c>
      <c r="B260" s="142">
        <v>239</v>
      </c>
      <c r="C260" s="101" t="s">
        <v>1624</v>
      </c>
      <c r="D260" s="158">
        <v>0.54700000000000004</v>
      </c>
      <c r="E260" s="158">
        <v>0.436</v>
      </c>
      <c r="F260" s="158">
        <v>1.2999999999999999E-2</v>
      </c>
      <c r="G260" s="158">
        <v>1.2250000000000001</v>
      </c>
      <c r="H260" s="158">
        <v>0.35499999999999998</v>
      </c>
      <c r="I260" s="158">
        <v>1.9E-2</v>
      </c>
      <c r="J260" s="158">
        <v>0.30499999999999999</v>
      </c>
      <c r="K260" s="158">
        <v>8.2100000000000009</v>
      </c>
      <c r="L260" s="158">
        <v>68.3</v>
      </c>
      <c r="M260" s="158">
        <v>60.42</v>
      </c>
      <c r="N260" s="158">
        <v>0.12</v>
      </c>
    </row>
    <row r="261" spans="1:14" ht="16.5">
      <c r="A261" s="2" t="str">
        <f t="shared" si="4"/>
        <v>311하위25%</v>
      </c>
      <c r="B261" s="142">
        <v>311</v>
      </c>
      <c r="C261" s="101" t="s">
        <v>1624</v>
      </c>
      <c r="D261" s="158">
        <v>0.81200000000000006</v>
      </c>
      <c r="E261" s="158">
        <v>0.16700000000000001</v>
      </c>
      <c r="F261" s="158">
        <v>4.0000000000000001E-3</v>
      </c>
      <c r="G261" s="158">
        <v>1.603</v>
      </c>
      <c r="H261" s="158">
        <v>0.17799999999999999</v>
      </c>
      <c r="I261" s="158">
        <v>0</v>
      </c>
      <c r="J261" s="158">
        <v>0.111</v>
      </c>
      <c r="K261" s="158">
        <v>13.72</v>
      </c>
      <c r="L261" s="158">
        <v>13.71</v>
      </c>
      <c r="M261" s="158">
        <v>24.06</v>
      </c>
      <c r="N261" s="158">
        <v>0.104</v>
      </c>
    </row>
    <row r="262" spans="1:14" ht="16.5">
      <c r="A262" s="2" t="str">
        <f t="shared" si="4"/>
        <v>312하위25%</v>
      </c>
      <c r="B262" s="142">
        <v>312</v>
      </c>
      <c r="C262" s="101" t="s">
        <v>1624</v>
      </c>
      <c r="D262" s="158">
        <v>0.88500000000000001</v>
      </c>
      <c r="E262" s="158">
        <v>0.104</v>
      </c>
      <c r="F262" s="158">
        <v>1.4999999999999999E-2</v>
      </c>
      <c r="G262" s="158">
        <v>3.6230000000000002</v>
      </c>
      <c r="H262" s="158">
        <v>0.112</v>
      </c>
      <c r="I262" s="158">
        <v>0</v>
      </c>
      <c r="J262" s="158">
        <v>3.1E-2</v>
      </c>
      <c r="K262" s="158">
        <v>7.36</v>
      </c>
      <c r="L262" s="158">
        <v>68.2</v>
      </c>
      <c r="M262" s="158">
        <v>11.42</v>
      </c>
      <c r="N262" s="158">
        <v>6.3E-2</v>
      </c>
    </row>
    <row r="263" spans="1:14" ht="16.5">
      <c r="A263" s="2" t="str">
        <f t="shared" si="4"/>
        <v>390하위25%</v>
      </c>
      <c r="B263" s="142">
        <v>390</v>
      </c>
      <c r="C263" s="101" t="s">
        <v>1624</v>
      </c>
      <c r="D263" s="158">
        <v>0.64800000000000002</v>
      </c>
      <c r="E263" s="158">
        <v>0.33900000000000002</v>
      </c>
      <c r="F263" s="158">
        <v>0</v>
      </c>
      <c r="G263" s="158">
        <v>0.51800000000000002</v>
      </c>
      <c r="H263" s="158">
        <v>1.7999999999999999E-2</v>
      </c>
      <c r="I263" s="158">
        <v>0</v>
      </c>
      <c r="J263" s="158">
        <v>3.4000000000000002E-2</v>
      </c>
      <c r="K263" s="158">
        <v>0</v>
      </c>
      <c r="L263" s="158">
        <v>0</v>
      </c>
      <c r="M263" s="158">
        <v>0</v>
      </c>
      <c r="N263" s="158">
        <v>0</v>
      </c>
    </row>
    <row r="264" spans="1:14" ht="16.5">
      <c r="A264" s="2" t="str">
        <f t="shared" si="4"/>
        <v>411하위25%</v>
      </c>
      <c r="B264" s="142">
        <v>411</v>
      </c>
      <c r="C264" s="101" t="s">
        <v>1624</v>
      </c>
      <c r="D264" s="158">
        <v>0.90400000000000003</v>
      </c>
      <c r="E264" s="158">
        <v>7.2999999999999995E-2</v>
      </c>
      <c r="F264" s="158">
        <v>3.0000000000000001E-3</v>
      </c>
      <c r="G264" s="158">
        <v>1.4159999999999999</v>
      </c>
      <c r="H264" s="158">
        <v>0.36199999999999999</v>
      </c>
      <c r="I264" s="158">
        <v>1.0999999999999999E-2</v>
      </c>
      <c r="J264" s="158">
        <v>0.26300000000000001</v>
      </c>
      <c r="K264" s="158">
        <v>7.36</v>
      </c>
      <c r="L264" s="158">
        <v>6.39</v>
      </c>
      <c r="M264" s="158">
        <v>18.079999999999998</v>
      </c>
      <c r="N264" s="158">
        <v>0.23699999999999999</v>
      </c>
    </row>
    <row r="265" spans="1:14" ht="16.5">
      <c r="A265" s="2" t="str">
        <f t="shared" si="4"/>
        <v>412하위25%</v>
      </c>
      <c r="B265" s="142">
        <v>412</v>
      </c>
      <c r="C265" s="101" t="s">
        <v>1624</v>
      </c>
      <c r="D265" s="158">
        <v>0.89300000000000002</v>
      </c>
      <c r="E265" s="158">
        <v>8.4000000000000005E-2</v>
      </c>
      <c r="F265" s="158">
        <v>2E-3</v>
      </c>
      <c r="G265" s="158">
        <v>0.874</v>
      </c>
      <c r="H265" s="158">
        <v>0.5</v>
      </c>
      <c r="I265" s="158">
        <v>4.0000000000000001E-3</v>
      </c>
      <c r="J265" s="158">
        <v>0.57699999999999996</v>
      </c>
      <c r="K265" s="158">
        <v>5.52</v>
      </c>
      <c r="L265" s="158">
        <v>7.71</v>
      </c>
      <c r="M265" s="158">
        <v>7.8</v>
      </c>
      <c r="N265" s="158">
        <v>0.183</v>
      </c>
    </row>
    <row r="266" spans="1:14" ht="16.5">
      <c r="A266" s="2" t="str">
        <f t="shared" si="4"/>
        <v>413하위25%</v>
      </c>
      <c r="B266" s="142">
        <v>413</v>
      </c>
      <c r="C266" s="101" t="s">
        <v>1624</v>
      </c>
      <c r="D266" s="158">
        <v>0.84</v>
      </c>
      <c r="E266" s="158">
        <v>0.126</v>
      </c>
      <c r="F266" s="158">
        <v>2E-3</v>
      </c>
      <c r="G266" s="158">
        <v>1.679</v>
      </c>
      <c r="H266" s="158">
        <v>0.36499999999999999</v>
      </c>
      <c r="I266" s="158">
        <v>4.0000000000000001E-3</v>
      </c>
      <c r="J266" s="158">
        <v>0.219</v>
      </c>
      <c r="K266" s="158">
        <v>7.96</v>
      </c>
      <c r="L266" s="158">
        <v>17.21</v>
      </c>
      <c r="M266" s="158">
        <v>14.93</v>
      </c>
      <c r="N266" s="158">
        <v>0.11700000000000001</v>
      </c>
    </row>
    <row r="267" spans="1:14" ht="16.5">
      <c r="A267" s="2" t="str">
        <f t="shared" si="4"/>
        <v>414하위25%</v>
      </c>
      <c r="B267" s="142">
        <v>414</v>
      </c>
      <c r="C267" s="101" t="s">
        <v>1624</v>
      </c>
      <c r="D267" s="158">
        <v>0.88200000000000001</v>
      </c>
      <c r="E267" s="158">
        <v>7.0000000000000007E-2</v>
      </c>
      <c r="F267" s="158">
        <v>2E-3</v>
      </c>
      <c r="G267" s="158">
        <v>1.2430000000000001</v>
      </c>
      <c r="H267" s="158">
        <v>0.34100000000000003</v>
      </c>
      <c r="I267" s="158">
        <v>0</v>
      </c>
      <c r="J267" s="158">
        <v>0.27400000000000002</v>
      </c>
      <c r="K267" s="158">
        <v>5.14</v>
      </c>
      <c r="L267" s="158">
        <v>15.27</v>
      </c>
      <c r="M267" s="158">
        <v>5.31</v>
      </c>
      <c r="N267" s="158">
        <v>7.1999999999999995E-2</v>
      </c>
    </row>
    <row r="268" spans="1:14" ht="16.5">
      <c r="A268" s="2" t="str">
        <f t="shared" si="4"/>
        <v>415하위25%</v>
      </c>
      <c r="B268" s="142">
        <v>415</v>
      </c>
      <c r="C268" s="101" t="s">
        <v>1624</v>
      </c>
      <c r="D268" s="158">
        <v>0.83199999999999996</v>
      </c>
      <c r="E268" s="158">
        <v>0.14899999999999999</v>
      </c>
      <c r="F268" s="158">
        <v>4.0000000000000001E-3</v>
      </c>
      <c r="G268" s="158">
        <v>1.728</v>
      </c>
      <c r="H268" s="158">
        <v>0.34899999999999998</v>
      </c>
      <c r="I268" s="158">
        <v>0.01</v>
      </c>
      <c r="J268" s="158">
        <v>0.20699999999999999</v>
      </c>
      <c r="K268" s="158">
        <v>7.51</v>
      </c>
      <c r="L268" s="158">
        <v>9.2100000000000009</v>
      </c>
      <c r="M268" s="158">
        <v>7.19</v>
      </c>
      <c r="N268" s="158">
        <v>0.10299999999999999</v>
      </c>
    </row>
    <row r="269" spans="1:14" ht="16.5">
      <c r="A269" s="2" t="str">
        <f t="shared" si="4"/>
        <v>416하위25%</v>
      </c>
      <c r="B269" s="142">
        <v>416</v>
      </c>
      <c r="C269" s="101" t="s">
        <v>1624</v>
      </c>
      <c r="D269" s="158">
        <v>0.88300000000000001</v>
      </c>
      <c r="E269" s="158">
        <v>9.4E-2</v>
      </c>
      <c r="F269" s="158">
        <v>3.0000000000000001E-3</v>
      </c>
      <c r="G269" s="158">
        <v>1.657</v>
      </c>
      <c r="H269" s="158">
        <v>0.38</v>
      </c>
      <c r="I269" s="158">
        <v>1.0999999999999999E-2</v>
      </c>
      <c r="J269" s="158">
        <v>0.23599999999999999</v>
      </c>
      <c r="K269" s="158">
        <v>9.84</v>
      </c>
      <c r="L269" s="158">
        <v>7.37</v>
      </c>
      <c r="M269" s="158">
        <v>13.28</v>
      </c>
      <c r="N269" s="158">
        <v>0.16200000000000001</v>
      </c>
    </row>
    <row r="270" spans="1:14" ht="16.5">
      <c r="A270" s="2" t="str">
        <f t="shared" si="4"/>
        <v>419하위25%</v>
      </c>
      <c r="B270" s="142">
        <v>419</v>
      </c>
      <c r="C270" s="101" t="s">
        <v>1624</v>
      </c>
      <c r="D270" s="158">
        <v>0.873</v>
      </c>
      <c r="E270" s="158">
        <v>0.10199999999999999</v>
      </c>
      <c r="F270" s="158">
        <v>4.0000000000000001E-3</v>
      </c>
      <c r="G270" s="158">
        <v>1.101</v>
      </c>
      <c r="H270" s="158">
        <v>0.49099999999999999</v>
      </c>
      <c r="I270" s="158">
        <v>2.1000000000000001E-2</v>
      </c>
      <c r="J270" s="158">
        <v>0.46500000000000002</v>
      </c>
      <c r="K270" s="158">
        <v>7.78</v>
      </c>
      <c r="L270" s="158">
        <v>8.6300000000000008</v>
      </c>
      <c r="M270" s="158">
        <v>15.13</v>
      </c>
      <c r="N270" s="158">
        <v>0.17799999999999999</v>
      </c>
    </row>
    <row r="271" spans="1:14" ht="16.5">
      <c r="A271" s="2" t="str">
        <f t="shared" si="4"/>
        <v>421하위25%</v>
      </c>
      <c r="B271" s="142">
        <v>421</v>
      </c>
      <c r="C271" s="101" t="s">
        <v>1624</v>
      </c>
      <c r="D271" s="158">
        <v>0.879</v>
      </c>
      <c r="E271" s="158">
        <v>9.0999999999999998E-2</v>
      </c>
      <c r="F271" s="158">
        <v>4.0000000000000001E-3</v>
      </c>
      <c r="G271" s="158">
        <v>0.67900000000000005</v>
      </c>
      <c r="H271" s="158">
        <v>0.52900000000000003</v>
      </c>
      <c r="I271" s="158">
        <v>0</v>
      </c>
      <c r="J271" s="158">
        <v>0.77900000000000003</v>
      </c>
      <c r="K271" s="158">
        <v>2.99</v>
      </c>
      <c r="L271" s="158">
        <v>3.56</v>
      </c>
      <c r="M271" s="158">
        <v>6.87</v>
      </c>
      <c r="N271" s="158">
        <v>0.47</v>
      </c>
    </row>
    <row r="272" spans="1:14" ht="16.5">
      <c r="A272" s="2" t="str">
        <f t="shared" si="4"/>
        <v>422하위25%</v>
      </c>
      <c r="B272" s="142">
        <v>422</v>
      </c>
      <c r="C272" s="101" t="s">
        <v>1624</v>
      </c>
      <c r="D272" s="158">
        <v>0.66900000000000004</v>
      </c>
      <c r="E272" s="158">
        <v>0.30599999999999999</v>
      </c>
      <c r="F272" s="158">
        <v>8.0000000000000002E-3</v>
      </c>
      <c r="G272" s="158">
        <v>1.0609999999999999</v>
      </c>
      <c r="H272" s="158">
        <v>0.25700000000000001</v>
      </c>
      <c r="I272" s="158">
        <v>1.7999999999999999E-2</v>
      </c>
      <c r="J272" s="158">
        <v>0.25900000000000001</v>
      </c>
      <c r="K272" s="158">
        <v>5.71</v>
      </c>
      <c r="L272" s="158">
        <v>7.31</v>
      </c>
      <c r="M272" s="158">
        <v>7.83</v>
      </c>
      <c r="N272" s="158">
        <v>0.184</v>
      </c>
    </row>
    <row r="273" spans="1:14" ht="16.5">
      <c r="A273" s="2" t="str">
        <f t="shared" si="4"/>
        <v>423하위25%</v>
      </c>
      <c r="B273" s="142">
        <v>423</v>
      </c>
      <c r="C273" s="101" t="s">
        <v>1624</v>
      </c>
      <c r="D273" s="158">
        <v>0.82699999999999996</v>
      </c>
      <c r="E273" s="158">
        <v>0.121</v>
      </c>
      <c r="F273" s="158">
        <v>0</v>
      </c>
      <c r="G273" s="158">
        <v>0.69799999999999995</v>
      </c>
      <c r="H273" s="158">
        <v>0.40500000000000003</v>
      </c>
      <c r="I273" s="158">
        <v>6.0000000000000001E-3</v>
      </c>
      <c r="J273" s="158">
        <v>0.58899999999999997</v>
      </c>
      <c r="K273" s="158">
        <v>6.89</v>
      </c>
      <c r="L273" s="158">
        <v>1.69</v>
      </c>
      <c r="M273" s="158">
        <v>7.42</v>
      </c>
      <c r="N273" s="158">
        <v>0.60199999999999998</v>
      </c>
    </row>
    <row r="274" spans="1:14" ht="16.5">
      <c r="A274" s="2" t="str">
        <f t="shared" si="4"/>
        <v>429하위25%</v>
      </c>
      <c r="B274" s="142">
        <v>429</v>
      </c>
      <c r="C274" s="101" t="s">
        <v>1624</v>
      </c>
      <c r="D274" s="158">
        <v>0.89200000000000002</v>
      </c>
      <c r="E274" s="158">
        <v>9.1999999999999998E-2</v>
      </c>
      <c r="F274" s="158">
        <v>2E-3</v>
      </c>
      <c r="G274" s="158">
        <v>0.76500000000000001</v>
      </c>
      <c r="H274" s="158">
        <v>0.40200000000000002</v>
      </c>
      <c r="I274" s="158">
        <v>2E-3</v>
      </c>
      <c r="J274" s="158">
        <v>0.52800000000000002</v>
      </c>
      <c r="K274" s="158">
        <v>5.01</v>
      </c>
      <c r="L274" s="158">
        <v>6.92</v>
      </c>
      <c r="M274" s="158">
        <v>13.81</v>
      </c>
      <c r="N274" s="158">
        <v>0.27200000000000002</v>
      </c>
    </row>
    <row r="275" spans="1:14" ht="16.5">
      <c r="A275" s="2" t="str">
        <f t="shared" si="4"/>
        <v>431하위25%</v>
      </c>
      <c r="B275" s="142">
        <v>431</v>
      </c>
      <c r="C275" s="101" t="s">
        <v>1624</v>
      </c>
      <c r="D275" s="158">
        <v>0.84399999999999997</v>
      </c>
      <c r="E275" s="158">
        <v>0.124</v>
      </c>
      <c r="F275" s="158">
        <v>4.0000000000000001E-3</v>
      </c>
      <c r="G275" s="158">
        <v>1.095</v>
      </c>
      <c r="H275" s="158">
        <v>0.3</v>
      </c>
      <c r="I275" s="158">
        <v>7.0000000000000001E-3</v>
      </c>
      <c r="J275" s="158">
        <v>0.28000000000000003</v>
      </c>
      <c r="K275" s="158">
        <v>5.18</v>
      </c>
      <c r="L275" s="158">
        <v>6.72</v>
      </c>
      <c r="M275" s="158">
        <v>11.91</v>
      </c>
      <c r="N275" s="158">
        <v>0.25800000000000001</v>
      </c>
    </row>
    <row r="276" spans="1:14" ht="16.5">
      <c r="A276" s="2" t="str">
        <f t="shared" si="4"/>
        <v>432하위25%</v>
      </c>
      <c r="B276" s="142">
        <v>432</v>
      </c>
      <c r="C276" s="101" t="s">
        <v>1624</v>
      </c>
      <c r="D276" s="158">
        <v>0.88900000000000001</v>
      </c>
      <c r="E276" s="158">
        <v>8.7999999999999995E-2</v>
      </c>
      <c r="F276" s="158">
        <v>3.0000000000000001E-3</v>
      </c>
      <c r="G276" s="158">
        <v>1.179</v>
      </c>
      <c r="H276" s="158">
        <v>0.34799999999999998</v>
      </c>
      <c r="I276" s="158">
        <v>8.9999999999999993E-3</v>
      </c>
      <c r="J276" s="158">
        <v>0.30199999999999999</v>
      </c>
      <c r="K276" s="158">
        <v>5.52</v>
      </c>
      <c r="L276" s="158">
        <v>8.34</v>
      </c>
      <c r="M276" s="158">
        <v>8.17</v>
      </c>
      <c r="N276" s="158">
        <v>0.17899999999999999</v>
      </c>
    </row>
    <row r="277" spans="1:14" ht="16.5">
      <c r="A277" s="2" t="str">
        <f t="shared" si="4"/>
        <v>433하위25%</v>
      </c>
      <c r="B277" s="142">
        <v>433</v>
      </c>
      <c r="C277" s="101" t="s">
        <v>1624</v>
      </c>
      <c r="D277" s="158">
        <v>0.83199999999999996</v>
      </c>
      <c r="E277" s="158">
        <v>0.14699999999999999</v>
      </c>
      <c r="F277" s="158">
        <v>0.01</v>
      </c>
      <c r="G277" s="158">
        <v>0.88900000000000001</v>
      </c>
      <c r="H277" s="158">
        <v>0.27600000000000002</v>
      </c>
      <c r="I277" s="158">
        <v>3.1E-2</v>
      </c>
      <c r="J277" s="158">
        <v>0.34499999999999997</v>
      </c>
      <c r="K277" s="158">
        <v>3.63</v>
      </c>
      <c r="L277" s="158">
        <v>5.74</v>
      </c>
      <c r="M277" s="158">
        <v>6.99</v>
      </c>
      <c r="N277" s="158">
        <v>0.307</v>
      </c>
    </row>
    <row r="278" spans="1:14" ht="16.5">
      <c r="A278" s="2" t="str">
        <f t="shared" si="4"/>
        <v>439하위25%</v>
      </c>
      <c r="B278" s="142">
        <v>439</v>
      </c>
      <c r="C278" s="101" t="s">
        <v>1624</v>
      </c>
      <c r="D278" s="158">
        <v>0.86299999999999999</v>
      </c>
      <c r="E278" s="158">
        <v>0.115</v>
      </c>
      <c r="F278" s="158">
        <v>0.01</v>
      </c>
      <c r="G278" s="158">
        <v>1.1299999999999999</v>
      </c>
      <c r="H278" s="158">
        <v>0.25800000000000001</v>
      </c>
      <c r="I278" s="158">
        <v>4.9000000000000002E-2</v>
      </c>
      <c r="J278" s="158">
        <v>0.27100000000000002</v>
      </c>
      <c r="K278" s="158">
        <v>5.28</v>
      </c>
      <c r="L278" s="158">
        <v>9.89</v>
      </c>
      <c r="M278" s="158">
        <v>6.46</v>
      </c>
      <c r="N278" s="158">
        <v>0.13600000000000001</v>
      </c>
    </row>
    <row r="279" spans="1:14" ht="16.5">
      <c r="A279" s="2" t="str">
        <f t="shared" si="4"/>
        <v>441하위25%</v>
      </c>
      <c r="B279" s="142">
        <v>441</v>
      </c>
      <c r="C279" s="101" t="s">
        <v>1624</v>
      </c>
      <c r="D279" s="158">
        <v>0.70099999999999996</v>
      </c>
      <c r="E279" s="158">
        <v>0.27800000000000002</v>
      </c>
      <c r="F279" s="158">
        <v>5.0000000000000001E-3</v>
      </c>
      <c r="G279" s="158">
        <v>1.1719999999999999</v>
      </c>
      <c r="H279" s="158">
        <v>5.2999999999999999E-2</v>
      </c>
      <c r="I279" s="158">
        <v>2E-3</v>
      </c>
      <c r="J279" s="158">
        <v>4.7E-2</v>
      </c>
      <c r="K279" s="158">
        <v>59.45</v>
      </c>
      <c r="L279" s="158">
        <v>23.83</v>
      </c>
      <c r="M279" s="158">
        <v>136.61000000000001</v>
      </c>
      <c r="N279" s="158">
        <v>5.0999999999999997E-2</v>
      </c>
    </row>
    <row r="280" spans="1:14" ht="16.5">
      <c r="A280" s="2" t="str">
        <f t="shared" si="4"/>
        <v>442하위25%</v>
      </c>
      <c r="B280" s="142">
        <v>442</v>
      </c>
      <c r="C280" s="101" t="s">
        <v>1624</v>
      </c>
      <c r="D280" s="158">
        <v>0.64200000000000002</v>
      </c>
      <c r="E280" s="158">
        <v>0.34300000000000003</v>
      </c>
      <c r="F280" s="158">
        <v>8.9999999999999993E-3</v>
      </c>
      <c r="G280" s="158">
        <v>1.6339999999999999</v>
      </c>
      <c r="H280" s="158">
        <v>0.11</v>
      </c>
      <c r="I280" s="158">
        <v>7.2999999999999995E-2</v>
      </c>
      <c r="J280" s="158">
        <v>0.112</v>
      </c>
      <c r="K280" s="158">
        <v>6.33</v>
      </c>
      <c r="L280" s="158">
        <v>27.1</v>
      </c>
      <c r="M280" s="158">
        <v>11.19</v>
      </c>
      <c r="N280" s="158">
        <v>0.105</v>
      </c>
    </row>
    <row r="281" spans="1:14" ht="16.5">
      <c r="A281" s="2" t="str">
        <f t="shared" si="4"/>
        <v>443하위25%</v>
      </c>
      <c r="B281" s="142">
        <v>443</v>
      </c>
      <c r="C281" s="101" t="s">
        <v>1624</v>
      </c>
      <c r="D281" s="158">
        <v>0.70099999999999996</v>
      </c>
      <c r="E281" s="158">
        <v>0.27800000000000002</v>
      </c>
      <c r="F281" s="158">
        <v>5.0000000000000001E-3</v>
      </c>
      <c r="G281" s="158">
        <v>1.1719999999999999</v>
      </c>
      <c r="H281" s="158">
        <v>5.2999999999999999E-2</v>
      </c>
      <c r="I281" s="158">
        <v>2E-3</v>
      </c>
      <c r="J281" s="158">
        <v>4.7E-2</v>
      </c>
      <c r="K281" s="158">
        <v>59.45</v>
      </c>
      <c r="L281" s="158">
        <v>23.83</v>
      </c>
      <c r="M281" s="158">
        <v>136.61000000000001</v>
      </c>
      <c r="N281" s="158">
        <v>5.0999999999999997E-2</v>
      </c>
    </row>
    <row r="282" spans="1:14" ht="16.5">
      <c r="A282" s="2" t="str">
        <f t="shared" si="4"/>
        <v>444하위25%</v>
      </c>
      <c r="B282" s="142">
        <v>444</v>
      </c>
      <c r="C282" s="101" t="s">
        <v>1624</v>
      </c>
      <c r="D282" s="158">
        <v>0.48</v>
      </c>
      <c r="E282" s="158">
        <v>0.503</v>
      </c>
      <c r="F282" s="158">
        <v>4.0000000000000001E-3</v>
      </c>
      <c r="G282" s="158">
        <v>2.73</v>
      </c>
      <c r="H282" s="158">
        <v>0.17199999999999999</v>
      </c>
      <c r="I282" s="158">
        <v>3.6999999999999998E-2</v>
      </c>
      <c r="J282" s="158">
        <v>7.5999999999999998E-2</v>
      </c>
      <c r="K282" s="158">
        <v>16.73</v>
      </c>
      <c r="L282" s="158">
        <v>47.36</v>
      </c>
      <c r="M282" s="158">
        <v>99.22</v>
      </c>
      <c r="N282" s="158">
        <v>7.0999999999999994E-2</v>
      </c>
    </row>
    <row r="283" spans="1:14" ht="16.5">
      <c r="A283" s="2" t="str">
        <f t="shared" si="4"/>
        <v>445하위25%</v>
      </c>
      <c r="B283" s="142">
        <v>445</v>
      </c>
      <c r="C283" s="101" t="s">
        <v>1624</v>
      </c>
      <c r="D283" s="158">
        <v>0.84199999999999997</v>
      </c>
      <c r="E283" s="158">
        <v>0.13900000000000001</v>
      </c>
      <c r="F283" s="158">
        <v>6.0000000000000001E-3</v>
      </c>
      <c r="G283" s="158">
        <v>1.6890000000000001</v>
      </c>
      <c r="H283" s="158">
        <v>0.38100000000000001</v>
      </c>
      <c r="I283" s="158">
        <v>3.6999999999999998E-2</v>
      </c>
      <c r="J283" s="158">
        <v>0.248</v>
      </c>
      <c r="K283" s="158">
        <v>15.83</v>
      </c>
      <c r="L283" s="158">
        <v>22.18</v>
      </c>
      <c r="M283" s="158">
        <v>28.25</v>
      </c>
      <c r="N283" s="158">
        <v>7.2999999999999995E-2</v>
      </c>
    </row>
    <row r="284" spans="1:14" ht="16.5">
      <c r="A284" s="2" t="str">
        <f t="shared" si="4"/>
        <v>446하위25%</v>
      </c>
      <c r="B284" s="142">
        <v>446</v>
      </c>
      <c r="C284" s="101" t="s">
        <v>1624</v>
      </c>
      <c r="D284" s="158">
        <v>0.90800000000000003</v>
      </c>
      <c r="E284" s="158">
        <v>7.8E-2</v>
      </c>
      <c r="F284" s="158">
        <v>2E-3</v>
      </c>
      <c r="G284" s="158">
        <v>1.853</v>
      </c>
      <c r="H284" s="158">
        <v>0.184</v>
      </c>
      <c r="I284" s="158">
        <v>5.0000000000000001E-3</v>
      </c>
      <c r="J284" s="158">
        <v>0.10199999999999999</v>
      </c>
      <c r="K284" s="158">
        <v>10.86</v>
      </c>
      <c r="L284" s="158">
        <v>15.42</v>
      </c>
      <c r="M284" s="158">
        <v>18.22</v>
      </c>
      <c r="N284" s="158">
        <v>0.10199999999999999</v>
      </c>
    </row>
    <row r="285" spans="1:14" ht="16.5">
      <c r="A285" s="2" t="str">
        <f t="shared" si="4"/>
        <v>447하위25%</v>
      </c>
      <c r="B285" s="142">
        <v>447</v>
      </c>
      <c r="C285" s="101" t="s">
        <v>1624</v>
      </c>
      <c r="D285" s="158">
        <v>0.80800000000000005</v>
      </c>
      <c r="E285" s="158">
        <v>0.154</v>
      </c>
      <c r="F285" s="158">
        <v>6.0000000000000001E-3</v>
      </c>
      <c r="G285" s="158">
        <v>3.113</v>
      </c>
      <c r="H285" s="158">
        <v>8.2000000000000003E-2</v>
      </c>
      <c r="I285" s="158">
        <v>0</v>
      </c>
      <c r="J285" s="158">
        <v>2.5999999999999999E-2</v>
      </c>
      <c r="K285" s="158">
        <v>8.2200000000000006</v>
      </c>
      <c r="L285" s="158">
        <v>37.880000000000003</v>
      </c>
      <c r="M285" s="158">
        <v>189.27</v>
      </c>
      <c r="N285" s="158">
        <v>0.14299999999999999</v>
      </c>
    </row>
    <row r="286" spans="1:14" ht="16.5">
      <c r="A286" s="2" t="str">
        <f t="shared" si="4"/>
        <v>449하위25%</v>
      </c>
      <c r="B286" s="142">
        <v>449</v>
      </c>
      <c r="C286" s="101" t="s">
        <v>1624</v>
      </c>
      <c r="D286" s="158">
        <v>0.188</v>
      </c>
      <c r="E286" s="158">
        <v>0.77600000000000002</v>
      </c>
      <c r="F286" s="158">
        <v>1.0999999999999999E-2</v>
      </c>
      <c r="G286" s="158">
        <v>1.34</v>
      </c>
      <c r="H286" s="158">
        <v>0.128</v>
      </c>
      <c r="I286" s="158">
        <v>0.03</v>
      </c>
      <c r="J286" s="158">
        <v>0.11799999999999999</v>
      </c>
      <c r="K286" s="158">
        <v>9.1199999999999992</v>
      </c>
      <c r="L286" s="158">
        <v>280.72000000000003</v>
      </c>
      <c r="M286" s="158">
        <v>74.13</v>
      </c>
      <c r="N286" s="158">
        <v>0.1</v>
      </c>
    </row>
    <row r="287" spans="1:14" ht="16.5">
      <c r="A287" s="2" t="str">
        <f t="shared" si="4"/>
        <v>511하위25%</v>
      </c>
      <c r="B287" s="142">
        <v>511</v>
      </c>
      <c r="C287" s="101" t="s">
        <v>1624</v>
      </c>
      <c r="D287" s="158">
        <v>0.90200000000000002</v>
      </c>
      <c r="E287" s="158">
        <v>7.5999999999999998E-2</v>
      </c>
      <c r="F287" s="158">
        <v>2E-3</v>
      </c>
      <c r="G287" s="158">
        <v>1.1299999999999999</v>
      </c>
      <c r="H287" s="158">
        <v>0.17399999999999999</v>
      </c>
      <c r="I287" s="158">
        <v>0</v>
      </c>
      <c r="J287" s="158">
        <v>0.154</v>
      </c>
      <c r="K287" s="158">
        <v>15.69</v>
      </c>
      <c r="L287" s="158">
        <v>4.72</v>
      </c>
      <c r="M287" s="158">
        <v>22.64</v>
      </c>
      <c r="N287" s="158">
        <v>0.23100000000000001</v>
      </c>
    </row>
    <row r="288" spans="1:14" ht="16.5">
      <c r="A288" s="2" t="str">
        <f t="shared" si="4"/>
        <v>512하위25%</v>
      </c>
      <c r="B288" s="142">
        <v>512</v>
      </c>
      <c r="C288" s="101" t="s">
        <v>1624</v>
      </c>
      <c r="D288" s="158">
        <v>0</v>
      </c>
      <c r="E288" s="158">
        <v>0</v>
      </c>
      <c r="F288" s="158">
        <v>0</v>
      </c>
      <c r="G288" s="158">
        <v>0</v>
      </c>
      <c r="H288" s="158">
        <v>0</v>
      </c>
      <c r="I288" s="158">
        <v>0</v>
      </c>
      <c r="J288" s="158">
        <v>0</v>
      </c>
      <c r="K288" s="158">
        <v>0</v>
      </c>
      <c r="L288" s="158">
        <v>0</v>
      </c>
      <c r="M288" s="158">
        <v>0</v>
      </c>
      <c r="N288" s="158">
        <v>0</v>
      </c>
    </row>
    <row r="289" spans="1:14" ht="16.5">
      <c r="A289" s="2" t="str">
        <f t="shared" si="4"/>
        <v>520하위25%</v>
      </c>
      <c r="B289" s="142">
        <v>520</v>
      </c>
      <c r="C289" s="101" t="s">
        <v>1624</v>
      </c>
      <c r="D289" s="158">
        <v>0.88300000000000001</v>
      </c>
      <c r="E289" s="158">
        <v>8.3000000000000004E-2</v>
      </c>
      <c r="F289" s="158">
        <v>8.9999999999999993E-3</v>
      </c>
      <c r="G289" s="158">
        <v>0.50700000000000001</v>
      </c>
      <c r="H289" s="158">
        <v>0.33400000000000002</v>
      </c>
      <c r="I289" s="158">
        <v>1.0999999999999999E-2</v>
      </c>
      <c r="J289" s="158">
        <v>0.68</v>
      </c>
      <c r="K289" s="158">
        <v>10.62</v>
      </c>
      <c r="L289" s="158">
        <v>1.25</v>
      </c>
      <c r="M289" s="158">
        <v>27.49</v>
      </c>
      <c r="N289" s="158">
        <v>0.86099999999999999</v>
      </c>
    </row>
    <row r="290" spans="1:14" ht="16.5">
      <c r="A290" s="2" t="str">
        <f t="shared" si="4"/>
        <v>611하위25%</v>
      </c>
      <c r="B290" s="142">
        <v>611</v>
      </c>
      <c r="C290" s="101" t="s">
        <v>1624</v>
      </c>
      <c r="D290" s="158">
        <v>0.61</v>
      </c>
      <c r="E290" s="158">
        <v>0.38300000000000001</v>
      </c>
      <c r="F290" s="158">
        <v>2.1999999999999999E-2</v>
      </c>
      <c r="G290" s="158">
        <v>1.7549999999999999</v>
      </c>
      <c r="H290" s="158">
        <v>0.216</v>
      </c>
      <c r="I290" s="158">
        <v>3.1E-2</v>
      </c>
      <c r="J290" s="158">
        <v>0.14099999999999999</v>
      </c>
      <c r="K290" s="158">
        <v>7.52</v>
      </c>
      <c r="L290" s="158">
        <v>6.04</v>
      </c>
      <c r="M290" s="158">
        <v>57.78</v>
      </c>
      <c r="N290" s="158">
        <v>0.28100000000000003</v>
      </c>
    </row>
    <row r="291" spans="1:14" ht="16.5">
      <c r="A291" s="2" t="str">
        <f t="shared" si="4"/>
        <v>612하위25%</v>
      </c>
      <c r="B291" s="142">
        <v>612</v>
      </c>
      <c r="C291" s="101" t="s">
        <v>1624</v>
      </c>
      <c r="D291" s="158">
        <v>0.82299999999999995</v>
      </c>
      <c r="E291" s="158">
        <v>0.157</v>
      </c>
      <c r="F291" s="158">
        <v>4.0000000000000001E-3</v>
      </c>
      <c r="G291" s="158">
        <v>1.569</v>
      </c>
      <c r="H291" s="158">
        <v>0.42</v>
      </c>
      <c r="I291" s="158">
        <v>8.0000000000000002E-3</v>
      </c>
      <c r="J291" s="158">
        <v>0.27300000000000002</v>
      </c>
      <c r="K291" s="158">
        <v>8.59</v>
      </c>
      <c r="L291" s="158">
        <v>8.25</v>
      </c>
      <c r="M291" s="158">
        <v>7.97</v>
      </c>
      <c r="N291" s="158">
        <v>0.112</v>
      </c>
    </row>
    <row r="292" spans="1:14" ht="16.5">
      <c r="A292" s="2" t="str">
        <f t="shared" si="4"/>
        <v>619하위25%</v>
      </c>
      <c r="B292" s="142">
        <v>619</v>
      </c>
      <c r="C292" s="101" t="s">
        <v>1624</v>
      </c>
      <c r="D292" s="158">
        <v>0.85499999999999998</v>
      </c>
      <c r="E292" s="158">
        <v>0.124</v>
      </c>
      <c r="F292" s="158">
        <v>4.0000000000000001E-3</v>
      </c>
      <c r="G292" s="158">
        <v>1.145</v>
      </c>
      <c r="H292" s="158">
        <v>0.27100000000000002</v>
      </c>
      <c r="I292" s="158">
        <v>6.5000000000000002E-2</v>
      </c>
      <c r="J292" s="158">
        <v>0.29299999999999998</v>
      </c>
      <c r="K292" s="158">
        <v>6.69</v>
      </c>
      <c r="L292" s="158">
        <v>10.37</v>
      </c>
      <c r="M292" s="158">
        <v>8.07</v>
      </c>
      <c r="N292" s="158">
        <v>0.122</v>
      </c>
    </row>
    <row r="293" spans="1:14" ht="16.5">
      <c r="A293" s="2" t="str">
        <f t="shared" si="4"/>
        <v>621하위25%</v>
      </c>
      <c r="B293" s="142">
        <v>621</v>
      </c>
      <c r="C293" s="101" t="s">
        <v>1624</v>
      </c>
      <c r="D293" s="158">
        <v>0.93100000000000005</v>
      </c>
      <c r="E293" s="158">
        <v>6.6000000000000003E-2</v>
      </c>
      <c r="F293" s="158">
        <v>2E-3</v>
      </c>
      <c r="G293" s="158">
        <v>0.54600000000000004</v>
      </c>
      <c r="H293" s="158">
        <v>0.377</v>
      </c>
      <c r="I293" s="158">
        <v>5.0000000000000001E-3</v>
      </c>
      <c r="J293" s="158">
        <v>0.7</v>
      </c>
      <c r="K293" s="158">
        <v>9.69</v>
      </c>
      <c r="L293" s="158">
        <v>19.260000000000002</v>
      </c>
      <c r="M293" s="158">
        <v>10.51</v>
      </c>
      <c r="N293" s="158">
        <v>0.06</v>
      </c>
    </row>
    <row r="294" spans="1:14" ht="16.5">
      <c r="A294" s="2" t="str">
        <f t="shared" si="4"/>
        <v>622하위25%</v>
      </c>
      <c r="B294" s="142">
        <v>622</v>
      </c>
      <c r="C294" s="101" t="s">
        <v>1624</v>
      </c>
      <c r="D294" s="158">
        <v>0.88800000000000001</v>
      </c>
      <c r="E294" s="158">
        <v>7.8E-2</v>
      </c>
      <c r="F294" s="158">
        <v>2E-3</v>
      </c>
      <c r="G294" s="158">
        <v>1.343</v>
      </c>
      <c r="H294" s="158">
        <v>0.623</v>
      </c>
      <c r="I294" s="158">
        <v>3.0000000000000001E-3</v>
      </c>
      <c r="J294" s="158">
        <v>0.46600000000000003</v>
      </c>
      <c r="K294" s="158">
        <v>11.12</v>
      </c>
      <c r="L294" s="158">
        <v>17.32</v>
      </c>
      <c r="M294" s="158">
        <v>14.89</v>
      </c>
      <c r="N294" s="158">
        <v>8.1000000000000003E-2</v>
      </c>
    </row>
    <row r="295" spans="1:14" ht="16.5">
      <c r="A295" s="2" t="str">
        <f t="shared" si="4"/>
        <v>623하위25%</v>
      </c>
      <c r="B295" s="142">
        <v>623</v>
      </c>
      <c r="C295" s="101" t="s">
        <v>1624</v>
      </c>
      <c r="D295" s="158">
        <v>0.68899999999999995</v>
      </c>
      <c r="E295" s="158">
        <v>0.249</v>
      </c>
      <c r="F295" s="158">
        <v>0</v>
      </c>
      <c r="G295" s="158">
        <v>0.38700000000000001</v>
      </c>
      <c r="H295" s="158">
        <v>0.28599999999999998</v>
      </c>
      <c r="I295" s="158">
        <v>0</v>
      </c>
      <c r="J295" s="158">
        <v>0.73799999999999999</v>
      </c>
      <c r="K295" s="158">
        <v>0.79</v>
      </c>
      <c r="L295" s="158">
        <v>15</v>
      </c>
      <c r="M295" s="158">
        <v>1.59</v>
      </c>
      <c r="N295" s="158">
        <v>0.70699999999999996</v>
      </c>
    </row>
    <row r="296" spans="1:14" ht="16.5">
      <c r="A296" s="2" t="str">
        <f t="shared" si="4"/>
        <v>624하위25%</v>
      </c>
      <c r="B296" s="142">
        <v>624</v>
      </c>
      <c r="C296" s="101" t="s">
        <v>1624</v>
      </c>
      <c r="D296" s="158">
        <v>0.88500000000000001</v>
      </c>
      <c r="E296" s="158">
        <v>0.1</v>
      </c>
      <c r="F296" s="158">
        <v>3.0000000000000001E-3</v>
      </c>
      <c r="G296" s="158">
        <v>0.97599999999999998</v>
      </c>
      <c r="H296" s="158">
        <v>0.56100000000000005</v>
      </c>
      <c r="I296" s="158">
        <v>3.3000000000000002E-2</v>
      </c>
      <c r="J296" s="158">
        <v>0.60799999999999998</v>
      </c>
      <c r="K296" s="158">
        <v>10.53</v>
      </c>
      <c r="L296" s="158">
        <v>12.11</v>
      </c>
      <c r="M296" s="158">
        <v>12.46</v>
      </c>
      <c r="N296" s="158">
        <v>9.7000000000000003E-2</v>
      </c>
    </row>
    <row r="297" spans="1:14" ht="16.5">
      <c r="A297" s="2" t="str">
        <f t="shared" si="4"/>
        <v>625하위25%</v>
      </c>
      <c r="B297" s="142">
        <v>625</v>
      </c>
      <c r="C297" s="101" t="s">
        <v>1624</v>
      </c>
      <c r="D297" s="158">
        <v>0.86399999999999999</v>
      </c>
      <c r="E297" s="158">
        <v>0.112</v>
      </c>
      <c r="F297" s="158">
        <v>3.0000000000000001E-3</v>
      </c>
      <c r="G297" s="158">
        <v>1.105</v>
      </c>
      <c r="H297" s="158">
        <v>0.45</v>
      </c>
      <c r="I297" s="158">
        <v>8.0000000000000002E-3</v>
      </c>
      <c r="J297" s="158">
        <v>0.41499999999999998</v>
      </c>
      <c r="K297" s="158">
        <v>5.36</v>
      </c>
      <c r="L297" s="158">
        <v>14.36</v>
      </c>
      <c r="M297" s="158">
        <v>6.52</v>
      </c>
      <c r="N297" s="158">
        <v>0.10299999999999999</v>
      </c>
    </row>
    <row r="298" spans="1:14" ht="16.5">
      <c r="A298" s="2" t="str">
        <f t="shared" si="4"/>
        <v>626하위25%</v>
      </c>
      <c r="B298" s="142">
        <v>626</v>
      </c>
      <c r="C298" s="101" t="s">
        <v>1624</v>
      </c>
      <c r="D298" s="158">
        <v>0.81799999999999995</v>
      </c>
      <c r="E298" s="158">
        <v>0.158</v>
      </c>
      <c r="F298" s="158">
        <v>1.0999999999999999E-2</v>
      </c>
      <c r="G298" s="158">
        <v>1.175</v>
      </c>
      <c r="H298" s="158">
        <v>0.29599999999999999</v>
      </c>
      <c r="I298" s="158">
        <v>7.6999999999999999E-2</v>
      </c>
      <c r="J298" s="158">
        <v>0.318</v>
      </c>
      <c r="K298" s="158">
        <v>6.28</v>
      </c>
      <c r="L298" s="158">
        <v>7.11</v>
      </c>
      <c r="M298" s="158">
        <v>8.6300000000000008</v>
      </c>
      <c r="N298" s="158">
        <v>0.184</v>
      </c>
    </row>
    <row r="299" spans="1:14" ht="16.5">
      <c r="A299" s="2" t="str">
        <f t="shared" si="4"/>
        <v>627하위25%</v>
      </c>
      <c r="B299" s="142">
        <v>627</v>
      </c>
      <c r="C299" s="101" t="s">
        <v>1624</v>
      </c>
      <c r="D299" s="158">
        <v>0.86799999999999999</v>
      </c>
      <c r="E299" s="158">
        <v>0.11</v>
      </c>
      <c r="F299" s="158">
        <v>6.0000000000000001E-3</v>
      </c>
      <c r="G299" s="158">
        <v>1.0169999999999999</v>
      </c>
      <c r="H299" s="158">
        <v>0.308</v>
      </c>
      <c r="I299" s="158">
        <v>2.4E-2</v>
      </c>
      <c r="J299" s="158">
        <v>0.32700000000000001</v>
      </c>
      <c r="K299" s="158">
        <v>5.35</v>
      </c>
      <c r="L299" s="158">
        <v>9.11</v>
      </c>
      <c r="M299" s="158">
        <v>8.7100000000000009</v>
      </c>
      <c r="N299" s="158">
        <v>0.182</v>
      </c>
    </row>
    <row r="300" spans="1:14" ht="16.5">
      <c r="A300" s="2" t="str">
        <f t="shared" si="4"/>
        <v>628하위25%</v>
      </c>
      <c r="B300" s="142">
        <v>628</v>
      </c>
      <c r="C300" s="101" t="s">
        <v>1624</v>
      </c>
      <c r="D300" s="158">
        <v>0.873</v>
      </c>
      <c r="E300" s="158">
        <v>0.111</v>
      </c>
      <c r="F300" s="158">
        <v>3.0000000000000001E-3</v>
      </c>
      <c r="G300" s="158">
        <v>1.4610000000000001</v>
      </c>
      <c r="H300" s="158">
        <v>0.41699999999999998</v>
      </c>
      <c r="I300" s="158">
        <v>1E-3</v>
      </c>
      <c r="J300" s="158">
        <v>0.28599999999999998</v>
      </c>
      <c r="K300" s="158">
        <v>8.35</v>
      </c>
      <c r="L300" s="158">
        <v>6.61</v>
      </c>
      <c r="M300" s="158">
        <v>14.86</v>
      </c>
      <c r="N300" s="158">
        <v>0.20399999999999999</v>
      </c>
    </row>
    <row r="301" spans="1:14" ht="16.5">
      <c r="A301" s="2" t="str">
        <f t="shared" si="4"/>
        <v>629하위25%</v>
      </c>
      <c r="B301" s="142">
        <v>629</v>
      </c>
      <c r="C301" s="101" t="s">
        <v>1624</v>
      </c>
      <c r="D301" s="158">
        <v>0.88900000000000001</v>
      </c>
      <c r="E301" s="158">
        <v>8.7999999999999995E-2</v>
      </c>
      <c r="F301" s="158">
        <v>3.0000000000000001E-3</v>
      </c>
      <c r="G301" s="158">
        <v>1.179</v>
      </c>
      <c r="H301" s="158">
        <v>0.34799999999999998</v>
      </c>
      <c r="I301" s="158">
        <v>8.9999999999999993E-3</v>
      </c>
      <c r="J301" s="158">
        <v>0.30199999999999999</v>
      </c>
      <c r="K301" s="158">
        <v>5.52</v>
      </c>
      <c r="L301" s="158">
        <v>8.34</v>
      </c>
      <c r="M301" s="158">
        <v>8.17</v>
      </c>
      <c r="N301" s="158">
        <v>0.17899999999999999</v>
      </c>
    </row>
    <row r="302" spans="1:14" ht="16.5">
      <c r="A302" s="2" t="str">
        <f t="shared" si="4"/>
        <v>631하위25%</v>
      </c>
      <c r="B302" s="142">
        <v>631</v>
      </c>
      <c r="C302" s="101" t="s">
        <v>1624</v>
      </c>
      <c r="D302" s="158">
        <v>0.83099999999999996</v>
      </c>
      <c r="E302" s="158">
        <v>0.154</v>
      </c>
      <c r="F302" s="158">
        <v>3.0000000000000001E-3</v>
      </c>
      <c r="G302" s="158">
        <v>2.6379999999999999</v>
      </c>
      <c r="H302" s="158">
        <v>8.4000000000000005E-2</v>
      </c>
      <c r="I302" s="158">
        <v>0.01</v>
      </c>
      <c r="J302" s="158">
        <v>3.5000000000000003E-2</v>
      </c>
      <c r="K302" s="158">
        <v>11.76</v>
      </c>
      <c r="L302" s="158">
        <v>35.24</v>
      </c>
      <c r="M302" s="158">
        <v>13.59</v>
      </c>
      <c r="N302" s="158">
        <v>0.04</v>
      </c>
    </row>
    <row r="303" spans="1:14" ht="16.5">
      <c r="A303" s="2" t="str">
        <f t="shared" si="4"/>
        <v>632하위25%</v>
      </c>
      <c r="B303" s="142">
        <v>632</v>
      </c>
      <c r="C303" s="101" t="s">
        <v>1624</v>
      </c>
      <c r="D303" s="158">
        <v>0.85699999999999998</v>
      </c>
      <c r="E303" s="158">
        <v>0.13100000000000001</v>
      </c>
      <c r="F303" s="158">
        <v>3.0000000000000001E-3</v>
      </c>
      <c r="G303" s="158">
        <v>1.6870000000000001</v>
      </c>
      <c r="H303" s="158">
        <v>0.14499999999999999</v>
      </c>
      <c r="I303" s="158">
        <v>1.0999999999999999E-2</v>
      </c>
      <c r="J303" s="158">
        <v>9.2999999999999999E-2</v>
      </c>
      <c r="K303" s="158">
        <v>16.7</v>
      </c>
      <c r="L303" s="158">
        <v>12.79</v>
      </c>
      <c r="M303" s="158">
        <v>19.440000000000001</v>
      </c>
      <c r="N303" s="158">
        <v>8.6999999999999994E-2</v>
      </c>
    </row>
    <row r="304" spans="1:14" ht="16.5">
      <c r="A304" s="2" t="str">
        <f t="shared" si="4"/>
        <v>633하위25%</v>
      </c>
      <c r="B304" s="142">
        <v>633</v>
      </c>
      <c r="C304" s="101" t="s">
        <v>1624</v>
      </c>
      <c r="D304" s="158">
        <v>0.64200000000000002</v>
      </c>
      <c r="E304" s="158">
        <v>0.34300000000000003</v>
      </c>
      <c r="F304" s="158">
        <v>8.9999999999999993E-3</v>
      </c>
      <c r="G304" s="158">
        <v>1.6339999999999999</v>
      </c>
      <c r="H304" s="158">
        <v>0.11</v>
      </c>
      <c r="I304" s="158">
        <v>7.2999999999999995E-2</v>
      </c>
      <c r="J304" s="158">
        <v>0.112</v>
      </c>
      <c r="K304" s="158">
        <v>6.33</v>
      </c>
      <c r="L304" s="158">
        <v>27.1</v>
      </c>
      <c r="M304" s="158">
        <v>11.19</v>
      </c>
      <c r="N304" s="158">
        <v>0.105</v>
      </c>
    </row>
    <row r="305" spans="1:14" ht="16.5">
      <c r="A305" s="2" t="str">
        <f t="shared" si="4"/>
        <v>634하위25%</v>
      </c>
      <c r="B305" s="142">
        <v>634</v>
      </c>
      <c r="C305" s="101" t="s">
        <v>1624</v>
      </c>
      <c r="D305" s="158">
        <v>0.86099999999999999</v>
      </c>
      <c r="E305" s="158">
        <v>0.126</v>
      </c>
      <c r="F305" s="158">
        <v>1.2E-2</v>
      </c>
      <c r="G305" s="158">
        <v>0.99199999999999999</v>
      </c>
      <c r="H305" s="158">
        <v>0.55600000000000005</v>
      </c>
      <c r="I305" s="158">
        <v>0.02</v>
      </c>
      <c r="J305" s="158">
        <v>0.58099999999999996</v>
      </c>
      <c r="K305" s="158">
        <v>11.76</v>
      </c>
      <c r="L305" s="158">
        <v>119.47</v>
      </c>
      <c r="M305" s="158">
        <v>46.45</v>
      </c>
      <c r="N305" s="158">
        <v>7.1999999999999995E-2</v>
      </c>
    </row>
    <row r="306" spans="1:14" ht="16.5">
      <c r="A306" s="2" t="str">
        <f t="shared" si="4"/>
        <v>635하위25%</v>
      </c>
      <c r="B306" s="142">
        <v>635</v>
      </c>
      <c r="C306" s="101" t="s">
        <v>1624</v>
      </c>
      <c r="D306" s="158">
        <v>0.54700000000000004</v>
      </c>
      <c r="E306" s="158">
        <v>0.436</v>
      </c>
      <c r="F306" s="158">
        <v>1.2999999999999999E-2</v>
      </c>
      <c r="G306" s="158">
        <v>1.2250000000000001</v>
      </c>
      <c r="H306" s="158">
        <v>0.35499999999999998</v>
      </c>
      <c r="I306" s="158">
        <v>1.9E-2</v>
      </c>
      <c r="J306" s="158">
        <v>0.30499999999999999</v>
      </c>
      <c r="K306" s="158">
        <v>8.2100000000000009</v>
      </c>
      <c r="L306" s="158">
        <v>68.3</v>
      </c>
      <c r="M306" s="158">
        <v>60.42</v>
      </c>
      <c r="N306" s="158">
        <v>0.12</v>
      </c>
    </row>
    <row r="307" spans="1:14" ht="16.5">
      <c r="A307" s="2" t="str">
        <f t="shared" si="4"/>
        <v>636하위25%</v>
      </c>
      <c r="B307" s="142">
        <v>636</v>
      </c>
      <c r="C307" s="101" t="s">
        <v>1624</v>
      </c>
      <c r="D307" s="158">
        <v>0.84199999999999997</v>
      </c>
      <c r="E307" s="158">
        <v>0.13900000000000001</v>
      </c>
      <c r="F307" s="158">
        <v>6.0000000000000001E-3</v>
      </c>
      <c r="G307" s="158">
        <v>1.6890000000000001</v>
      </c>
      <c r="H307" s="158">
        <v>0.38100000000000001</v>
      </c>
      <c r="I307" s="158">
        <v>3.6999999999999998E-2</v>
      </c>
      <c r="J307" s="158">
        <v>0.248</v>
      </c>
      <c r="K307" s="158">
        <v>15.83</v>
      </c>
      <c r="L307" s="158">
        <v>22.18</v>
      </c>
      <c r="M307" s="158">
        <v>28.25</v>
      </c>
      <c r="N307" s="158">
        <v>7.2999999999999995E-2</v>
      </c>
    </row>
    <row r="308" spans="1:14" ht="16.5">
      <c r="A308" s="2" t="str">
        <f t="shared" si="4"/>
        <v>637하위25%</v>
      </c>
      <c r="B308" s="142">
        <v>637</v>
      </c>
      <c r="C308" s="101" t="s">
        <v>1624</v>
      </c>
      <c r="D308" s="158">
        <v>0.82799999999999996</v>
      </c>
      <c r="E308" s="158">
        <v>0.14899999999999999</v>
      </c>
      <c r="F308" s="158">
        <v>6.0000000000000001E-3</v>
      </c>
      <c r="G308" s="158">
        <v>1.417</v>
      </c>
      <c r="H308" s="158">
        <v>0.24299999999999999</v>
      </c>
      <c r="I308" s="158">
        <v>1.6E-2</v>
      </c>
      <c r="J308" s="158">
        <v>0.182</v>
      </c>
      <c r="K308" s="158">
        <v>3.75</v>
      </c>
      <c r="L308" s="158">
        <v>104.07</v>
      </c>
      <c r="M308" s="158">
        <v>5.53</v>
      </c>
      <c r="N308" s="158">
        <v>9.5000000000000001E-2</v>
      </c>
    </row>
    <row r="309" spans="1:14" ht="16.5">
      <c r="A309" s="2" t="str">
        <f t="shared" si="4"/>
        <v>639하위25%</v>
      </c>
      <c r="B309" s="142">
        <v>639</v>
      </c>
      <c r="C309" s="101" t="s">
        <v>1624</v>
      </c>
      <c r="D309" s="158">
        <v>0.30399999999999999</v>
      </c>
      <c r="E309" s="158">
        <v>0.65300000000000002</v>
      </c>
      <c r="F309" s="158">
        <v>0.03</v>
      </c>
      <c r="G309" s="158">
        <v>2.073</v>
      </c>
      <c r="H309" s="158">
        <v>0.39200000000000002</v>
      </c>
      <c r="I309" s="158">
        <v>0</v>
      </c>
      <c r="J309" s="158">
        <v>0.189</v>
      </c>
      <c r="K309" s="158">
        <v>18.72</v>
      </c>
      <c r="L309" s="158">
        <v>23.96</v>
      </c>
      <c r="M309" s="158">
        <v>148.41</v>
      </c>
      <c r="N309" s="158">
        <v>8.7999999999999995E-2</v>
      </c>
    </row>
    <row r="310" spans="1:14" ht="16.5">
      <c r="A310" s="2" t="str">
        <f t="shared" si="4"/>
        <v>711하위25%</v>
      </c>
      <c r="B310" s="142">
        <v>711</v>
      </c>
      <c r="C310" s="101" t="s">
        <v>1624</v>
      </c>
      <c r="D310" s="158">
        <v>0.94399999999999995</v>
      </c>
      <c r="E310" s="158">
        <v>4.8000000000000001E-2</v>
      </c>
      <c r="F310" s="158">
        <v>2E-3</v>
      </c>
      <c r="G310" s="158">
        <v>2.19</v>
      </c>
      <c r="H310" s="158">
        <v>0.35499999999999998</v>
      </c>
      <c r="I310" s="158">
        <v>2E-3</v>
      </c>
      <c r="J310" s="158">
        <v>0.16300000000000001</v>
      </c>
      <c r="K310" s="158">
        <v>6.8</v>
      </c>
      <c r="L310" s="158">
        <v>16.54</v>
      </c>
      <c r="M310" s="158">
        <v>25.42</v>
      </c>
      <c r="N310" s="158">
        <v>0.16800000000000001</v>
      </c>
    </row>
    <row r="311" spans="1:14" ht="16.5">
      <c r="A311" s="2" t="str">
        <f t="shared" si="4"/>
        <v>712하위25%</v>
      </c>
      <c r="B311" s="142">
        <v>712</v>
      </c>
      <c r="C311" s="101" t="s">
        <v>1624</v>
      </c>
      <c r="D311" s="158">
        <v>0.91300000000000003</v>
      </c>
      <c r="E311" s="158">
        <v>7.4999999999999997E-2</v>
      </c>
      <c r="F311" s="158">
        <v>2E-3</v>
      </c>
      <c r="G311" s="158">
        <v>3.069</v>
      </c>
      <c r="H311" s="158">
        <v>0.35799999999999998</v>
      </c>
      <c r="I311" s="158">
        <v>1.2E-2</v>
      </c>
      <c r="J311" s="158">
        <v>0.12</v>
      </c>
      <c r="K311" s="158">
        <v>12.93</v>
      </c>
      <c r="L311" s="158">
        <v>21.46</v>
      </c>
      <c r="M311" s="158">
        <v>33.15</v>
      </c>
      <c r="N311" s="158">
        <v>9.4E-2</v>
      </c>
    </row>
    <row r="312" spans="1:14" ht="16.5">
      <c r="A312" s="2" t="str">
        <f t="shared" si="4"/>
        <v>721하위25%</v>
      </c>
      <c r="B312" s="142">
        <v>721</v>
      </c>
      <c r="C312" s="101" t="s">
        <v>1624</v>
      </c>
      <c r="D312" s="158">
        <v>0.77900000000000003</v>
      </c>
      <c r="E312" s="158">
        <v>0.19600000000000001</v>
      </c>
      <c r="F312" s="158">
        <v>4.0000000000000001E-3</v>
      </c>
      <c r="G312" s="158">
        <v>1.5</v>
      </c>
      <c r="H312" s="158">
        <v>0.32500000000000001</v>
      </c>
      <c r="I312" s="158">
        <v>5.0000000000000001E-3</v>
      </c>
      <c r="J312" s="158">
        <v>0.22</v>
      </c>
      <c r="K312" s="158">
        <v>9.4</v>
      </c>
      <c r="L312" s="158">
        <v>6.87</v>
      </c>
      <c r="M312" s="158">
        <v>14.2</v>
      </c>
      <c r="N312" s="158">
        <v>0.182</v>
      </c>
    </row>
    <row r="313" spans="1:14" ht="16.5">
      <c r="A313" s="2" t="str">
        <f t="shared" si="4"/>
        <v>722하위25%</v>
      </c>
      <c r="B313" s="142">
        <v>722</v>
      </c>
      <c r="C313" s="101" t="s">
        <v>1624</v>
      </c>
      <c r="D313" s="158">
        <v>0.872</v>
      </c>
      <c r="E313" s="158">
        <v>9.8000000000000004E-2</v>
      </c>
      <c r="F313" s="158">
        <v>3.0000000000000001E-3</v>
      </c>
      <c r="G313" s="158">
        <v>1.42</v>
      </c>
      <c r="H313" s="158">
        <v>0.42299999999999999</v>
      </c>
      <c r="I313" s="158">
        <v>6.0000000000000001E-3</v>
      </c>
      <c r="J313" s="158">
        <v>0.30199999999999999</v>
      </c>
      <c r="K313" s="158">
        <v>11.13</v>
      </c>
      <c r="L313" s="158">
        <v>5.42</v>
      </c>
      <c r="M313" s="158">
        <v>17.3</v>
      </c>
      <c r="N313" s="158">
        <v>0.217</v>
      </c>
    </row>
    <row r="314" spans="1:14" ht="16.5">
      <c r="A314" s="2" t="str">
        <f t="shared" si="4"/>
        <v>730하위25%</v>
      </c>
      <c r="B314" s="142">
        <v>730</v>
      </c>
      <c r="C314" s="101" t="s">
        <v>1624</v>
      </c>
      <c r="D314" s="158">
        <v>0.85399999999999998</v>
      </c>
      <c r="E314" s="158">
        <v>0.127</v>
      </c>
      <c r="F314" s="158">
        <v>5.0000000000000001E-3</v>
      </c>
      <c r="G314" s="158">
        <v>1.8380000000000001</v>
      </c>
      <c r="H314" s="158">
        <v>0.435</v>
      </c>
      <c r="I314" s="158">
        <v>8.9999999999999993E-3</v>
      </c>
      <c r="J314" s="158">
        <v>0.24199999999999999</v>
      </c>
      <c r="K314" s="158">
        <v>10.19</v>
      </c>
      <c r="L314" s="158">
        <v>9.19</v>
      </c>
      <c r="M314" s="158">
        <v>18.34</v>
      </c>
      <c r="N314" s="158">
        <v>0.152</v>
      </c>
    </row>
    <row r="315" spans="1:14" ht="16.5">
      <c r="A315" s="2" t="str">
        <f t="shared" si="4"/>
        <v>740하위25%</v>
      </c>
      <c r="B315" s="142">
        <v>740</v>
      </c>
      <c r="C315" s="101" t="s">
        <v>1624</v>
      </c>
      <c r="D315" s="158">
        <v>0.91300000000000003</v>
      </c>
      <c r="E315" s="158">
        <v>7.1999999999999995E-2</v>
      </c>
      <c r="F315" s="158">
        <v>2E-3</v>
      </c>
      <c r="G315" s="158">
        <v>1.3839999999999999</v>
      </c>
      <c r="H315" s="158">
        <v>0.28599999999999998</v>
      </c>
      <c r="I315" s="158">
        <v>2.1999999999999999E-2</v>
      </c>
      <c r="J315" s="158">
        <v>0.223</v>
      </c>
      <c r="K315" s="158">
        <v>8.15</v>
      </c>
      <c r="L315" s="158">
        <v>8.02</v>
      </c>
      <c r="M315" s="158">
        <v>27.16</v>
      </c>
      <c r="N315" s="158">
        <v>0.21099999999999999</v>
      </c>
    </row>
    <row r="316" spans="1:14" ht="16.5">
      <c r="A316" s="2" t="str">
        <f t="shared" si="4"/>
        <v>750하위25%</v>
      </c>
      <c r="B316" s="142">
        <v>750</v>
      </c>
      <c r="C316" s="101" t="s">
        <v>1624</v>
      </c>
      <c r="D316" s="158">
        <v>0.755</v>
      </c>
      <c r="E316" s="158">
        <v>0.24</v>
      </c>
      <c r="F316" s="158">
        <v>4.0000000000000001E-3</v>
      </c>
      <c r="G316" s="158">
        <v>1.2669999999999999</v>
      </c>
      <c r="H316" s="158">
        <v>0.32500000000000001</v>
      </c>
      <c r="I316" s="158">
        <v>5.0000000000000001E-3</v>
      </c>
      <c r="J316" s="158">
        <v>0.26</v>
      </c>
      <c r="K316" s="158">
        <v>8.0399999999999991</v>
      </c>
      <c r="L316" s="158">
        <v>9.9499999999999993</v>
      </c>
      <c r="M316" s="158">
        <v>15.07</v>
      </c>
      <c r="N316" s="158">
        <v>0.159</v>
      </c>
    </row>
    <row r="317" spans="1:14" ht="16.5">
      <c r="A317" s="2" t="str">
        <f t="shared" si="4"/>
        <v>761하위25%</v>
      </c>
      <c r="B317" s="142">
        <v>761</v>
      </c>
      <c r="C317" s="101" t="s">
        <v>1624</v>
      </c>
      <c r="D317" s="158">
        <v>0.90400000000000003</v>
      </c>
      <c r="E317" s="158">
        <v>8.2000000000000003E-2</v>
      </c>
      <c r="F317" s="158">
        <v>5.0000000000000001E-3</v>
      </c>
      <c r="G317" s="158">
        <v>1.5</v>
      </c>
      <c r="H317" s="158">
        <v>0.38100000000000001</v>
      </c>
      <c r="I317" s="158">
        <v>2.1999999999999999E-2</v>
      </c>
      <c r="J317" s="158">
        <v>0.26900000000000002</v>
      </c>
      <c r="K317" s="158">
        <v>8.9700000000000006</v>
      </c>
      <c r="L317" s="158">
        <v>6.8</v>
      </c>
      <c r="M317" s="158">
        <v>19.059999999999999</v>
      </c>
      <c r="N317" s="158">
        <v>0.20599999999999999</v>
      </c>
    </row>
    <row r="318" spans="1:14" ht="16.5">
      <c r="A318" s="2" t="str">
        <f t="shared" si="4"/>
        <v>762하위25%</v>
      </c>
      <c r="B318" s="142">
        <v>762</v>
      </c>
      <c r="C318" s="101" t="s">
        <v>1624</v>
      </c>
      <c r="D318" s="158">
        <v>0.84199999999999997</v>
      </c>
      <c r="E318" s="158">
        <v>0.125</v>
      </c>
      <c r="F318" s="158">
        <v>3.0000000000000001E-3</v>
      </c>
      <c r="G318" s="158">
        <v>1.006</v>
      </c>
      <c r="H318" s="158">
        <v>0.29399999999999998</v>
      </c>
      <c r="I318" s="158">
        <v>1.4999999999999999E-2</v>
      </c>
      <c r="J318" s="158">
        <v>0.307</v>
      </c>
      <c r="K318" s="158">
        <v>7.25</v>
      </c>
      <c r="L318" s="158">
        <v>10.73</v>
      </c>
      <c r="M318" s="158">
        <v>18.52</v>
      </c>
      <c r="N318" s="158">
        <v>0.17699999999999999</v>
      </c>
    </row>
    <row r="319" spans="1:14" ht="16.5">
      <c r="A319" s="2" t="str">
        <f t="shared" si="4"/>
        <v>770하위25%</v>
      </c>
      <c r="B319" s="142">
        <v>770</v>
      </c>
      <c r="C319" s="101" t="s">
        <v>1624</v>
      </c>
      <c r="D319" s="158">
        <v>0.88700000000000001</v>
      </c>
      <c r="E319" s="158">
        <v>0.10299999999999999</v>
      </c>
      <c r="F319" s="158">
        <v>2E-3</v>
      </c>
      <c r="G319" s="158">
        <v>1.2270000000000001</v>
      </c>
      <c r="H319" s="158">
        <v>0.251</v>
      </c>
      <c r="I319" s="158">
        <v>4.0000000000000001E-3</v>
      </c>
      <c r="J319" s="158">
        <v>0.20799999999999999</v>
      </c>
      <c r="K319" s="158">
        <v>6.58</v>
      </c>
      <c r="L319" s="158">
        <v>7.64</v>
      </c>
      <c r="M319" s="158">
        <v>16.010000000000002</v>
      </c>
      <c r="N319" s="158">
        <v>0.22</v>
      </c>
    </row>
    <row r="320" spans="1:14" ht="16.5">
      <c r="A320" s="2" t="str">
        <f t="shared" si="4"/>
        <v>791하위25%</v>
      </c>
      <c r="B320" s="142">
        <v>791</v>
      </c>
      <c r="C320" s="101" t="s">
        <v>1624</v>
      </c>
      <c r="D320" s="158">
        <v>0.65500000000000003</v>
      </c>
      <c r="E320" s="158">
        <v>0.32100000000000001</v>
      </c>
      <c r="F320" s="158">
        <v>1.4E-2</v>
      </c>
      <c r="G320" s="158">
        <v>0.59699999999999998</v>
      </c>
      <c r="H320" s="158">
        <v>0.29499999999999998</v>
      </c>
      <c r="I320" s="158">
        <v>3.1E-2</v>
      </c>
      <c r="J320" s="158">
        <v>0.54600000000000004</v>
      </c>
      <c r="K320" s="158">
        <v>7.61</v>
      </c>
      <c r="L320" s="158">
        <v>16.260000000000002</v>
      </c>
      <c r="M320" s="158">
        <v>11.31</v>
      </c>
      <c r="N320" s="158">
        <v>0.105</v>
      </c>
    </row>
    <row r="321" spans="1:14" ht="16.5">
      <c r="A321" s="2" t="str">
        <f t="shared" si="4"/>
        <v>792하위25%</v>
      </c>
      <c r="B321" s="142">
        <v>792</v>
      </c>
      <c r="C321" s="101" t="s">
        <v>1624</v>
      </c>
      <c r="D321" s="158">
        <v>0.91800000000000004</v>
      </c>
      <c r="E321" s="158">
        <v>7.5999999999999998E-2</v>
      </c>
      <c r="F321" s="158">
        <v>1E-3</v>
      </c>
      <c r="G321" s="158">
        <v>1.1599999999999999</v>
      </c>
      <c r="H321" s="158">
        <v>0.19400000000000001</v>
      </c>
      <c r="I321" s="158">
        <v>8.0000000000000002E-3</v>
      </c>
      <c r="J321" s="158">
        <v>0.17399999999999999</v>
      </c>
      <c r="K321" s="158">
        <v>10.99</v>
      </c>
      <c r="L321" s="158">
        <v>5.99</v>
      </c>
      <c r="M321" s="158">
        <v>27.24</v>
      </c>
      <c r="N321" s="158">
        <v>0.221</v>
      </c>
    </row>
    <row r="322" spans="1:14" ht="16.5">
      <c r="A322" s="2" t="str">
        <f t="shared" si="4"/>
        <v>793하위25%</v>
      </c>
      <c r="B322" s="142">
        <v>793</v>
      </c>
      <c r="C322" s="101" t="s">
        <v>1624</v>
      </c>
      <c r="D322" s="158">
        <v>0.70199999999999996</v>
      </c>
      <c r="E322" s="158">
        <v>0.26</v>
      </c>
      <c r="F322" s="158">
        <v>0.01</v>
      </c>
      <c r="G322" s="158">
        <v>0.77900000000000003</v>
      </c>
      <c r="H322" s="158">
        <v>0.30599999999999999</v>
      </c>
      <c r="I322" s="158">
        <v>7.0000000000000001E-3</v>
      </c>
      <c r="J322" s="158">
        <v>0.40100000000000002</v>
      </c>
      <c r="K322" s="158">
        <v>11.28</v>
      </c>
      <c r="L322" s="158">
        <v>15.73</v>
      </c>
      <c r="M322" s="158">
        <v>9.35</v>
      </c>
      <c r="N322" s="158">
        <v>4.4999999999999998E-2</v>
      </c>
    </row>
    <row r="323" spans="1:14" ht="16.5">
      <c r="A323" s="2" t="str">
        <f t="shared" ref="A323:A340" si="5">B323&amp;C323</f>
        <v>794하위25%</v>
      </c>
      <c r="B323" s="142">
        <v>794</v>
      </c>
      <c r="C323" s="101" t="s">
        <v>1624</v>
      </c>
      <c r="D323" s="158">
        <v>0.84799999999999998</v>
      </c>
      <c r="E323" s="158">
        <v>0.124</v>
      </c>
      <c r="F323" s="158">
        <v>4.0000000000000001E-3</v>
      </c>
      <c r="G323" s="158">
        <v>1.5920000000000001</v>
      </c>
      <c r="H323" s="158">
        <v>0.40899999999999997</v>
      </c>
      <c r="I323" s="158">
        <v>5.2999999999999999E-2</v>
      </c>
      <c r="J323" s="158">
        <v>0.28999999999999998</v>
      </c>
      <c r="K323" s="158">
        <v>7.47</v>
      </c>
      <c r="L323" s="158">
        <v>11</v>
      </c>
      <c r="M323" s="158">
        <v>10.73</v>
      </c>
      <c r="N323" s="158">
        <v>0.13200000000000001</v>
      </c>
    </row>
    <row r="324" spans="1:14" ht="16.5">
      <c r="A324" s="2" t="str">
        <f t="shared" si="5"/>
        <v>795하위25%</v>
      </c>
      <c r="B324" s="142">
        <v>795</v>
      </c>
      <c r="C324" s="101" t="s">
        <v>1624</v>
      </c>
      <c r="D324" s="158">
        <v>0.76</v>
      </c>
      <c r="E324" s="158">
        <v>0.219</v>
      </c>
      <c r="F324" s="158">
        <v>7.0000000000000001E-3</v>
      </c>
      <c r="G324" s="158">
        <v>1.161</v>
      </c>
      <c r="H324" s="158">
        <v>0.40799999999999997</v>
      </c>
      <c r="I324" s="158">
        <v>2.7E-2</v>
      </c>
      <c r="J324" s="158">
        <v>0.374</v>
      </c>
      <c r="K324" s="158">
        <v>8.32</v>
      </c>
      <c r="L324" s="158">
        <v>4.68</v>
      </c>
      <c r="M324" s="158">
        <v>10.94</v>
      </c>
      <c r="N324" s="158">
        <v>0.24299999999999999</v>
      </c>
    </row>
    <row r="325" spans="1:14" ht="16.5">
      <c r="A325" s="2" t="str">
        <f t="shared" si="5"/>
        <v>799하위25%</v>
      </c>
      <c r="B325" s="142">
        <v>799</v>
      </c>
      <c r="C325" s="101" t="s">
        <v>1624</v>
      </c>
      <c r="D325" s="158">
        <v>0.76</v>
      </c>
      <c r="E325" s="158">
        <v>0.219</v>
      </c>
      <c r="F325" s="158">
        <v>7.0000000000000001E-3</v>
      </c>
      <c r="G325" s="158">
        <v>1.161</v>
      </c>
      <c r="H325" s="158">
        <v>0.40799999999999997</v>
      </c>
      <c r="I325" s="158">
        <v>2.7E-2</v>
      </c>
      <c r="J325" s="158">
        <v>0.374</v>
      </c>
      <c r="K325" s="158">
        <v>8.32</v>
      </c>
      <c r="L325" s="158">
        <v>4.68</v>
      </c>
      <c r="M325" s="158">
        <v>10.94</v>
      </c>
      <c r="N325" s="158">
        <v>0.24299999999999999</v>
      </c>
    </row>
    <row r="326" spans="1:14" ht="16.5">
      <c r="A326" s="2" t="str">
        <f t="shared" si="5"/>
        <v>811하위25%</v>
      </c>
      <c r="B326" s="142">
        <v>811</v>
      </c>
      <c r="C326" s="101" t="s">
        <v>1624</v>
      </c>
      <c r="D326" s="158">
        <v>0.61499999999999999</v>
      </c>
      <c r="E326" s="158">
        <v>0.36899999999999999</v>
      </c>
      <c r="F326" s="158">
        <v>4.0000000000000001E-3</v>
      </c>
      <c r="G326" s="158">
        <v>0.56299999999999994</v>
      </c>
      <c r="H326" s="158">
        <v>0.59</v>
      </c>
      <c r="I326" s="158">
        <v>5.0000000000000001E-3</v>
      </c>
      <c r="J326" s="158">
        <v>1.056</v>
      </c>
      <c r="K326" s="158">
        <v>25.59</v>
      </c>
      <c r="L326" s="158">
        <v>6.87</v>
      </c>
      <c r="M326" s="158">
        <v>17.38</v>
      </c>
      <c r="N326" s="158">
        <v>0.127</v>
      </c>
    </row>
    <row r="327" spans="1:14" ht="16.5">
      <c r="A327" s="2" t="str">
        <f t="shared" si="5"/>
        <v>812하위25%</v>
      </c>
      <c r="B327" s="142">
        <v>812</v>
      </c>
      <c r="C327" s="101" t="s">
        <v>1624</v>
      </c>
      <c r="D327" s="158">
        <v>0.57799999999999996</v>
      </c>
      <c r="E327" s="158">
        <v>0.373</v>
      </c>
      <c r="F327" s="158">
        <v>8.9999999999999993E-3</v>
      </c>
      <c r="G327" s="158">
        <v>0.498</v>
      </c>
      <c r="H327" s="158">
        <v>0.53800000000000003</v>
      </c>
      <c r="I327" s="158">
        <v>4.5999999999999999E-2</v>
      </c>
      <c r="J327" s="158">
        <v>1.1719999999999999</v>
      </c>
      <c r="K327" s="158">
        <v>3.51</v>
      </c>
      <c r="L327" s="158">
        <v>12.02</v>
      </c>
      <c r="M327" s="158">
        <v>16.239999999999998</v>
      </c>
      <c r="N327" s="158">
        <v>0.307</v>
      </c>
    </row>
    <row r="328" spans="1:14" ht="16.5">
      <c r="A328" s="2" t="str">
        <f t="shared" si="5"/>
        <v>821하위25%</v>
      </c>
      <c r="B328" s="142">
        <v>821</v>
      </c>
      <c r="C328" s="101" t="s">
        <v>1624</v>
      </c>
      <c r="D328" s="158">
        <v>0.73099999999999998</v>
      </c>
      <c r="E328" s="158">
        <v>0.25800000000000001</v>
      </c>
      <c r="F328" s="158">
        <v>5.0000000000000001E-3</v>
      </c>
      <c r="G328" s="158">
        <v>0.80700000000000005</v>
      </c>
      <c r="H328" s="158">
        <v>0.57699999999999996</v>
      </c>
      <c r="I328" s="158">
        <v>5.0000000000000001E-3</v>
      </c>
      <c r="J328" s="158">
        <v>0.72099999999999997</v>
      </c>
      <c r="K328" s="158">
        <v>9.4700000000000006</v>
      </c>
      <c r="L328" s="158">
        <v>3.91</v>
      </c>
      <c r="M328" s="158">
        <v>9.35</v>
      </c>
      <c r="N328" s="158">
        <v>0.255</v>
      </c>
    </row>
    <row r="329" spans="1:14" ht="16.5">
      <c r="A329" s="2" t="str">
        <f t="shared" si="5"/>
        <v>822하위25%</v>
      </c>
      <c r="B329" s="142">
        <v>822</v>
      </c>
      <c r="C329" s="101" t="s">
        <v>1624</v>
      </c>
      <c r="D329" s="158">
        <v>0</v>
      </c>
      <c r="E329" s="158">
        <v>0</v>
      </c>
      <c r="F329" s="158">
        <v>0</v>
      </c>
      <c r="G329" s="158">
        <v>0</v>
      </c>
      <c r="H329" s="158">
        <v>0</v>
      </c>
      <c r="I329" s="158">
        <v>0</v>
      </c>
      <c r="J329" s="158">
        <v>0</v>
      </c>
      <c r="K329" s="158">
        <v>0</v>
      </c>
      <c r="L329" s="158">
        <v>0</v>
      </c>
      <c r="M329" s="158">
        <v>0</v>
      </c>
      <c r="N329" s="158">
        <v>0</v>
      </c>
    </row>
    <row r="330" spans="1:14" ht="16.5">
      <c r="A330" s="2" t="str">
        <f t="shared" si="5"/>
        <v>911하위25%</v>
      </c>
      <c r="B330" s="142">
        <v>911</v>
      </c>
      <c r="C330" s="101" t="s">
        <v>1624</v>
      </c>
      <c r="D330" s="158">
        <v>0.80300000000000005</v>
      </c>
      <c r="E330" s="158">
        <v>0.17199999999999999</v>
      </c>
      <c r="F330" s="158">
        <v>4.0000000000000001E-3</v>
      </c>
      <c r="G330" s="158">
        <v>1.488</v>
      </c>
      <c r="H330" s="158">
        <v>0.41699999999999998</v>
      </c>
      <c r="I330" s="158">
        <v>1.0999999999999999E-2</v>
      </c>
      <c r="J330" s="158">
        <v>0.28799999999999998</v>
      </c>
      <c r="K330" s="158">
        <v>8.56</v>
      </c>
      <c r="L330" s="158">
        <v>8.0299999999999994</v>
      </c>
      <c r="M330" s="158">
        <v>10.68</v>
      </c>
      <c r="N330" s="158">
        <v>0.14799999999999999</v>
      </c>
    </row>
    <row r="331" spans="1:14" ht="16.5">
      <c r="A331" s="2" t="str">
        <f t="shared" si="5"/>
        <v>912하위25%</v>
      </c>
      <c r="B331" s="142">
        <v>912</v>
      </c>
      <c r="C331" s="101" t="s">
        <v>1624</v>
      </c>
      <c r="D331" s="158">
        <v>0.77100000000000002</v>
      </c>
      <c r="E331" s="158">
        <v>0.21</v>
      </c>
      <c r="F331" s="158">
        <v>4.0000000000000001E-3</v>
      </c>
      <c r="G331" s="158">
        <v>1.4530000000000001</v>
      </c>
      <c r="H331" s="158">
        <v>0.39600000000000002</v>
      </c>
      <c r="I331" s="158">
        <v>3.1E-2</v>
      </c>
      <c r="J331" s="158">
        <v>0.29299999999999998</v>
      </c>
      <c r="K331" s="158">
        <v>6</v>
      </c>
      <c r="L331" s="158">
        <v>8.6300000000000008</v>
      </c>
      <c r="M331" s="158">
        <v>7.12</v>
      </c>
      <c r="N331" s="158">
        <v>0.14199999999999999</v>
      </c>
    </row>
    <row r="332" spans="1:14" ht="16.5">
      <c r="A332" s="2" t="str">
        <f t="shared" si="5"/>
        <v>913하위25%</v>
      </c>
      <c r="B332" s="142">
        <v>913</v>
      </c>
      <c r="C332" s="101" t="s">
        <v>1624</v>
      </c>
      <c r="D332" s="158">
        <v>0.88700000000000001</v>
      </c>
      <c r="E332" s="158">
        <v>9.1999999999999998E-2</v>
      </c>
      <c r="F332" s="158">
        <v>4.0000000000000001E-3</v>
      </c>
      <c r="G332" s="158">
        <v>1.0509999999999999</v>
      </c>
      <c r="H332" s="158">
        <v>0.39</v>
      </c>
      <c r="I332" s="158">
        <v>1.2E-2</v>
      </c>
      <c r="J332" s="158">
        <v>0.38200000000000001</v>
      </c>
      <c r="K332" s="158">
        <v>5.96</v>
      </c>
      <c r="L332" s="158">
        <v>7.51</v>
      </c>
      <c r="M332" s="158">
        <v>8.77</v>
      </c>
      <c r="N332" s="158">
        <v>0.187</v>
      </c>
    </row>
    <row r="333" spans="1:14" ht="16.5">
      <c r="A333" s="2" t="str">
        <f t="shared" si="5"/>
        <v>914하위25%</v>
      </c>
      <c r="B333" s="142">
        <v>914</v>
      </c>
      <c r="C333" s="101" t="s">
        <v>1624</v>
      </c>
      <c r="D333" s="158">
        <v>0.82</v>
      </c>
      <c r="E333" s="158">
        <v>0.158</v>
      </c>
      <c r="F333" s="158">
        <v>5.0000000000000001E-3</v>
      </c>
      <c r="G333" s="158">
        <v>1.2270000000000001</v>
      </c>
      <c r="H333" s="158">
        <v>0.44500000000000001</v>
      </c>
      <c r="I333" s="158">
        <v>8.0000000000000002E-3</v>
      </c>
      <c r="J333" s="158">
        <v>0.36899999999999999</v>
      </c>
      <c r="K333" s="158">
        <v>5.72</v>
      </c>
      <c r="L333" s="158">
        <v>7.88</v>
      </c>
      <c r="M333" s="158">
        <v>10.75</v>
      </c>
      <c r="N333" s="158">
        <v>0.20899999999999999</v>
      </c>
    </row>
    <row r="334" spans="1:14" ht="16.5">
      <c r="A334" s="2" t="str">
        <f t="shared" si="5"/>
        <v>915하위25%</v>
      </c>
      <c r="B334" s="142">
        <v>915</v>
      </c>
      <c r="C334" s="101" t="s">
        <v>1624</v>
      </c>
      <c r="D334" s="158">
        <v>0.876</v>
      </c>
      <c r="E334" s="158">
        <v>0.104</v>
      </c>
      <c r="F334" s="158">
        <v>4.0000000000000001E-3</v>
      </c>
      <c r="G334" s="158">
        <v>1.127</v>
      </c>
      <c r="H334" s="158">
        <v>0.435</v>
      </c>
      <c r="I334" s="158">
        <v>8.0000000000000002E-3</v>
      </c>
      <c r="J334" s="158">
        <v>0.39300000000000002</v>
      </c>
      <c r="K334" s="158">
        <v>6.11</v>
      </c>
      <c r="L334" s="158">
        <v>10.02</v>
      </c>
      <c r="M334" s="158">
        <v>9.66</v>
      </c>
      <c r="N334" s="158">
        <v>0.16</v>
      </c>
    </row>
    <row r="335" spans="1:14" ht="16.5">
      <c r="A335" s="2" t="str">
        <f t="shared" si="5"/>
        <v>919하위25%</v>
      </c>
      <c r="B335" s="142">
        <v>919</v>
      </c>
      <c r="C335" s="101" t="s">
        <v>1624</v>
      </c>
      <c r="D335" s="158">
        <v>0.86799999999999999</v>
      </c>
      <c r="E335" s="158">
        <v>0.112</v>
      </c>
      <c r="F335" s="158">
        <v>4.0000000000000001E-3</v>
      </c>
      <c r="G335" s="158">
        <v>1.3240000000000001</v>
      </c>
      <c r="H335" s="158">
        <v>0.40300000000000002</v>
      </c>
      <c r="I335" s="158">
        <v>0.01</v>
      </c>
      <c r="J335" s="158">
        <v>0.313</v>
      </c>
      <c r="K335" s="158">
        <v>6.25</v>
      </c>
      <c r="L335" s="158">
        <v>9.92</v>
      </c>
      <c r="M335" s="158">
        <v>7.81</v>
      </c>
      <c r="N335" s="158">
        <v>0.13300000000000001</v>
      </c>
    </row>
    <row r="336" spans="1:14" ht="16.5">
      <c r="A336" s="2" t="str">
        <f t="shared" si="5"/>
        <v>921하위25%</v>
      </c>
      <c r="B336" s="142">
        <v>921</v>
      </c>
      <c r="C336" s="101" t="s">
        <v>1624</v>
      </c>
      <c r="D336" s="158">
        <v>0.86099999999999999</v>
      </c>
      <c r="E336" s="158">
        <v>0.126</v>
      </c>
      <c r="F336" s="158">
        <v>1.2E-2</v>
      </c>
      <c r="G336" s="158">
        <v>0.99199999999999999</v>
      </c>
      <c r="H336" s="158">
        <v>0.55600000000000005</v>
      </c>
      <c r="I336" s="158">
        <v>0.02</v>
      </c>
      <c r="J336" s="158">
        <v>0.58099999999999996</v>
      </c>
      <c r="K336" s="158">
        <v>11.76</v>
      </c>
      <c r="L336" s="158">
        <v>119.47</v>
      </c>
      <c r="M336" s="158">
        <v>46.45</v>
      </c>
      <c r="N336" s="158">
        <v>7.1999999999999995E-2</v>
      </c>
    </row>
    <row r="337" spans="1:14" ht="16.5">
      <c r="A337" s="2" t="str">
        <f t="shared" si="5"/>
        <v>922하위25%</v>
      </c>
      <c r="B337" s="142">
        <v>922</v>
      </c>
      <c r="C337" s="101" t="s">
        <v>1624</v>
      </c>
      <c r="D337" s="158">
        <v>0.64200000000000002</v>
      </c>
      <c r="E337" s="158">
        <v>0.34300000000000003</v>
      </c>
      <c r="F337" s="158">
        <v>8.9999999999999993E-3</v>
      </c>
      <c r="G337" s="158">
        <v>1.6339999999999999</v>
      </c>
      <c r="H337" s="158">
        <v>0.11</v>
      </c>
      <c r="I337" s="158">
        <v>7.2999999999999995E-2</v>
      </c>
      <c r="J337" s="158">
        <v>0.112</v>
      </c>
      <c r="K337" s="158">
        <v>6.33</v>
      </c>
      <c r="L337" s="158">
        <v>27.1</v>
      </c>
      <c r="M337" s="158">
        <v>11.19</v>
      </c>
      <c r="N337" s="158">
        <v>0.105</v>
      </c>
    </row>
    <row r="338" spans="1:14" ht="16.5">
      <c r="A338" s="2" t="str">
        <f t="shared" si="5"/>
        <v>923하위25%</v>
      </c>
      <c r="B338" s="142">
        <v>923</v>
      </c>
      <c r="C338" s="101" t="s">
        <v>1624</v>
      </c>
      <c r="D338" s="158">
        <v>0.54700000000000004</v>
      </c>
      <c r="E338" s="158">
        <v>0.436</v>
      </c>
      <c r="F338" s="158">
        <v>1.2999999999999999E-2</v>
      </c>
      <c r="G338" s="158">
        <v>1.2250000000000001</v>
      </c>
      <c r="H338" s="158">
        <v>0.35499999999999998</v>
      </c>
      <c r="I338" s="158">
        <v>1.9E-2</v>
      </c>
      <c r="J338" s="158">
        <v>0.30499999999999999</v>
      </c>
      <c r="K338" s="158">
        <v>8.2100000000000009</v>
      </c>
      <c r="L338" s="158">
        <v>68.3</v>
      </c>
      <c r="M338" s="158">
        <v>60.42</v>
      </c>
      <c r="N338" s="158">
        <v>0.12</v>
      </c>
    </row>
    <row r="339" spans="1:14" ht="16.5">
      <c r="A339" s="2" t="str">
        <f t="shared" si="5"/>
        <v>924하위25%</v>
      </c>
      <c r="B339" s="142">
        <v>924</v>
      </c>
      <c r="C339" s="101" t="s">
        <v>1624</v>
      </c>
      <c r="D339" s="158">
        <v>0.84199999999999997</v>
      </c>
      <c r="E339" s="158">
        <v>0.13900000000000001</v>
      </c>
      <c r="F339" s="158">
        <v>6.0000000000000001E-3</v>
      </c>
      <c r="G339" s="158">
        <v>1.6890000000000001</v>
      </c>
      <c r="H339" s="158">
        <v>0.38100000000000001</v>
      </c>
      <c r="I339" s="158">
        <v>3.6999999999999998E-2</v>
      </c>
      <c r="J339" s="158">
        <v>0.248</v>
      </c>
      <c r="K339" s="158">
        <v>15.83</v>
      </c>
      <c r="L339" s="158">
        <v>22.18</v>
      </c>
      <c r="M339" s="158">
        <v>28.25</v>
      </c>
      <c r="N339" s="158">
        <v>7.2999999999999995E-2</v>
      </c>
    </row>
    <row r="340" spans="1:14" ht="16.5">
      <c r="A340" s="2" t="str">
        <f t="shared" si="5"/>
        <v>929하위25%</v>
      </c>
      <c r="B340" s="142">
        <v>929</v>
      </c>
      <c r="C340" s="101" t="s">
        <v>1624</v>
      </c>
      <c r="D340" s="158">
        <v>0.53300000000000003</v>
      </c>
      <c r="E340" s="158">
        <v>0.44900000000000001</v>
      </c>
      <c r="F340" s="158">
        <v>8.0000000000000002E-3</v>
      </c>
      <c r="G340" s="158">
        <v>2.3519999999999999</v>
      </c>
      <c r="H340" s="158">
        <v>0.23400000000000001</v>
      </c>
      <c r="I340" s="158">
        <v>1.6E-2</v>
      </c>
      <c r="J340" s="158">
        <v>0.106</v>
      </c>
      <c r="K340" s="158">
        <v>9.43</v>
      </c>
      <c r="L340" s="158">
        <v>85.6</v>
      </c>
      <c r="M340" s="158">
        <v>70.78</v>
      </c>
      <c r="N340" s="158">
        <v>0.104</v>
      </c>
    </row>
  </sheetData>
  <autoFilter ref="A1:N340" xr:uid="{00000000-0009-0000-0000-000015000000}"/>
  <phoneticPr fontId="11"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theme="1"/>
  </sheetPr>
  <dimension ref="A1:N340"/>
  <sheetViews>
    <sheetView workbookViewId="0">
      <selection activeCell="I20" sqref="I20"/>
    </sheetView>
  </sheetViews>
  <sheetFormatPr defaultRowHeight="11.25"/>
  <cols>
    <col min="1" max="1" width="8.88671875" style="2"/>
    <col min="2" max="3" width="8.88671875" style="22"/>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4" t="s">
        <v>1192</v>
      </c>
      <c r="C1" s="104" t="s">
        <v>158</v>
      </c>
      <c r="D1" s="107" t="s">
        <v>2705</v>
      </c>
      <c r="E1" s="107" t="s">
        <v>1618</v>
      </c>
      <c r="F1" s="107" t="s">
        <v>1619</v>
      </c>
      <c r="G1" s="104" t="s">
        <v>1620</v>
      </c>
      <c r="H1" s="104" t="s">
        <v>2706</v>
      </c>
      <c r="I1" s="104" t="s">
        <v>2707</v>
      </c>
      <c r="J1" s="104" t="s">
        <v>2708</v>
      </c>
      <c r="K1" s="104" t="s">
        <v>9</v>
      </c>
      <c r="L1" s="104" t="s">
        <v>8</v>
      </c>
      <c r="M1" s="104" t="s">
        <v>10</v>
      </c>
      <c r="N1" s="104" t="s">
        <v>1621</v>
      </c>
    </row>
    <row r="2" spans="1:14" ht="16.5">
      <c r="A2" s="2" t="str">
        <f>B2&amp;C2</f>
        <v>111전체</v>
      </c>
      <c r="B2" s="141">
        <v>111</v>
      </c>
      <c r="C2" s="103" t="s">
        <v>1622</v>
      </c>
      <c r="D2" s="159">
        <v>0.80300000000000005</v>
      </c>
      <c r="E2" s="159">
        <v>0.13900000000000001</v>
      </c>
      <c r="F2" s="159">
        <v>2.3E-2</v>
      </c>
      <c r="G2" s="159">
        <v>0.90700000000000003</v>
      </c>
      <c r="H2" s="159">
        <v>0.47499999999999998</v>
      </c>
      <c r="I2" s="159">
        <v>7.0000000000000001E-3</v>
      </c>
      <c r="J2" s="159">
        <v>0.53100000000000003</v>
      </c>
      <c r="K2" s="159">
        <v>7.23</v>
      </c>
      <c r="L2" s="159">
        <v>5.3</v>
      </c>
      <c r="M2" s="159">
        <v>23.42</v>
      </c>
      <c r="N2" s="159">
        <v>0.28399999999999997</v>
      </c>
    </row>
    <row r="3" spans="1:14" ht="16.5">
      <c r="A3" s="2" t="str">
        <f t="shared" ref="A3:A66" si="0">B3&amp;C3</f>
        <v>112전체</v>
      </c>
      <c r="B3" s="141">
        <v>112</v>
      </c>
      <c r="C3" s="103" t="s">
        <v>1622</v>
      </c>
      <c r="D3" s="159">
        <v>0.53800000000000003</v>
      </c>
      <c r="E3" s="159">
        <v>0.38200000000000001</v>
      </c>
      <c r="F3" s="159">
        <v>1.4999999999999999E-2</v>
      </c>
      <c r="G3" s="159">
        <v>0.42499999999999999</v>
      </c>
      <c r="H3" s="159">
        <v>0.23100000000000001</v>
      </c>
      <c r="I3" s="159">
        <v>0.01</v>
      </c>
      <c r="J3" s="159">
        <v>0.56499999999999995</v>
      </c>
      <c r="K3" s="159">
        <v>2.58</v>
      </c>
      <c r="L3" s="159">
        <v>1.82</v>
      </c>
      <c r="M3" s="159">
        <v>12.88</v>
      </c>
      <c r="N3" s="159">
        <v>0.86</v>
      </c>
    </row>
    <row r="4" spans="1:14" ht="16.5">
      <c r="A4" s="2" t="str">
        <f t="shared" si="0"/>
        <v>113전체</v>
      </c>
      <c r="B4" s="141">
        <v>113</v>
      </c>
      <c r="C4" s="103" t="s">
        <v>1622</v>
      </c>
      <c r="D4" s="159">
        <v>0.77800000000000002</v>
      </c>
      <c r="E4" s="159">
        <v>0.17699999999999999</v>
      </c>
      <c r="F4" s="159">
        <v>2.1000000000000001E-2</v>
      </c>
      <c r="G4" s="159">
        <v>1.0169999999999999</v>
      </c>
      <c r="H4" s="159">
        <v>0.61299999999999999</v>
      </c>
      <c r="I4" s="159">
        <v>1.2E-2</v>
      </c>
      <c r="J4" s="159">
        <v>0.61499999999999999</v>
      </c>
      <c r="K4" s="159">
        <v>9.6</v>
      </c>
      <c r="L4" s="159">
        <v>8</v>
      </c>
      <c r="M4" s="159">
        <v>23.42</v>
      </c>
      <c r="N4" s="159">
        <v>0.187</v>
      </c>
    </row>
    <row r="5" spans="1:14" ht="16.5">
      <c r="A5" s="2" t="str">
        <f t="shared" si="0"/>
        <v>114전체</v>
      </c>
      <c r="B5" s="141">
        <v>114</v>
      </c>
      <c r="C5" s="103" t="s">
        <v>1622</v>
      </c>
      <c r="D5" s="159">
        <v>0.76</v>
      </c>
      <c r="E5" s="159">
        <v>0.15</v>
      </c>
      <c r="F5" s="159">
        <v>4.4999999999999998E-2</v>
      </c>
      <c r="G5" s="159">
        <v>0.70099999999999996</v>
      </c>
      <c r="H5" s="159">
        <v>0.57999999999999996</v>
      </c>
      <c r="I5" s="159">
        <v>6.0000000000000001E-3</v>
      </c>
      <c r="J5" s="159">
        <v>0.83499999999999996</v>
      </c>
      <c r="K5" s="159">
        <v>6.21</v>
      </c>
      <c r="L5" s="159">
        <v>7.37</v>
      </c>
      <c r="M5" s="159">
        <v>13.57</v>
      </c>
      <c r="N5" s="159">
        <v>0.223</v>
      </c>
    </row>
    <row r="6" spans="1:14" ht="16.5">
      <c r="A6" s="2" t="str">
        <f t="shared" si="0"/>
        <v>115전체</v>
      </c>
      <c r="B6" s="141">
        <v>115</v>
      </c>
      <c r="C6" s="103" t="s">
        <v>1622</v>
      </c>
      <c r="D6" s="159">
        <v>0.79600000000000004</v>
      </c>
      <c r="E6" s="159">
        <v>0.14199999999999999</v>
      </c>
      <c r="F6" s="159">
        <v>3.6999999999999998E-2</v>
      </c>
      <c r="G6" s="159">
        <v>0.59499999999999997</v>
      </c>
      <c r="H6" s="159">
        <v>0.53400000000000003</v>
      </c>
      <c r="I6" s="159">
        <v>1E-3</v>
      </c>
      <c r="J6" s="159">
        <v>0.9</v>
      </c>
      <c r="K6" s="159">
        <v>7.03</v>
      </c>
      <c r="L6" s="159">
        <v>4.3499999999999996</v>
      </c>
      <c r="M6" s="159">
        <v>7.67</v>
      </c>
      <c r="N6" s="159">
        <v>0.24199999999999999</v>
      </c>
    </row>
    <row r="7" spans="1:14" ht="16.5">
      <c r="A7" s="2" t="str">
        <f t="shared" si="0"/>
        <v>119전체</v>
      </c>
      <c r="B7" s="141">
        <v>119</v>
      </c>
      <c r="C7" s="103" t="s">
        <v>1622</v>
      </c>
      <c r="D7" s="159">
        <v>0.78900000000000003</v>
      </c>
      <c r="E7" s="159">
        <v>0.14099999999999999</v>
      </c>
      <c r="F7" s="159">
        <v>2.5000000000000001E-2</v>
      </c>
      <c r="G7" s="159">
        <v>0.755</v>
      </c>
      <c r="H7" s="159">
        <v>0.63</v>
      </c>
      <c r="I7" s="159">
        <v>1E-3</v>
      </c>
      <c r="J7" s="159">
        <v>0.83599999999999997</v>
      </c>
      <c r="K7" s="159">
        <v>9.84</v>
      </c>
      <c r="L7" s="159">
        <v>11.09</v>
      </c>
      <c r="M7" s="159">
        <v>31.74</v>
      </c>
      <c r="N7" s="159">
        <v>0.16</v>
      </c>
    </row>
    <row r="8" spans="1:14" ht="16.5">
      <c r="A8" s="2" t="str">
        <f t="shared" si="0"/>
        <v>121전체</v>
      </c>
      <c r="B8" s="141">
        <v>121</v>
      </c>
      <c r="C8" s="103" t="s">
        <v>1622</v>
      </c>
      <c r="D8" s="159">
        <v>0.78900000000000003</v>
      </c>
      <c r="E8" s="159">
        <v>0.151</v>
      </c>
      <c r="F8" s="159">
        <v>0.01</v>
      </c>
      <c r="G8" s="159">
        <v>1.6240000000000001</v>
      </c>
      <c r="H8" s="159">
        <v>0.252</v>
      </c>
      <c r="I8" s="159">
        <v>5.0000000000000001E-3</v>
      </c>
      <c r="J8" s="159">
        <v>0.158</v>
      </c>
      <c r="K8" s="159">
        <v>7.63</v>
      </c>
      <c r="L8" s="159">
        <v>6.02</v>
      </c>
      <c r="M8" s="159">
        <v>13.5</v>
      </c>
      <c r="N8" s="159">
        <v>0.223</v>
      </c>
    </row>
    <row r="9" spans="1:14" ht="16.5">
      <c r="A9" s="2" t="str">
        <f t="shared" si="0"/>
        <v>122전체</v>
      </c>
      <c r="B9" s="141">
        <v>122</v>
      </c>
      <c r="C9" s="103" t="s">
        <v>1622</v>
      </c>
      <c r="D9" s="159">
        <v>0.82399999999999995</v>
      </c>
      <c r="E9" s="159">
        <v>6.2E-2</v>
      </c>
      <c r="F9" s="159">
        <v>0.02</v>
      </c>
      <c r="G9" s="159">
        <v>0.74199999999999999</v>
      </c>
      <c r="H9" s="159">
        <v>0.33500000000000002</v>
      </c>
      <c r="I9" s="159">
        <v>3.0000000000000001E-3</v>
      </c>
      <c r="J9" s="159">
        <v>0.45500000000000002</v>
      </c>
      <c r="K9" s="159">
        <v>13.92</v>
      </c>
      <c r="L9" s="159">
        <v>1.49</v>
      </c>
      <c r="M9" s="159">
        <v>15.13</v>
      </c>
      <c r="N9" s="159">
        <v>0.67600000000000005</v>
      </c>
    </row>
    <row r="10" spans="1:14" ht="16.5">
      <c r="A10" s="2" t="str">
        <f t="shared" si="0"/>
        <v>123전체</v>
      </c>
      <c r="B10" s="141">
        <v>123</v>
      </c>
      <c r="C10" s="103" t="s">
        <v>1622</v>
      </c>
      <c r="D10" s="159">
        <v>0.85799999999999998</v>
      </c>
      <c r="E10" s="159">
        <v>8.3000000000000004E-2</v>
      </c>
      <c r="F10" s="159">
        <v>2.5000000000000001E-2</v>
      </c>
      <c r="G10" s="159">
        <v>0.97099999999999997</v>
      </c>
      <c r="H10" s="159">
        <v>0.58699999999999997</v>
      </c>
      <c r="I10" s="159">
        <v>4.0000000000000001E-3</v>
      </c>
      <c r="J10" s="159">
        <v>0.60799999999999998</v>
      </c>
      <c r="K10" s="159">
        <v>7.55</v>
      </c>
      <c r="L10" s="159">
        <v>11.06</v>
      </c>
      <c r="M10" s="159">
        <v>11.27</v>
      </c>
      <c r="N10" s="159">
        <v>0.13400000000000001</v>
      </c>
    </row>
    <row r="11" spans="1:14" ht="16.5">
      <c r="A11" s="2" t="str">
        <f t="shared" si="0"/>
        <v>124전체</v>
      </c>
      <c r="B11" s="141">
        <v>124</v>
      </c>
      <c r="C11" s="103" t="s">
        <v>1622</v>
      </c>
      <c r="D11" s="159">
        <v>0.77100000000000002</v>
      </c>
      <c r="E11" s="159">
        <v>0.16300000000000001</v>
      </c>
      <c r="F11" s="159">
        <v>1.2999999999999999E-2</v>
      </c>
      <c r="G11" s="159">
        <v>1.4570000000000001</v>
      </c>
      <c r="H11" s="159">
        <v>0.30599999999999999</v>
      </c>
      <c r="I11" s="159">
        <v>7.0000000000000001E-3</v>
      </c>
      <c r="J11" s="159">
        <v>0.215</v>
      </c>
      <c r="K11" s="159">
        <v>7.94</v>
      </c>
      <c r="L11" s="159">
        <v>5.88</v>
      </c>
      <c r="M11" s="159">
        <v>14.22</v>
      </c>
      <c r="N11" s="159">
        <v>0.22600000000000001</v>
      </c>
    </row>
    <row r="12" spans="1:14" ht="16.5">
      <c r="A12" s="2" t="str">
        <f t="shared" si="0"/>
        <v>129전체</v>
      </c>
      <c r="B12" s="141">
        <v>129</v>
      </c>
      <c r="C12" s="103" t="s">
        <v>1622</v>
      </c>
      <c r="D12" s="159">
        <v>0.83299999999999996</v>
      </c>
      <c r="E12" s="159">
        <v>6.0999999999999999E-2</v>
      </c>
      <c r="F12" s="159">
        <v>0.05</v>
      </c>
      <c r="G12" s="159">
        <v>0.70699999999999996</v>
      </c>
      <c r="H12" s="159">
        <v>0.53800000000000003</v>
      </c>
      <c r="I12" s="159">
        <v>3.0000000000000001E-3</v>
      </c>
      <c r="J12" s="159">
        <v>0.76500000000000001</v>
      </c>
      <c r="K12" s="159">
        <v>17.07</v>
      </c>
      <c r="L12" s="159">
        <v>5.1100000000000003</v>
      </c>
      <c r="M12" s="159">
        <v>13.18</v>
      </c>
      <c r="N12" s="159">
        <v>0.17799999999999999</v>
      </c>
    </row>
    <row r="13" spans="1:14" ht="16.5">
      <c r="A13" s="2" t="str">
        <f t="shared" si="0"/>
        <v>211전체</v>
      </c>
      <c r="B13" s="141">
        <v>211</v>
      </c>
      <c r="C13" s="103" t="s">
        <v>1622</v>
      </c>
      <c r="D13" s="159">
        <v>0.88200000000000001</v>
      </c>
      <c r="E13" s="159">
        <v>7.5999999999999998E-2</v>
      </c>
      <c r="F13" s="159">
        <v>8.0000000000000002E-3</v>
      </c>
      <c r="G13" s="159">
        <v>0.77200000000000002</v>
      </c>
      <c r="H13" s="159">
        <v>0.29299999999999998</v>
      </c>
      <c r="I13" s="159">
        <v>3.0000000000000001E-3</v>
      </c>
      <c r="J13" s="159">
        <v>0.38400000000000001</v>
      </c>
      <c r="K13" s="159">
        <v>4.8499999999999996</v>
      </c>
      <c r="L13" s="159">
        <v>3.8</v>
      </c>
      <c r="M13" s="159">
        <v>15.84</v>
      </c>
      <c r="N13" s="159">
        <v>0.40600000000000003</v>
      </c>
    </row>
    <row r="14" spans="1:14" ht="16.5">
      <c r="A14" s="2" t="str">
        <f t="shared" si="0"/>
        <v>212전체</v>
      </c>
      <c r="B14" s="141">
        <v>212</v>
      </c>
      <c r="C14" s="103" t="s">
        <v>1622</v>
      </c>
      <c r="D14" s="159">
        <v>0.47199999999999998</v>
      </c>
      <c r="E14" s="159">
        <v>0.248</v>
      </c>
      <c r="F14" s="159">
        <v>8.9999999999999993E-3</v>
      </c>
      <c r="G14" s="159">
        <v>0.378</v>
      </c>
      <c r="H14" s="159">
        <v>0.191</v>
      </c>
      <c r="I14" s="159">
        <v>3.0000000000000001E-3</v>
      </c>
      <c r="J14" s="159">
        <v>0.51400000000000001</v>
      </c>
      <c r="K14" s="159">
        <v>4.88</v>
      </c>
      <c r="L14" s="159">
        <v>3.31</v>
      </c>
      <c r="M14" s="159">
        <v>42.65</v>
      </c>
      <c r="N14" s="159">
        <v>0.48299999999999998</v>
      </c>
    </row>
    <row r="15" spans="1:14" ht="16.5">
      <c r="A15" s="2" t="str">
        <f t="shared" si="0"/>
        <v>213전체</v>
      </c>
      <c r="B15" s="141">
        <v>213</v>
      </c>
      <c r="C15" s="103" t="s">
        <v>1622</v>
      </c>
      <c r="D15" s="159">
        <v>0.82199999999999995</v>
      </c>
      <c r="E15" s="159">
        <v>8.6999999999999994E-2</v>
      </c>
      <c r="F15" s="159">
        <v>5.0000000000000001E-3</v>
      </c>
      <c r="G15" s="159">
        <v>0.747</v>
      </c>
      <c r="H15" s="159">
        <v>0.26500000000000001</v>
      </c>
      <c r="I15" s="159">
        <v>3.0000000000000001E-3</v>
      </c>
      <c r="J15" s="159">
        <v>0.35899999999999999</v>
      </c>
      <c r="K15" s="159">
        <v>5.5</v>
      </c>
      <c r="L15" s="159">
        <v>3.16</v>
      </c>
      <c r="M15" s="159">
        <v>23.8</v>
      </c>
      <c r="N15" s="159">
        <v>0.45700000000000002</v>
      </c>
    </row>
    <row r="16" spans="1:14" ht="16.5">
      <c r="A16" s="2" t="str">
        <f t="shared" si="0"/>
        <v>214전체</v>
      </c>
      <c r="B16" s="141">
        <v>214</v>
      </c>
      <c r="C16" s="103" t="s">
        <v>1622</v>
      </c>
      <c r="D16" s="159">
        <v>0.58599999999999997</v>
      </c>
      <c r="E16" s="159">
        <v>0.309</v>
      </c>
      <c r="F16" s="159">
        <v>8.0000000000000002E-3</v>
      </c>
      <c r="G16" s="159">
        <v>0.59799999999999998</v>
      </c>
      <c r="H16" s="159">
        <v>0.28699999999999998</v>
      </c>
      <c r="I16" s="159">
        <v>4.7E-2</v>
      </c>
      <c r="J16" s="159">
        <v>0.56000000000000005</v>
      </c>
      <c r="K16" s="159">
        <v>3.93</v>
      </c>
      <c r="L16" s="159">
        <v>5.46</v>
      </c>
      <c r="M16" s="159">
        <v>13.94</v>
      </c>
      <c r="N16" s="159">
        <v>0.36599999999999999</v>
      </c>
    </row>
    <row r="17" spans="1:14" ht="16.5">
      <c r="A17" s="2" t="str">
        <f t="shared" si="0"/>
        <v>215전체</v>
      </c>
      <c r="B17" s="141">
        <v>215</v>
      </c>
      <c r="C17" s="103" t="s">
        <v>1622</v>
      </c>
      <c r="D17" s="159">
        <v>0.52900000000000003</v>
      </c>
      <c r="E17" s="159">
        <v>0.35299999999999998</v>
      </c>
      <c r="F17" s="159">
        <v>1.4E-2</v>
      </c>
      <c r="G17" s="159">
        <v>1.0249999999999999</v>
      </c>
      <c r="H17" s="159">
        <v>0.33200000000000002</v>
      </c>
      <c r="I17" s="159">
        <v>2.8000000000000001E-2</v>
      </c>
      <c r="J17" s="159">
        <v>0.35199999999999998</v>
      </c>
      <c r="K17" s="159">
        <v>8.06</v>
      </c>
      <c r="L17" s="159">
        <v>10.45</v>
      </c>
      <c r="M17" s="159">
        <v>18.21</v>
      </c>
      <c r="N17" s="159">
        <v>0.16500000000000001</v>
      </c>
    </row>
    <row r="18" spans="1:14" ht="16.5">
      <c r="A18" s="2" t="str">
        <f t="shared" si="0"/>
        <v>219전체</v>
      </c>
      <c r="B18" s="141">
        <v>219</v>
      </c>
      <c r="C18" s="103" t="s">
        <v>1622</v>
      </c>
      <c r="D18" s="159">
        <v>0.79800000000000004</v>
      </c>
      <c r="E18" s="159">
        <v>0.114</v>
      </c>
      <c r="F18" s="159">
        <v>8.0000000000000002E-3</v>
      </c>
      <c r="G18" s="159">
        <v>0.87</v>
      </c>
      <c r="H18" s="159">
        <v>0.35099999999999998</v>
      </c>
      <c r="I18" s="159">
        <v>2.8000000000000001E-2</v>
      </c>
      <c r="J18" s="159">
        <v>0.436</v>
      </c>
      <c r="K18" s="159">
        <v>6.05</v>
      </c>
      <c r="L18" s="159">
        <v>9.08</v>
      </c>
      <c r="M18" s="159">
        <v>12.83</v>
      </c>
      <c r="N18" s="159">
        <v>0.19800000000000001</v>
      </c>
    </row>
    <row r="19" spans="1:14" ht="16.5">
      <c r="A19" s="2" t="str">
        <f t="shared" si="0"/>
        <v>221전체</v>
      </c>
      <c r="B19" s="141">
        <v>221</v>
      </c>
      <c r="C19" s="103" t="s">
        <v>1622</v>
      </c>
      <c r="D19" s="159">
        <v>0.83199999999999996</v>
      </c>
      <c r="E19" s="159">
        <v>8.8999999999999996E-2</v>
      </c>
      <c r="F19" s="159">
        <v>6.0000000000000001E-3</v>
      </c>
      <c r="G19" s="159">
        <v>1.0549999999999999</v>
      </c>
      <c r="H19" s="159">
        <v>0.40300000000000002</v>
      </c>
      <c r="I19" s="159">
        <v>4.1000000000000002E-2</v>
      </c>
      <c r="J19" s="159">
        <v>0.42</v>
      </c>
      <c r="K19" s="159">
        <v>6</v>
      </c>
      <c r="L19" s="159">
        <v>9.4600000000000009</v>
      </c>
      <c r="M19" s="159">
        <v>12.08</v>
      </c>
      <c r="N19" s="159">
        <v>0.19</v>
      </c>
    </row>
    <row r="20" spans="1:14" ht="16.5">
      <c r="A20" s="2" t="str">
        <f t="shared" si="0"/>
        <v>222전체</v>
      </c>
      <c r="B20" s="141">
        <v>222</v>
      </c>
      <c r="C20" s="103" t="s">
        <v>1622</v>
      </c>
      <c r="D20" s="159">
        <v>0.77600000000000002</v>
      </c>
      <c r="E20" s="159">
        <v>0.17499999999999999</v>
      </c>
      <c r="F20" s="159">
        <v>1.2999999999999999E-2</v>
      </c>
      <c r="G20" s="159">
        <v>0.877</v>
      </c>
      <c r="H20" s="159">
        <v>0.35199999999999998</v>
      </c>
      <c r="I20" s="159">
        <v>2.1999999999999999E-2</v>
      </c>
      <c r="J20" s="159">
        <v>0.42699999999999999</v>
      </c>
      <c r="K20" s="159">
        <v>8.5</v>
      </c>
      <c r="L20" s="159">
        <v>3.53</v>
      </c>
      <c r="M20" s="159">
        <v>11.12</v>
      </c>
      <c r="N20" s="159">
        <v>0.311</v>
      </c>
    </row>
    <row r="21" spans="1:14" ht="16.5">
      <c r="A21" s="2" t="str">
        <f t="shared" si="0"/>
        <v>223전체</v>
      </c>
      <c r="B21" s="141">
        <v>223</v>
      </c>
      <c r="C21" s="103" t="s">
        <v>1622</v>
      </c>
      <c r="D21" s="159">
        <v>0.83499999999999996</v>
      </c>
      <c r="E21" s="159">
        <v>0.105</v>
      </c>
      <c r="F21" s="159">
        <v>1.4999999999999999E-2</v>
      </c>
      <c r="G21" s="159">
        <v>1.0389999999999999</v>
      </c>
      <c r="H21" s="159">
        <v>0.432</v>
      </c>
      <c r="I21" s="159">
        <v>1.4999999999999999E-2</v>
      </c>
      <c r="J21" s="159">
        <v>0.43099999999999999</v>
      </c>
      <c r="K21" s="159">
        <v>5.84</v>
      </c>
      <c r="L21" s="159">
        <v>11.23</v>
      </c>
      <c r="M21" s="159">
        <v>11.61</v>
      </c>
      <c r="N21" s="159">
        <v>0.17399999999999999</v>
      </c>
    </row>
    <row r="22" spans="1:14" ht="16.5">
      <c r="A22" s="2" t="str">
        <f t="shared" si="0"/>
        <v>224전체</v>
      </c>
      <c r="B22" s="141">
        <v>224</v>
      </c>
      <c r="C22" s="103" t="s">
        <v>1622</v>
      </c>
      <c r="D22" s="159">
        <v>0.83599999999999997</v>
      </c>
      <c r="E22" s="159">
        <v>0.105</v>
      </c>
      <c r="F22" s="159">
        <v>1.9E-2</v>
      </c>
      <c r="G22" s="159">
        <v>0.93100000000000005</v>
      </c>
      <c r="H22" s="159">
        <v>0.41799999999999998</v>
      </c>
      <c r="I22" s="159">
        <v>1.2E-2</v>
      </c>
      <c r="J22" s="159">
        <v>0.46200000000000002</v>
      </c>
      <c r="K22" s="159">
        <v>5.5</v>
      </c>
      <c r="L22" s="159">
        <v>8.25</v>
      </c>
      <c r="M22" s="159">
        <v>10.41</v>
      </c>
      <c r="N22" s="159">
        <v>0.20699999999999999</v>
      </c>
    </row>
    <row r="23" spans="1:14" ht="16.5">
      <c r="A23" s="2" t="str">
        <f t="shared" si="0"/>
        <v>225전체</v>
      </c>
      <c r="B23" s="141">
        <v>225</v>
      </c>
      <c r="C23" s="103" t="s">
        <v>1622</v>
      </c>
      <c r="D23" s="159">
        <v>0.81399999999999995</v>
      </c>
      <c r="E23" s="159">
        <v>0.13300000000000001</v>
      </c>
      <c r="F23" s="159">
        <v>1.4E-2</v>
      </c>
      <c r="G23" s="159">
        <v>0.95099999999999996</v>
      </c>
      <c r="H23" s="159">
        <v>0.38800000000000001</v>
      </c>
      <c r="I23" s="159">
        <v>0.01</v>
      </c>
      <c r="J23" s="159">
        <v>0.41799999999999998</v>
      </c>
      <c r="K23" s="159">
        <v>5.76</v>
      </c>
      <c r="L23" s="159">
        <v>5.56</v>
      </c>
      <c r="M23" s="159">
        <v>9.1199999999999992</v>
      </c>
      <c r="N23" s="159">
        <v>0.24399999999999999</v>
      </c>
    </row>
    <row r="24" spans="1:14" ht="16.5">
      <c r="A24" s="2" t="str">
        <f t="shared" si="0"/>
        <v>226전체</v>
      </c>
      <c r="B24" s="141">
        <v>226</v>
      </c>
      <c r="C24" s="103" t="s">
        <v>1622</v>
      </c>
      <c r="D24" s="159">
        <v>0.74099999999999999</v>
      </c>
      <c r="E24" s="159">
        <v>0.157</v>
      </c>
      <c r="F24" s="159">
        <v>1.4999999999999999E-2</v>
      </c>
      <c r="G24" s="159">
        <v>0.89600000000000002</v>
      </c>
      <c r="H24" s="159">
        <v>0.28799999999999998</v>
      </c>
      <c r="I24" s="159">
        <v>2.8000000000000001E-2</v>
      </c>
      <c r="J24" s="159">
        <v>0.35299999999999998</v>
      </c>
      <c r="K24" s="159">
        <v>4.8600000000000003</v>
      </c>
      <c r="L24" s="159">
        <v>8.2200000000000006</v>
      </c>
      <c r="M24" s="159">
        <v>11.11</v>
      </c>
      <c r="N24" s="159">
        <v>0.23699999999999999</v>
      </c>
    </row>
    <row r="25" spans="1:14" ht="16.5">
      <c r="A25" s="2" t="str">
        <f t="shared" si="0"/>
        <v>227전체</v>
      </c>
      <c r="B25" s="141">
        <v>227</v>
      </c>
      <c r="C25" s="103" t="s">
        <v>1622</v>
      </c>
      <c r="D25" s="159">
        <v>0.58599999999999997</v>
      </c>
      <c r="E25" s="159">
        <v>0.309</v>
      </c>
      <c r="F25" s="159">
        <v>8.0000000000000002E-3</v>
      </c>
      <c r="G25" s="159">
        <v>0.59799999999999998</v>
      </c>
      <c r="H25" s="159">
        <v>0.28699999999999998</v>
      </c>
      <c r="I25" s="159">
        <v>4.7E-2</v>
      </c>
      <c r="J25" s="159">
        <v>0.56000000000000005</v>
      </c>
      <c r="K25" s="159">
        <v>3.93</v>
      </c>
      <c r="L25" s="159">
        <v>5.46</v>
      </c>
      <c r="M25" s="159">
        <v>13.94</v>
      </c>
      <c r="N25" s="159">
        <v>0.36599999999999999</v>
      </c>
    </row>
    <row r="26" spans="1:14" ht="16.5">
      <c r="A26" s="2" t="str">
        <f t="shared" si="0"/>
        <v>229전체</v>
      </c>
      <c r="B26" s="141">
        <v>229</v>
      </c>
      <c r="C26" s="103" t="s">
        <v>1622</v>
      </c>
      <c r="D26" s="159">
        <v>0.81</v>
      </c>
      <c r="E26" s="159">
        <v>0.126</v>
      </c>
      <c r="F26" s="159">
        <v>1.7000000000000001E-2</v>
      </c>
      <c r="G26" s="159">
        <v>1.1060000000000001</v>
      </c>
      <c r="H26" s="159">
        <v>0.376</v>
      </c>
      <c r="I26" s="159">
        <v>0.02</v>
      </c>
      <c r="J26" s="159">
        <v>0.35799999999999998</v>
      </c>
      <c r="K26" s="159">
        <v>5.7</v>
      </c>
      <c r="L26" s="159">
        <v>8.1999999999999993</v>
      </c>
      <c r="M26" s="159">
        <v>10.92</v>
      </c>
      <c r="N26" s="159">
        <v>0.20599999999999999</v>
      </c>
    </row>
    <row r="27" spans="1:14" ht="16.5">
      <c r="A27" s="2" t="str">
        <f t="shared" si="0"/>
        <v>231전체</v>
      </c>
      <c r="B27" s="141">
        <v>231</v>
      </c>
      <c r="C27" s="103" t="s">
        <v>1622</v>
      </c>
      <c r="D27" s="159">
        <v>0.89800000000000002</v>
      </c>
      <c r="E27" s="159">
        <v>6.5000000000000002E-2</v>
      </c>
      <c r="F27" s="159">
        <v>0.01</v>
      </c>
      <c r="G27" s="159">
        <v>1.895</v>
      </c>
      <c r="H27" s="159">
        <v>0.44800000000000001</v>
      </c>
      <c r="I27" s="159">
        <v>0</v>
      </c>
      <c r="J27" s="159">
        <v>0.23599999999999999</v>
      </c>
      <c r="K27" s="159">
        <v>13.95</v>
      </c>
      <c r="L27" s="159">
        <v>11.08</v>
      </c>
      <c r="M27" s="159">
        <v>46.28</v>
      </c>
      <c r="N27" s="159">
        <v>0.14000000000000001</v>
      </c>
    </row>
    <row r="28" spans="1:14" ht="16.5">
      <c r="A28" s="2" t="str">
        <f t="shared" si="0"/>
        <v>232전체</v>
      </c>
      <c r="B28" s="141">
        <v>232</v>
      </c>
      <c r="C28" s="103" t="s">
        <v>1622</v>
      </c>
      <c r="D28" s="159">
        <v>0.75</v>
      </c>
      <c r="E28" s="159">
        <v>0.192</v>
      </c>
      <c r="F28" s="159">
        <v>0.01</v>
      </c>
      <c r="G28" s="159">
        <v>1.196</v>
      </c>
      <c r="H28" s="159">
        <v>0.15</v>
      </c>
      <c r="I28" s="159">
        <v>4.7E-2</v>
      </c>
      <c r="J28" s="159">
        <v>0.16400000000000001</v>
      </c>
      <c r="K28" s="159">
        <v>6.04</v>
      </c>
      <c r="L28" s="159">
        <v>43.57</v>
      </c>
      <c r="M28" s="159">
        <v>13.5</v>
      </c>
      <c r="N28" s="159">
        <v>0.114</v>
      </c>
    </row>
    <row r="29" spans="1:14" ht="16.5">
      <c r="A29" s="2" t="str">
        <f t="shared" si="0"/>
        <v>233전체</v>
      </c>
      <c r="B29" s="141">
        <v>233</v>
      </c>
      <c r="C29" s="103" t="s">
        <v>1622</v>
      </c>
      <c r="D29" s="159">
        <v>0.443</v>
      </c>
      <c r="E29" s="159">
        <v>0.48099999999999998</v>
      </c>
      <c r="F29" s="159">
        <v>1.6E-2</v>
      </c>
      <c r="G29" s="159">
        <v>0.74199999999999999</v>
      </c>
      <c r="H29" s="159">
        <v>0.53100000000000003</v>
      </c>
      <c r="I29" s="159">
        <v>1.2999999999999999E-2</v>
      </c>
      <c r="J29" s="159">
        <v>0.73399999999999999</v>
      </c>
      <c r="K29" s="159">
        <v>11.66</v>
      </c>
      <c r="L29" s="159">
        <v>21.12</v>
      </c>
      <c r="M29" s="159">
        <v>46.77</v>
      </c>
      <c r="N29" s="159">
        <v>0.112</v>
      </c>
    </row>
    <row r="30" spans="1:14" ht="16.5">
      <c r="A30" s="2" t="str">
        <f t="shared" si="0"/>
        <v>234전체</v>
      </c>
      <c r="B30" s="141">
        <v>234</v>
      </c>
      <c r="C30" s="103" t="s">
        <v>1622</v>
      </c>
      <c r="D30" s="159">
        <v>0.20799999999999999</v>
      </c>
      <c r="E30" s="159">
        <v>0.67800000000000005</v>
      </c>
      <c r="F30" s="159">
        <v>3.5000000000000003E-2</v>
      </c>
      <c r="G30" s="159">
        <v>0.95199999999999996</v>
      </c>
      <c r="H30" s="159">
        <v>0.67100000000000004</v>
      </c>
      <c r="I30" s="159">
        <v>0</v>
      </c>
      <c r="J30" s="159">
        <v>0.70499999999999996</v>
      </c>
      <c r="K30" s="159">
        <v>94.5</v>
      </c>
      <c r="L30" s="159">
        <v>19.829999999999998</v>
      </c>
      <c r="M30" s="159">
        <v>82.62</v>
      </c>
      <c r="N30" s="159">
        <v>4.9000000000000002E-2</v>
      </c>
    </row>
    <row r="31" spans="1:14" ht="16.5">
      <c r="A31" s="2" t="str">
        <f t="shared" si="0"/>
        <v>235전체</v>
      </c>
      <c r="B31" s="141">
        <v>235</v>
      </c>
      <c r="C31" s="103" t="s">
        <v>1622</v>
      </c>
      <c r="D31" s="159">
        <v>0.36499999999999999</v>
      </c>
      <c r="E31" s="159">
        <v>0.54500000000000004</v>
      </c>
      <c r="F31" s="159">
        <v>3.5000000000000003E-2</v>
      </c>
      <c r="G31" s="159">
        <v>1.018</v>
      </c>
      <c r="H31" s="159">
        <v>0.24199999999999999</v>
      </c>
      <c r="I31" s="159">
        <v>7.2999999999999995E-2</v>
      </c>
      <c r="J31" s="159">
        <v>0.31</v>
      </c>
      <c r="K31" s="159">
        <v>10.8</v>
      </c>
      <c r="L31" s="159">
        <v>21.48</v>
      </c>
      <c r="M31" s="159">
        <v>174.94</v>
      </c>
      <c r="N31" s="159">
        <v>0.13300000000000001</v>
      </c>
    </row>
    <row r="32" spans="1:14" ht="16.5">
      <c r="A32" s="2" t="str">
        <f t="shared" si="0"/>
        <v>236전체</v>
      </c>
      <c r="B32" s="141">
        <v>236</v>
      </c>
      <c r="C32" s="103" t="s">
        <v>1622</v>
      </c>
      <c r="D32" s="159">
        <v>0.54</v>
      </c>
      <c r="E32" s="159">
        <v>0.35899999999999999</v>
      </c>
      <c r="F32" s="159">
        <v>2.1999999999999999E-2</v>
      </c>
      <c r="G32" s="159">
        <v>0.92600000000000005</v>
      </c>
      <c r="H32" s="159">
        <v>0.14199999999999999</v>
      </c>
      <c r="I32" s="159">
        <v>0.104</v>
      </c>
      <c r="J32" s="159">
        <v>0.26600000000000001</v>
      </c>
      <c r="K32" s="159">
        <v>6.34</v>
      </c>
      <c r="L32" s="159">
        <v>42.82</v>
      </c>
      <c r="M32" s="159">
        <v>14.66</v>
      </c>
      <c r="N32" s="159">
        <v>0.113</v>
      </c>
    </row>
    <row r="33" spans="1:14" ht="16.5">
      <c r="A33" s="2" t="str">
        <f t="shared" si="0"/>
        <v>237전체</v>
      </c>
      <c r="B33" s="141">
        <v>237</v>
      </c>
      <c r="C33" s="103" t="s">
        <v>1622</v>
      </c>
      <c r="D33" s="159">
        <v>0.68300000000000005</v>
      </c>
      <c r="E33" s="159">
        <v>0.20599999999999999</v>
      </c>
      <c r="F33" s="159">
        <v>2.4E-2</v>
      </c>
      <c r="G33" s="159">
        <v>0.85499999999999998</v>
      </c>
      <c r="H33" s="159">
        <v>0.42399999999999999</v>
      </c>
      <c r="I33" s="159">
        <v>4.2999999999999997E-2</v>
      </c>
      <c r="J33" s="159">
        <v>0.54600000000000004</v>
      </c>
      <c r="K33" s="159">
        <v>11.2</v>
      </c>
      <c r="L33" s="159">
        <v>31.9</v>
      </c>
      <c r="M33" s="159">
        <v>39.090000000000003</v>
      </c>
      <c r="N33" s="159">
        <v>9.5000000000000001E-2</v>
      </c>
    </row>
    <row r="34" spans="1:14" ht="16.5">
      <c r="A34" s="2" t="str">
        <f t="shared" si="0"/>
        <v>239전체</v>
      </c>
      <c r="B34" s="141">
        <v>239</v>
      </c>
      <c r="C34" s="103" t="s">
        <v>1622</v>
      </c>
      <c r="D34" s="159">
        <v>0.371</v>
      </c>
      <c r="E34" s="159">
        <v>0.53100000000000003</v>
      </c>
      <c r="F34" s="159">
        <v>4.2999999999999997E-2</v>
      </c>
      <c r="G34" s="159">
        <v>0.85899999999999999</v>
      </c>
      <c r="H34" s="159">
        <v>0.46800000000000003</v>
      </c>
      <c r="I34" s="159">
        <v>1.4E-2</v>
      </c>
      <c r="J34" s="159">
        <v>0.56000000000000005</v>
      </c>
      <c r="K34" s="159">
        <v>7.48</v>
      </c>
      <c r="L34" s="159">
        <v>54.98</v>
      </c>
      <c r="M34" s="159">
        <v>57.65</v>
      </c>
      <c r="N34" s="159">
        <v>0.13500000000000001</v>
      </c>
    </row>
    <row r="35" spans="1:14" ht="16.5">
      <c r="A35" s="2" t="str">
        <f t="shared" si="0"/>
        <v>311전체</v>
      </c>
      <c r="B35" s="141">
        <v>311</v>
      </c>
      <c r="C35" s="103" t="s">
        <v>1622</v>
      </c>
      <c r="D35" s="159">
        <v>0.52500000000000002</v>
      </c>
      <c r="E35" s="159">
        <v>0.17100000000000001</v>
      </c>
      <c r="F35" s="159">
        <v>1.4E-2</v>
      </c>
      <c r="G35" s="159">
        <v>0.495</v>
      </c>
      <c r="H35" s="159">
        <v>0.222</v>
      </c>
      <c r="I35" s="159">
        <v>7.0000000000000001E-3</v>
      </c>
      <c r="J35" s="159">
        <v>0.46400000000000002</v>
      </c>
      <c r="K35" s="159">
        <v>15.96</v>
      </c>
      <c r="L35" s="159">
        <v>9.81</v>
      </c>
      <c r="M35" s="159">
        <v>46.97</v>
      </c>
      <c r="N35" s="159">
        <v>0.14299999999999999</v>
      </c>
    </row>
    <row r="36" spans="1:14" ht="16.5">
      <c r="A36" s="2" t="str">
        <f t="shared" si="0"/>
        <v>312전체</v>
      </c>
      <c r="B36" s="141">
        <v>312</v>
      </c>
      <c r="C36" s="103" t="s">
        <v>1622</v>
      </c>
      <c r="D36" s="159">
        <v>0.79</v>
      </c>
      <c r="E36" s="159">
        <v>0.157</v>
      </c>
      <c r="F36" s="159">
        <v>3.1E-2</v>
      </c>
      <c r="G36" s="159">
        <v>0.55500000000000005</v>
      </c>
      <c r="H36" s="159">
        <v>0.64700000000000002</v>
      </c>
      <c r="I36" s="159">
        <v>0</v>
      </c>
      <c r="J36" s="159">
        <v>1.165</v>
      </c>
      <c r="K36" s="159">
        <v>5.57</v>
      </c>
      <c r="L36" s="159">
        <v>7.48</v>
      </c>
      <c r="M36" s="159">
        <v>19.98</v>
      </c>
      <c r="N36" s="159">
        <v>0.26300000000000001</v>
      </c>
    </row>
    <row r="37" spans="1:14" ht="16.5">
      <c r="A37" s="2" t="str">
        <f t="shared" si="0"/>
        <v>390전체</v>
      </c>
      <c r="B37" s="141">
        <v>390</v>
      </c>
      <c r="C37" s="103" t="s">
        <v>1622</v>
      </c>
      <c r="D37" s="159">
        <v>0.58399999999999996</v>
      </c>
      <c r="E37" s="159">
        <v>0.23</v>
      </c>
      <c r="F37" s="159">
        <v>5.0000000000000001E-3</v>
      </c>
      <c r="G37" s="159">
        <v>0.16</v>
      </c>
      <c r="H37" s="159">
        <v>0.58899999999999997</v>
      </c>
      <c r="I37" s="159">
        <v>0</v>
      </c>
      <c r="J37" s="159">
        <v>3.6880000000000002</v>
      </c>
      <c r="K37" s="159">
        <v>0</v>
      </c>
      <c r="L37" s="159">
        <v>2.83</v>
      </c>
      <c r="M37" s="159">
        <v>81.37</v>
      </c>
      <c r="N37" s="159">
        <v>0</v>
      </c>
    </row>
    <row r="38" spans="1:14" ht="16.5">
      <c r="A38" s="2" t="str">
        <f t="shared" si="0"/>
        <v>411전체</v>
      </c>
      <c r="B38" s="141">
        <v>411</v>
      </c>
      <c r="C38" s="103" t="s">
        <v>1622</v>
      </c>
      <c r="D38" s="159">
        <v>0.84499999999999997</v>
      </c>
      <c r="E38" s="159">
        <v>9.5000000000000001E-2</v>
      </c>
      <c r="F38" s="159">
        <v>1.6E-2</v>
      </c>
      <c r="G38" s="159">
        <v>1.0529999999999999</v>
      </c>
      <c r="H38" s="159">
        <v>0.41599999999999998</v>
      </c>
      <c r="I38" s="159">
        <v>7.0000000000000001E-3</v>
      </c>
      <c r="J38" s="159">
        <v>0.40200000000000002</v>
      </c>
      <c r="K38" s="159">
        <v>6.87</v>
      </c>
      <c r="L38" s="159">
        <v>7.37</v>
      </c>
      <c r="M38" s="159">
        <v>16.86</v>
      </c>
      <c r="N38" s="159">
        <v>0.222</v>
      </c>
    </row>
    <row r="39" spans="1:14" ht="16.5">
      <c r="A39" s="2" t="str">
        <f t="shared" si="0"/>
        <v>412전체</v>
      </c>
      <c r="B39" s="141">
        <v>412</v>
      </c>
      <c r="C39" s="103" t="s">
        <v>1622</v>
      </c>
      <c r="D39" s="159">
        <v>0.84399999999999997</v>
      </c>
      <c r="E39" s="159">
        <v>9.9000000000000005E-2</v>
      </c>
      <c r="F39" s="159">
        <v>2.4E-2</v>
      </c>
      <c r="G39" s="159">
        <v>0.74199999999999999</v>
      </c>
      <c r="H39" s="159">
        <v>0.48199999999999998</v>
      </c>
      <c r="I39" s="159">
        <v>1.6E-2</v>
      </c>
      <c r="J39" s="159">
        <v>0.67100000000000004</v>
      </c>
      <c r="K39" s="159">
        <v>6.61</v>
      </c>
      <c r="L39" s="159">
        <v>8.6199999999999992</v>
      </c>
      <c r="M39" s="159">
        <v>10.02</v>
      </c>
      <c r="N39" s="159">
        <v>0.16700000000000001</v>
      </c>
    </row>
    <row r="40" spans="1:14" ht="16.5">
      <c r="A40" s="2" t="str">
        <f t="shared" si="0"/>
        <v>413전체</v>
      </c>
      <c r="B40" s="141">
        <v>413</v>
      </c>
      <c r="C40" s="103" t="s">
        <v>1622</v>
      </c>
      <c r="D40" s="159">
        <v>0.81</v>
      </c>
      <c r="E40" s="159">
        <v>0.13500000000000001</v>
      </c>
      <c r="F40" s="159">
        <v>1.9E-2</v>
      </c>
      <c r="G40" s="159">
        <v>1.0860000000000001</v>
      </c>
      <c r="H40" s="159">
        <v>0.502</v>
      </c>
      <c r="I40" s="159">
        <v>7.0000000000000001E-3</v>
      </c>
      <c r="J40" s="159">
        <v>0.46899999999999997</v>
      </c>
      <c r="K40" s="159">
        <v>7.15</v>
      </c>
      <c r="L40" s="159">
        <v>8.66</v>
      </c>
      <c r="M40" s="159">
        <v>16.18</v>
      </c>
      <c r="N40" s="159">
        <v>0.19400000000000001</v>
      </c>
    </row>
    <row r="41" spans="1:14" ht="16.5">
      <c r="A41" s="2" t="str">
        <f t="shared" si="0"/>
        <v>414전체</v>
      </c>
      <c r="B41" s="141">
        <v>414</v>
      </c>
      <c r="C41" s="103" t="s">
        <v>1622</v>
      </c>
      <c r="D41" s="159">
        <v>0.82199999999999995</v>
      </c>
      <c r="E41" s="159">
        <v>0.11600000000000001</v>
      </c>
      <c r="F41" s="159">
        <v>1.4999999999999999E-2</v>
      </c>
      <c r="G41" s="159">
        <v>0.94799999999999995</v>
      </c>
      <c r="H41" s="159">
        <v>0.36399999999999999</v>
      </c>
      <c r="I41" s="159">
        <v>0.02</v>
      </c>
      <c r="J41" s="159">
        <v>0.40500000000000003</v>
      </c>
      <c r="K41" s="159">
        <v>4.8600000000000003</v>
      </c>
      <c r="L41" s="159">
        <v>8.0399999999999991</v>
      </c>
      <c r="M41" s="159">
        <v>9.7200000000000006</v>
      </c>
      <c r="N41" s="159">
        <v>0.22700000000000001</v>
      </c>
    </row>
    <row r="42" spans="1:14" ht="16.5">
      <c r="A42" s="2" t="str">
        <f t="shared" si="0"/>
        <v>415전체</v>
      </c>
      <c r="B42" s="141">
        <v>415</v>
      </c>
      <c r="C42" s="103" t="s">
        <v>1622</v>
      </c>
      <c r="D42" s="159">
        <v>0.83199999999999996</v>
      </c>
      <c r="E42" s="159">
        <v>0.126</v>
      </c>
      <c r="F42" s="159">
        <v>0.01</v>
      </c>
      <c r="G42" s="159">
        <v>1.4359999999999999</v>
      </c>
      <c r="H42" s="159">
        <v>0.373</v>
      </c>
      <c r="I42" s="159">
        <v>1.6E-2</v>
      </c>
      <c r="J42" s="159">
        <v>0.27</v>
      </c>
      <c r="K42" s="159">
        <v>7.25</v>
      </c>
      <c r="L42" s="159">
        <v>10.24</v>
      </c>
      <c r="M42" s="159">
        <v>9.16</v>
      </c>
      <c r="N42" s="159">
        <v>0.126</v>
      </c>
    </row>
    <row r="43" spans="1:14" ht="16.5">
      <c r="A43" s="2" t="str">
        <f t="shared" si="0"/>
        <v>416전체</v>
      </c>
      <c r="B43" s="141">
        <v>416</v>
      </c>
      <c r="C43" s="103" t="s">
        <v>1622</v>
      </c>
      <c r="D43" s="159">
        <v>0.81599999999999995</v>
      </c>
      <c r="E43" s="159">
        <v>0.121</v>
      </c>
      <c r="F43" s="159">
        <v>1.6E-2</v>
      </c>
      <c r="G43" s="159">
        <v>1.125</v>
      </c>
      <c r="H43" s="159">
        <v>0.46800000000000003</v>
      </c>
      <c r="I43" s="159">
        <v>0.01</v>
      </c>
      <c r="J43" s="159">
        <v>0.42399999999999999</v>
      </c>
      <c r="K43" s="159">
        <v>6.61</v>
      </c>
      <c r="L43" s="159">
        <v>9.4700000000000006</v>
      </c>
      <c r="M43" s="159">
        <v>13.36</v>
      </c>
      <c r="N43" s="159">
        <v>0.182</v>
      </c>
    </row>
    <row r="44" spans="1:14" ht="16.5">
      <c r="A44" s="2" t="str">
        <f t="shared" si="0"/>
        <v>419전체</v>
      </c>
      <c r="B44" s="141">
        <v>419</v>
      </c>
      <c r="C44" s="103" t="s">
        <v>1622</v>
      </c>
      <c r="D44" s="159">
        <v>0.86099999999999999</v>
      </c>
      <c r="E44" s="159">
        <v>7.5999999999999998E-2</v>
      </c>
      <c r="F44" s="159">
        <v>8.0000000000000002E-3</v>
      </c>
      <c r="G44" s="159">
        <v>0.94599999999999995</v>
      </c>
      <c r="H44" s="159">
        <v>0.503</v>
      </c>
      <c r="I44" s="159">
        <v>7.0000000000000001E-3</v>
      </c>
      <c r="J44" s="159">
        <v>0.53900000000000003</v>
      </c>
      <c r="K44" s="159">
        <v>6.27</v>
      </c>
      <c r="L44" s="159">
        <v>14.83</v>
      </c>
      <c r="M44" s="159">
        <v>13.34</v>
      </c>
      <c r="N44" s="159">
        <v>0.152</v>
      </c>
    </row>
    <row r="45" spans="1:14" ht="16.5">
      <c r="A45" s="2" t="str">
        <f t="shared" si="0"/>
        <v>421전체</v>
      </c>
      <c r="B45" s="141">
        <v>421</v>
      </c>
      <c r="C45" s="103" t="s">
        <v>1622</v>
      </c>
      <c r="D45" s="159">
        <v>0.77900000000000003</v>
      </c>
      <c r="E45" s="159">
        <v>6.6000000000000003E-2</v>
      </c>
      <c r="F45" s="159">
        <v>2E-3</v>
      </c>
      <c r="G45" s="159">
        <v>0.55900000000000005</v>
      </c>
      <c r="H45" s="159">
        <v>0.63900000000000001</v>
      </c>
      <c r="I45" s="159">
        <v>3.0000000000000001E-3</v>
      </c>
      <c r="J45" s="159">
        <v>1.149</v>
      </c>
      <c r="K45" s="159">
        <v>5.79</v>
      </c>
      <c r="L45" s="159">
        <v>5.44</v>
      </c>
      <c r="M45" s="159">
        <v>23.6</v>
      </c>
      <c r="N45" s="159">
        <v>0.314</v>
      </c>
    </row>
    <row r="46" spans="1:14" ht="16.5">
      <c r="A46" s="2" t="str">
        <f t="shared" si="0"/>
        <v>422전체</v>
      </c>
      <c r="B46" s="141">
        <v>422</v>
      </c>
      <c r="C46" s="103" t="s">
        <v>1622</v>
      </c>
      <c r="D46" s="159">
        <v>0.49</v>
      </c>
      <c r="E46" s="159">
        <v>0.38100000000000001</v>
      </c>
      <c r="F46" s="159">
        <v>1.4E-2</v>
      </c>
      <c r="G46" s="159">
        <v>1.008</v>
      </c>
      <c r="H46" s="159">
        <v>0.32800000000000001</v>
      </c>
      <c r="I46" s="159">
        <v>3.1E-2</v>
      </c>
      <c r="J46" s="159">
        <v>0.35599999999999998</v>
      </c>
      <c r="K46" s="159">
        <v>8.4</v>
      </c>
      <c r="L46" s="159">
        <v>10.94</v>
      </c>
      <c r="M46" s="159">
        <v>19.48</v>
      </c>
      <c r="N46" s="159">
        <v>0.159</v>
      </c>
    </row>
    <row r="47" spans="1:14" ht="16.5">
      <c r="A47" s="2" t="str">
        <f t="shared" si="0"/>
        <v>423전체</v>
      </c>
      <c r="B47" s="141">
        <v>423</v>
      </c>
      <c r="C47" s="103" t="s">
        <v>1622</v>
      </c>
      <c r="D47" s="159">
        <v>0.89300000000000002</v>
      </c>
      <c r="E47" s="159">
        <v>8.1000000000000003E-2</v>
      </c>
      <c r="F47" s="159">
        <v>1.2E-2</v>
      </c>
      <c r="G47" s="159">
        <v>0.58199999999999996</v>
      </c>
      <c r="H47" s="159">
        <v>0.28999999999999998</v>
      </c>
      <c r="I47" s="159">
        <v>3.0000000000000001E-3</v>
      </c>
      <c r="J47" s="159">
        <v>0.504</v>
      </c>
      <c r="K47" s="159">
        <v>4.43</v>
      </c>
      <c r="L47" s="159">
        <v>4.45</v>
      </c>
      <c r="M47" s="159">
        <v>9.48</v>
      </c>
      <c r="N47" s="159">
        <v>0.34499999999999997</v>
      </c>
    </row>
    <row r="48" spans="1:14" ht="16.5">
      <c r="A48" s="2" t="str">
        <f t="shared" si="0"/>
        <v>429전체</v>
      </c>
      <c r="B48" s="141">
        <v>429</v>
      </c>
      <c r="C48" s="103" t="s">
        <v>1622</v>
      </c>
      <c r="D48" s="159">
        <v>0.83699999999999997</v>
      </c>
      <c r="E48" s="159">
        <v>8.3000000000000004E-2</v>
      </c>
      <c r="F48" s="159">
        <v>5.0000000000000001E-3</v>
      </c>
      <c r="G48" s="159">
        <v>0.94299999999999995</v>
      </c>
      <c r="H48" s="159">
        <v>0.48799999999999999</v>
      </c>
      <c r="I48" s="159">
        <v>4.0000000000000001E-3</v>
      </c>
      <c r="J48" s="159">
        <v>0.52200000000000002</v>
      </c>
      <c r="K48" s="159">
        <v>6.33</v>
      </c>
      <c r="L48" s="159">
        <v>7.64</v>
      </c>
      <c r="M48" s="159">
        <v>17.64</v>
      </c>
      <c r="N48" s="159">
        <v>0.23200000000000001</v>
      </c>
    </row>
    <row r="49" spans="1:14" ht="16.5">
      <c r="A49" s="2" t="str">
        <f t="shared" si="0"/>
        <v>431전체</v>
      </c>
      <c r="B49" s="141">
        <v>431</v>
      </c>
      <c r="C49" s="103" t="s">
        <v>1622</v>
      </c>
      <c r="D49" s="159">
        <v>0.77400000000000002</v>
      </c>
      <c r="E49" s="159">
        <v>0.13200000000000001</v>
      </c>
      <c r="F49" s="159">
        <v>1.9E-2</v>
      </c>
      <c r="G49" s="159">
        <v>0.8</v>
      </c>
      <c r="H49" s="159">
        <v>0.36199999999999999</v>
      </c>
      <c r="I49" s="159">
        <v>1.2E-2</v>
      </c>
      <c r="J49" s="159">
        <v>0.46700000000000003</v>
      </c>
      <c r="K49" s="159">
        <v>4.5</v>
      </c>
      <c r="L49" s="159">
        <v>5.64</v>
      </c>
      <c r="M49" s="159">
        <v>11.76</v>
      </c>
      <c r="N49" s="159">
        <v>0.314</v>
      </c>
    </row>
    <row r="50" spans="1:14" ht="16.5">
      <c r="A50" s="2" t="str">
        <f t="shared" si="0"/>
        <v>432전체</v>
      </c>
      <c r="B50" s="141">
        <v>432</v>
      </c>
      <c r="C50" s="103" t="s">
        <v>1622</v>
      </c>
      <c r="D50" s="159">
        <v>0.84599999999999997</v>
      </c>
      <c r="E50" s="159">
        <v>9.7000000000000003E-2</v>
      </c>
      <c r="F50" s="159">
        <v>1.7999999999999999E-2</v>
      </c>
      <c r="G50" s="159">
        <v>1.0349999999999999</v>
      </c>
      <c r="H50" s="159">
        <v>0.438</v>
      </c>
      <c r="I50" s="159">
        <v>1.0999999999999999E-2</v>
      </c>
      <c r="J50" s="159">
        <v>0.434</v>
      </c>
      <c r="K50" s="159">
        <v>5.61</v>
      </c>
      <c r="L50" s="159">
        <v>9.49</v>
      </c>
      <c r="M50" s="159">
        <v>10.01</v>
      </c>
      <c r="N50" s="159">
        <v>0.184</v>
      </c>
    </row>
    <row r="51" spans="1:14" ht="16.5">
      <c r="A51" s="2" t="str">
        <f t="shared" si="0"/>
        <v>433전체</v>
      </c>
      <c r="B51" s="141">
        <v>433</v>
      </c>
      <c r="C51" s="103" t="s">
        <v>1622</v>
      </c>
      <c r="D51" s="159">
        <v>0.80600000000000005</v>
      </c>
      <c r="E51" s="159">
        <v>0.13800000000000001</v>
      </c>
      <c r="F51" s="159">
        <v>1.4999999999999999E-2</v>
      </c>
      <c r="G51" s="159">
        <v>0.94799999999999995</v>
      </c>
      <c r="H51" s="159">
        <v>0.39300000000000002</v>
      </c>
      <c r="I51" s="159">
        <v>1.4999999999999999E-2</v>
      </c>
      <c r="J51" s="159">
        <v>0.43</v>
      </c>
      <c r="K51" s="159">
        <v>5.42</v>
      </c>
      <c r="L51" s="159">
        <v>5.64</v>
      </c>
      <c r="M51" s="159">
        <v>9.56</v>
      </c>
      <c r="N51" s="159">
        <v>0.25700000000000001</v>
      </c>
    </row>
    <row r="52" spans="1:14" ht="16.5">
      <c r="A52" s="2" t="str">
        <f t="shared" si="0"/>
        <v>439전체</v>
      </c>
      <c r="B52" s="141">
        <v>439</v>
      </c>
      <c r="C52" s="103" t="s">
        <v>1622</v>
      </c>
      <c r="D52" s="159">
        <v>0.79900000000000004</v>
      </c>
      <c r="E52" s="159">
        <v>0.12</v>
      </c>
      <c r="F52" s="159">
        <v>1.4999999999999999E-2</v>
      </c>
      <c r="G52" s="159">
        <v>0.70699999999999996</v>
      </c>
      <c r="H52" s="159">
        <v>0.35799999999999998</v>
      </c>
      <c r="I52" s="159">
        <v>3.5999999999999997E-2</v>
      </c>
      <c r="J52" s="159">
        <v>0.55700000000000005</v>
      </c>
      <c r="K52" s="159">
        <v>5.4</v>
      </c>
      <c r="L52" s="159">
        <v>6.41</v>
      </c>
      <c r="M52" s="159">
        <v>11.22</v>
      </c>
      <c r="N52" s="159">
        <v>0.252</v>
      </c>
    </row>
    <row r="53" spans="1:14" ht="16.5">
      <c r="A53" s="2" t="str">
        <f t="shared" si="0"/>
        <v>441전체</v>
      </c>
      <c r="B53" s="141">
        <v>441</v>
      </c>
      <c r="C53" s="103" t="s">
        <v>1622</v>
      </c>
      <c r="D53" s="159">
        <v>0.53</v>
      </c>
      <c r="E53" s="159">
        <v>0.29799999999999999</v>
      </c>
      <c r="F53" s="159">
        <v>0.01</v>
      </c>
      <c r="G53" s="159">
        <v>0.499</v>
      </c>
      <c r="H53" s="159">
        <v>5.7000000000000002E-2</v>
      </c>
      <c r="I53" s="159">
        <v>1.2E-2</v>
      </c>
      <c r="J53" s="159">
        <v>0.13900000000000001</v>
      </c>
      <c r="K53" s="159">
        <v>39.700000000000003</v>
      </c>
      <c r="L53" s="159">
        <v>31.92</v>
      </c>
      <c r="M53" s="159">
        <v>119.32</v>
      </c>
      <c r="N53" s="159">
        <v>4.8000000000000001E-2</v>
      </c>
    </row>
    <row r="54" spans="1:14" ht="16.5">
      <c r="A54" s="2" t="str">
        <f t="shared" si="0"/>
        <v>442전체</v>
      </c>
      <c r="B54" s="141">
        <v>442</v>
      </c>
      <c r="C54" s="103" t="s">
        <v>1622</v>
      </c>
      <c r="D54" s="159">
        <v>0.54</v>
      </c>
      <c r="E54" s="159">
        <v>0.35899999999999999</v>
      </c>
      <c r="F54" s="159">
        <v>2.1999999999999999E-2</v>
      </c>
      <c r="G54" s="159">
        <v>0.92600000000000005</v>
      </c>
      <c r="H54" s="159">
        <v>0.14199999999999999</v>
      </c>
      <c r="I54" s="159">
        <v>0.104</v>
      </c>
      <c r="J54" s="159">
        <v>0.26600000000000001</v>
      </c>
      <c r="K54" s="159">
        <v>6.34</v>
      </c>
      <c r="L54" s="159">
        <v>42.82</v>
      </c>
      <c r="M54" s="159">
        <v>14.66</v>
      </c>
      <c r="N54" s="159">
        <v>0.113</v>
      </c>
    </row>
    <row r="55" spans="1:14" ht="16.5">
      <c r="A55" s="2" t="str">
        <f t="shared" si="0"/>
        <v>443전체</v>
      </c>
      <c r="B55" s="141">
        <v>443</v>
      </c>
      <c r="C55" s="103" t="s">
        <v>1622</v>
      </c>
      <c r="D55" s="159">
        <v>0.53</v>
      </c>
      <c r="E55" s="159">
        <v>0.29799999999999999</v>
      </c>
      <c r="F55" s="159">
        <v>0.01</v>
      </c>
      <c r="G55" s="159">
        <v>0.499</v>
      </c>
      <c r="H55" s="159">
        <v>5.7000000000000002E-2</v>
      </c>
      <c r="I55" s="159">
        <v>1.2E-2</v>
      </c>
      <c r="J55" s="159">
        <v>0.13900000000000001</v>
      </c>
      <c r="K55" s="159">
        <v>39.700000000000003</v>
      </c>
      <c r="L55" s="159">
        <v>31.92</v>
      </c>
      <c r="M55" s="159">
        <v>119.32</v>
      </c>
      <c r="N55" s="159">
        <v>4.8000000000000001E-2</v>
      </c>
    </row>
    <row r="56" spans="1:14" ht="16.5">
      <c r="A56" s="2" t="str">
        <f t="shared" si="0"/>
        <v>444전체</v>
      </c>
      <c r="B56" s="141">
        <v>444</v>
      </c>
      <c r="C56" s="103" t="s">
        <v>1622</v>
      </c>
      <c r="D56" s="159">
        <v>0.75</v>
      </c>
      <c r="E56" s="159">
        <v>0.21199999999999999</v>
      </c>
      <c r="F56" s="159">
        <v>1.6E-2</v>
      </c>
      <c r="G56" s="159">
        <v>0.78</v>
      </c>
      <c r="H56" s="159">
        <v>0.375</v>
      </c>
      <c r="I56" s="159">
        <v>6.9000000000000006E-2</v>
      </c>
      <c r="J56" s="159">
        <v>0.56999999999999995</v>
      </c>
      <c r="K56" s="159">
        <v>15.15</v>
      </c>
      <c r="L56" s="159">
        <v>47.08</v>
      </c>
      <c r="M56" s="159">
        <v>122.51</v>
      </c>
      <c r="N56" s="159">
        <v>7.9000000000000001E-2</v>
      </c>
    </row>
    <row r="57" spans="1:14" ht="16.5">
      <c r="A57" s="2" t="str">
        <f t="shared" si="0"/>
        <v>445전체</v>
      </c>
      <c r="B57" s="141">
        <v>445</v>
      </c>
      <c r="C57" s="103" t="s">
        <v>1622</v>
      </c>
      <c r="D57" s="159">
        <v>0.68300000000000005</v>
      </c>
      <c r="E57" s="159">
        <v>0.20599999999999999</v>
      </c>
      <c r="F57" s="159">
        <v>2.4E-2</v>
      </c>
      <c r="G57" s="159">
        <v>0.85499999999999998</v>
      </c>
      <c r="H57" s="159">
        <v>0.42399999999999999</v>
      </c>
      <c r="I57" s="159">
        <v>4.2999999999999997E-2</v>
      </c>
      <c r="J57" s="159">
        <v>0.54600000000000004</v>
      </c>
      <c r="K57" s="159">
        <v>11.2</v>
      </c>
      <c r="L57" s="159">
        <v>31.9</v>
      </c>
      <c r="M57" s="159">
        <v>39.090000000000003</v>
      </c>
      <c r="N57" s="159">
        <v>9.5000000000000001E-2</v>
      </c>
    </row>
    <row r="58" spans="1:14" ht="16.5">
      <c r="A58" s="2" t="str">
        <f t="shared" si="0"/>
        <v>446전체</v>
      </c>
      <c r="B58" s="141">
        <v>446</v>
      </c>
      <c r="C58" s="103" t="s">
        <v>1622</v>
      </c>
      <c r="D58" s="159">
        <v>0.873</v>
      </c>
      <c r="E58" s="159">
        <v>8.6999999999999994E-2</v>
      </c>
      <c r="F58" s="159">
        <v>5.0000000000000001E-3</v>
      </c>
      <c r="G58" s="159">
        <v>1.6060000000000001</v>
      </c>
      <c r="H58" s="159">
        <v>0.17</v>
      </c>
      <c r="I58" s="159">
        <v>4.0000000000000001E-3</v>
      </c>
      <c r="J58" s="159">
        <v>0.108</v>
      </c>
      <c r="K58" s="159">
        <v>13.33</v>
      </c>
      <c r="L58" s="159">
        <v>13.23</v>
      </c>
      <c r="M58" s="159">
        <v>20.27</v>
      </c>
      <c r="N58" s="159">
        <v>0.10100000000000001</v>
      </c>
    </row>
    <row r="59" spans="1:14" ht="16.5">
      <c r="A59" s="2" t="str">
        <f t="shared" si="0"/>
        <v>447전체</v>
      </c>
      <c r="B59" s="141">
        <v>447</v>
      </c>
      <c r="C59" s="103" t="s">
        <v>1622</v>
      </c>
      <c r="D59" s="159">
        <v>0.60899999999999999</v>
      </c>
      <c r="E59" s="159">
        <v>0.3</v>
      </c>
      <c r="F59" s="159">
        <v>8.0000000000000002E-3</v>
      </c>
      <c r="G59" s="159">
        <v>0.28000000000000003</v>
      </c>
      <c r="H59" s="159">
        <v>3.3000000000000002E-2</v>
      </c>
      <c r="I59" s="159">
        <v>0</v>
      </c>
      <c r="J59" s="159">
        <v>0.11700000000000001</v>
      </c>
      <c r="K59" s="159">
        <v>10.8</v>
      </c>
      <c r="L59" s="159">
        <v>21.79</v>
      </c>
      <c r="M59" s="159">
        <v>84.22</v>
      </c>
      <c r="N59" s="159">
        <v>0.127</v>
      </c>
    </row>
    <row r="60" spans="1:14" ht="16.5">
      <c r="A60" s="2" t="str">
        <f t="shared" si="0"/>
        <v>449전체</v>
      </c>
      <c r="B60" s="141">
        <v>449</v>
      </c>
      <c r="C60" s="103" t="s">
        <v>1622</v>
      </c>
      <c r="D60" s="159">
        <v>0.41</v>
      </c>
      <c r="E60" s="159">
        <v>0.45</v>
      </c>
      <c r="F60" s="159">
        <v>1.9E-2</v>
      </c>
      <c r="G60" s="159">
        <v>0.13900000000000001</v>
      </c>
      <c r="H60" s="159">
        <v>0.111</v>
      </c>
      <c r="I60" s="159">
        <v>5.0000000000000001E-3</v>
      </c>
      <c r="J60" s="159">
        <v>0.83599999999999997</v>
      </c>
      <c r="K60" s="159">
        <v>19.809999999999999</v>
      </c>
      <c r="L60" s="159">
        <v>0.27</v>
      </c>
      <c r="M60" s="159">
        <v>256.55</v>
      </c>
      <c r="N60" s="159">
        <v>3.8069999999999999</v>
      </c>
    </row>
    <row r="61" spans="1:14" ht="16.5">
      <c r="A61" s="2" t="str">
        <f t="shared" si="0"/>
        <v>511전체</v>
      </c>
      <c r="B61" s="141">
        <v>511</v>
      </c>
      <c r="C61" s="103" t="s">
        <v>1622</v>
      </c>
      <c r="D61" s="159">
        <v>0.88400000000000001</v>
      </c>
      <c r="E61" s="159">
        <v>5.7000000000000002E-2</v>
      </c>
      <c r="F61" s="159">
        <v>5.0000000000000001E-3</v>
      </c>
      <c r="G61" s="159">
        <v>0.66400000000000003</v>
      </c>
      <c r="H61" s="159">
        <v>0.28599999999999998</v>
      </c>
      <c r="I61" s="159">
        <v>7.0000000000000001E-3</v>
      </c>
      <c r="J61" s="159">
        <v>0.441</v>
      </c>
      <c r="K61" s="159">
        <v>10.45</v>
      </c>
      <c r="L61" s="159">
        <v>5.81</v>
      </c>
      <c r="M61" s="159">
        <v>19.41</v>
      </c>
      <c r="N61" s="159">
        <v>0.216</v>
      </c>
    </row>
    <row r="62" spans="1:14" ht="16.5">
      <c r="A62" s="2" t="str">
        <f t="shared" si="0"/>
        <v>512전체</v>
      </c>
      <c r="B62" s="141">
        <v>512</v>
      </c>
      <c r="C62" s="103" t="s">
        <v>1622</v>
      </c>
      <c r="D62" s="159">
        <v>0.89600000000000002</v>
      </c>
      <c r="E62" s="159">
        <v>2.5000000000000001E-2</v>
      </c>
      <c r="F62" s="159">
        <v>5.0000000000000001E-3</v>
      </c>
      <c r="G62" s="159">
        <v>1.512</v>
      </c>
      <c r="H62" s="159">
        <v>0.34799999999999998</v>
      </c>
      <c r="I62" s="159">
        <v>0</v>
      </c>
      <c r="J62" s="159">
        <v>0.23</v>
      </c>
      <c r="K62" s="159">
        <v>16.97</v>
      </c>
      <c r="L62" s="159">
        <v>3.25</v>
      </c>
      <c r="M62" s="159">
        <v>288.64</v>
      </c>
      <c r="N62" s="159">
        <v>0.36299999999999999</v>
      </c>
    </row>
    <row r="63" spans="1:14" ht="16.5">
      <c r="A63" s="2" t="str">
        <f t="shared" si="0"/>
        <v>520전체</v>
      </c>
      <c r="B63" s="141">
        <v>520</v>
      </c>
      <c r="C63" s="103" t="s">
        <v>1622</v>
      </c>
      <c r="D63" s="159">
        <v>0.84499999999999997</v>
      </c>
      <c r="E63" s="159">
        <v>7.3999999999999996E-2</v>
      </c>
      <c r="F63" s="159">
        <v>3.3000000000000002E-2</v>
      </c>
      <c r="G63" s="159">
        <v>0.79300000000000004</v>
      </c>
      <c r="H63" s="159">
        <v>0.42899999999999999</v>
      </c>
      <c r="I63" s="159">
        <v>5.0000000000000001E-3</v>
      </c>
      <c r="J63" s="159">
        <v>0.54800000000000004</v>
      </c>
      <c r="K63" s="159">
        <v>9.83</v>
      </c>
      <c r="L63" s="159">
        <v>2.78</v>
      </c>
      <c r="M63" s="159">
        <v>20.37</v>
      </c>
      <c r="N63" s="159">
        <v>0.41299999999999998</v>
      </c>
    </row>
    <row r="64" spans="1:14" ht="16.5">
      <c r="A64" s="2" t="str">
        <f t="shared" si="0"/>
        <v>611전체</v>
      </c>
      <c r="B64" s="141">
        <v>611</v>
      </c>
      <c r="C64" s="103" t="s">
        <v>1622</v>
      </c>
      <c r="D64" s="159">
        <v>0.79100000000000004</v>
      </c>
      <c r="E64" s="159">
        <v>0.161</v>
      </c>
      <c r="F64" s="159">
        <v>6.0000000000000001E-3</v>
      </c>
      <c r="G64" s="159">
        <v>1.903</v>
      </c>
      <c r="H64" s="159">
        <v>0.15</v>
      </c>
      <c r="I64" s="159">
        <v>1.7999999999999999E-2</v>
      </c>
      <c r="J64" s="159">
        <v>8.7999999999999995E-2</v>
      </c>
      <c r="K64" s="159">
        <v>15.35</v>
      </c>
      <c r="L64" s="159">
        <v>3.97</v>
      </c>
      <c r="M64" s="159">
        <v>50.81</v>
      </c>
      <c r="N64" s="159">
        <v>0.29699999999999999</v>
      </c>
    </row>
    <row r="65" spans="1:14" ht="16.5">
      <c r="A65" s="2" t="str">
        <f t="shared" si="0"/>
        <v>612전체</v>
      </c>
      <c r="B65" s="141">
        <v>612</v>
      </c>
      <c r="C65" s="103" t="s">
        <v>1622</v>
      </c>
      <c r="D65" s="159">
        <v>0.81799999999999995</v>
      </c>
      <c r="E65" s="159">
        <v>0.13600000000000001</v>
      </c>
      <c r="F65" s="159">
        <v>0.01</v>
      </c>
      <c r="G65" s="159">
        <v>1.403</v>
      </c>
      <c r="H65" s="159">
        <v>0.36899999999999999</v>
      </c>
      <c r="I65" s="159">
        <v>1.7999999999999999E-2</v>
      </c>
      <c r="J65" s="159">
        <v>0.27600000000000002</v>
      </c>
      <c r="K65" s="159">
        <v>7.48</v>
      </c>
      <c r="L65" s="159">
        <v>9.6199999999999992</v>
      </c>
      <c r="M65" s="159">
        <v>9.8000000000000007</v>
      </c>
      <c r="N65" s="159">
        <v>0.13600000000000001</v>
      </c>
    </row>
    <row r="66" spans="1:14" ht="16.5">
      <c r="A66" s="2" t="str">
        <f t="shared" si="0"/>
        <v>619전체</v>
      </c>
      <c r="B66" s="141">
        <v>619</v>
      </c>
      <c r="C66" s="103" t="s">
        <v>1622</v>
      </c>
      <c r="D66" s="159">
        <v>0.78</v>
      </c>
      <c r="E66" s="159">
        <v>0.105</v>
      </c>
      <c r="F66" s="159">
        <v>8.9999999999999993E-3</v>
      </c>
      <c r="G66" s="159">
        <v>1.1040000000000001</v>
      </c>
      <c r="H66" s="159">
        <v>0.317</v>
      </c>
      <c r="I66" s="159">
        <v>1.7999999999999999E-2</v>
      </c>
      <c r="J66" s="159">
        <v>0.30299999999999999</v>
      </c>
      <c r="K66" s="159">
        <v>9.2100000000000009</v>
      </c>
      <c r="L66" s="159">
        <v>11.97</v>
      </c>
      <c r="M66" s="159">
        <v>17.309999999999999</v>
      </c>
      <c r="N66" s="159">
        <v>0.13400000000000001</v>
      </c>
    </row>
    <row r="67" spans="1:14" ht="16.5">
      <c r="A67" s="2" t="str">
        <f t="shared" ref="A67:A130" si="1">B67&amp;C67</f>
        <v>621전체</v>
      </c>
      <c r="B67" s="141">
        <v>621</v>
      </c>
      <c r="C67" s="103" t="s">
        <v>1622</v>
      </c>
      <c r="D67" s="159">
        <v>0.90500000000000003</v>
      </c>
      <c r="E67" s="159">
        <v>1.4E-2</v>
      </c>
      <c r="F67" s="159">
        <v>4.0000000000000001E-3</v>
      </c>
      <c r="G67" s="159">
        <v>0.748</v>
      </c>
      <c r="H67" s="159">
        <v>0.40100000000000002</v>
      </c>
      <c r="I67" s="159">
        <v>3.0000000000000001E-3</v>
      </c>
      <c r="J67" s="159">
        <v>0.53900000000000003</v>
      </c>
      <c r="K67" s="159">
        <v>19.190000000000001</v>
      </c>
      <c r="L67" s="159">
        <v>8.14</v>
      </c>
      <c r="M67" s="159">
        <v>13.07</v>
      </c>
      <c r="N67" s="159">
        <v>9.8000000000000004E-2</v>
      </c>
    </row>
    <row r="68" spans="1:14" ht="16.5">
      <c r="A68" s="2" t="str">
        <f t="shared" si="1"/>
        <v>622전체</v>
      </c>
      <c r="B68" s="141">
        <v>622</v>
      </c>
      <c r="C68" s="103" t="s">
        <v>1622</v>
      </c>
      <c r="D68" s="159">
        <v>0.84199999999999997</v>
      </c>
      <c r="E68" s="159">
        <v>0.09</v>
      </c>
      <c r="F68" s="159">
        <v>4.4999999999999998E-2</v>
      </c>
      <c r="G68" s="159">
        <v>0.93899999999999995</v>
      </c>
      <c r="H68" s="159">
        <v>0.61199999999999999</v>
      </c>
      <c r="I68" s="159">
        <v>1.7999999999999999E-2</v>
      </c>
      <c r="J68" s="159">
        <v>0.67100000000000004</v>
      </c>
      <c r="K68" s="159">
        <v>7.03</v>
      </c>
      <c r="L68" s="159">
        <v>12.5</v>
      </c>
      <c r="M68" s="159">
        <v>21.35</v>
      </c>
      <c r="N68" s="159">
        <v>0.17499999999999999</v>
      </c>
    </row>
    <row r="69" spans="1:14" ht="16.5">
      <c r="A69" s="2" t="str">
        <f t="shared" si="1"/>
        <v>623전체</v>
      </c>
      <c r="B69" s="141">
        <v>623</v>
      </c>
      <c r="C69" s="103" t="s">
        <v>1622</v>
      </c>
      <c r="D69" s="159">
        <v>0.68700000000000006</v>
      </c>
      <c r="E69" s="159">
        <v>0.193</v>
      </c>
      <c r="F69" s="159">
        <v>5.7000000000000002E-2</v>
      </c>
      <c r="G69" s="159">
        <v>0.35899999999999999</v>
      </c>
      <c r="H69" s="159">
        <v>0.45500000000000002</v>
      </c>
      <c r="I69" s="159">
        <v>2.4E-2</v>
      </c>
      <c r="J69" s="159">
        <v>1.333</v>
      </c>
      <c r="K69" s="159">
        <v>3.09</v>
      </c>
      <c r="L69" s="159">
        <v>1.66</v>
      </c>
      <c r="M69" s="159">
        <v>8.39</v>
      </c>
      <c r="N69" s="159">
        <v>0.80700000000000005</v>
      </c>
    </row>
    <row r="70" spans="1:14" ht="16.5">
      <c r="A70" s="2" t="str">
        <f t="shared" si="1"/>
        <v>624전체</v>
      </c>
      <c r="B70" s="141">
        <v>624</v>
      </c>
      <c r="C70" s="103" t="s">
        <v>1622</v>
      </c>
      <c r="D70" s="159">
        <v>0.85199999999999998</v>
      </c>
      <c r="E70" s="159">
        <v>8.2000000000000003E-2</v>
      </c>
      <c r="F70" s="159">
        <v>1.2E-2</v>
      </c>
      <c r="G70" s="159">
        <v>0.66100000000000003</v>
      </c>
      <c r="H70" s="159">
        <v>0.55300000000000005</v>
      </c>
      <c r="I70" s="159">
        <v>5.0000000000000001E-3</v>
      </c>
      <c r="J70" s="159">
        <v>0.84599999999999997</v>
      </c>
      <c r="K70" s="159">
        <v>6.14</v>
      </c>
      <c r="L70" s="159">
        <v>7.15</v>
      </c>
      <c r="M70" s="159">
        <v>9.94</v>
      </c>
      <c r="N70" s="159">
        <v>0.20200000000000001</v>
      </c>
    </row>
    <row r="71" spans="1:14" ht="16.5">
      <c r="A71" s="2" t="str">
        <f t="shared" si="1"/>
        <v>625전체</v>
      </c>
      <c r="B71" s="141">
        <v>625</v>
      </c>
      <c r="C71" s="103" t="s">
        <v>1622</v>
      </c>
      <c r="D71" s="159">
        <v>0.80600000000000005</v>
      </c>
      <c r="E71" s="159">
        <v>0.10199999999999999</v>
      </c>
      <c r="F71" s="159">
        <v>1.2999999999999999E-2</v>
      </c>
      <c r="G71" s="159">
        <v>0.85599999999999998</v>
      </c>
      <c r="H71" s="159">
        <v>0.37</v>
      </c>
      <c r="I71" s="159">
        <v>8.0000000000000002E-3</v>
      </c>
      <c r="J71" s="159">
        <v>0.442</v>
      </c>
      <c r="K71" s="159">
        <v>6.26</v>
      </c>
      <c r="L71" s="159">
        <v>9.0500000000000007</v>
      </c>
      <c r="M71" s="159">
        <v>9.01</v>
      </c>
      <c r="N71" s="159">
        <v>0.159</v>
      </c>
    </row>
    <row r="72" spans="1:14" ht="16.5">
      <c r="A72" s="2" t="str">
        <f t="shared" si="1"/>
        <v>626전체</v>
      </c>
      <c r="B72" s="141">
        <v>626</v>
      </c>
      <c r="C72" s="103" t="s">
        <v>1622</v>
      </c>
      <c r="D72" s="159">
        <v>0.74099999999999999</v>
      </c>
      <c r="E72" s="159">
        <v>0.157</v>
      </c>
      <c r="F72" s="159">
        <v>1.4999999999999999E-2</v>
      </c>
      <c r="G72" s="159">
        <v>0.89600000000000002</v>
      </c>
      <c r="H72" s="159">
        <v>0.28799999999999998</v>
      </c>
      <c r="I72" s="159">
        <v>2.8000000000000001E-2</v>
      </c>
      <c r="J72" s="159">
        <v>0.35299999999999998</v>
      </c>
      <c r="K72" s="159">
        <v>4.8600000000000003</v>
      </c>
      <c r="L72" s="159">
        <v>8.2200000000000006</v>
      </c>
      <c r="M72" s="159">
        <v>11.11</v>
      </c>
      <c r="N72" s="159">
        <v>0.23699999999999999</v>
      </c>
    </row>
    <row r="73" spans="1:14" ht="16.5">
      <c r="A73" s="2" t="str">
        <f t="shared" si="1"/>
        <v>627전체</v>
      </c>
      <c r="B73" s="141">
        <v>627</v>
      </c>
      <c r="C73" s="103" t="s">
        <v>1622</v>
      </c>
      <c r="D73" s="159">
        <v>0.81399999999999995</v>
      </c>
      <c r="E73" s="159">
        <v>0.115</v>
      </c>
      <c r="F73" s="159">
        <v>1.2999999999999999E-2</v>
      </c>
      <c r="G73" s="159">
        <v>0.92500000000000004</v>
      </c>
      <c r="H73" s="159">
        <v>0.33600000000000002</v>
      </c>
      <c r="I73" s="159">
        <v>2.4E-2</v>
      </c>
      <c r="J73" s="159">
        <v>0.38900000000000001</v>
      </c>
      <c r="K73" s="159">
        <v>5.49</v>
      </c>
      <c r="L73" s="159">
        <v>8.6300000000000008</v>
      </c>
      <c r="M73" s="159">
        <v>9.85</v>
      </c>
      <c r="N73" s="159">
        <v>0.19600000000000001</v>
      </c>
    </row>
    <row r="74" spans="1:14" ht="16.5">
      <c r="A74" s="2" t="str">
        <f t="shared" si="1"/>
        <v>628전체</v>
      </c>
      <c r="B74" s="141">
        <v>628</v>
      </c>
      <c r="C74" s="103" t="s">
        <v>1622</v>
      </c>
      <c r="D74" s="159">
        <v>0.83299999999999996</v>
      </c>
      <c r="E74" s="159">
        <v>0.11799999999999999</v>
      </c>
      <c r="F74" s="159">
        <v>1.2E-2</v>
      </c>
      <c r="G74" s="159">
        <v>1.069</v>
      </c>
      <c r="H74" s="159">
        <v>0.46899999999999997</v>
      </c>
      <c r="I74" s="159">
        <v>5.0000000000000001E-3</v>
      </c>
      <c r="J74" s="159">
        <v>0.44400000000000001</v>
      </c>
      <c r="K74" s="159">
        <v>5.29</v>
      </c>
      <c r="L74" s="159">
        <v>6.95</v>
      </c>
      <c r="M74" s="159">
        <v>15.41</v>
      </c>
      <c r="N74" s="159">
        <v>0.26800000000000002</v>
      </c>
    </row>
    <row r="75" spans="1:14" ht="16.5">
      <c r="A75" s="2" t="str">
        <f t="shared" si="1"/>
        <v>629전체</v>
      </c>
      <c r="B75" s="141">
        <v>629</v>
      </c>
      <c r="C75" s="103" t="s">
        <v>1622</v>
      </c>
      <c r="D75" s="159">
        <v>0.84599999999999997</v>
      </c>
      <c r="E75" s="159">
        <v>9.7000000000000003E-2</v>
      </c>
      <c r="F75" s="159">
        <v>1.7999999999999999E-2</v>
      </c>
      <c r="G75" s="159">
        <v>1.0349999999999999</v>
      </c>
      <c r="H75" s="159">
        <v>0.438</v>
      </c>
      <c r="I75" s="159">
        <v>1.0999999999999999E-2</v>
      </c>
      <c r="J75" s="159">
        <v>0.434</v>
      </c>
      <c r="K75" s="159">
        <v>5.61</v>
      </c>
      <c r="L75" s="159">
        <v>9.49</v>
      </c>
      <c r="M75" s="159">
        <v>10.01</v>
      </c>
      <c r="N75" s="159">
        <v>0.184</v>
      </c>
    </row>
    <row r="76" spans="1:14" ht="16.5">
      <c r="A76" s="2" t="str">
        <f t="shared" si="1"/>
        <v>631전체</v>
      </c>
      <c r="B76" s="141">
        <v>631</v>
      </c>
      <c r="C76" s="103" t="s">
        <v>1622</v>
      </c>
      <c r="D76" s="159">
        <v>0.82</v>
      </c>
      <c r="E76" s="159">
        <v>0.129</v>
      </c>
      <c r="F76" s="159">
        <v>5.0000000000000001E-3</v>
      </c>
      <c r="G76" s="159">
        <v>1.8879999999999999</v>
      </c>
      <c r="H76" s="159">
        <v>0.13500000000000001</v>
      </c>
      <c r="I76" s="159">
        <v>2.5000000000000001E-2</v>
      </c>
      <c r="J76" s="159">
        <v>8.5000000000000006E-2</v>
      </c>
      <c r="K76" s="159">
        <v>13.11</v>
      </c>
      <c r="L76" s="159">
        <v>21.91</v>
      </c>
      <c r="M76" s="159">
        <v>16.29</v>
      </c>
      <c r="N76" s="159">
        <v>6.0999999999999999E-2</v>
      </c>
    </row>
    <row r="77" spans="1:14" ht="16.5">
      <c r="A77" s="2" t="str">
        <f t="shared" si="1"/>
        <v>632전체</v>
      </c>
      <c r="B77" s="141">
        <v>632</v>
      </c>
      <c r="C77" s="103" t="s">
        <v>1622</v>
      </c>
      <c r="D77" s="159">
        <v>0.85</v>
      </c>
      <c r="E77" s="159">
        <v>9.8000000000000004E-2</v>
      </c>
      <c r="F77" s="159">
        <v>8.0000000000000002E-3</v>
      </c>
      <c r="G77" s="159">
        <v>1.5129999999999999</v>
      </c>
      <c r="H77" s="159">
        <v>0.18</v>
      </c>
      <c r="I77" s="159">
        <v>6.0000000000000001E-3</v>
      </c>
      <c r="J77" s="159">
        <v>0.123</v>
      </c>
      <c r="K77" s="159">
        <v>11.44</v>
      </c>
      <c r="L77" s="159">
        <v>13.42</v>
      </c>
      <c r="M77" s="159">
        <v>22.42</v>
      </c>
      <c r="N77" s="159">
        <v>0.11700000000000001</v>
      </c>
    </row>
    <row r="78" spans="1:14" ht="16.5">
      <c r="A78" s="2" t="str">
        <f t="shared" si="1"/>
        <v>633전체</v>
      </c>
      <c r="B78" s="141">
        <v>633</v>
      </c>
      <c r="C78" s="103" t="s">
        <v>1622</v>
      </c>
      <c r="D78" s="159">
        <v>0.54</v>
      </c>
      <c r="E78" s="159">
        <v>0.35899999999999999</v>
      </c>
      <c r="F78" s="159">
        <v>2.1999999999999999E-2</v>
      </c>
      <c r="G78" s="159">
        <v>0.92600000000000005</v>
      </c>
      <c r="H78" s="159">
        <v>0.14199999999999999</v>
      </c>
      <c r="I78" s="159">
        <v>0.104</v>
      </c>
      <c r="J78" s="159">
        <v>0.26600000000000001</v>
      </c>
      <c r="K78" s="159">
        <v>6.34</v>
      </c>
      <c r="L78" s="159">
        <v>42.82</v>
      </c>
      <c r="M78" s="159">
        <v>14.66</v>
      </c>
      <c r="N78" s="159">
        <v>0.113</v>
      </c>
    </row>
    <row r="79" spans="1:14" ht="16.5">
      <c r="A79" s="2" t="str">
        <f t="shared" si="1"/>
        <v>634전체</v>
      </c>
      <c r="B79" s="141">
        <v>634</v>
      </c>
      <c r="C79" s="103" t="s">
        <v>1622</v>
      </c>
      <c r="D79" s="159">
        <v>0.78500000000000003</v>
      </c>
      <c r="E79" s="159">
        <v>0.16800000000000001</v>
      </c>
      <c r="F79" s="159">
        <v>0.02</v>
      </c>
      <c r="G79" s="159">
        <v>0.98599999999999999</v>
      </c>
      <c r="H79" s="159">
        <v>0.28399999999999997</v>
      </c>
      <c r="I79" s="159">
        <v>5.2999999999999999E-2</v>
      </c>
      <c r="J79" s="159">
        <v>0.34200000000000003</v>
      </c>
      <c r="K79" s="159">
        <v>10.27</v>
      </c>
      <c r="L79" s="159">
        <v>57.24</v>
      </c>
      <c r="M79" s="159">
        <v>41.19</v>
      </c>
      <c r="N79" s="159">
        <v>9.0999999999999998E-2</v>
      </c>
    </row>
    <row r="80" spans="1:14" ht="16.5">
      <c r="A80" s="2" t="str">
        <f t="shared" si="1"/>
        <v>635전체</v>
      </c>
      <c r="B80" s="141">
        <v>635</v>
      </c>
      <c r="C80" s="103" t="s">
        <v>1622</v>
      </c>
      <c r="D80" s="159">
        <v>0.371</v>
      </c>
      <c r="E80" s="159">
        <v>0.53100000000000003</v>
      </c>
      <c r="F80" s="159">
        <v>4.2999999999999997E-2</v>
      </c>
      <c r="G80" s="159">
        <v>0.85899999999999999</v>
      </c>
      <c r="H80" s="159">
        <v>0.46800000000000003</v>
      </c>
      <c r="I80" s="159">
        <v>1.4E-2</v>
      </c>
      <c r="J80" s="159">
        <v>0.56000000000000005</v>
      </c>
      <c r="K80" s="159">
        <v>7.48</v>
      </c>
      <c r="L80" s="159">
        <v>54.98</v>
      </c>
      <c r="M80" s="159">
        <v>57.65</v>
      </c>
      <c r="N80" s="159">
        <v>0.13500000000000001</v>
      </c>
    </row>
    <row r="81" spans="1:14" ht="16.5">
      <c r="A81" s="2" t="str">
        <f t="shared" si="1"/>
        <v>636전체</v>
      </c>
      <c r="B81" s="141">
        <v>636</v>
      </c>
      <c r="C81" s="103" t="s">
        <v>1622</v>
      </c>
      <c r="D81" s="159">
        <v>0.68300000000000005</v>
      </c>
      <c r="E81" s="159">
        <v>0.20599999999999999</v>
      </c>
      <c r="F81" s="159">
        <v>2.4E-2</v>
      </c>
      <c r="G81" s="159">
        <v>0.85499999999999998</v>
      </c>
      <c r="H81" s="159">
        <v>0.42399999999999999</v>
      </c>
      <c r="I81" s="159">
        <v>4.2999999999999997E-2</v>
      </c>
      <c r="J81" s="159">
        <v>0.54600000000000004</v>
      </c>
      <c r="K81" s="159">
        <v>11.2</v>
      </c>
      <c r="L81" s="159">
        <v>31.9</v>
      </c>
      <c r="M81" s="159">
        <v>39.090000000000003</v>
      </c>
      <c r="N81" s="159">
        <v>9.5000000000000001E-2</v>
      </c>
    </row>
    <row r="82" spans="1:14" ht="16.5">
      <c r="A82" s="2" t="str">
        <f t="shared" si="1"/>
        <v>637전체</v>
      </c>
      <c r="B82" s="141">
        <v>637</v>
      </c>
      <c r="C82" s="103" t="s">
        <v>1622</v>
      </c>
      <c r="D82" s="159">
        <v>0.75</v>
      </c>
      <c r="E82" s="159">
        <v>0.192</v>
      </c>
      <c r="F82" s="159">
        <v>0.01</v>
      </c>
      <c r="G82" s="159">
        <v>1.196</v>
      </c>
      <c r="H82" s="159">
        <v>0.15</v>
      </c>
      <c r="I82" s="159">
        <v>4.7E-2</v>
      </c>
      <c r="J82" s="159">
        <v>0.16400000000000001</v>
      </c>
      <c r="K82" s="159">
        <v>6.04</v>
      </c>
      <c r="L82" s="159">
        <v>43.57</v>
      </c>
      <c r="M82" s="159">
        <v>13.5</v>
      </c>
      <c r="N82" s="159">
        <v>0.114</v>
      </c>
    </row>
    <row r="83" spans="1:14" ht="16.5">
      <c r="A83" s="2" t="str">
        <f t="shared" si="1"/>
        <v>639전체</v>
      </c>
      <c r="B83" s="141">
        <v>639</v>
      </c>
      <c r="C83" s="103" t="s">
        <v>1622</v>
      </c>
      <c r="D83" s="159">
        <v>0.20799999999999999</v>
      </c>
      <c r="E83" s="159">
        <v>0.67800000000000005</v>
      </c>
      <c r="F83" s="159">
        <v>3.5000000000000003E-2</v>
      </c>
      <c r="G83" s="159">
        <v>0.95199999999999996</v>
      </c>
      <c r="H83" s="159">
        <v>0.67100000000000004</v>
      </c>
      <c r="I83" s="159">
        <v>0</v>
      </c>
      <c r="J83" s="159">
        <v>0.70499999999999996</v>
      </c>
      <c r="K83" s="159">
        <v>94.5</v>
      </c>
      <c r="L83" s="159">
        <v>19.829999999999998</v>
      </c>
      <c r="M83" s="159">
        <v>82.62</v>
      </c>
      <c r="N83" s="159">
        <v>4.9000000000000002E-2</v>
      </c>
    </row>
    <row r="84" spans="1:14" ht="16.5">
      <c r="A84" s="2" t="str">
        <f t="shared" si="1"/>
        <v>711전체</v>
      </c>
      <c r="B84" s="141">
        <v>711</v>
      </c>
      <c r="C84" s="103" t="s">
        <v>1622</v>
      </c>
      <c r="D84" s="159">
        <v>0.89800000000000002</v>
      </c>
      <c r="E84" s="159">
        <v>6.5000000000000002E-2</v>
      </c>
      <c r="F84" s="159">
        <v>1.2999999999999999E-2</v>
      </c>
      <c r="G84" s="159">
        <v>1.609</v>
      </c>
      <c r="H84" s="159">
        <v>0.42199999999999999</v>
      </c>
      <c r="I84" s="159">
        <v>8.9999999999999993E-3</v>
      </c>
      <c r="J84" s="159">
        <v>0.26800000000000002</v>
      </c>
      <c r="K84" s="159">
        <v>11.31</v>
      </c>
      <c r="L84" s="159">
        <v>19.38</v>
      </c>
      <c r="M84" s="159">
        <v>32.880000000000003</v>
      </c>
      <c r="N84" s="159">
        <v>0.11</v>
      </c>
    </row>
    <row r="85" spans="1:14" ht="16.5">
      <c r="A85" s="2" t="str">
        <f t="shared" si="1"/>
        <v>712전체</v>
      </c>
      <c r="B85" s="141">
        <v>712</v>
      </c>
      <c r="C85" s="103" t="s">
        <v>1622</v>
      </c>
      <c r="D85" s="159">
        <v>0.85</v>
      </c>
      <c r="E85" s="159">
        <v>8.4000000000000005E-2</v>
      </c>
      <c r="F85" s="159">
        <v>8.9999999999999993E-3</v>
      </c>
      <c r="G85" s="159">
        <v>1.4830000000000001</v>
      </c>
      <c r="H85" s="159">
        <v>0.3</v>
      </c>
      <c r="I85" s="159">
        <v>6.0000000000000001E-3</v>
      </c>
      <c r="J85" s="159">
        <v>0.20699999999999999</v>
      </c>
      <c r="K85" s="159">
        <v>10.62</v>
      </c>
      <c r="L85" s="159">
        <v>15.61</v>
      </c>
      <c r="M85" s="159">
        <v>30.14</v>
      </c>
      <c r="N85" s="159">
        <v>0.125</v>
      </c>
    </row>
    <row r="86" spans="1:14" ht="16.5">
      <c r="A86" s="2" t="str">
        <f t="shared" si="1"/>
        <v>721전체</v>
      </c>
      <c r="B86" s="141">
        <v>721</v>
      </c>
      <c r="C86" s="103" t="s">
        <v>1622</v>
      </c>
      <c r="D86" s="159">
        <v>0.82</v>
      </c>
      <c r="E86" s="159">
        <v>0.13900000000000001</v>
      </c>
      <c r="F86" s="159">
        <v>8.9999999999999993E-3</v>
      </c>
      <c r="G86" s="159">
        <v>1.339</v>
      </c>
      <c r="H86" s="159">
        <v>0.35</v>
      </c>
      <c r="I86" s="159">
        <v>8.9999999999999993E-3</v>
      </c>
      <c r="J86" s="159">
        <v>0.26800000000000002</v>
      </c>
      <c r="K86" s="159">
        <v>9.67</v>
      </c>
      <c r="L86" s="159">
        <v>6.08</v>
      </c>
      <c r="M86" s="159">
        <v>17.420000000000002</v>
      </c>
      <c r="N86" s="159">
        <v>0.21</v>
      </c>
    </row>
    <row r="87" spans="1:14" ht="16.5">
      <c r="A87" s="2" t="str">
        <f t="shared" si="1"/>
        <v>722전체</v>
      </c>
      <c r="B87" s="141">
        <v>722</v>
      </c>
      <c r="C87" s="103" t="s">
        <v>1622</v>
      </c>
      <c r="D87" s="159">
        <v>0.84</v>
      </c>
      <c r="E87" s="159">
        <v>9.4E-2</v>
      </c>
      <c r="F87" s="159">
        <v>2.1999999999999999E-2</v>
      </c>
      <c r="G87" s="159">
        <v>1.2490000000000001</v>
      </c>
      <c r="H87" s="159">
        <v>0.43099999999999999</v>
      </c>
      <c r="I87" s="159">
        <v>5.0000000000000001E-3</v>
      </c>
      <c r="J87" s="159">
        <v>0.34899999999999998</v>
      </c>
      <c r="K87" s="159">
        <v>9.56</v>
      </c>
      <c r="L87" s="159">
        <v>5.79</v>
      </c>
      <c r="M87" s="159">
        <v>18.690000000000001</v>
      </c>
      <c r="N87" s="159">
        <v>0.224</v>
      </c>
    </row>
    <row r="88" spans="1:14" ht="16.5">
      <c r="A88" s="2" t="str">
        <f t="shared" si="1"/>
        <v>730전체</v>
      </c>
      <c r="B88" s="141">
        <v>730</v>
      </c>
      <c r="C88" s="103" t="s">
        <v>1622</v>
      </c>
      <c r="D88" s="159">
        <v>0.82699999999999996</v>
      </c>
      <c r="E88" s="159">
        <v>0.125</v>
      </c>
      <c r="F88" s="159">
        <v>1.7000000000000001E-2</v>
      </c>
      <c r="G88" s="159">
        <v>1.3140000000000001</v>
      </c>
      <c r="H88" s="159">
        <v>0.44400000000000001</v>
      </c>
      <c r="I88" s="159">
        <v>0.01</v>
      </c>
      <c r="J88" s="159">
        <v>0.34599999999999997</v>
      </c>
      <c r="K88" s="159">
        <v>8.7100000000000009</v>
      </c>
      <c r="L88" s="159">
        <v>7.72</v>
      </c>
      <c r="M88" s="159">
        <v>18.329999999999998</v>
      </c>
      <c r="N88" s="159">
        <v>0.19</v>
      </c>
    </row>
    <row r="89" spans="1:14" ht="16.5">
      <c r="A89" s="2" t="str">
        <f t="shared" si="1"/>
        <v>740전체</v>
      </c>
      <c r="B89" s="141">
        <v>740</v>
      </c>
      <c r="C89" s="103" t="s">
        <v>1622</v>
      </c>
      <c r="D89" s="159">
        <v>0.877</v>
      </c>
      <c r="E89" s="159">
        <v>7.3999999999999996E-2</v>
      </c>
      <c r="F89" s="159">
        <v>8.9999999999999993E-3</v>
      </c>
      <c r="G89" s="159">
        <v>1.2989999999999999</v>
      </c>
      <c r="H89" s="159">
        <v>0.29399999999999998</v>
      </c>
      <c r="I89" s="159">
        <v>1.0999999999999999E-2</v>
      </c>
      <c r="J89" s="159">
        <v>0.23499999999999999</v>
      </c>
      <c r="K89" s="159">
        <v>9.19</v>
      </c>
      <c r="L89" s="159">
        <v>7.85</v>
      </c>
      <c r="M89" s="159">
        <v>13.18</v>
      </c>
      <c r="N89" s="159">
        <v>0.16</v>
      </c>
    </row>
    <row r="90" spans="1:14" ht="16.5">
      <c r="A90" s="2" t="str">
        <f t="shared" si="1"/>
        <v>750전체</v>
      </c>
      <c r="B90" s="141">
        <v>750</v>
      </c>
      <c r="C90" s="103" t="s">
        <v>1622</v>
      </c>
      <c r="D90" s="159">
        <v>0.71399999999999997</v>
      </c>
      <c r="E90" s="159">
        <v>0.23699999999999999</v>
      </c>
      <c r="F90" s="159">
        <v>1.6E-2</v>
      </c>
      <c r="G90" s="159">
        <v>1.1080000000000001</v>
      </c>
      <c r="H90" s="159">
        <v>0.28399999999999997</v>
      </c>
      <c r="I90" s="159">
        <v>0.01</v>
      </c>
      <c r="J90" s="159">
        <v>0.26500000000000001</v>
      </c>
      <c r="K90" s="159">
        <v>10.31</v>
      </c>
      <c r="L90" s="159">
        <v>12.76</v>
      </c>
      <c r="M90" s="159">
        <v>20.399999999999999</v>
      </c>
      <c r="N90" s="159">
        <v>0.126</v>
      </c>
    </row>
    <row r="91" spans="1:14" ht="16.5">
      <c r="A91" s="2" t="str">
        <f t="shared" si="1"/>
        <v>761전체</v>
      </c>
      <c r="B91" s="141">
        <v>761</v>
      </c>
      <c r="C91" s="103" t="s">
        <v>1622</v>
      </c>
      <c r="D91" s="159">
        <v>0.88200000000000001</v>
      </c>
      <c r="E91" s="159">
        <v>7.4999999999999997E-2</v>
      </c>
      <c r="F91" s="159">
        <v>1.2999999999999999E-2</v>
      </c>
      <c r="G91" s="159">
        <v>1.123</v>
      </c>
      <c r="H91" s="159">
        <v>0.28000000000000003</v>
      </c>
      <c r="I91" s="159">
        <v>5.0000000000000001E-3</v>
      </c>
      <c r="J91" s="159">
        <v>0.254</v>
      </c>
      <c r="K91" s="159">
        <v>10.77</v>
      </c>
      <c r="L91" s="159">
        <v>4.4800000000000004</v>
      </c>
      <c r="M91" s="159">
        <v>26.98</v>
      </c>
      <c r="N91" s="159">
        <v>0.27900000000000003</v>
      </c>
    </row>
    <row r="92" spans="1:14" ht="16.5">
      <c r="A92" s="2" t="str">
        <f t="shared" si="1"/>
        <v>762전체</v>
      </c>
      <c r="B92" s="141">
        <v>762</v>
      </c>
      <c r="C92" s="103" t="s">
        <v>1622</v>
      </c>
      <c r="D92" s="159">
        <v>0.74399999999999999</v>
      </c>
      <c r="E92" s="159">
        <v>0.20799999999999999</v>
      </c>
      <c r="F92" s="159">
        <v>5.0000000000000001E-3</v>
      </c>
      <c r="G92" s="159">
        <v>1.135</v>
      </c>
      <c r="H92" s="159">
        <v>0.35699999999999998</v>
      </c>
      <c r="I92" s="159">
        <v>3.1E-2</v>
      </c>
      <c r="J92" s="159">
        <v>0.34200000000000003</v>
      </c>
      <c r="K92" s="159">
        <v>8.83</v>
      </c>
      <c r="L92" s="159">
        <v>9.59</v>
      </c>
      <c r="M92" s="159">
        <v>21.77</v>
      </c>
      <c r="N92" s="159">
        <v>0.17199999999999999</v>
      </c>
    </row>
    <row r="93" spans="1:14" ht="16.5">
      <c r="A93" s="2" t="str">
        <f t="shared" si="1"/>
        <v>770전체</v>
      </c>
      <c r="B93" s="141">
        <v>770</v>
      </c>
      <c r="C93" s="103" t="s">
        <v>1622</v>
      </c>
      <c r="D93" s="159">
        <v>0.83199999999999996</v>
      </c>
      <c r="E93" s="159">
        <v>0.11600000000000001</v>
      </c>
      <c r="F93" s="159">
        <v>5.0000000000000001E-3</v>
      </c>
      <c r="G93" s="159">
        <v>1</v>
      </c>
      <c r="H93" s="159">
        <v>0.21</v>
      </c>
      <c r="I93" s="159">
        <v>7.0000000000000001E-3</v>
      </c>
      <c r="J93" s="159">
        <v>0.217</v>
      </c>
      <c r="K93" s="159">
        <v>7.54</v>
      </c>
      <c r="L93" s="159">
        <v>7.79</v>
      </c>
      <c r="M93" s="159">
        <v>16.809999999999999</v>
      </c>
      <c r="N93" s="159">
        <v>0.20100000000000001</v>
      </c>
    </row>
    <row r="94" spans="1:14" ht="16.5">
      <c r="A94" s="2" t="str">
        <f t="shared" si="1"/>
        <v>791전체</v>
      </c>
      <c r="B94" s="141">
        <v>791</v>
      </c>
      <c r="C94" s="103" t="s">
        <v>1622</v>
      </c>
      <c r="D94" s="159">
        <v>0.66300000000000003</v>
      </c>
      <c r="E94" s="159">
        <v>0.28799999999999998</v>
      </c>
      <c r="F94" s="159">
        <v>1.4999999999999999E-2</v>
      </c>
      <c r="G94" s="159">
        <v>0.71799999999999997</v>
      </c>
      <c r="H94" s="159">
        <v>0.36099999999999999</v>
      </c>
      <c r="I94" s="159">
        <v>2.5999999999999999E-2</v>
      </c>
      <c r="J94" s="159">
        <v>0.53900000000000003</v>
      </c>
      <c r="K94" s="159">
        <v>9.94</v>
      </c>
      <c r="L94" s="159">
        <v>16.38</v>
      </c>
      <c r="M94" s="159">
        <v>15.49</v>
      </c>
      <c r="N94" s="159">
        <v>9.7000000000000003E-2</v>
      </c>
    </row>
    <row r="95" spans="1:14" ht="16.5">
      <c r="A95" s="2" t="str">
        <f t="shared" si="1"/>
        <v>792전체</v>
      </c>
      <c r="B95" s="141">
        <v>792</v>
      </c>
      <c r="C95" s="103" t="s">
        <v>1622</v>
      </c>
      <c r="D95" s="159">
        <v>0.76500000000000001</v>
      </c>
      <c r="E95" s="159">
        <v>0.191</v>
      </c>
      <c r="F95" s="159">
        <v>1.0999999999999999E-2</v>
      </c>
      <c r="G95" s="159">
        <v>0.78600000000000003</v>
      </c>
      <c r="H95" s="159">
        <v>0.38</v>
      </c>
      <c r="I95" s="159">
        <v>2.5999999999999999E-2</v>
      </c>
      <c r="J95" s="159">
        <v>0.51700000000000002</v>
      </c>
      <c r="K95" s="159">
        <v>11.32</v>
      </c>
      <c r="L95" s="159">
        <v>7.97</v>
      </c>
      <c r="M95" s="159">
        <v>13.54</v>
      </c>
      <c r="N95" s="159">
        <v>0.14000000000000001</v>
      </c>
    </row>
    <row r="96" spans="1:14" ht="16.5">
      <c r="A96" s="2" t="str">
        <f t="shared" si="1"/>
        <v>793전체</v>
      </c>
      <c r="B96" s="141">
        <v>793</v>
      </c>
      <c r="C96" s="103" t="s">
        <v>1622</v>
      </c>
      <c r="D96" s="159">
        <v>0.77800000000000002</v>
      </c>
      <c r="E96" s="159">
        <v>0.16800000000000001</v>
      </c>
      <c r="F96" s="159">
        <v>8.0000000000000002E-3</v>
      </c>
      <c r="G96" s="159">
        <v>0.96099999999999997</v>
      </c>
      <c r="H96" s="159">
        <v>0.377</v>
      </c>
      <c r="I96" s="159">
        <v>7.0000000000000001E-3</v>
      </c>
      <c r="J96" s="159">
        <v>0.4</v>
      </c>
      <c r="K96" s="159">
        <v>10.34</v>
      </c>
      <c r="L96" s="159">
        <v>14.08</v>
      </c>
      <c r="M96" s="159">
        <v>9.57</v>
      </c>
      <c r="N96" s="159">
        <v>6.3E-2</v>
      </c>
    </row>
    <row r="97" spans="1:14" ht="16.5">
      <c r="A97" s="2" t="str">
        <f t="shared" si="1"/>
        <v>794전체</v>
      </c>
      <c r="B97" s="141">
        <v>794</v>
      </c>
      <c r="C97" s="103" t="s">
        <v>1622</v>
      </c>
      <c r="D97" s="159">
        <v>0.8</v>
      </c>
      <c r="E97" s="159">
        <v>0.13600000000000001</v>
      </c>
      <c r="F97" s="159">
        <v>1.0999999999999999E-2</v>
      </c>
      <c r="G97" s="159">
        <v>1.202</v>
      </c>
      <c r="H97" s="159">
        <v>0.44700000000000001</v>
      </c>
      <c r="I97" s="159">
        <v>2.1000000000000001E-2</v>
      </c>
      <c r="J97" s="159">
        <v>0.38900000000000001</v>
      </c>
      <c r="K97" s="159">
        <v>7.88</v>
      </c>
      <c r="L97" s="159">
        <v>8.19</v>
      </c>
      <c r="M97" s="159">
        <v>14.69</v>
      </c>
      <c r="N97" s="159">
        <v>0.18099999999999999</v>
      </c>
    </row>
    <row r="98" spans="1:14" ht="16.5">
      <c r="A98" s="2" t="str">
        <f t="shared" si="1"/>
        <v>795전체</v>
      </c>
      <c r="B98" s="141">
        <v>795</v>
      </c>
      <c r="C98" s="103" t="s">
        <v>1622</v>
      </c>
      <c r="D98" s="159">
        <v>0.63</v>
      </c>
      <c r="E98" s="159">
        <v>0.26500000000000001</v>
      </c>
      <c r="F98" s="159">
        <v>1.7999999999999999E-2</v>
      </c>
      <c r="G98" s="159">
        <v>0.90500000000000003</v>
      </c>
      <c r="H98" s="159">
        <v>0.29599999999999999</v>
      </c>
      <c r="I98" s="159">
        <v>1.2E-2</v>
      </c>
      <c r="J98" s="159">
        <v>0.34100000000000003</v>
      </c>
      <c r="K98" s="159">
        <v>9.6300000000000008</v>
      </c>
      <c r="L98" s="159">
        <v>3.67</v>
      </c>
      <c r="M98" s="159">
        <v>18.37</v>
      </c>
      <c r="N98" s="159">
        <v>0.32200000000000001</v>
      </c>
    </row>
    <row r="99" spans="1:14" ht="16.5">
      <c r="A99" s="2" t="str">
        <f t="shared" si="1"/>
        <v>799전체</v>
      </c>
      <c r="B99" s="141">
        <v>799</v>
      </c>
      <c r="C99" s="103" t="s">
        <v>1622</v>
      </c>
      <c r="D99" s="159">
        <v>0.63</v>
      </c>
      <c r="E99" s="159">
        <v>0.26500000000000001</v>
      </c>
      <c r="F99" s="159">
        <v>1.7999999999999999E-2</v>
      </c>
      <c r="G99" s="159">
        <v>0.90500000000000003</v>
      </c>
      <c r="H99" s="159">
        <v>0.29599999999999999</v>
      </c>
      <c r="I99" s="159">
        <v>1.2E-2</v>
      </c>
      <c r="J99" s="159">
        <v>0.34100000000000003</v>
      </c>
      <c r="K99" s="159">
        <v>9.6300000000000008</v>
      </c>
      <c r="L99" s="159">
        <v>3.67</v>
      </c>
      <c r="M99" s="159">
        <v>18.37</v>
      </c>
      <c r="N99" s="159">
        <v>0.32200000000000001</v>
      </c>
    </row>
    <row r="100" spans="1:14" ht="16.5">
      <c r="A100" s="2" t="str">
        <f t="shared" si="1"/>
        <v>811전체</v>
      </c>
      <c r="B100" s="141">
        <v>811</v>
      </c>
      <c r="C100" s="103" t="s">
        <v>1622</v>
      </c>
      <c r="D100" s="159">
        <v>0.39600000000000002</v>
      </c>
      <c r="E100" s="159">
        <v>0.33100000000000002</v>
      </c>
      <c r="F100" s="159">
        <v>0.01</v>
      </c>
      <c r="G100" s="159">
        <v>0.56799999999999995</v>
      </c>
      <c r="H100" s="159">
        <v>0.26</v>
      </c>
      <c r="I100" s="159">
        <v>0.41299999999999998</v>
      </c>
      <c r="J100" s="159">
        <v>1.1839999999999999</v>
      </c>
      <c r="K100" s="159">
        <v>5.73</v>
      </c>
      <c r="L100" s="159">
        <v>14.61</v>
      </c>
      <c r="M100" s="159">
        <v>12.23</v>
      </c>
      <c r="N100" s="159">
        <v>0.161</v>
      </c>
    </row>
    <row r="101" spans="1:14" ht="16.5">
      <c r="A101" s="2" t="str">
        <f t="shared" si="1"/>
        <v>812전체</v>
      </c>
      <c r="B101" s="141">
        <v>812</v>
      </c>
      <c r="C101" s="103" t="s">
        <v>1622</v>
      </c>
      <c r="D101" s="159">
        <v>0.57599999999999996</v>
      </c>
      <c r="E101" s="159">
        <v>0.33300000000000002</v>
      </c>
      <c r="F101" s="159">
        <v>1.2999999999999999E-2</v>
      </c>
      <c r="G101" s="159">
        <v>0.56100000000000005</v>
      </c>
      <c r="H101" s="159">
        <v>0.435</v>
      </c>
      <c r="I101" s="159">
        <v>4.5999999999999999E-2</v>
      </c>
      <c r="J101" s="159">
        <v>0.85799999999999998</v>
      </c>
      <c r="K101" s="159">
        <v>4.37</v>
      </c>
      <c r="L101" s="159">
        <v>11.61</v>
      </c>
      <c r="M101" s="159">
        <v>22.51</v>
      </c>
      <c r="N101" s="159">
        <v>0.27</v>
      </c>
    </row>
    <row r="102" spans="1:14" ht="16.5">
      <c r="A102" s="2" t="str">
        <f t="shared" si="1"/>
        <v>821전체</v>
      </c>
      <c r="B102" s="141">
        <v>821</v>
      </c>
      <c r="C102" s="103" t="s">
        <v>1622</v>
      </c>
      <c r="D102" s="159">
        <v>0.64500000000000002</v>
      </c>
      <c r="E102" s="159">
        <v>0.29199999999999998</v>
      </c>
      <c r="F102" s="159">
        <v>1.9E-2</v>
      </c>
      <c r="G102" s="159">
        <v>0.88300000000000001</v>
      </c>
      <c r="H102" s="159">
        <v>0.60099999999999998</v>
      </c>
      <c r="I102" s="159">
        <v>2.1000000000000001E-2</v>
      </c>
      <c r="J102" s="159">
        <v>0.70399999999999996</v>
      </c>
      <c r="K102" s="159">
        <v>9.89</v>
      </c>
      <c r="L102" s="159">
        <v>10.44</v>
      </c>
      <c r="M102" s="159">
        <v>16.940000000000001</v>
      </c>
      <c r="N102" s="159">
        <v>0.13800000000000001</v>
      </c>
    </row>
    <row r="103" spans="1:14" ht="16.5">
      <c r="A103" s="2" t="str">
        <f t="shared" si="1"/>
        <v>822전체</v>
      </c>
      <c r="B103" s="141">
        <v>822</v>
      </c>
      <c r="C103" s="103" t="s">
        <v>1622</v>
      </c>
      <c r="D103" s="159">
        <v>0</v>
      </c>
      <c r="E103" s="159">
        <v>0</v>
      </c>
      <c r="F103" s="159">
        <v>0</v>
      </c>
      <c r="G103" s="159">
        <v>0</v>
      </c>
      <c r="H103" s="159">
        <v>0</v>
      </c>
      <c r="I103" s="159">
        <v>0</v>
      </c>
      <c r="J103" s="159">
        <v>0</v>
      </c>
      <c r="K103" s="159">
        <v>0</v>
      </c>
      <c r="L103" s="159">
        <v>0</v>
      </c>
      <c r="M103" s="159">
        <v>0</v>
      </c>
      <c r="N103" s="159">
        <v>0</v>
      </c>
    </row>
    <row r="104" spans="1:14" ht="16.5">
      <c r="A104" s="2" t="str">
        <f t="shared" si="1"/>
        <v>911전체</v>
      </c>
      <c r="B104" s="141">
        <v>911</v>
      </c>
      <c r="C104" s="103" t="s">
        <v>1622</v>
      </c>
      <c r="D104" s="159">
        <v>0.74</v>
      </c>
      <c r="E104" s="159">
        <v>0.20100000000000001</v>
      </c>
      <c r="F104" s="159">
        <v>1.4999999999999999E-2</v>
      </c>
      <c r="G104" s="159">
        <v>0.89800000000000002</v>
      </c>
      <c r="H104" s="159">
        <v>0.375</v>
      </c>
      <c r="I104" s="159">
        <v>1.2E-2</v>
      </c>
      <c r="J104" s="159">
        <v>0.43099999999999999</v>
      </c>
      <c r="K104" s="159">
        <v>6.62</v>
      </c>
      <c r="L104" s="159">
        <v>8.4499999999999993</v>
      </c>
      <c r="M104" s="159">
        <v>10.15</v>
      </c>
      <c r="N104" s="159">
        <v>0.17100000000000001</v>
      </c>
    </row>
    <row r="105" spans="1:14" ht="16.5">
      <c r="A105" s="2" t="str">
        <f t="shared" si="1"/>
        <v>912전체</v>
      </c>
      <c r="B105" s="141">
        <v>912</v>
      </c>
      <c r="C105" s="103" t="s">
        <v>1622</v>
      </c>
      <c r="D105" s="159">
        <v>0.71299999999999997</v>
      </c>
      <c r="E105" s="159">
        <v>0.21199999999999999</v>
      </c>
      <c r="F105" s="159">
        <v>1.2E-2</v>
      </c>
      <c r="G105" s="159">
        <v>1.431</v>
      </c>
      <c r="H105" s="159">
        <v>0.32200000000000001</v>
      </c>
      <c r="I105" s="159">
        <v>0.03</v>
      </c>
      <c r="J105" s="159">
        <v>0.246</v>
      </c>
      <c r="K105" s="159">
        <v>7.89</v>
      </c>
      <c r="L105" s="159">
        <v>10.5</v>
      </c>
      <c r="M105" s="159">
        <v>18.079999999999998</v>
      </c>
      <c r="N105" s="159">
        <v>0.16700000000000001</v>
      </c>
    </row>
    <row r="106" spans="1:14" ht="16.5">
      <c r="A106" s="2" t="str">
        <f t="shared" si="1"/>
        <v>913전체</v>
      </c>
      <c r="B106" s="141">
        <v>913</v>
      </c>
      <c r="C106" s="103" t="s">
        <v>1622</v>
      </c>
      <c r="D106" s="159">
        <v>0.83599999999999997</v>
      </c>
      <c r="E106" s="159">
        <v>0.105</v>
      </c>
      <c r="F106" s="159">
        <v>1.9E-2</v>
      </c>
      <c r="G106" s="159">
        <v>0.93100000000000005</v>
      </c>
      <c r="H106" s="159">
        <v>0.41799999999999998</v>
      </c>
      <c r="I106" s="159">
        <v>1.2E-2</v>
      </c>
      <c r="J106" s="159">
        <v>0.46200000000000002</v>
      </c>
      <c r="K106" s="159">
        <v>5.5</v>
      </c>
      <c r="L106" s="159">
        <v>8.25</v>
      </c>
      <c r="M106" s="159">
        <v>10.41</v>
      </c>
      <c r="N106" s="159">
        <v>0.20699999999999999</v>
      </c>
    </row>
    <row r="107" spans="1:14" ht="16.5">
      <c r="A107" s="2" t="str">
        <f t="shared" si="1"/>
        <v>914전체</v>
      </c>
      <c r="B107" s="141">
        <v>914</v>
      </c>
      <c r="C107" s="103" t="s">
        <v>1622</v>
      </c>
      <c r="D107" s="159">
        <v>0.73899999999999999</v>
      </c>
      <c r="E107" s="159">
        <v>0.189</v>
      </c>
      <c r="F107" s="159">
        <v>1.9E-2</v>
      </c>
      <c r="G107" s="159">
        <v>1.1679999999999999</v>
      </c>
      <c r="H107" s="159">
        <v>0.42399999999999999</v>
      </c>
      <c r="I107" s="159">
        <v>0.01</v>
      </c>
      <c r="J107" s="159">
        <v>0.372</v>
      </c>
      <c r="K107" s="159">
        <v>7.24</v>
      </c>
      <c r="L107" s="159">
        <v>8.9600000000000009</v>
      </c>
      <c r="M107" s="159">
        <v>12.3</v>
      </c>
      <c r="N107" s="159">
        <v>0.16900000000000001</v>
      </c>
    </row>
    <row r="108" spans="1:14" ht="16.5">
      <c r="A108" s="2" t="str">
        <f t="shared" si="1"/>
        <v>915전체</v>
      </c>
      <c r="B108" s="141">
        <v>915</v>
      </c>
      <c r="C108" s="103" t="s">
        <v>1622</v>
      </c>
      <c r="D108" s="159">
        <v>0.83499999999999996</v>
      </c>
      <c r="E108" s="159">
        <v>0.10100000000000001</v>
      </c>
      <c r="F108" s="159">
        <v>1.4E-2</v>
      </c>
      <c r="G108" s="159">
        <v>0.92400000000000004</v>
      </c>
      <c r="H108" s="159">
        <v>0.437</v>
      </c>
      <c r="I108" s="159">
        <v>2.1999999999999999E-2</v>
      </c>
      <c r="J108" s="159">
        <v>0.497</v>
      </c>
      <c r="K108" s="159">
        <v>5.67</v>
      </c>
      <c r="L108" s="159">
        <v>9.6999999999999993</v>
      </c>
      <c r="M108" s="159">
        <v>11.36</v>
      </c>
      <c r="N108" s="159">
        <v>0.191</v>
      </c>
    </row>
    <row r="109" spans="1:14" ht="16.5">
      <c r="A109" s="2" t="str">
        <f t="shared" si="1"/>
        <v>919전체</v>
      </c>
      <c r="B109" s="141">
        <v>919</v>
      </c>
      <c r="C109" s="103" t="s">
        <v>1622</v>
      </c>
      <c r="D109" s="159">
        <v>0.78200000000000003</v>
      </c>
      <c r="E109" s="159">
        <v>0.14000000000000001</v>
      </c>
      <c r="F109" s="159">
        <v>1.7999999999999999E-2</v>
      </c>
      <c r="G109" s="159">
        <v>0.52500000000000002</v>
      </c>
      <c r="H109" s="159">
        <v>0.33200000000000002</v>
      </c>
      <c r="I109" s="159">
        <v>1.7000000000000001E-2</v>
      </c>
      <c r="J109" s="159">
        <v>0.66500000000000004</v>
      </c>
      <c r="K109" s="159">
        <v>5.43</v>
      </c>
      <c r="L109" s="159">
        <v>7.05</v>
      </c>
      <c r="M109" s="159">
        <v>11.5</v>
      </c>
      <c r="N109" s="159">
        <v>0.23899999999999999</v>
      </c>
    </row>
    <row r="110" spans="1:14" ht="16.5">
      <c r="A110" s="2" t="str">
        <f t="shared" si="1"/>
        <v>921전체</v>
      </c>
      <c r="B110" s="141">
        <v>921</v>
      </c>
      <c r="C110" s="103" t="s">
        <v>1622</v>
      </c>
      <c r="D110" s="159">
        <v>0.78500000000000003</v>
      </c>
      <c r="E110" s="159">
        <v>0.16800000000000001</v>
      </c>
      <c r="F110" s="159">
        <v>0.02</v>
      </c>
      <c r="G110" s="159">
        <v>0.98599999999999999</v>
      </c>
      <c r="H110" s="159">
        <v>0.28399999999999997</v>
      </c>
      <c r="I110" s="159">
        <v>5.2999999999999999E-2</v>
      </c>
      <c r="J110" s="159">
        <v>0.34200000000000003</v>
      </c>
      <c r="K110" s="159">
        <v>10.27</v>
      </c>
      <c r="L110" s="159">
        <v>57.24</v>
      </c>
      <c r="M110" s="159">
        <v>41.19</v>
      </c>
      <c r="N110" s="159">
        <v>9.0999999999999998E-2</v>
      </c>
    </row>
    <row r="111" spans="1:14" ht="16.5">
      <c r="A111" s="2" t="str">
        <f t="shared" si="1"/>
        <v>922전체</v>
      </c>
      <c r="B111" s="141">
        <v>922</v>
      </c>
      <c r="C111" s="103" t="s">
        <v>1622</v>
      </c>
      <c r="D111" s="159">
        <v>0.54</v>
      </c>
      <c r="E111" s="159">
        <v>0.35899999999999999</v>
      </c>
      <c r="F111" s="159">
        <v>2.1999999999999999E-2</v>
      </c>
      <c r="G111" s="159">
        <v>0.92600000000000005</v>
      </c>
      <c r="H111" s="159">
        <v>0.14199999999999999</v>
      </c>
      <c r="I111" s="159">
        <v>0.104</v>
      </c>
      <c r="J111" s="159">
        <v>0.26600000000000001</v>
      </c>
      <c r="K111" s="159">
        <v>6.34</v>
      </c>
      <c r="L111" s="159">
        <v>42.82</v>
      </c>
      <c r="M111" s="159">
        <v>14.66</v>
      </c>
      <c r="N111" s="159">
        <v>0.113</v>
      </c>
    </row>
    <row r="112" spans="1:14" ht="16.5">
      <c r="A112" s="2" t="str">
        <f t="shared" si="1"/>
        <v>923전체</v>
      </c>
      <c r="B112" s="141">
        <v>923</v>
      </c>
      <c r="C112" s="103" t="s">
        <v>1622</v>
      </c>
      <c r="D112" s="159">
        <v>0.371</v>
      </c>
      <c r="E112" s="159">
        <v>0.53100000000000003</v>
      </c>
      <c r="F112" s="159">
        <v>4.2999999999999997E-2</v>
      </c>
      <c r="G112" s="159">
        <v>0.85899999999999999</v>
      </c>
      <c r="H112" s="159">
        <v>0.46800000000000003</v>
      </c>
      <c r="I112" s="159">
        <v>1.4E-2</v>
      </c>
      <c r="J112" s="159">
        <v>0.56000000000000005</v>
      </c>
      <c r="K112" s="159">
        <v>7.48</v>
      </c>
      <c r="L112" s="159">
        <v>54.98</v>
      </c>
      <c r="M112" s="159">
        <v>57.65</v>
      </c>
      <c r="N112" s="159">
        <v>0.13500000000000001</v>
      </c>
    </row>
    <row r="113" spans="1:14" ht="16.5">
      <c r="A113" s="2" t="str">
        <f t="shared" si="1"/>
        <v>924전체</v>
      </c>
      <c r="B113" s="141">
        <v>924</v>
      </c>
      <c r="C113" s="103" t="s">
        <v>1622</v>
      </c>
      <c r="D113" s="159">
        <v>0.68300000000000005</v>
      </c>
      <c r="E113" s="159">
        <v>0.20599999999999999</v>
      </c>
      <c r="F113" s="159">
        <v>2.4E-2</v>
      </c>
      <c r="G113" s="159">
        <v>0.85499999999999998</v>
      </c>
      <c r="H113" s="159">
        <v>0.42399999999999999</v>
      </c>
      <c r="I113" s="159">
        <v>4.2999999999999997E-2</v>
      </c>
      <c r="J113" s="159">
        <v>0.54600000000000004</v>
      </c>
      <c r="K113" s="159">
        <v>11.2</v>
      </c>
      <c r="L113" s="159">
        <v>31.9</v>
      </c>
      <c r="M113" s="159">
        <v>39.090000000000003</v>
      </c>
      <c r="N113" s="159">
        <v>9.5000000000000001E-2</v>
      </c>
    </row>
    <row r="114" spans="1:14" ht="16.5">
      <c r="A114" s="2" t="str">
        <f t="shared" si="1"/>
        <v>929전체</v>
      </c>
      <c r="B114" s="141">
        <v>929</v>
      </c>
      <c r="C114" s="103" t="s">
        <v>1622</v>
      </c>
      <c r="D114" s="159">
        <v>0.52300000000000002</v>
      </c>
      <c r="E114" s="159">
        <v>0.39400000000000002</v>
      </c>
      <c r="F114" s="159">
        <v>1.0999999999999999E-2</v>
      </c>
      <c r="G114" s="159">
        <v>1.0069999999999999</v>
      </c>
      <c r="H114" s="159">
        <v>0.15</v>
      </c>
      <c r="I114" s="159">
        <v>3.3000000000000002E-2</v>
      </c>
      <c r="J114" s="159">
        <v>0.18099999999999999</v>
      </c>
      <c r="K114" s="159">
        <v>8.42</v>
      </c>
      <c r="L114" s="159">
        <v>21.04</v>
      </c>
      <c r="M114" s="159">
        <v>27.08</v>
      </c>
      <c r="N114" s="159">
        <v>0.129</v>
      </c>
    </row>
    <row r="115" spans="1:14" ht="16.5">
      <c r="A115" s="2" t="str">
        <f t="shared" si="1"/>
        <v>111상위25%</v>
      </c>
      <c r="B115" s="141">
        <v>111</v>
      </c>
      <c r="C115" s="103" t="s">
        <v>1623</v>
      </c>
      <c r="D115" s="159">
        <v>0.46</v>
      </c>
      <c r="E115" s="159">
        <v>0.251</v>
      </c>
      <c r="F115" s="159">
        <v>4.4999999999999998E-2</v>
      </c>
      <c r="G115" s="159">
        <v>0.28599999999999998</v>
      </c>
      <c r="H115" s="159">
        <v>0.746</v>
      </c>
      <c r="I115" s="159">
        <v>2E-3</v>
      </c>
      <c r="J115" s="159">
        <v>2.6160000000000001</v>
      </c>
      <c r="K115" s="159">
        <v>5.59</v>
      </c>
      <c r="L115" s="159">
        <v>7.89</v>
      </c>
      <c r="M115" s="159">
        <v>18.7</v>
      </c>
      <c r="N115" s="159">
        <v>0.252</v>
      </c>
    </row>
    <row r="116" spans="1:14" ht="16.5">
      <c r="A116" s="2" t="str">
        <f t="shared" si="1"/>
        <v>112상위25%</v>
      </c>
      <c r="B116" s="141">
        <v>112</v>
      </c>
      <c r="C116" s="103" t="s">
        <v>1623</v>
      </c>
      <c r="D116" s="159">
        <v>0.44</v>
      </c>
      <c r="E116" s="159">
        <v>0.36899999999999999</v>
      </c>
      <c r="F116" s="159">
        <v>1.2E-2</v>
      </c>
      <c r="G116" s="159">
        <v>0.60199999999999998</v>
      </c>
      <c r="H116" s="159">
        <v>0.21099999999999999</v>
      </c>
      <c r="I116" s="159">
        <v>2.7E-2</v>
      </c>
      <c r="J116" s="159">
        <v>0.39500000000000002</v>
      </c>
      <c r="K116" s="159">
        <v>4.04</v>
      </c>
      <c r="L116" s="159">
        <v>1.96</v>
      </c>
      <c r="M116" s="159">
        <v>25.74</v>
      </c>
      <c r="N116" s="159">
        <v>0.71799999999999997</v>
      </c>
    </row>
    <row r="117" spans="1:14" ht="16.5">
      <c r="A117" s="2" t="str">
        <f t="shared" si="1"/>
        <v>113상위25%</v>
      </c>
      <c r="B117" s="141">
        <v>113</v>
      </c>
      <c r="C117" s="103" t="s">
        <v>1623</v>
      </c>
      <c r="D117" s="159">
        <v>0.67400000000000004</v>
      </c>
      <c r="E117" s="159">
        <v>0.156</v>
      </c>
      <c r="F117" s="159">
        <v>8.1000000000000003E-2</v>
      </c>
      <c r="G117" s="159">
        <v>0.28399999999999997</v>
      </c>
      <c r="H117" s="159">
        <v>0.7</v>
      </c>
      <c r="I117" s="159">
        <v>0</v>
      </c>
      <c r="J117" s="159">
        <v>2.4649999999999999</v>
      </c>
      <c r="K117" s="159">
        <v>3.33</v>
      </c>
      <c r="L117" s="159">
        <v>2.19</v>
      </c>
      <c r="M117" s="159">
        <v>8.14</v>
      </c>
      <c r="N117" s="159">
        <v>0.63400000000000001</v>
      </c>
    </row>
    <row r="118" spans="1:14" ht="16.5">
      <c r="A118" s="2" t="str">
        <f t="shared" si="1"/>
        <v>114상위25%</v>
      </c>
      <c r="B118" s="141">
        <v>114</v>
      </c>
      <c r="C118" s="103" t="s">
        <v>1623</v>
      </c>
      <c r="D118" s="159">
        <v>0.58499999999999996</v>
      </c>
      <c r="E118" s="159">
        <v>0.16900000000000001</v>
      </c>
      <c r="F118" s="159">
        <v>0.05</v>
      </c>
      <c r="G118" s="159">
        <v>0.34699999999999998</v>
      </c>
      <c r="H118" s="159">
        <v>0.626</v>
      </c>
      <c r="I118" s="159">
        <v>6.0000000000000001E-3</v>
      </c>
      <c r="J118" s="159">
        <v>1.819</v>
      </c>
      <c r="K118" s="159">
        <v>3.79</v>
      </c>
      <c r="L118" s="159">
        <v>12.2</v>
      </c>
      <c r="M118" s="159">
        <v>16.13</v>
      </c>
      <c r="N118" s="159">
        <v>0.28399999999999997</v>
      </c>
    </row>
    <row r="119" spans="1:14" ht="16.5">
      <c r="A119" s="2" t="str">
        <f t="shared" si="1"/>
        <v>115상위25%</v>
      </c>
      <c r="B119" s="141">
        <v>115</v>
      </c>
      <c r="C119" s="103" t="s">
        <v>1623</v>
      </c>
      <c r="D119" s="159">
        <v>0.45900000000000002</v>
      </c>
      <c r="E119" s="159">
        <v>0.31</v>
      </c>
      <c r="F119" s="159">
        <v>1.4E-2</v>
      </c>
      <c r="G119" s="159">
        <v>0.152</v>
      </c>
      <c r="H119" s="159">
        <v>0.74199999999999999</v>
      </c>
      <c r="I119" s="159">
        <v>0</v>
      </c>
      <c r="J119" s="159">
        <v>4.8869999999999996</v>
      </c>
      <c r="K119" s="159">
        <v>4.0199999999999996</v>
      </c>
      <c r="L119" s="159">
        <v>1.97</v>
      </c>
      <c r="M119" s="159">
        <v>1014.14</v>
      </c>
      <c r="N119" s="159">
        <v>0.754</v>
      </c>
    </row>
    <row r="120" spans="1:14" ht="16.5">
      <c r="A120" s="2" t="str">
        <f t="shared" si="1"/>
        <v>119상위25%</v>
      </c>
      <c r="B120" s="141">
        <v>119</v>
      </c>
      <c r="C120" s="103" t="s">
        <v>1623</v>
      </c>
      <c r="D120" s="159">
        <v>0.25900000000000001</v>
      </c>
      <c r="E120" s="159">
        <v>0.371</v>
      </c>
      <c r="F120" s="159">
        <v>3.4000000000000002E-2</v>
      </c>
      <c r="G120" s="159">
        <v>0.124</v>
      </c>
      <c r="H120" s="159">
        <v>0.89900000000000002</v>
      </c>
      <c r="I120" s="159">
        <v>0</v>
      </c>
      <c r="J120" s="159">
        <v>7.2750000000000004</v>
      </c>
      <c r="K120" s="159">
        <v>7.64</v>
      </c>
      <c r="L120" s="159">
        <v>0</v>
      </c>
      <c r="M120" s="159">
        <v>150.51</v>
      </c>
      <c r="N120" s="159">
        <v>0</v>
      </c>
    </row>
    <row r="121" spans="1:14" ht="16.5">
      <c r="A121" s="2" t="str">
        <f t="shared" si="1"/>
        <v>121상위25%</v>
      </c>
      <c r="B121" s="141">
        <v>121</v>
      </c>
      <c r="C121" s="103" t="s">
        <v>1623</v>
      </c>
      <c r="D121" s="159">
        <v>0.57299999999999995</v>
      </c>
      <c r="E121" s="159">
        <v>0.28999999999999998</v>
      </c>
      <c r="F121" s="159">
        <v>2.1000000000000001E-2</v>
      </c>
      <c r="G121" s="159">
        <v>0.86099999999999999</v>
      </c>
      <c r="H121" s="159">
        <v>0.42399999999999999</v>
      </c>
      <c r="I121" s="159">
        <v>3.0000000000000001E-3</v>
      </c>
      <c r="J121" s="159">
        <v>0.495</v>
      </c>
      <c r="K121" s="159">
        <v>8.0399999999999991</v>
      </c>
      <c r="L121" s="159">
        <v>25.45</v>
      </c>
      <c r="M121" s="159">
        <v>36.49</v>
      </c>
      <c r="N121" s="159">
        <v>0.13600000000000001</v>
      </c>
    </row>
    <row r="122" spans="1:14" ht="16.5">
      <c r="A122" s="2" t="str">
        <f t="shared" si="1"/>
        <v>122상위25%</v>
      </c>
      <c r="B122" s="141">
        <v>122</v>
      </c>
      <c r="C122" s="103" t="s">
        <v>1623</v>
      </c>
      <c r="D122" s="159">
        <v>0.78500000000000003</v>
      </c>
      <c r="E122" s="159">
        <v>0.05</v>
      </c>
      <c r="F122" s="159">
        <v>0.02</v>
      </c>
      <c r="G122" s="159">
        <v>0.67400000000000004</v>
      </c>
      <c r="H122" s="159">
        <v>0.23699999999999999</v>
      </c>
      <c r="I122" s="159">
        <v>5.0000000000000001E-3</v>
      </c>
      <c r="J122" s="159">
        <v>0.35799999999999998</v>
      </c>
      <c r="K122" s="159">
        <v>37.43</v>
      </c>
      <c r="L122" s="159">
        <v>1.03</v>
      </c>
      <c r="M122" s="159">
        <v>11.94</v>
      </c>
      <c r="N122" s="159">
        <v>0.91200000000000003</v>
      </c>
    </row>
    <row r="123" spans="1:14" ht="16.5">
      <c r="A123" s="2" t="str">
        <f t="shared" si="1"/>
        <v>123상위25%</v>
      </c>
      <c r="B123" s="141">
        <v>123</v>
      </c>
      <c r="C123" s="103" t="s">
        <v>1623</v>
      </c>
      <c r="D123" s="159">
        <v>0.71599999999999997</v>
      </c>
      <c r="E123" s="159">
        <v>0.11899999999999999</v>
      </c>
      <c r="F123" s="159">
        <v>3.5999999999999997E-2</v>
      </c>
      <c r="G123" s="159">
        <v>0.73599999999999999</v>
      </c>
      <c r="H123" s="159">
        <v>0.59799999999999998</v>
      </c>
      <c r="I123" s="159">
        <v>1.2E-2</v>
      </c>
      <c r="J123" s="159">
        <v>0.82899999999999996</v>
      </c>
      <c r="K123" s="159">
        <v>8.11</v>
      </c>
      <c r="L123" s="159">
        <v>20.49</v>
      </c>
      <c r="M123" s="159">
        <v>12.91</v>
      </c>
      <c r="N123" s="159">
        <v>9.5000000000000001E-2</v>
      </c>
    </row>
    <row r="124" spans="1:14" ht="16.5">
      <c r="A124" s="2" t="str">
        <f t="shared" si="1"/>
        <v>124상위25%</v>
      </c>
      <c r="B124" s="141">
        <v>124</v>
      </c>
      <c r="C124" s="103" t="s">
        <v>1623</v>
      </c>
      <c r="D124" s="159">
        <v>0.17899999999999999</v>
      </c>
      <c r="E124" s="159">
        <v>0.51700000000000002</v>
      </c>
      <c r="F124" s="159">
        <v>3.2000000000000001E-2</v>
      </c>
      <c r="G124" s="159">
        <v>0.28799999999999998</v>
      </c>
      <c r="H124" s="159">
        <v>0.71099999999999997</v>
      </c>
      <c r="I124" s="159">
        <v>1.9E-2</v>
      </c>
      <c r="J124" s="159">
        <v>2.54</v>
      </c>
      <c r="K124" s="159">
        <v>13.3</v>
      </c>
      <c r="L124" s="159">
        <v>4.34</v>
      </c>
      <c r="M124" s="159">
        <v>97.36</v>
      </c>
      <c r="N124" s="159">
        <v>0.29499999999999998</v>
      </c>
    </row>
    <row r="125" spans="1:14" ht="16.5">
      <c r="A125" s="2" t="str">
        <f t="shared" si="1"/>
        <v>129상위25%</v>
      </c>
      <c r="B125" s="141">
        <v>129</v>
      </c>
      <c r="C125" s="103" t="s">
        <v>1623</v>
      </c>
      <c r="D125" s="159">
        <v>0.69599999999999995</v>
      </c>
      <c r="E125" s="159">
        <v>5.2999999999999999E-2</v>
      </c>
      <c r="F125" s="159">
        <v>4.7E-2</v>
      </c>
      <c r="G125" s="159">
        <v>0.64800000000000002</v>
      </c>
      <c r="H125" s="159">
        <v>0.56000000000000005</v>
      </c>
      <c r="I125" s="159">
        <v>0</v>
      </c>
      <c r="J125" s="159">
        <v>0.86499999999999999</v>
      </c>
      <c r="K125" s="159">
        <v>25.99</v>
      </c>
      <c r="L125" s="159">
        <v>5.59</v>
      </c>
      <c r="M125" s="159">
        <v>26.91</v>
      </c>
      <c r="N125" s="159">
        <v>0.18</v>
      </c>
    </row>
    <row r="126" spans="1:14" ht="16.5">
      <c r="A126" s="2" t="str">
        <f t="shared" si="1"/>
        <v>211상위25%</v>
      </c>
      <c r="B126" s="141">
        <v>211</v>
      </c>
      <c r="C126" s="103" t="s">
        <v>1623</v>
      </c>
      <c r="D126" s="159">
        <v>0.72199999999999998</v>
      </c>
      <c r="E126" s="159">
        <v>0.14000000000000001</v>
      </c>
      <c r="F126" s="159">
        <v>1.7000000000000001E-2</v>
      </c>
      <c r="G126" s="159">
        <v>0.71599999999999997</v>
      </c>
      <c r="H126" s="159">
        <v>0.52800000000000002</v>
      </c>
      <c r="I126" s="159">
        <v>4.0000000000000001E-3</v>
      </c>
      <c r="J126" s="159">
        <v>0.74299999999999999</v>
      </c>
      <c r="K126" s="159">
        <v>3.6</v>
      </c>
      <c r="L126" s="159">
        <v>5.95</v>
      </c>
      <c r="M126" s="159">
        <v>16.86</v>
      </c>
      <c r="N126" s="159">
        <v>0.38700000000000001</v>
      </c>
    </row>
    <row r="127" spans="1:14" ht="16.5">
      <c r="A127" s="2" t="str">
        <f t="shared" si="1"/>
        <v>212상위25%</v>
      </c>
      <c r="B127" s="141">
        <v>212</v>
      </c>
      <c r="C127" s="103" t="s">
        <v>1623</v>
      </c>
      <c r="D127" s="159">
        <v>0.372</v>
      </c>
      <c r="E127" s="159">
        <v>0.245</v>
      </c>
      <c r="F127" s="159">
        <v>1.2E-2</v>
      </c>
      <c r="G127" s="159">
        <v>0.30099999999999999</v>
      </c>
      <c r="H127" s="159">
        <v>0.13800000000000001</v>
      </c>
      <c r="I127" s="159">
        <v>3.0000000000000001E-3</v>
      </c>
      <c r="J127" s="159">
        <v>0.46899999999999997</v>
      </c>
      <c r="K127" s="159">
        <v>3.97</v>
      </c>
      <c r="L127" s="159">
        <v>2.75</v>
      </c>
      <c r="M127" s="159">
        <v>83.1</v>
      </c>
      <c r="N127" s="159">
        <v>0.60399999999999998</v>
      </c>
    </row>
    <row r="128" spans="1:14" ht="16.5">
      <c r="A128" s="2" t="str">
        <f t="shared" si="1"/>
        <v>213상위25%</v>
      </c>
      <c r="B128" s="141">
        <v>213</v>
      </c>
      <c r="C128" s="103" t="s">
        <v>1623</v>
      </c>
      <c r="D128" s="159">
        <v>0.79100000000000004</v>
      </c>
      <c r="E128" s="159">
        <v>6.7000000000000004E-2</v>
      </c>
      <c r="F128" s="159">
        <v>3.0000000000000001E-3</v>
      </c>
      <c r="G128" s="159">
        <v>0.65700000000000003</v>
      </c>
      <c r="H128" s="159">
        <v>0.20499999999999999</v>
      </c>
      <c r="I128" s="159">
        <v>2E-3</v>
      </c>
      <c r="J128" s="159">
        <v>0.315</v>
      </c>
      <c r="K128" s="159">
        <v>5</v>
      </c>
      <c r="L128" s="159">
        <v>3.81</v>
      </c>
      <c r="M128" s="159">
        <v>41.98</v>
      </c>
      <c r="N128" s="159">
        <v>0.439</v>
      </c>
    </row>
    <row r="129" spans="1:14" ht="16.5">
      <c r="A129" s="2" t="str">
        <f t="shared" si="1"/>
        <v>214상위25%</v>
      </c>
      <c r="B129" s="141">
        <v>214</v>
      </c>
      <c r="C129" s="103" t="s">
        <v>1623</v>
      </c>
      <c r="D129" s="159">
        <v>0.46700000000000003</v>
      </c>
      <c r="E129" s="159">
        <v>0.29299999999999998</v>
      </c>
      <c r="F129" s="159">
        <v>8.0000000000000002E-3</v>
      </c>
      <c r="G129" s="159">
        <v>0.46899999999999997</v>
      </c>
      <c r="H129" s="159">
        <v>0.24</v>
      </c>
      <c r="I129" s="159">
        <v>0.08</v>
      </c>
      <c r="J129" s="159">
        <v>0.68200000000000005</v>
      </c>
      <c r="K129" s="159">
        <v>3.21</v>
      </c>
      <c r="L129" s="159">
        <v>5.99</v>
      </c>
      <c r="M129" s="159">
        <v>22.5</v>
      </c>
      <c r="N129" s="159">
        <v>0.434</v>
      </c>
    </row>
    <row r="130" spans="1:14" ht="16.5">
      <c r="A130" s="2" t="str">
        <f t="shared" si="1"/>
        <v>215상위25%</v>
      </c>
      <c r="B130" s="141">
        <v>215</v>
      </c>
      <c r="C130" s="103" t="s">
        <v>1623</v>
      </c>
      <c r="D130" s="159">
        <v>0.41799999999999998</v>
      </c>
      <c r="E130" s="159">
        <v>0.374</v>
      </c>
      <c r="F130" s="159">
        <v>8.9999999999999993E-3</v>
      </c>
      <c r="G130" s="159">
        <v>1.1479999999999999</v>
      </c>
      <c r="H130" s="159">
        <v>0.248</v>
      </c>
      <c r="I130" s="159">
        <v>2.9000000000000001E-2</v>
      </c>
      <c r="J130" s="159">
        <v>0.24099999999999999</v>
      </c>
      <c r="K130" s="159">
        <v>10.050000000000001</v>
      </c>
      <c r="L130" s="159">
        <v>12.75</v>
      </c>
      <c r="M130" s="159">
        <v>26.16</v>
      </c>
      <c r="N130" s="159">
        <v>0.14000000000000001</v>
      </c>
    </row>
    <row r="131" spans="1:14" ht="16.5">
      <c r="A131" s="2" t="str">
        <f t="shared" ref="A131:A194" si="2">B131&amp;C131</f>
        <v>219상위25%</v>
      </c>
      <c r="B131" s="141">
        <v>219</v>
      </c>
      <c r="C131" s="103" t="s">
        <v>1623</v>
      </c>
      <c r="D131" s="159">
        <v>0.64800000000000002</v>
      </c>
      <c r="E131" s="159">
        <v>0.152</v>
      </c>
      <c r="F131" s="159">
        <v>1.0999999999999999E-2</v>
      </c>
      <c r="G131" s="159">
        <v>0.57599999999999996</v>
      </c>
      <c r="H131" s="159">
        <v>0.186</v>
      </c>
      <c r="I131" s="159">
        <v>0.06</v>
      </c>
      <c r="J131" s="159">
        <v>0.42799999999999999</v>
      </c>
      <c r="K131" s="159">
        <v>5.94</v>
      </c>
      <c r="L131" s="159">
        <v>8.75</v>
      </c>
      <c r="M131" s="159">
        <v>13.13</v>
      </c>
      <c r="N131" s="159">
        <v>0.20599999999999999</v>
      </c>
    </row>
    <row r="132" spans="1:14" ht="16.5">
      <c r="A132" s="2" t="str">
        <f t="shared" si="2"/>
        <v>221상위25%</v>
      </c>
      <c r="B132" s="141">
        <v>221</v>
      </c>
      <c r="C132" s="103" t="s">
        <v>1623</v>
      </c>
      <c r="D132" s="159">
        <v>0.78300000000000003</v>
      </c>
      <c r="E132" s="159">
        <v>5.8999999999999997E-2</v>
      </c>
      <c r="F132" s="159">
        <v>3.0000000000000001E-3</v>
      </c>
      <c r="G132" s="159">
        <v>1.262</v>
      </c>
      <c r="H132" s="159">
        <v>0.505</v>
      </c>
      <c r="I132" s="159">
        <v>5.0000000000000001E-3</v>
      </c>
      <c r="J132" s="159">
        <v>0.40400000000000003</v>
      </c>
      <c r="K132" s="159">
        <v>10</v>
      </c>
      <c r="L132" s="159">
        <v>10.87</v>
      </c>
      <c r="M132" s="159">
        <v>21.69</v>
      </c>
      <c r="N132" s="159">
        <v>0.14599999999999999</v>
      </c>
    </row>
    <row r="133" spans="1:14" ht="16.5">
      <c r="A133" s="2" t="str">
        <f t="shared" si="2"/>
        <v>222상위25%</v>
      </c>
      <c r="B133" s="141">
        <v>222</v>
      </c>
      <c r="C133" s="103" t="s">
        <v>1623</v>
      </c>
      <c r="D133" s="159">
        <v>0.57699999999999996</v>
      </c>
      <c r="E133" s="159">
        <v>0.23100000000000001</v>
      </c>
      <c r="F133" s="159">
        <v>4.4999999999999998E-2</v>
      </c>
      <c r="G133" s="159">
        <v>0.55700000000000005</v>
      </c>
      <c r="H133" s="159">
        <v>0.38900000000000001</v>
      </c>
      <c r="I133" s="159">
        <v>3.5999999999999997E-2</v>
      </c>
      <c r="J133" s="159">
        <v>0.76300000000000001</v>
      </c>
      <c r="K133" s="159">
        <v>4.04</v>
      </c>
      <c r="L133" s="159">
        <v>6.29</v>
      </c>
      <c r="M133" s="159">
        <v>19.670000000000002</v>
      </c>
      <c r="N133" s="159">
        <v>0.35499999999999998</v>
      </c>
    </row>
    <row r="134" spans="1:14" ht="16.5">
      <c r="A134" s="2" t="str">
        <f t="shared" si="2"/>
        <v>223상위25%</v>
      </c>
      <c r="B134" s="141">
        <v>223</v>
      </c>
      <c r="C134" s="103" t="s">
        <v>1623</v>
      </c>
      <c r="D134" s="159">
        <v>0.72199999999999998</v>
      </c>
      <c r="E134" s="159">
        <v>0.11600000000000001</v>
      </c>
      <c r="F134" s="159">
        <v>1.6E-2</v>
      </c>
      <c r="G134" s="159">
        <v>0.83</v>
      </c>
      <c r="H134" s="159">
        <v>0.42199999999999999</v>
      </c>
      <c r="I134" s="159">
        <v>7.0000000000000001E-3</v>
      </c>
      <c r="J134" s="159">
        <v>0.51700000000000002</v>
      </c>
      <c r="K134" s="159">
        <v>5.37</v>
      </c>
      <c r="L134" s="159">
        <v>12.87</v>
      </c>
      <c r="M134" s="159">
        <v>13.35</v>
      </c>
      <c r="N134" s="159">
        <v>0.189</v>
      </c>
    </row>
    <row r="135" spans="1:14" ht="16.5">
      <c r="A135" s="2" t="str">
        <f t="shared" si="2"/>
        <v>224상위25%</v>
      </c>
      <c r="B135" s="141">
        <v>224</v>
      </c>
      <c r="C135" s="103" t="s">
        <v>1623</v>
      </c>
      <c r="D135" s="159">
        <v>0.70799999999999996</v>
      </c>
      <c r="E135" s="159">
        <v>0.123</v>
      </c>
      <c r="F135" s="159">
        <v>2.3E-2</v>
      </c>
      <c r="G135" s="159">
        <v>0.69099999999999995</v>
      </c>
      <c r="H135" s="159">
        <v>0.49099999999999999</v>
      </c>
      <c r="I135" s="159">
        <v>7.0000000000000001E-3</v>
      </c>
      <c r="J135" s="159">
        <v>0.72099999999999997</v>
      </c>
      <c r="K135" s="159">
        <v>4.92</v>
      </c>
      <c r="L135" s="159">
        <v>9.6199999999999992</v>
      </c>
      <c r="M135" s="159">
        <v>13.42</v>
      </c>
      <c r="N135" s="159">
        <v>0.23300000000000001</v>
      </c>
    </row>
    <row r="136" spans="1:14" ht="16.5">
      <c r="A136" s="2" t="str">
        <f t="shared" si="2"/>
        <v>225상위25%</v>
      </c>
      <c r="B136" s="141">
        <v>225</v>
      </c>
      <c r="C136" s="103" t="s">
        <v>1623</v>
      </c>
      <c r="D136" s="159">
        <v>0.69199999999999995</v>
      </c>
      <c r="E136" s="159">
        <v>0.13100000000000001</v>
      </c>
      <c r="F136" s="159">
        <v>2.8000000000000001E-2</v>
      </c>
      <c r="G136" s="159">
        <v>0.65800000000000003</v>
      </c>
      <c r="H136" s="159">
        <v>0.44</v>
      </c>
      <c r="I136" s="159">
        <v>5.0000000000000001E-3</v>
      </c>
      <c r="J136" s="159">
        <v>0.67600000000000005</v>
      </c>
      <c r="K136" s="159">
        <v>5.82</v>
      </c>
      <c r="L136" s="159">
        <v>9.0399999999999991</v>
      </c>
      <c r="M136" s="159">
        <v>12.49</v>
      </c>
      <c r="N136" s="159">
        <v>0.20200000000000001</v>
      </c>
    </row>
    <row r="137" spans="1:14" ht="16.5">
      <c r="A137" s="2" t="str">
        <f t="shared" si="2"/>
        <v>226상위25%</v>
      </c>
      <c r="B137" s="141">
        <v>226</v>
      </c>
      <c r="C137" s="103" t="s">
        <v>1623</v>
      </c>
      <c r="D137" s="159">
        <v>0.629</v>
      </c>
      <c r="E137" s="159">
        <v>0.16</v>
      </c>
      <c r="F137" s="159">
        <v>1.2E-2</v>
      </c>
      <c r="G137" s="159">
        <v>0.73</v>
      </c>
      <c r="H137" s="159">
        <v>0.23300000000000001</v>
      </c>
      <c r="I137" s="159">
        <v>1.4999999999999999E-2</v>
      </c>
      <c r="J137" s="159">
        <v>0.34</v>
      </c>
      <c r="K137" s="159">
        <v>4.5599999999999996</v>
      </c>
      <c r="L137" s="159">
        <v>10.27</v>
      </c>
      <c r="M137" s="159">
        <v>16.87</v>
      </c>
      <c r="N137" s="159">
        <v>0.25700000000000001</v>
      </c>
    </row>
    <row r="138" spans="1:14" ht="16.5">
      <c r="A138" s="2" t="str">
        <f t="shared" si="2"/>
        <v>227상위25%</v>
      </c>
      <c r="B138" s="141">
        <v>227</v>
      </c>
      <c r="C138" s="103" t="s">
        <v>1623</v>
      </c>
      <c r="D138" s="159">
        <v>0.46700000000000003</v>
      </c>
      <c r="E138" s="159">
        <v>0.29299999999999998</v>
      </c>
      <c r="F138" s="159">
        <v>8.0000000000000002E-3</v>
      </c>
      <c r="G138" s="159">
        <v>0.46899999999999997</v>
      </c>
      <c r="H138" s="159">
        <v>0.24</v>
      </c>
      <c r="I138" s="159">
        <v>0.08</v>
      </c>
      <c r="J138" s="159">
        <v>0.68200000000000005</v>
      </c>
      <c r="K138" s="159">
        <v>3.21</v>
      </c>
      <c r="L138" s="159">
        <v>5.99</v>
      </c>
      <c r="M138" s="159">
        <v>22.5</v>
      </c>
      <c r="N138" s="159">
        <v>0.434</v>
      </c>
    </row>
    <row r="139" spans="1:14" ht="16.5">
      <c r="A139" s="2" t="str">
        <f t="shared" si="2"/>
        <v>229상위25%</v>
      </c>
      <c r="B139" s="141">
        <v>229</v>
      </c>
      <c r="C139" s="103" t="s">
        <v>1623</v>
      </c>
      <c r="D139" s="159">
        <v>0.69599999999999995</v>
      </c>
      <c r="E139" s="159">
        <v>0.14099999999999999</v>
      </c>
      <c r="F139" s="159">
        <v>2.5999999999999999E-2</v>
      </c>
      <c r="G139" s="159">
        <v>0.83299999999999996</v>
      </c>
      <c r="H139" s="159">
        <v>0.42</v>
      </c>
      <c r="I139" s="159">
        <v>1.9E-2</v>
      </c>
      <c r="J139" s="159">
        <v>0.52800000000000002</v>
      </c>
      <c r="K139" s="159">
        <v>4.91</v>
      </c>
      <c r="L139" s="159">
        <v>12.82</v>
      </c>
      <c r="M139" s="159">
        <v>13.72</v>
      </c>
      <c r="N139" s="159">
        <v>0.20899999999999999</v>
      </c>
    </row>
    <row r="140" spans="1:14" ht="16.5">
      <c r="A140" s="2" t="str">
        <f t="shared" si="2"/>
        <v>231상위25%</v>
      </c>
      <c r="B140" s="141">
        <v>231</v>
      </c>
      <c r="C140" s="103" t="s">
        <v>1623</v>
      </c>
      <c r="D140" s="159">
        <v>0.70599999999999996</v>
      </c>
      <c r="E140" s="159">
        <v>0.16</v>
      </c>
      <c r="F140" s="159">
        <v>5.0999999999999997E-2</v>
      </c>
      <c r="G140" s="159">
        <v>0.42899999999999999</v>
      </c>
      <c r="H140" s="159">
        <v>0.44</v>
      </c>
      <c r="I140" s="159">
        <v>0</v>
      </c>
      <c r="J140" s="159">
        <v>1.026</v>
      </c>
      <c r="K140" s="159">
        <v>6.89</v>
      </c>
      <c r="L140" s="159">
        <v>3.37</v>
      </c>
      <c r="M140" s="159">
        <v>11.74</v>
      </c>
      <c r="N140" s="159">
        <v>0.35699999999999998</v>
      </c>
    </row>
    <row r="141" spans="1:14" ht="16.5">
      <c r="A141" s="2" t="str">
        <f t="shared" si="2"/>
        <v>232상위25%</v>
      </c>
      <c r="B141" s="141">
        <v>232</v>
      </c>
      <c r="C141" s="103" t="s">
        <v>1623</v>
      </c>
      <c r="D141" s="159">
        <v>0.38100000000000001</v>
      </c>
      <c r="E141" s="159">
        <v>0.39700000000000002</v>
      </c>
      <c r="F141" s="159">
        <v>1.6E-2</v>
      </c>
      <c r="G141" s="159">
        <v>0.92500000000000004</v>
      </c>
      <c r="H141" s="159">
        <v>0.19700000000000001</v>
      </c>
      <c r="I141" s="159">
        <v>2.5999999999999999E-2</v>
      </c>
      <c r="J141" s="159">
        <v>0.24</v>
      </c>
      <c r="K141" s="159">
        <v>6.77</v>
      </c>
      <c r="L141" s="159">
        <v>14.73</v>
      </c>
      <c r="M141" s="159">
        <v>27.18</v>
      </c>
      <c r="N141" s="159">
        <v>0.17899999999999999</v>
      </c>
    </row>
    <row r="142" spans="1:14" ht="16.5">
      <c r="A142" s="2" t="str">
        <f t="shared" si="2"/>
        <v>233상위25%</v>
      </c>
      <c r="B142" s="141">
        <v>233</v>
      </c>
      <c r="C142" s="103" t="s">
        <v>1623</v>
      </c>
      <c r="D142" s="159">
        <v>0.38500000000000001</v>
      </c>
      <c r="E142" s="159">
        <v>0.39</v>
      </c>
      <c r="F142" s="159">
        <v>2.1999999999999999E-2</v>
      </c>
      <c r="G142" s="159">
        <v>0.34</v>
      </c>
      <c r="H142" s="159">
        <v>0.629</v>
      </c>
      <c r="I142" s="159">
        <v>1.7000000000000001E-2</v>
      </c>
      <c r="J142" s="159">
        <v>1.897</v>
      </c>
      <c r="K142" s="159">
        <v>12.19</v>
      </c>
      <c r="L142" s="159">
        <v>9.57</v>
      </c>
      <c r="M142" s="159">
        <v>26.93</v>
      </c>
      <c r="N142" s="159">
        <v>0.14899999999999999</v>
      </c>
    </row>
    <row r="143" spans="1:14" ht="16.5">
      <c r="A143" s="2" t="str">
        <f t="shared" si="2"/>
        <v>234상위25%</v>
      </c>
      <c r="B143" s="141">
        <v>234</v>
      </c>
      <c r="C143" s="103" t="s">
        <v>1623</v>
      </c>
      <c r="D143" s="159">
        <v>0.20100000000000001</v>
      </c>
      <c r="E143" s="159">
        <v>0.53900000000000003</v>
      </c>
      <c r="F143" s="159">
        <v>0.05</v>
      </c>
      <c r="G143" s="159">
        <v>0.54</v>
      </c>
      <c r="H143" s="159">
        <v>0.84199999999999997</v>
      </c>
      <c r="I143" s="159">
        <v>0</v>
      </c>
      <c r="J143" s="159">
        <v>1.5609999999999999</v>
      </c>
      <c r="K143" s="159">
        <v>0</v>
      </c>
      <c r="L143" s="159">
        <v>169.09</v>
      </c>
      <c r="M143" s="159">
        <v>424.91</v>
      </c>
      <c r="N143" s="159">
        <v>0</v>
      </c>
    </row>
    <row r="144" spans="1:14" ht="16.5">
      <c r="A144" s="2" t="str">
        <f t="shared" si="2"/>
        <v>235상위25%</v>
      </c>
      <c r="B144" s="141">
        <v>235</v>
      </c>
      <c r="C144" s="103" t="s">
        <v>1623</v>
      </c>
      <c r="D144" s="159">
        <v>0.30099999999999999</v>
      </c>
      <c r="E144" s="159">
        <v>0.495</v>
      </c>
      <c r="F144" s="159">
        <v>1.7999999999999999E-2</v>
      </c>
      <c r="G144" s="159">
        <v>1.036</v>
      </c>
      <c r="H144" s="159">
        <v>0.3</v>
      </c>
      <c r="I144" s="159">
        <v>1.2E-2</v>
      </c>
      <c r="J144" s="159">
        <v>0.30099999999999999</v>
      </c>
      <c r="K144" s="159">
        <v>11.35</v>
      </c>
      <c r="L144" s="159">
        <v>31.05</v>
      </c>
      <c r="M144" s="159">
        <v>5455.02</v>
      </c>
      <c r="N144" s="159">
        <v>0.12</v>
      </c>
    </row>
    <row r="145" spans="1:14" ht="16.5">
      <c r="A145" s="2" t="str">
        <f t="shared" si="2"/>
        <v>236상위25%</v>
      </c>
      <c r="B145" s="141">
        <v>236</v>
      </c>
      <c r="C145" s="103" t="s">
        <v>1623</v>
      </c>
      <c r="D145" s="159">
        <v>0.35299999999999998</v>
      </c>
      <c r="E145" s="159">
        <v>0.41399999999999998</v>
      </c>
      <c r="F145" s="159">
        <v>2.8000000000000001E-2</v>
      </c>
      <c r="G145" s="159">
        <v>0.67800000000000005</v>
      </c>
      <c r="H145" s="159">
        <v>0.13500000000000001</v>
      </c>
      <c r="I145" s="159">
        <v>5.8000000000000003E-2</v>
      </c>
      <c r="J145" s="159">
        <v>0.28399999999999997</v>
      </c>
      <c r="K145" s="159">
        <v>6.82</v>
      </c>
      <c r="L145" s="159">
        <v>116.97</v>
      </c>
      <c r="M145" s="159">
        <v>37.840000000000003</v>
      </c>
      <c r="N145" s="159">
        <v>0.129</v>
      </c>
    </row>
    <row r="146" spans="1:14" ht="16.5">
      <c r="A146" s="2" t="str">
        <f t="shared" si="2"/>
        <v>237상위25%</v>
      </c>
      <c r="B146" s="141">
        <v>237</v>
      </c>
      <c r="C146" s="103" t="s">
        <v>1623</v>
      </c>
      <c r="D146" s="159">
        <v>0.52900000000000003</v>
      </c>
      <c r="E146" s="159">
        <v>0.187</v>
      </c>
      <c r="F146" s="159">
        <v>2.5999999999999999E-2</v>
      </c>
      <c r="G146" s="159">
        <v>0.42899999999999999</v>
      </c>
      <c r="H146" s="159">
        <v>0.39400000000000002</v>
      </c>
      <c r="I146" s="159">
        <v>6.2E-2</v>
      </c>
      <c r="J146" s="159">
        <v>1.0609999999999999</v>
      </c>
      <c r="K146" s="159">
        <v>8.35</v>
      </c>
      <c r="L146" s="159">
        <v>61.99</v>
      </c>
      <c r="M146" s="159">
        <v>41.07</v>
      </c>
      <c r="N146" s="159">
        <v>0.111</v>
      </c>
    </row>
    <row r="147" spans="1:14" ht="16.5">
      <c r="A147" s="2" t="str">
        <f t="shared" si="2"/>
        <v>239상위25%</v>
      </c>
      <c r="B147" s="141">
        <v>239</v>
      </c>
      <c r="C147" s="103" t="s">
        <v>1623</v>
      </c>
      <c r="D147" s="159">
        <v>0.36299999999999999</v>
      </c>
      <c r="E147" s="159">
        <v>0.41</v>
      </c>
      <c r="F147" s="159">
        <v>4.5999999999999999E-2</v>
      </c>
      <c r="G147" s="159">
        <v>0.65600000000000003</v>
      </c>
      <c r="H147" s="159">
        <v>0.45900000000000002</v>
      </c>
      <c r="I147" s="159">
        <v>6.0000000000000001E-3</v>
      </c>
      <c r="J147" s="159">
        <v>0.70899999999999996</v>
      </c>
      <c r="K147" s="159">
        <v>6.75</v>
      </c>
      <c r="L147" s="159">
        <v>149.30000000000001</v>
      </c>
      <c r="M147" s="159">
        <v>88.71</v>
      </c>
      <c r="N147" s="159">
        <v>0.14399999999999999</v>
      </c>
    </row>
    <row r="148" spans="1:14" ht="16.5">
      <c r="A148" s="2" t="str">
        <f t="shared" si="2"/>
        <v>311상위25%</v>
      </c>
      <c r="B148" s="141">
        <v>311</v>
      </c>
      <c r="C148" s="103" t="s">
        <v>1623</v>
      </c>
      <c r="D148" s="159">
        <v>0.47899999999999998</v>
      </c>
      <c r="E148" s="159">
        <v>0.28199999999999997</v>
      </c>
      <c r="F148" s="159">
        <v>1.7000000000000001E-2</v>
      </c>
      <c r="G148" s="159">
        <v>0.61799999999999999</v>
      </c>
      <c r="H148" s="159">
        <v>0.32600000000000001</v>
      </c>
      <c r="I148" s="159">
        <v>6.9000000000000006E-2</v>
      </c>
      <c r="J148" s="159">
        <v>0.63900000000000001</v>
      </c>
      <c r="K148" s="159">
        <v>9.76</v>
      </c>
      <c r="L148" s="159">
        <v>15.47</v>
      </c>
      <c r="M148" s="159">
        <v>114.99</v>
      </c>
      <c r="N148" s="159">
        <v>0.158</v>
      </c>
    </row>
    <row r="149" spans="1:14" ht="16.5">
      <c r="A149" s="2" t="str">
        <f t="shared" si="2"/>
        <v>312상위25%</v>
      </c>
      <c r="B149" s="141">
        <v>312</v>
      </c>
      <c r="C149" s="103" t="s">
        <v>1623</v>
      </c>
      <c r="D149" s="159">
        <v>0.80200000000000005</v>
      </c>
      <c r="E149" s="159">
        <v>0.13100000000000001</v>
      </c>
      <c r="F149" s="159">
        <v>0</v>
      </c>
      <c r="G149" s="159">
        <v>0.73499999999999999</v>
      </c>
      <c r="H149" s="159">
        <v>2E-3</v>
      </c>
      <c r="I149" s="159">
        <v>0</v>
      </c>
      <c r="J149" s="159">
        <v>3.0000000000000001E-3</v>
      </c>
      <c r="K149" s="159">
        <v>0</v>
      </c>
      <c r="L149" s="159">
        <v>0</v>
      </c>
      <c r="M149" s="159">
        <v>7.32</v>
      </c>
      <c r="N149" s="159">
        <v>0</v>
      </c>
    </row>
    <row r="150" spans="1:14" ht="16.5">
      <c r="A150" s="2" t="str">
        <f t="shared" si="2"/>
        <v>390상위25%</v>
      </c>
      <c r="B150" s="141">
        <v>390</v>
      </c>
      <c r="C150" s="103" t="s">
        <v>1623</v>
      </c>
      <c r="D150" s="159">
        <v>0.26800000000000002</v>
      </c>
      <c r="E150" s="159">
        <v>0.27200000000000002</v>
      </c>
      <c r="F150" s="159">
        <v>0</v>
      </c>
      <c r="G150" s="159">
        <v>6.9000000000000006E-2</v>
      </c>
      <c r="H150" s="159">
        <v>0.66</v>
      </c>
      <c r="I150" s="159">
        <v>0</v>
      </c>
      <c r="J150" s="159">
        <v>9.5549999999999997</v>
      </c>
      <c r="K150" s="159">
        <v>0</v>
      </c>
      <c r="L150" s="159">
        <v>1.0900000000000001</v>
      </c>
      <c r="M150" s="159">
        <v>31.35</v>
      </c>
      <c r="N150" s="159">
        <v>0</v>
      </c>
    </row>
    <row r="151" spans="1:14" ht="16.5">
      <c r="A151" s="2" t="str">
        <f t="shared" si="2"/>
        <v>411상위25%</v>
      </c>
      <c r="B151" s="141">
        <v>411</v>
      </c>
      <c r="C151" s="103" t="s">
        <v>1623</v>
      </c>
      <c r="D151" s="159">
        <v>0.629</v>
      </c>
      <c r="E151" s="159">
        <v>0.13600000000000001</v>
      </c>
      <c r="F151" s="159">
        <v>2.4E-2</v>
      </c>
      <c r="G151" s="159">
        <v>0.46700000000000003</v>
      </c>
      <c r="H151" s="159">
        <v>0.28699999999999998</v>
      </c>
      <c r="I151" s="159">
        <v>6.0000000000000001E-3</v>
      </c>
      <c r="J151" s="159">
        <v>0.628</v>
      </c>
      <c r="K151" s="159">
        <v>5.95</v>
      </c>
      <c r="L151" s="159">
        <v>11.96</v>
      </c>
      <c r="M151" s="159">
        <v>20.55</v>
      </c>
      <c r="N151" s="159">
        <v>0.20300000000000001</v>
      </c>
    </row>
    <row r="152" spans="1:14" ht="16.5">
      <c r="A152" s="2" t="str">
        <f t="shared" si="2"/>
        <v>412상위25%</v>
      </c>
      <c r="B152" s="141">
        <v>412</v>
      </c>
      <c r="C152" s="103" t="s">
        <v>1623</v>
      </c>
      <c r="D152" s="159">
        <v>0.76</v>
      </c>
      <c r="E152" s="159">
        <v>0.13400000000000001</v>
      </c>
      <c r="F152" s="159">
        <v>3.9E-2</v>
      </c>
      <c r="G152" s="159">
        <v>0.46700000000000003</v>
      </c>
      <c r="H152" s="159">
        <v>0.45500000000000002</v>
      </c>
      <c r="I152" s="159">
        <v>2.3E-2</v>
      </c>
      <c r="J152" s="159">
        <v>1.026</v>
      </c>
      <c r="K152" s="159">
        <v>7.1</v>
      </c>
      <c r="L152" s="159">
        <v>10.06</v>
      </c>
      <c r="M152" s="159">
        <v>10.38</v>
      </c>
      <c r="N152" s="159">
        <v>0.14399999999999999</v>
      </c>
    </row>
    <row r="153" spans="1:14" ht="16.5">
      <c r="A153" s="2" t="str">
        <f t="shared" si="2"/>
        <v>413상위25%</v>
      </c>
      <c r="B153" s="141">
        <v>413</v>
      </c>
      <c r="C153" s="103" t="s">
        <v>1623</v>
      </c>
      <c r="D153" s="159">
        <v>0.73099999999999998</v>
      </c>
      <c r="E153" s="159">
        <v>0.128</v>
      </c>
      <c r="F153" s="159">
        <v>2.5000000000000001E-2</v>
      </c>
      <c r="G153" s="159">
        <v>0.86599999999999999</v>
      </c>
      <c r="H153" s="159">
        <v>0.63700000000000001</v>
      </c>
      <c r="I153" s="159">
        <v>6.0000000000000001E-3</v>
      </c>
      <c r="J153" s="159">
        <v>0.74299999999999999</v>
      </c>
      <c r="K153" s="159">
        <v>5.0599999999999996</v>
      </c>
      <c r="L153" s="159">
        <v>14.22</v>
      </c>
      <c r="M153" s="159">
        <v>21.66</v>
      </c>
      <c r="N153" s="159">
        <v>0.222</v>
      </c>
    </row>
    <row r="154" spans="1:14" ht="16.5">
      <c r="A154" s="2" t="str">
        <f t="shared" si="2"/>
        <v>414상위25%</v>
      </c>
      <c r="B154" s="141">
        <v>414</v>
      </c>
      <c r="C154" s="103" t="s">
        <v>1623</v>
      </c>
      <c r="D154" s="159">
        <v>0.57099999999999995</v>
      </c>
      <c r="E154" s="159">
        <v>0.221</v>
      </c>
      <c r="F154" s="159">
        <v>4.4999999999999998E-2</v>
      </c>
      <c r="G154" s="159">
        <v>0.34699999999999998</v>
      </c>
      <c r="H154" s="159">
        <v>0.57899999999999996</v>
      </c>
      <c r="I154" s="159">
        <v>2E-3</v>
      </c>
      <c r="J154" s="159">
        <v>1.675</v>
      </c>
      <c r="K154" s="159">
        <v>1.95</v>
      </c>
      <c r="L154" s="159">
        <v>2.88</v>
      </c>
      <c r="M154" s="159">
        <v>36.520000000000003</v>
      </c>
      <c r="N154" s="159">
        <v>0.83299999999999996</v>
      </c>
    </row>
    <row r="155" spans="1:14" ht="16.5">
      <c r="A155" s="2" t="str">
        <f t="shared" si="2"/>
        <v>415상위25%</v>
      </c>
      <c r="B155" s="141">
        <v>415</v>
      </c>
      <c r="C155" s="103" t="s">
        <v>1623</v>
      </c>
      <c r="D155" s="159">
        <v>0.73499999999999999</v>
      </c>
      <c r="E155" s="159">
        <v>0.11899999999999999</v>
      </c>
      <c r="F155" s="159">
        <v>1.7999999999999999E-2</v>
      </c>
      <c r="G155" s="159">
        <v>0.90100000000000002</v>
      </c>
      <c r="H155" s="159">
        <v>0.59</v>
      </c>
      <c r="I155" s="159">
        <v>0.01</v>
      </c>
      <c r="J155" s="159">
        <v>0.66600000000000004</v>
      </c>
      <c r="K155" s="159">
        <v>6.84</v>
      </c>
      <c r="L155" s="159">
        <v>15.66</v>
      </c>
      <c r="M155" s="159">
        <v>21.73</v>
      </c>
      <c r="N155" s="159">
        <v>0.16400000000000001</v>
      </c>
    </row>
    <row r="156" spans="1:14" ht="16.5">
      <c r="A156" s="2" t="str">
        <f t="shared" si="2"/>
        <v>416상위25%</v>
      </c>
      <c r="B156" s="141">
        <v>416</v>
      </c>
      <c r="C156" s="103" t="s">
        <v>1623</v>
      </c>
      <c r="D156" s="159">
        <v>0.71399999999999997</v>
      </c>
      <c r="E156" s="159">
        <v>0.158</v>
      </c>
      <c r="F156" s="159">
        <v>0.02</v>
      </c>
      <c r="G156" s="159">
        <v>0.85399999999999998</v>
      </c>
      <c r="H156" s="159">
        <v>0.54</v>
      </c>
      <c r="I156" s="159">
        <v>1E-3</v>
      </c>
      <c r="J156" s="159">
        <v>0.63300000000000001</v>
      </c>
      <c r="K156" s="159">
        <v>6.95</v>
      </c>
      <c r="L156" s="159">
        <v>14.04</v>
      </c>
      <c r="M156" s="159">
        <v>23.94</v>
      </c>
      <c r="N156" s="159">
        <v>0.17299999999999999</v>
      </c>
    </row>
    <row r="157" spans="1:14" ht="16.5">
      <c r="A157" s="2" t="str">
        <f t="shared" si="2"/>
        <v>419상위25%</v>
      </c>
      <c r="B157" s="141">
        <v>419</v>
      </c>
      <c r="C157" s="103" t="s">
        <v>1623</v>
      </c>
      <c r="D157" s="159">
        <v>0.76600000000000001</v>
      </c>
      <c r="E157" s="159">
        <v>6.6000000000000003E-2</v>
      </c>
      <c r="F157" s="159">
        <v>0.01</v>
      </c>
      <c r="G157" s="159">
        <v>0.67</v>
      </c>
      <c r="H157" s="159">
        <v>0.434</v>
      </c>
      <c r="I157" s="159">
        <v>0</v>
      </c>
      <c r="J157" s="159">
        <v>0.64700000000000002</v>
      </c>
      <c r="K157" s="159">
        <v>3.45</v>
      </c>
      <c r="L157" s="159">
        <v>23.64</v>
      </c>
      <c r="M157" s="159">
        <v>11.5</v>
      </c>
      <c r="N157" s="159">
        <v>0.245</v>
      </c>
    </row>
    <row r="158" spans="1:14" ht="16.5">
      <c r="A158" s="2" t="str">
        <f t="shared" si="2"/>
        <v>421상위25%</v>
      </c>
      <c r="B158" s="141">
        <v>421</v>
      </c>
      <c r="C158" s="103" t="s">
        <v>1623</v>
      </c>
      <c r="D158" s="159">
        <v>0.77800000000000002</v>
      </c>
      <c r="E158" s="159">
        <v>6.4000000000000001E-2</v>
      </c>
      <c r="F158" s="159">
        <v>1E-3</v>
      </c>
      <c r="G158" s="159">
        <v>0.55500000000000005</v>
      </c>
      <c r="H158" s="159">
        <v>0.64100000000000001</v>
      </c>
      <c r="I158" s="159">
        <v>3.0000000000000001E-3</v>
      </c>
      <c r="J158" s="159">
        <v>1.1619999999999999</v>
      </c>
      <c r="K158" s="159">
        <v>5.88</v>
      </c>
      <c r="L158" s="159">
        <v>5.54</v>
      </c>
      <c r="M158" s="159">
        <v>24.81</v>
      </c>
      <c r="N158" s="159">
        <v>0.31</v>
      </c>
    </row>
    <row r="159" spans="1:14" ht="16.5">
      <c r="A159" s="2" t="str">
        <f t="shared" si="2"/>
        <v>422상위25%</v>
      </c>
      <c r="B159" s="141">
        <v>422</v>
      </c>
      <c r="C159" s="103" t="s">
        <v>1623</v>
      </c>
      <c r="D159" s="159">
        <v>0.40799999999999997</v>
      </c>
      <c r="E159" s="159">
        <v>0.38100000000000001</v>
      </c>
      <c r="F159" s="159">
        <v>8.9999999999999993E-3</v>
      </c>
      <c r="G159" s="159">
        <v>1.1579999999999999</v>
      </c>
      <c r="H159" s="159">
        <v>0.23599999999999999</v>
      </c>
      <c r="I159" s="159">
        <v>0.03</v>
      </c>
      <c r="J159" s="159">
        <v>0.22900000000000001</v>
      </c>
      <c r="K159" s="159">
        <v>10.23</v>
      </c>
      <c r="L159" s="159">
        <v>13.03</v>
      </c>
      <c r="M159" s="159">
        <v>26.61</v>
      </c>
      <c r="N159" s="159">
        <v>0.13700000000000001</v>
      </c>
    </row>
    <row r="160" spans="1:14" ht="16.5">
      <c r="A160" s="2" t="str">
        <f t="shared" si="2"/>
        <v>423상위25%</v>
      </c>
      <c r="B160" s="141">
        <v>423</v>
      </c>
      <c r="C160" s="103" t="s">
        <v>1623</v>
      </c>
      <c r="D160" s="159">
        <v>0.34200000000000003</v>
      </c>
      <c r="E160" s="159">
        <v>0.25900000000000001</v>
      </c>
      <c r="F160" s="159">
        <v>1.4E-2</v>
      </c>
      <c r="G160" s="159">
        <v>0.42</v>
      </c>
      <c r="H160" s="159">
        <v>0.51200000000000001</v>
      </c>
      <c r="I160" s="159">
        <v>0</v>
      </c>
      <c r="J160" s="159">
        <v>1.2190000000000001</v>
      </c>
      <c r="K160" s="159">
        <v>35.08</v>
      </c>
      <c r="L160" s="159">
        <v>3.51</v>
      </c>
      <c r="M160" s="159">
        <v>189.6</v>
      </c>
      <c r="N160" s="159">
        <v>0.308</v>
      </c>
    </row>
    <row r="161" spans="1:14" ht="16.5">
      <c r="A161" s="2" t="str">
        <f t="shared" si="2"/>
        <v>429상위25%</v>
      </c>
      <c r="B161" s="141">
        <v>429</v>
      </c>
      <c r="C161" s="103" t="s">
        <v>1623</v>
      </c>
      <c r="D161" s="159">
        <v>0.75800000000000001</v>
      </c>
      <c r="E161" s="159">
        <v>6.3E-2</v>
      </c>
      <c r="F161" s="159">
        <v>2E-3</v>
      </c>
      <c r="G161" s="159">
        <v>1.103</v>
      </c>
      <c r="H161" s="159">
        <v>0.50800000000000001</v>
      </c>
      <c r="I161" s="159">
        <v>4.0000000000000001E-3</v>
      </c>
      <c r="J161" s="159">
        <v>0.46400000000000002</v>
      </c>
      <c r="K161" s="159">
        <v>7.7</v>
      </c>
      <c r="L161" s="159">
        <v>18.21</v>
      </c>
      <c r="M161" s="159">
        <v>41.03</v>
      </c>
      <c r="N161" s="159">
        <v>0.16</v>
      </c>
    </row>
    <row r="162" spans="1:14" ht="16.5">
      <c r="A162" s="2" t="str">
        <f t="shared" si="2"/>
        <v>431상위25%</v>
      </c>
      <c r="B162" s="141">
        <v>431</v>
      </c>
      <c r="C162" s="103" t="s">
        <v>1623</v>
      </c>
      <c r="D162" s="159">
        <v>0.69299999999999995</v>
      </c>
      <c r="E162" s="159">
        <v>0.13800000000000001</v>
      </c>
      <c r="F162" s="159">
        <v>1.2999999999999999E-2</v>
      </c>
      <c r="G162" s="159">
        <v>0.75900000000000001</v>
      </c>
      <c r="H162" s="159">
        <v>0.38</v>
      </c>
      <c r="I162" s="159">
        <v>5.0000000000000001E-3</v>
      </c>
      <c r="J162" s="159">
        <v>0.50700000000000001</v>
      </c>
      <c r="K162" s="159">
        <v>4.6500000000000004</v>
      </c>
      <c r="L162" s="159">
        <v>9.01</v>
      </c>
      <c r="M162" s="159">
        <v>17.8</v>
      </c>
      <c r="N162" s="159">
        <v>0.27</v>
      </c>
    </row>
    <row r="163" spans="1:14" ht="16.5">
      <c r="A163" s="2" t="str">
        <f t="shared" si="2"/>
        <v>432상위25%</v>
      </c>
      <c r="B163" s="141">
        <v>432</v>
      </c>
      <c r="C163" s="103" t="s">
        <v>1623</v>
      </c>
      <c r="D163" s="159">
        <v>0.72099999999999997</v>
      </c>
      <c r="E163" s="159">
        <v>0.11799999999999999</v>
      </c>
      <c r="F163" s="159">
        <v>2.1000000000000001E-2</v>
      </c>
      <c r="G163" s="159">
        <v>0.77400000000000002</v>
      </c>
      <c r="H163" s="159">
        <v>0.499</v>
      </c>
      <c r="I163" s="159">
        <v>7.0000000000000001E-3</v>
      </c>
      <c r="J163" s="159">
        <v>0.65400000000000003</v>
      </c>
      <c r="K163" s="159">
        <v>5.61</v>
      </c>
      <c r="L163" s="159">
        <v>12.39</v>
      </c>
      <c r="M163" s="159">
        <v>11.07</v>
      </c>
      <c r="N163" s="159">
        <v>0.16900000000000001</v>
      </c>
    </row>
    <row r="164" spans="1:14" ht="16.5">
      <c r="A164" s="2" t="str">
        <f t="shared" si="2"/>
        <v>433상위25%</v>
      </c>
      <c r="B164" s="141">
        <v>433</v>
      </c>
      <c r="C164" s="103" t="s">
        <v>1623</v>
      </c>
      <c r="D164" s="159">
        <v>0.67700000000000005</v>
      </c>
      <c r="E164" s="159">
        <v>0.14599999999999999</v>
      </c>
      <c r="F164" s="159">
        <v>2.5000000000000001E-2</v>
      </c>
      <c r="G164" s="159">
        <v>0.626</v>
      </c>
      <c r="H164" s="159">
        <v>0.44600000000000001</v>
      </c>
      <c r="I164" s="159">
        <v>0.01</v>
      </c>
      <c r="J164" s="159">
        <v>0.72899999999999998</v>
      </c>
      <c r="K164" s="159">
        <v>5.07</v>
      </c>
      <c r="L164" s="159">
        <v>5.61</v>
      </c>
      <c r="M164" s="159">
        <v>11.43</v>
      </c>
      <c r="N164" s="159">
        <v>0.28799999999999998</v>
      </c>
    </row>
    <row r="165" spans="1:14" ht="16.5">
      <c r="A165" s="2" t="str">
        <f t="shared" si="2"/>
        <v>439상위25%</v>
      </c>
      <c r="B165" s="141">
        <v>439</v>
      </c>
      <c r="C165" s="103" t="s">
        <v>1623</v>
      </c>
      <c r="D165" s="159">
        <v>0.70099999999999996</v>
      </c>
      <c r="E165" s="159">
        <v>0.13100000000000001</v>
      </c>
      <c r="F165" s="159">
        <v>2.7E-2</v>
      </c>
      <c r="G165" s="159">
        <v>0.60699999999999998</v>
      </c>
      <c r="H165" s="159">
        <v>0.38200000000000001</v>
      </c>
      <c r="I165" s="159">
        <v>7.0000000000000007E-2</v>
      </c>
      <c r="J165" s="159">
        <v>0.74399999999999999</v>
      </c>
      <c r="K165" s="159">
        <v>5</v>
      </c>
      <c r="L165" s="159">
        <v>4.79</v>
      </c>
      <c r="M165" s="159">
        <v>11.53</v>
      </c>
      <c r="N165" s="159">
        <v>0.32200000000000001</v>
      </c>
    </row>
    <row r="166" spans="1:14" ht="16.5">
      <c r="A166" s="2" t="str">
        <f t="shared" si="2"/>
        <v>441상위25%</v>
      </c>
      <c r="B166" s="141">
        <v>441</v>
      </c>
      <c r="C166" s="103" t="s">
        <v>1623</v>
      </c>
      <c r="D166" s="159">
        <v>0.46400000000000002</v>
      </c>
      <c r="E166" s="159">
        <v>0.31900000000000001</v>
      </c>
      <c r="F166" s="159">
        <v>1.2999999999999999E-2</v>
      </c>
      <c r="G166" s="159">
        <v>0.995</v>
      </c>
      <c r="H166" s="159">
        <v>0.154</v>
      </c>
      <c r="I166" s="159">
        <v>1E-3</v>
      </c>
      <c r="J166" s="159">
        <v>0.156</v>
      </c>
      <c r="K166" s="159">
        <v>41.5</v>
      </c>
      <c r="L166" s="159">
        <v>138.30000000000001</v>
      </c>
      <c r="M166" s="159">
        <v>470.9</v>
      </c>
      <c r="N166" s="159">
        <v>2.9000000000000001E-2</v>
      </c>
    </row>
    <row r="167" spans="1:14" ht="16.5">
      <c r="A167" s="2" t="str">
        <f t="shared" si="2"/>
        <v>442상위25%</v>
      </c>
      <c r="B167" s="141">
        <v>442</v>
      </c>
      <c r="C167" s="103" t="s">
        <v>1623</v>
      </c>
      <c r="D167" s="159">
        <v>0.35299999999999998</v>
      </c>
      <c r="E167" s="159">
        <v>0.41399999999999998</v>
      </c>
      <c r="F167" s="159">
        <v>2.8000000000000001E-2</v>
      </c>
      <c r="G167" s="159">
        <v>0.67800000000000005</v>
      </c>
      <c r="H167" s="159">
        <v>0.13500000000000001</v>
      </c>
      <c r="I167" s="159">
        <v>5.8000000000000003E-2</v>
      </c>
      <c r="J167" s="159">
        <v>0.28399999999999997</v>
      </c>
      <c r="K167" s="159">
        <v>6.82</v>
      </c>
      <c r="L167" s="159">
        <v>116.97</v>
      </c>
      <c r="M167" s="159">
        <v>37.840000000000003</v>
      </c>
      <c r="N167" s="159">
        <v>0.129</v>
      </c>
    </row>
    <row r="168" spans="1:14" ht="16.5">
      <c r="A168" s="2" t="str">
        <f t="shared" si="2"/>
        <v>443상위25%</v>
      </c>
      <c r="B168" s="141">
        <v>443</v>
      </c>
      <c r="C168" s="103" t="s">
        <v>1623</v>
      </c>
      <c r="D168" s="159">
        <v>0.46400000000000002</v>
      </c>
      <c r="E168" s="159">
        <v>0.31900000000000001</v>
      </c>
      <c r="F168" s="159">
        <v>1.2999999999999999E-2</v>
      </c>
      <c r="G168" s="159">
        <v>0.995</v>
      </c>
      <c r="H168" s="159">
        <v>0.154</v>
      </c>
      <c r="I168" s="159">
        <v>1E-3</v>
      </c>
      <c r="J168" s="159">
        <v>0.156</v>
      </c>
      <c r="K168" s="159">
        <v>41.5</v>
      </c>
      <c r="L168" s="159">
        <v>138.30000000000001</v>
      </c>
      <c r="M168" s="159">
        <v>470.9</v>
      </c>
      <c r="N168" s="159">
        <v>2.9000000000000001E-2</v>
      </c>
    </row>
    <row r="169" spans="1:14" ht="16.5">
      <c r="A169" s="2" t="str">
        <f t="shared" si="2"/>
        <v>444상위25%</v>
      </c>
      <c r="B169" s="141">
        <v>444</v>
      </c>
      <c r="C169" s="103" t="s">
        <v>1623</v>
      </c>
      <c r="D169" s="159">
        <v>0.29299999999999998</v>
      </c>
      <c r="E169" s="159">
        <v>0.44600000000000001</v>
      </c>
      <c r="F169" s="159">
        <v>2.3E-2</v>
      </c>
      <c r="G169" s="159">
        <v>0.372</v>
      </c>
      <c r="H169" s="159">
        <v>0.18</v>
      </c>
      <c r="I169" s="159">
        <v>2.4E-2</v>
      </c>
      <c r="J169" s="159">
        <v>0.54800000000000004</v>
      </c>
      <c r="K169" s="159">
        <v>4.32</v>
      </c>
      <c r="L169" s="159">
        <v>27.2</v>
      </c>
      <c r="M169" s="159">
        <v>92.15</v>
      </c>
      <c r="N169" s="159">
        <v>0.25800000000000001</v>
      </c>
    </row>
    <row r="170" spans="1:14" ht="16.5">
      <c r="A170" s="2" t="str">
        <f t="shared" si="2"/>
        <v>445상위25%</v>
      </c>
      <c r="B170" s="141">
        <v>445</v>
      </c>
      <c r="C170" s="103" t="s">
        <v>1623</v>
      </c>
      <c r="D170" s="159">
        <v>0.52900000000000003</v>
      </c>
      <c r="E170" s="159">
        <v>0.187</v>
      </c>
      <c r="F170" s="159">
        <v>2.5999999999999999E-2</v>
      </c>
      <c r="G170" s="159">
        <v>0.42899999999999999</v>
      </c>
      <c r="H170" s="159">
        <v>0.39400000000000002</v>
      </c>
      <c r="I170" s="159">
        <v>6.2E-2</v>
      </c>
      <c r="J170" s="159">
        <v>1.0609999999999999</v>
      </c>
      <c r="K170" s="159">
        <v>8.35</v>
      </c>
      <c r="L170" s="159">
        <v>61.99</v>
      </c>
      <c r="M170" s="159">
        <v>41.07</v>
      </c>
      <c r="N170" s="159">
        <v>0.111</v>
      </c>
    </row>
    <row r="171" spans="1:14" ht="16.5">
      <c r="A171" s="2" t="str">
        <f t="shared" si="2"/>
        <v>446상위25%</v>
      </c>
      <c r="B171" s="141">
        <v>446</v>
      </c>
      <c r="C171" s="103" t="s">
        <v>1623</v>
      </c>
      <c r="D171" s="159">
        <v>0.748</v>
      </c>
      <c r="E171" s="159">
        <v>0.124</v>
      </c>
      <c r="F171" s="159">
        <v>7.0000000000000001E-3</v>
      </c>
      <c r="G171" s="159">
        <v>1.0740000000000001</v>
      </c>
      <c r="H171" s="159">
        <v>0.17499999999999999</v>
      </c>
      <c r="I171" s="159">
        <v>7.0000000000000001E-3</v>
      </c>
      <c r="J171" s="159">
        <v>0.16900000000000001</v>
      </c>
      <c r="K171" s="159">
        <v>14.12</v>
      </c>
      <c r="L171" s="159">
        <v>9.23</v>
      </c>
      <c r="M171" s="159">
        <v>24.68</v>
      </c>
      <c r="N171" s="159">
        <v>0.13900000000000001</v>
      </c>
    </row>
    <row r="172" spans="1:14" ht="16.5">
      <c r="A172" s="2" t="str">
        <f t="shared" si="2"/>
        <v>447상위25%</v>
      </c>
      <c r="B172" s="141">
        <v>447</v>
      </c>
      <c r="C172" s="103" t="s">
        <v>1623</v>
      </c>
      <c r="D172" s="159">
        <v>0.66700000000000004</v>
      </c>
      <c r="E172" s="159">
        <v>0.13400000000000001</v>
      </c>
      <c r="F172" s="159">
        <v>5.0000000000000001E-3</v>
      </c>
      <c r="G172" s="159">
        <v>1.0960000000000001</v>
      </c>
      <c r="H172" s="159">
        <v>7.0000000000000001E-3</v>
      </c>
      <c r="I172" s="159">
        <v>0</v>
      </c>
      <c r="J172" s="159">
        <v>6.0000000000000001E-3</v>
      </c>
      <c r="K172" s="159">
        <v>175.95</v>
      </c>
      <c r="L172" s="159">
        <v>0</v>
      </c>
      <c r="M172" s="159">
        <v>130.04</v>
      </c>
      <c r="N172" s="159">
        <v>0</v>
      </c>
    </row>
    <row r="173" spans="1:14" ht="16.5">
      <c r="A173" s="2" t="str">
        <f t="shared" si="2"/>
        <v>449상위25%</v>
      </c>
      <c r="B173" s="141">
        <v>449</v>
      </c>
      <c r="C173" s="103" t="s">
        <v>1623</v>
      </c>
      <c r="D173" s="159">
        <v>0.11600000000000001</v>
      </c>
      <c r="E173" s="159">
        <v>0.55400000000000005</v>
      </c>
      <c r="F173" s="159">
        <v>1.6E-2</v>
      </c>
      <c r="G173" s="159">
        <v>0.10299999999999999</v>
      </c>
      <c r="H173" s="159">
        <v>2.3E-2</v>
      </c>
      <c r="I173" s="159">
        <v>7.0000000000000001E-3</v>
      </c>
      <c r="J173" s="159">
        <v>0.29599999999999999</v>
      </c>
      <c r="K173" s="159">
        <v>8.84</v>
      </c>
      <c r="L173" s="159">
        <v>46.15</v>
      </c>
      <c r="M173" s="159">
        <v>971.85</v>
      </c>
      <c r="N173" s="159">
        <v>0.13400000000000001</v>
      </c>
    </row>
    <row r="174" spans="1:14" ht="16.5">
      <c r="A174" s="2" t="str">
        <f t="shared" si="2"/>
        <v>511상위25%</v>
      </c>
      <c r="B174" s="141">
        <v>511</v>
      </c>
      <c r="C174" s="103" t="s">
        <v>1623</v>
      </c>
      <c r="D174" s="159">
        <v>0.73399999999999999</v>
      </c>
      <c r="E174" s="159">
        <v>7.6999999999999999E-2</v>
      </c>
      <c r="F174" s="159">
        <v>1.4999999999999999E-2</v>
      </c>
      <c r="G174" s="159">
        <v>0.96799999999999997</v>
      </c>
      <c r="H174" s="159">
        <v>0.377</v>
      </c>
      <c r="I174" s="159">
        <v>0</v>
      </c>
      <c r="J174" s="159">
        <v>0.38900000000000001</v>
      </c>
      <c r="K174" s="159">
        <v>34.33</v>
      </c>
      <c r="L174" s="159">
        <v>3.05</v>
      </c>
      <c r="M174" s="159">
        <v>555.08000000000004</v>
      </c>
      <c r="N174" s="159">
        <v>0.35499999999999998</v>
      </c>
    </row>
    <row r="175" spans="1:14" ht="16.5">
      <c r="A175" s="2" t="str">
        <f t="shared" si="2"/>
        <v>512상위25%</v>
      </c>
      <c r="B175" s="141">
        <v>512</v>
      </c>
      <c r="C175" s="103" t="s">
        <v>1623</v>
      </c>
      <c r="D175" s="159">
        <v>0.83199999999999996</v>
      </c>
      <c r="E175" s="159">
        <v>8.3000000000000004E-2</v>
      </c>
      <c r="F175" s="159">
        <v>1.2E-2</v>
      </c>
      <c r="G175" s="159">
        <v>1.2270000000000001</v>
      </c>
      <c r="H175" s="159">
        <v>0.46899999999999997</v>
      </c>
      <c r="I175" s="159">
        <v>0</v>
      </c>
      <c r="J175" s="159">
        <v>0.38200000000000001</v>
      </c>
      <c r="K175" s="159">
        <v>4.41</v>
      </c>
      <c r="L175" s="159">
        <v>5.48</v>
      </c>
      <c r="M175" s="159">
        <v>75.08</v>
      </c>
      <c r="N175" s="159">
        <v>0.39600000000000002</v>
      </c>
    </row>
    <row r="176" spans="1:14" ht="16.5">
      <c r="A176" s="2" t="str">
        <f t="shared" si="2"/>
        <v>520상위25%</v>
      </c>
      <c r="B176" s="141">
        <v>520</v>
      </c>
      <c r="C176" s="103" t="s">
        <v>1623</v>
      </c>
      <c r="D176" s="159">
        <v>0.67700000000000005</v>
      </c>
      <c r="E176" s="159">
        <v>9.7000000000000003E-2</v>
      </c>
      <c r="F176" s="159">
        <v>0.04</v>
      </c>
      <c r="G176" s="159">
        <v>0.46899999999999997</v>
      </c>
      <c r="H176" s="159">
        <v>0.45100000000000001</v>
      </c>
      <c r="I176" s="159">
        <v>5.0000000000000001E-3</v>
      </c>
      <c r="J176" s="159">
        <v>0.97299999999999998</v>
      </c>
      <c r="K176" s="159">
        <v>7.22</v>
      </c>
      <c r="L176" s="159">
        <v>1.49</v>
      </c>
      <c r="M176" s="159">
        <v>12.94</v>
      </c>
      <c r="N176" s="159">
        <v>0.73099999999999998</v>
      </c>
    </row>
    <row r="177" spans="1:14" ht="16.5">
      <c r="A177" s="2" t="str">
        <f t="shared" si="2"/>
        <v>611상위25%</v>
      </c>
      <c r="B177" s="141">
        <v>611</v>
      </c>
      <c r="C177" s="103" t="s">
        <v>1623</v>
      </c>
      <c r="D177" s="159">
        <v>0.75900000000000001</v>
      </c>
      <c r="E177" s="159">
        <v>0.121</v>
      </c>
      <c r="F177" s="159">
        <v>8.0000000000000002E-3</v>
      </c>
      <c r="G177" s="159">
        <v>1.3120000000000001</v>
      </c>
      <c r="H177" s="159">
        <v>0.247</v>
      </c>
      <c r="I177" s="159">
        <v>4.7E-2</v>
      </c>
      <c r="J177" s="159">
        <v>0.224</v>
      </c>
      <c r="K177" s="159">
        <v>24.7</v>
      </c>
      <c r="L177" s="159">
        <v>3.77</v>
      </c>
      <c r="M177" s="159">
        <v>44.58</v>
      </c>
      <c r="N177" s="159">
        <v>0.28299999999999997</v>
      </c>
    </row>
    <row r="178" spans="1:14" ht="16.5">
      <c r="A178" s="2" t="str">
        <f t="shared" si="2"/>
        <v>612상위25%</v>
      </c>
      <c r="B178" s="141">
        <v>612</v>
      </c>
      <c r="C178" s="103" t="s">
        <v>1623</v>
      </c>
      <c r="D178" s="159">
        <v>0.74</v>
      </c>
      <c r="E178" s="159">
        <v>0.11799999999999999</v>
      </c>
      <c r="F178" s="159">
        <v>1.7000000000000001E-2</v>
      </c>
      <c r="G178" s="159">
        <v>0.93500000000000005</v>
      </c>
      <c r="H178" s="159">
        <v>0.57099999999999995</v>
      </c>
      <c r="I178" s="159">
        <v>1.2999999999999999E-2</v>
      </c>
      <c r="J178" s="159">
        <v>0.624</v>
      </c>
      <c r="K178" s="159">
        <v>6.51</v>
      </c>
      <c r="L178" s="159">
        <v>16.489999999999998</v>
      </c>
      <c r="M178" s="159">
        <v>19.88</v>
      </c>
      <c r="N178" s="159">
        <v>0.16400000000000001</v>
      </c>
    </row>
    <row r="179" spans="1:14" ht="16.5">
      <c r="A179" s="2" t="str">
        <f t="shared" si="2"/>
        <v>619상위25%</v>
      </c>
      <c r="B179" s="141">
        <v>619</v>
      </c>
      <c r="C179" s="103" t="s">
        <v>1623</v>
      </c>
      <c r="D179" s="159">
        <v>0.68400000000000005</v>
      </c>
      <c r="E179" s="159">
        <v>0.123</v>
      </c>
      <c r="F179" s="159">
        <v>1.6E-2</v>
      </c>
      <c r="G179" s="159">
        <v>0.87</v>
      </c>
      <c r="H179" s="159">
        <v>0.219</v>
      </c>
      <c r="I179" s="159">
        <v>8.0000000000000002E-3</v>
      </c>
      <c r="J179" s="159">
        <v>0.26100000000000001</v>
      </c>
      <c r="K179" s="159">
        <v>8.9600000000000009</v>
      </c>
      <c r="L179" s="159">
        <v>12.42</v>
      </c>
      <c r="M179" s="159">
        <v>16.62</v>
      </c>
      <c r="N179" s="159">
        <v>0.13200000000000001</v>
      </c>
    </row>
    <row r="180" spans="1:14" ht="16.5">
      <c r="A180" s="2" t="str">
        <f t="shared" si="2"/>
        <v>621상위25%</v>
      </c>
      <c r="B180" s="141">
        <v>621</v>
      </c>
      <c r="C180" s="103" t="s">
        <v>1623</v>
      </c>
      <c r="D180" s="159">
        <v>0.90700000000000003</v>
      </c>
      <c r="E180" s="159">
        <v>1.9E-2</v>
      </c>
      <c r="F180" s="159">
        <v>1E-3</v>
      </c>
      <c r="G180" s="159">
        <v>0.80100000000000005</v>
      </c>
      <c r="H180" s="159">
        <v>0.33300000000000002</v>
      </c>
      <c r="I180" s="159">
        <v>2E-3</v>
      </c>
      <c r="J180" s="159">
        <v>0.41799999999999998</v>
      </c>
      <c r="K180" s="159">
        <v>119.05</v>
      </c>
      <c r="L180" s="159">
        <v>7.34</v>
      </c>
      <c r="M180" s="159">
        <v>14.67</v>
      </c>
      <c r="N180" s="159">
        <v>7.6999999999999999E-2</v>
      </c>
    </row>
    <row r="181" spans="1:14" ht="16.5">
      <c r="A181" s="2" t="str">
        <f t="shared" si="2"/>
        <v>622상위25%</v>
      </c>
      <c r="B181" s="141">
        <v>622</v>
      </c>
      <c r="C181" s="103" t="s">
        <v>1623</v>
      </c>
      <c r="D181" s="159">
        <v>0.77600000000000002</v>
      </c>
      <c r="E181" s="159">
        <v>9.2999999999999999E-2</v>
      </c>
      <c r="F181" s="159">
        <v>4.8000000000000001E-2</v>
      </c>
      <c r="G181" s="159">
        <v>0.63800000000000001</v>
      </c>
      <c r="H181" s="159">
        <v>0.73299999999999998</v>
      </c>
      <c r="I181" s="159">
        <v>8.0000000000000002E-3</v>
      </c>
      <c r="J181" s="159">
        <v>1.1619999999999999</v>
      </c>
      <c r="K181" s="159">
        <v>5.38</v>
      </c>
      <c r="L181" s="159">
        <v>11.39</v>
      </c>
      <c r="M181" s="159">
        <v>36.93</v>
      </c>
      <c r="N181" s="159">
        <v>0.247</v>
      </c>
    </row>
    <row r="182" spans="1:14" ht="16.5">
      <c r="A182" s="2" t="str">
        <f t="shared" si="2"/>
        <v>623상위25%</v>
      </c>
      <c r="B182" s="141">
        <v>623</v>
      </c>
      <c r="C182" s="103" t="s">
        <v>1623</v>
      </c>
      <c r="D182" s="159">
        <v>0.746</v>
      </c>
      <c r="E182" s="159">
        <v>0.11799999999999999</v>
      </c>
      <c r="F182" s="159">
        <v>7.3999999999999996E-2</v>
      </c>
      <c r="G182" s="159">
        <v>0.33200000000000002</v>
      </c>
      <c r="H182" s="159">
        <v>0.42</v>
      </c>
      <c r="I182" s="159">
        <v>2.3E-2</v>
      </c>
      <c r="J182" s="159">
        <v>1.3320000000000001</v>
      </c>
      <c r="K182" s="159">
        <v>2.77</v>
      </c>
      <c r="L182" s="159">
        <v>1.55</v>
      </c>
      <c r="M182" s="159">
        <v>6.62</v>
      </c>
      <c r="N182" s="159">
        <v>0.85399999999999998</v>
      </c>
    </row>
    <row r="183" spans="1:14" ht="16.5">
      <c r="A183" s="2" t="str">
        <f t="shared" si="2"/>
        <v>624상위25%</v>
      </c>
      <c r="B183" s="141">
        <v>624</v>
      </c>
      <c r="C183" s="103" t="s">
        <v>1623</v>
      </c>
      <c r="D183" s="159">
        <v>0.749</v>
      </c>
      <c r="E183" s="159">
        <v>9.8000000000000004E-2</v>
      </c>
      <c r="F183" s="159">
        <v>1.4E-2</v>
      </c>
      <c r="G183" s="159">
        <v>0.627</v>
      </c>
      <c r="H183" s="159">
        <v>0.51700000000000002</v>
      </c>
      <c r="I183" s="159">
        <v>3.0000000000000001E-3</v>
      </c>
      <c r="J183" s="159">
        <v>0.82899999999999996</v>
      </c>
      <c r="K183" s="159">
        <v>10.83</v>
      </c>
      <c r="L183" s="159">
        <v>8.82</v>
      </c>
      <c r="M183" s="159">
        <v>16.93</v>
      </c>
      <c r="N183" s="159">
        <v>0.14699999999999999</v>
      </c>
    </row>
    <row r="184" spans="1:14" ht="16.5">
      <c r="A184" s="2" t="str">
        <f t="shared" si="2"/>
        <v>625상위25%</v>
      </c>
      <c r="B184" s="141">
        <v>625</v>
      </c>
      <c r="C184" s="103" t="s">
        <v>1623</v>
      </c>
      <c r="D184" s="159">
        <v>0.68500000000000005</v>
      </c>
      <c r="E184" s="159">
        <v>0.11</v>
      </c>
      <c r="F184" s="159">
        <v>1.0999999999999999E-2</v>
      </c>
      <c r="G184" s="159">
        <v>0.76500000000000001</v>
      </c>
      <c r="H184" s="159">
        <v>0.29099999999999998</v>
      </c>
      <c r="I184" s="159">
        <v>5.0000000000000001E-3</v>
      </c>
      <c r="J184" s="159">
        <v>0.38700000000000001</v>
      </c>
      <c r="K184" s="159">
        <v>8.3000000000000007</v>
      </c>
      <c r="L184" s="159">
        <v>4.3600000000000003</v>
      </c>
      <c r="M184" s="159">
        <v>20.73</v>
      </c>
      <c r="N184" s="159">
        <v>0.30199999999999999</v>
      </c>
    </row>
    <row r="185" spans="1:14" ht="16.5">
      <c r="A185" s="2" t="str">
        <f t="shared" si="2"/>
        <v>626상위25%</v>
      </c>
      <c r="B185" s="141">
        <v>626</v>
      </c>
      <c r="C185" s="103" t="s">
        <v>1623</v>
      </c>
      <c r="D185" s="159">
        <v>0.629</v>
      </c>
      <c r="E185" s="159">
        <v>0.16</v>
      </c>
      <c r="F185" s="159">
        <v>1.2E-2</v>
      </c>
      <c r="G185" s="159">
        <v>0.73</v>
      </c>
      <c r="H185" s="159">
        <v>0.23300000000000001</v>
      </c>
      <c r="I185" s="159">
        <v>1.4999999999999999E-2</v>
      </c>
      <c r="J185" s="159">
        <v>0.34</v>
      </c>
      <c r="K185" s="159">
        <v>4.5599999999999996</v>
      </c>
      <c r="L185" s="159">
        <v>10.27</v>
      </c>
      <c r="M185" s="159">
        <v>16.87</v>
      </c>
      <c r="N185" s="159">
        <v>0.25700000000000001</v>
      </c>
    </row>
    <row r="186" spans="1:14" ht="16.5">
      <c r="A186" s="2" t="str">
        <f t="shared" si="2"/>
        <v>627상위25%</v>
      </c>
      <c r="B186" s="141">
        <v>627</v>
      </c>
      <c r="C186" s="103" t="s">
        <v>1623</v>
      </c>
      <c r="D186" s="159">
        <v>0.68600000000000005</v>
      </c>
      <c r="E186" s="159">
        <v>0.13100000000000001</v>
      </c>
      <c r="F186" s="159">
        <v>1.4E-2</v>
      </c>
      <c r="G186" s="159">
        <v>0.81499999999999995</v>
      </c>
      <c r="H186" s="159">
        <v>0.33400000000000002</v>
      </c>
      <c r="I186" s="159">
        <v>0.02</v>
      </c>
      <c r="J186" s="159">
        <v>0.434</v>
      </c>
      <c r="K186" s="159">
        <v>5.67</v>
      </c>
      <c r="L186" s="159">
        <v>9.77</v>
      </c>
      <c r="M186" s="159">
        <v>13.66</v>
      </c>
      <c r="N186" s="159">
        <v>0.20499999999999999</v>
      </c>
    </row>
    <row r="187" spans="1:14" ht="16.5">
      <c r="A187" s="2" t="str">
        <f t="shared" si="2"/>
        <v>628상위25%</v>
      </c>
      <c r="B187" s="141">
        <v>628</v>
      </c>
      <c r="C187" s="103" t="s">
        <v>1623</v>
      </c>
      <c r="D187" s="159">
        <v>0.78400000000000003</v>
      </c>
      <c r="E187" s="159">
        <v>0.105</v>
      </c>
      <c r="F187" s="159">
        <v>2.7E-2</v>
      </c>
      <c r="G187" s="159">
        <v>0.90400000000000003</v>
      </c>
      <c r="H187" s="159">
        <v>0.45100000000000001</v>
      </c>
      <c r="I187" s="159">
        <v>2.3E-2</v>
      </c>
      <c r="J187" s="159">
        <v>0.52400000000000002</v>
      </c>
      <c r="K187" s="159">
        <v>6.55</v>
      </c>
      <c r="L187" s="159">
        <v>4.54</v>
      </c>
      <c r="M187" s="159">
        <v>17.22</v>
      </c>
      <c r="N187" s="159">
        <v>0.315</v>
      </c>
    </row>
    <row r="188" spans="1:14" ht="16.5">
      <c r="A188" s="2" t="str">
        <f t="shared" si="2"/>
        <v>629상위25%</v>
      </c>
      <c r="B188" s="141">
        <v>629</v>
      </c>
      <c r="C188" s="103" t="s">
        <v>1623</v>
      </c>
      <c r="D188" s="159">
        <v>0.72099999999999997</v>
      </c>
      <c r="E188" s="159">
        <v>0.11799999999999999</v>
      </c>
      <c r="F188" s="159">
        <v>2.1000000000000001E-2</v>
      </c>
      <c r="G188" s="159">
        <v>0.77400000000000002</v>
      </c>
      <c r="H188" s="159">
        <v>0.499</v>
      </c>
      <c r="I188" s="159">
        <v>7.0000000000000001E-3</v>
      </c>
      <c r="J188" s="159">
        <v>0.65400000000000003</v>
      </c>
      <c r="K188" s="159">
        <v>5.61</v>
      </c>
      <c r="L188" s="159">
        <v>12.39</v>
      </c>
      <c r="M188" s="159">
        <v>11.07</v>
      </c>
      <c r="N188" s="159">
        <v>0.16900000000000001</v>
      </c>
    </row>
    <row r="189" spans="1:14" ht="16.5">
      <c r="A189" s="2" t="str">
        <f t="shared" si="2"/>
        <v>631상위25%</v>
      </c>
      <c r="B189" s="141">
        <v>631</v>
      </c>
      <c r="C189" s="103" t="s">
        <v>1623</v>
      </c>
      <c r="D189" s="159">
        <v>0.67400000000000004</v>
      </c>
      <c r="E189" s="159">
        <v>0.17399999999999999</v>
      </c>
      <c r="F189" s="159">
        <v>1.0999999999999999E-2</v>
      </c>
      <c r="G189" s="159">
        <v>0.997</v>
      </c>
      <c r="H189" s="159">
        <v>0.13600000000000001</v>
      </c>
      <c r="I189" s="159">
        <v>6.8000000000000005E-2</v>
      </c>
      <c r="J189" s="159">
        <v>0.20499999999999999</v>
      </c>
      <c r="K189" s="159">
        <v>11.45</v>
      </c>
      <c r="L189" s="159">
        <v>11.4</v>
      </c>
      <c r="M189" s="159">
        <v>18.309999999999999</v>
      </c>
      <c r="N189" s="159">
        <v>0.12</v>
      </c>
    </row>
    <row r="190" spans="1:14" ht="16.5">
      <c r="A190" s="2" t="str">
        <f t="shared" si="2"/>
        <v>632상위25%</v>
      </c>
      <c r="B190" s="141">
        <v>632</v>
      </c>
      <c r="C190" s="103" t="s">
        <v>1623</v>
      </c>
      <c r="D190" s="159">
        <v>0.72699999999999998</v>
      </c>
      <c r="E190" s="159">
        <v>0.13700000000000001</v>
      </c>
      <c r="F190" s="159">
        <v>1.2999999999999999E-2</v>
      </c>
      <c r="G190" s="159">
        <v>1.0669999999999999</v>
      </c>
      <c r="H190" s="159">
        <v>0.217</v>
      </c>
      <c r="I190" s="159">
        <v>3.0000000000000001E-3</v>
      </c>
      <c r="J190" s="159">
        <v>0.20599999999999999</v>
      </c>
      <c r="K190" s="159">
        <v>12.15</v>
      </c>
      <c r="L190" s="159">
        <v>15.01</v>
      </c>
      <c r="M190" s="159">
        <v>18.260000000000002</v>
      </c>
      <c r="N190" s="159">
        <v>9.4E-2</v>
      </c>
    </row>
    <row r="191" spans="1:14" ht="16.5">
      <c r="A191" s="2" t="str">
        <f t="shared" si="2"/>
        <v>633상위25%</v>
      </c>
      <c r="B191" s="141">
        <v>633</v>
      </c>
      <c r="C191" s="103" t="s">
        <v>1623</v>
      </c>
      <c r="D191" s="159">
        <v>0.35299999999999998</v>
      </c>
      <c r="E191" s="159">
        <v>0.41399999999999998</v>
      </c>
      <c r="F191" s="159">
        <v>2.8000000000000001E-2</v>
      </c>
      <c r="G191" s="159">
        <v>0.67800000000000005</v>
      </c>
      <c r="H191" s="159">
        <v>0.13500000000000001</v>
      </c>
      <c r="I191" s="159">
        <v>5.8000000000000003E-2</v>
      </c>
      <c r="J191" s="159">
        <v>0.28399999999999997</v>
      </c>
      <c r="K191" s="159">
        <v>6.82</v>
      </c>
      <c r="L191" s="159">
        <v>116.97</v>
      </c>
      <c r="M191" s="159">
        <v>37.840000000000003</v>
      </c>
      <c r="N191" s="159">
        <v>0.129</v>
      </c>
    </row>
    <row r="192" spans="1:14" ht="16.5">
      <c r="A192" s="2" t="str">
        <f t="shared" si="2"/>
        <v>634상위25%</v>
      </c>
      <c r="B192" s="141">
        <v>634</v>
      </c>
      <c r="C192" s="103" t="s">
        <v>1623</v>
      </c>
      <c r="D192" s="159">
        <v>0.28599999999999998</v>
      </c>
      <c r="E192" s="159">
        <v>0.442</v>
      </c>
      <c r="F192" s="159">
        <v>0.03</v>
      </c>
      <c r="G192" s="159">
        <v>0.41499999999999998</v>
      </c>
      <c r="H192" s="159">
        <v>0.214</v>
      </c>
      <c r="I192" s="159">
        <v>3.4000000000000002E-2</v>
      </c>
      <c r="J192" s="159">
        <v>0.59899999999999998</v>
      </c>
      <c r="K192" s="159">
        <v>5.56</v>
      </c>
      <c r="L192" s="159">
        <v>32.94</v>
      </c>
      <c r="M192" s="159">
        <v>89.06</v>
      </c>
      <c r="N192" s="159">
        <v>0.19900000000000001</v>
      </c>
    </row>
    <row r="193" spans="1:14" ht="16.5">
      <c r="A193" s="2" t="str">
        <f t="shared" si="2"/>
        <v>635상위25%</v>
      </c>
      <c r="B193" s="141">
        <v>635</v>
      </c>
      <c r="C193" s="103" t="s">
        <v>1623</v>
      </c>
      <c r="D193" s="159">
        <v>0.36299999999999999</v>
      </c>
      <c r="E193" s="159">
        <v>0.41</v>
      </c>
      <c r="F193" s="159">
        <v>4.5999999999999999E-2</v>
      </c>
      <c r="G193" s="159">
        <v>0.65600000000000003</v>
      </c>
      <c r="H193" s="159">
        <v>0.45900000000000002</v>
      </c>
      <c r="I193" s="159">
        <v>6.0000000000000001E-3</v>
      </c>
      <c r="J193" s="159">
        <v>0.70899999999999996</v>
      </c>
      <c r="K193" s="159">
        <v>6.75</v>
      </c>
      <c r="L193" s="159">
        <v>149.30000000000001</v>
      </c>
      <c r="M193" s="159">
        <v>88.71</v>
      </c>
      <c r="N193" s="159">
        <v>0.14399999999999999</v>
      </c>
    </row>
    <row r="194" spans="1:14" ht="16.5">
      <c r="A194" s="2" t="str">
        <f t="shared" si="2"/>
        <v>636상위25%</v>
      </c>
      <c r="B194" s="141">
        <v>636</v>
      </c>
      <c r="C194" s="103" t="s">
        <v>1623</v>
      </c>
      <c r="D194" s="159">
        <v>0.52900000000000003</v>
      </c>
      <c r="E194" s="159">
        <v>0.187</v>
      </c>
      <c r="F194" s="159">
        <v>2.5999999999999999E-2</v>
      </c>
      <c r="G194" s="159">
        <v>0.42899999999999999</v>
      </c>
      <c r="H194" s="159">
        <v>0.39400000000000002</v>
      </c>
      <c r="I194" s="159">
        <v>6.2E-2</v>
      </c>
      <c r="J194" s="159">
        <v>1.0609999999999999</v>
      </c>
      <c r="K194" s="159">
        <v>8.35</v>
      </c>
      <c r="L194" s="159">
        <v>61.99</v>
      </c>
      <c r="M194" s="159">
        <v>41.07</v>
      </c>
      <c r="N194" s="159">
        <v>0.111</v>
      </c>
    </row>
    <row r="195" spans="1:14" ht="16.5">
      <c r="A195" s="2" t="str">
        <f t="shared" ref="A195:A258" si="3">B195&amp;C195</f>
        <v>637상위25%</v>
      </c>
      <c r="B195" s="141">
        <v>637</v>
      </c>
      <c r="C195" s="103" t="s">
        <v>1623</v>
      </c>
      <c r="D195" s="159">
        <v>0.38100000000000001</v>
      </c>
      <c r="E195" s="159">
        <v>0.39700000000000002</v>
      </c>
      <c r="F195" s="159">
        <v>1.6E-2</v>
      </c>
      <c r="G195" s="159">
        <v>0.92500000000000004</v>
      </c>
      <c r="H195" s="159">
        <v>0.19700000000000001</v>
      </c>
      <c r="I195" s="159">
        <v>2.5999999999999999E-2</v>
      </c>
      <c r="J195" s="159">
        <v>0.24</v>
      </c>
      <c r="K195" s="159">
        <v>6.77</v>
      </c>
      <c r="L195" s="159">
        <v>14.73</v>
      </c>
      <c r="M195" s="159">
        <v>27.18</v>
      </c>
      <c r="N195" s="159">
        <v>0.17899999999999999</v>
      </c>
    </row>
    <row r="196" spans="1:14" ht="16.5">
      <c r="A196" s="2" t="str">
        <f t="shared" si="3"/>
        <v>639상위25%</v>
      </c>
      <c r="B196" s="141">
        <v>639</v>
      </c>
      <c r="C196" s="103" t="s">
        <v>1623</v>
      </c>
      <c r="D196" s="159">
        <v>0.20100000000000001</v>
      </c>
      <c r="E196" s="159">
        <v>0.53900000000000003</v>
      </c>
      <c r="F196" s="159">
        <v>0.05</v>
      </c>
      <c r="G196" s="159">
        <v>0.54</v>
      </c>
      <c r="H196" s="159">
        <v>0.84199999999999997</v>
      </c>
      <c r="I196" s="159">
        <v>0</v>
      </c>
      <c r="J196" s="159">
        <v>1.5609999999999999</v>
      </c>
      <c r="K196" s="159">
        <v>0</v>
      </c>
      <c r="L196" s="159">
        <v>169.09</v>
      </c>
      <c r="M196" s="159">
        <v>424.91</v>
      </c>
      <c r="N196" s="159">
        <v>0</v>
      </c>
    </row>
    <row r="197" spans="1:14" ht="16.5">
      <c r="A197" s="2" t="str">
        <f t="shared" si="3"/>
        <v>711상위25%</v>
      </c>
      <c r="B197" s="141">
        <v>711</v>
      </c>
      <c r="C197" s="103" t="s">
        <v>1623</v>
      </c>
      <c r="D197" s="159">
        <v>0.82899999999999996</v>
      </c>
      <c r="E197" s="159">
        <v>9.0999999999999998E-2</v>
      </c>
      <c r="F197" s="159">
        <v>2.5999999999999999E-2</v>
      </c>
      <c r="G197" s="159">
        <v>1.0920000000000001</v>
      </c>
      <c r="H197" s="159">
        <v>0.42399999999999999</v>
      </c>
      <c r="I197" s="159">
        <v>1.9E-2</v>
      </c>
      <c r="J197" s="159">
        <v>0.40600000000000003</v>
      </c>
      <c r="K197" s="159">
        <v>12.94</v>
      </c>
      <c r="L197" s="159">
        <v>22.05</v>
      </c>
      <c r="M197" s="159">
        <v>29.9</v>
      </c>
      <c r="N197" s="159">
        <v>8.8999999999999996E-2</v>
      </c>
    </row>
    <row r="198" spans="1:14" ht="16.5">
      <c r="A198" s="2" t="str">
        <f t="shared" si="3"/>
        <v>712상위25%</v>
      </c>
      <c r="B198" s="141">
        <v>712</v>
      </c>
      <c r="C198" s="103" t="s">
        <v>1623</v>
      </c>
      <c r="D198" s="159">
        <v>0.68400000000000005</v>
      </c>
      <c r="E198" s="159">
        <v>0.107</v>
      </c>
      <c r="F198" s="159">
        <v>1.0999999999999999E-2</v>
      </c>
      <c r="G198" s="159">
        <v>0.69399999999999995</v>
      </c>
      <c r="H198" s="159">
        <v>0.21099999999999999</v>
      </c>
      <c r="I198" s="159">
        <v>4.0000000000000001E-3</v>
      </c>
      <c r="J198" s="159">
        <v>0.309</v>
      </c>
      <c r="K198" s="159">
        <v>10.43</v>
      </c>
      <c r="L198" s="159">
        <v>14.33</v>
      </c>
      <c r="M198" s="159">
        <v>29.89</v>
      </c>
      <c r="N198" s="159">
        <v>0.13200000000000001</v>
      </c>
    </row>
    <row r="199" spans="1:14" ht="16.5">
      <c r="A199" s="2" t="str">
        <f t="shared" si="3"/>
        <v>721상위25%</v>
      </c>
      <c r="B199" s="141">
        <v>721</v>
      </c>
      <c r="C199" s="103" t="s">
        <v>1623</v>
      </c>
      <c r="D199" s="159">
        <v>0.77800000000000002</v>
      </c>
      <c r="E199" s="159">
        <v>0.114</v>
      </c>
      <c r="F199" s="159">
        <v>0.02</v>
      </c>
      <c r="G199" s="159">
        <v>0.90500000000000003</v>
      </c>
      <c r="H199" s="159">
        <v>0.45900000000000002</v>
      </c>
      <c r="I199" s="159">
        <v>5.0000000000000001E-3</v>
      </c>
      <c r="J199" s="159">
        <v>0.51200000000000001</v>
      </c>
      <c r="K199" s="159">
        <v>7.5</v>
      </c>
      <c r="L199" s="159">
        <v>5.0599999999999996</v>
      </c>
      <c r="M199" s="159">
        <v>26.5</v>
      </c>
      <c r="N199" s="159">
        <v>0.29299999999999998</v>
      </c>
    </row>
    <row r="200" spans="1:14" ht="16.5">
      <c r="A200" s="2" t="str">
        <f t="shared" si="3"/>
        <v>722상위25%</v>
      </c>
      <c r="B200" s="141">
        <v>722</v>
      </c>
      <c r="C200" s="103" t="s">
        <v>1623</v>
      </c>
      <c r="D200" s="159">
        <v>0.747</v>
      </c>
      <c r="E200" s="159">
        <v>0.115</v>
      </c>
      <c r="F200" s="159">
        <v>2.5000000000000001E-2</v>
      </c>
      <c r="G200" s="159">
        <v>1.044</v>
      </c>
      <c r="H200" s="159">
        <v>0.39200000000000002</v>
      </c>
      <c r="I200" s="159">
        <v>4.0000000000000001E-3</v>
      </c>
      <c r="J200" s="159">
        <v>0.379</v>
      </c>
      <c r="K200" s="159">
        <v>9.44</v>
      </c>
      <c r="L200" s="159">
        <v>5.59</v>
      </c>
      <c r="M200" s="159">
        <v>20.99</v>
      </c>
      <c r="N200" s="159">
        <v>0.23699999999999999</v>
      </c>
    </row>
    <row r="201" spans="1:14" ht="16.5">
      <c r="A201" s="2" t="str">
        <f t="shared" si="3"/>
        <v>730상위25%</v>
      </c>
      <c r="B201" s="141">
        <v>730</v>
      </c>
      <c r="C201" s="103" t="s">
        <v>1623</v>
      </c>
      <c r="D201" s="159">
        <v>0.755</v>
      </c>
      <c r="E201" s="159">
        <v>0.13800000000000001</v>
      </c>
      <c r="F201" s="159">
        <v>2.9000000000000001E-2</v>
      </c>
      <c r="G201" s="159">
        <v>0.85899999999999999</v>
      </c>
      <c r="H201" s="159">
        <v>0.54900000000000004</v>
      </c>
      <c r="I201" s="159">
        <v>0.01</v>
      </c>
      <c r="J201" s="159">
        <v>0.65</v>
      </c>
      <c r="K201" s="159">
        <v>7.2</v>
      </c>
      <c r="L201" s="159">
        <v>6.46</v>
      </c>
      <c r="M201" s="159">
        <v>19.079999999999998</v>
      </c>
      <c r="N201" s="159">
        <v>0.24099999999999999</v>
      </c>
    </row>
    <row r="202" spans="1:14" ht="16.5">
      <c r="A202" s="2" t="str">
        <f t="shared" si="3"/>
        <v>740상위25%</v>
      </c>
      <c r="B202" s="141">
        <v>740</v>
      </c>
      <c r="C202" s="103" t="s">
        <v>1623</v>
      </c>
      <c r="D202" s="159">
        <v>0.82899999999999996</v>
      </c>
      <c r="E202" s="159">
        <v>4.2999999999999997E-2</v>
      </c>
      <c r="F202" s="159">
        <v>1.4E-2</v>
      </c>
      <c r="G202" s="159">
        <v>0.98599999999999999</v>
      </c>
      <c r="H202" s="159">
        <v>0.27500000000000002</v>
      </c>
      <c r="I202" s="159">
        <v>2E-3</v>
      </c>
      <c r="J202" s="159">
        <v>0.28199999999999997</v>
      </c>
      <c r="K202" s="159">
        <v>7.65</v>
      </c>
      <c r="L202" s="159">
        <v>14.7</v>
      </c>
      <c r="M202" s="159">
        <v>26.83</v>
      </c>
      <c r="N202" s="159">
        <v>0.161</v>
      </c>
    </row>
    <row r="203" spans="1:14" ht="16.5">
      <c r="A203" s="2" t="str">
        <f t="shared" si="3"/>
        <v>750상위25%</v>
      </c>
      <c r="B203" s="141">
        <v>750</v>
      </c>
      <c r="C203" s="103" t="s">
        <v>1623</v>
      </c>
      <c r="D203" s="159">
        <v>0.41199999999999998</v>
      </c>
      <c r="E203" s="159">
        <v>0.49399999999999999</v>
      </c>
      <c r="F203" s="159">
        <v>2.3E-2</v>
      </c>
      <c r="G203" s="159">
        <v>0.76800000000000002</v>
      </c>
      <c r="H203" s="159">
        <v>0.24399999999999999</v>
      </c>
      <c r="I203" s="159">
        <v>5.0000000000000001E-3</v>
      </c>
      <c r="J203" s="159">
        <v>0.32400000000000001</v>
      </c>
      <c r="K203" s="159">
        <v>16.3</v>
      </c>
      <c r="L203" s="159">
        <v>19.13</v>
      </c>
      <c r="M203" s="159">
        <v>31.2</v>
      </c>
      <c r="N203" s="159">
        <v>8.2000000000000003E-2</v>
      </c>
    </row>
    <row r="204" spans="1:14" ht="16.5">
      <c r="A204" s="2" t="str">
        <f t="shared" si="3"/>
        <v>761상위25%</v>
      </c>
      <c r="B204" s="141">
        <v>761</v>
      </c>
      <c r="C204" s="103" t="s">
        <v>1623</v>
      </c>
      <c r="D204" s="159">
        <v>0.746</v>
      </c>
      <c r="E204" s="159">
        <v>0.151</v>
      </c>
      <c r="F204" s="159">
        <v>0.02</v>
      </c>
      <c r="G204" s="159">
        <v>0.995</v>
      </c>
      <c r="H204" s="159">
        <v>0.44</v>
      </c>
      <c r="I204" s="159">
        <v>5.0000000000000001E-3</v>
      </c>
      <c r="J204" s="159">
        <v>0.44800000000000001</v>
      </c>
      <c r="K204" s="159">
        <v>7.39</v>
      </c>
      <c r="L204" s="159">
        <v>6.35</v>
      </c>
      <c r="M204" s="159">
        <v>33.07</v>
      </c>
      <c r="N204" s="159">
        <v>0.26200000000000001</v>
      </c>
    </row>
    <row r="205" spans="1:14" ht="16.5">
      <c r="A205" s="2" t="str">
        <f t="shared" si="3"/>
        <v>762상위25%</v>
      </c>
      <c r="B205" s="141">
        <v>762</v>
      </c>
      <c r="C205" s="103" t="s">
        <v>1623</v>
      </c>
      <c r="D205" s="159">
        <v>0.81699999999999995</v>
      </c>
      <c r="E205" s="159">
        <v>9.7000000000000003E-2</v>
      </c>
      <c r="F205" s="159">
        <v>1.7999999999999999E-2</v>
      </c>
      <c r="G205" s="159">
        <v>0.25700000000000001</v>
      </c>
      <c r="H205" s="159">
        <v>0.20499999999999999</v>
      </c>
      <c r="I205" s="159">
        <v>4.0000000000000001E-3</v>
      </c>
      <c r="J205" s="159">
        <v>0.81499999999999995</v>
      </c>
      <c r="K205" s="159">
        <v>4.66</v>
      </c>
      <c r="L205" s="159">
        <v>16.25</v>
      </c>
      <c r="M205" s="159">
        <v>84.51</v>
      </c>
      <c r="N205" s="159">
        <v>0.26400000000000001</v>
      </c>
    </row>
    <row r="206" spans="1:14" ht="16.5">
      <c r="A206" s="2" t="str">
        <f t="shared" si="3"/>
        <v>770상위25%</v>
      </c>
      <c r="B206" s="141">
        <v>770</v>
      </c>
      <c r="C206" s="103" t="s">
        <v>1623</v>
      </c>
      <c r="D206" s="159">
        <v>0.72499999999999998</v>
      </c>
      <c r="E206" s="159">
        <v>0.121</v>
      </c>
      <c r="F206" s="159">
        <v>1.6E-2</v>
      </c>
      <c r="G206" s="159">
        <v>0.53700000000000003</v>
      </c>
      <c r="H206" s="159">
        <v>0.159</v>
      </c>
      <c r="I206" s="159">
        <v>5.0000000000000001E-3</v>
      </c>
      <c r="J206" s="159">
        <v>0.30499999999999999</v>
      </c>
      <c r="K206" s="159">
        <v>5.23</v>
      </c>
      <c r="L206" s="159">
        <v>9.65</v>
      </c>
      <c r="M206" s="159">
        <v>12.08</v>
      </c>
      <c r="N206" s="159">
        <v>0.21199999999999999</v>
      </c>
    </row>
    <row r="207" spans="1:14" ht="16.5">
      <c r="A207" s="2" t="str">
        <f t="shared" si="3"/>
        <v>791상위25%</v>
      </c>
      <c r="B207" s="141">
        <v>791</v>
      </c>
      <c r="C207" s="103" t="s">
        <v>1623</v>
      </c>
      <c r="D207" s="159">
        <v>0.59199999999999997</v>
      </c>
      <c r="E207" s="159">
        <v>0.27200000000000002</v>
      </c>
      <c r="F207" s="159">
        <v>1.4999999999999999E-2</v>
      </c>
      <c r="G207" s="159">
        <v>0.64</v>
      </c>
      <c r="H207" s="159">
        <v>0.50800000000000001</v>
      </c>
      <c r="I207" s="159">
        <v>2.1000000000000001E-2</v>
      </c>
      <c r="J207" s="159">
        <v>0.82799999999999996</v>
      </c>
      <c r="K207" s="159">
        <v>9.5500000000000007</v>
      </c>
      <c r="L207" s="159">
        <v>15.62</v>
      </c>
      <c r="M207" s="159">
        <v>27.92</v>
      </c>
      <c r="N207" s="159">
        <v>0.13300000000000001</v>
      </c>
    </row>
    <row r="208" spans="1:14" ht="16.5">
      <c r="A208" s="2" t="str">
        <f t="shared" si="3"/>
        <v>792상위25%</v>
      </c>
      <c r="B208" s="141">
        <v>792</v>
      </c>
      <c r="C208" s="103" t="s">
        <v>1623</v>
      </c>
      <c r="D208" s="159">
        <v>0.75900000000000001</v>
      </c>
      <c r="E208" s="159">
        <v>0.13300000000000001</v>
      </c>
      <c r="F208" s="159">
        <v>2.4E-2</v>
      </c>
      <c r="G208" s="159">
        <v>0.54400000000000004</v>
      </c>
      <c r="H208" s="159">
        <v>0.88600000000000001</v>
      </c>
      <c r="I208" s="159">
        <v>0</v>
      </c>
      <c r="J208" s="159">
        <v>1.63</v>
      </c>
      <c r="K208" s="159">
        <v>9.8000000000000007</v>
      </c>
      <c r="L208" s="159">
        <v>12.44</v>
      </c>
      <c r="M208" s="159">
        <v>24.66</v>
      </c>
      <c r="N208" s="159">
        <v>0.14199999999999999</v>
      </c>
    </row>
    <row r="209" spans="1:14" ht="16.5">
      <c r="A209" s="2" t="str">
        <f t="shared" si="3"/>
        <v>793상위25%</v>
      </c>
      <c r="B209" s="141">
        <v>793</v>
      </c>
      <c r="C209" s="103" t="s">
        <v>1623</v>
      </c>
      <c r="D209" s="159">
        <v>0.74099999999999999</v>
      </c>
      <c r="E209" s="159">
        <v>0.14399999999999999</v>
      </c>
      <c r="F209" s="159">
        <v>6.0000000000000001E-3</v>
      </c>
      <c r="G209" s="159">
        <v>1.125</v>
      </c>
      <c r="H209" s="159">
        <v>0.53600000000000003</v>
      </c>
      <c r="I209" s="159">
        <v>7.0000000000000001E-3</v>
      </c>
      <c r="J209" s="159">
        <v>0.48299999999999998</v>
      </c>
      <c r="K209" s="159">
        <v>11.49</v>
      </c>
      <c r="L209" s="159">
        <v>19.420000000000002</v>
      </c>
      <c r="M209" s="159">
        <v>10.45</v>
      </c>
      <c r="N209" s="159">
        <v>4.2999999999999997E-2</v>
      </c>
    </row>
    <row r="210" spans="1:14" ht="16.5">
      <c r="A210" s="2" t="str">
        <f t="shared" si="3"/>
        <v>794상위25%</v>
      </c>
      <c r="B210" s="141">
        <v>794</v>
      </c>
      <c r="C210" s="103" t="s">
        <v>1623</v>
      </c>
      <c r="D210" s="159">
        <v>0.70599999999999996</v>
      </c>
      <c r="E210" s="159">
        <v>0.13600000000000001</v>
      </c>
      <c r="F210" s="159">
        <v>1.6E-2</v>
      </c>
      <c r="G210" s="159">
        <v>0.82199999999999995</v>
      </c>
      <c r="H210" s="159">
        <v>0.38200000000000001</v>
      </c>
      <c r="I210" s="159">
        <v>4.0000000000000001E-3</v>
      </c>
      <c r="J210" s="159">
        <v>0.47</v>
      </c>
      <c r="K210" s="159">
        <v>7.15</v>
      </c>
      <c r="L210" s="159">
        <v>6.78</v>
      </c>
      <c r="M210" s="159">
        <v>18.37</v>
      </c>
      <c r="N210" s="159">
        <v>0.23300000000000001</v>
      </c>
    </row>
    <row r="211" spans="1:14" ht="16.5">
      <c r="A211" s="2" t="str">
        <f t="shared" si="3"/>
        <v>795상위25%</v>
      </c>
      <c r="B211" s="141">
        <v>795</v>
      </c>
      <c r="C211" s="103" t="s">
        <v>1623</v>
      </c>
      <c r="D211" s="159">
        <v>0.52900000000000003</v>
      </c>
      <c r="E211" s="159">
        <v>0.316</v>
      </c>
      <c r="F211" s="159">
        <v>1.4E-2</v>
      </c>
      <c r="G211" s="159">
        <v>0.80900000000000005</v>
      </c>
      <c r="H211" s="159">
        <v>0.21299999999999999</v>
      </c>
      <c r="I211" s="159">
        <v>8.9999999999999993E-3</v>
      </c>
      <c r="J211" s="159">
        <v>0.27500000000000002</v>
      </c>
      <c r="K211" s="159">
        <v>11.2</v>
      </c>
      <c r="L211" s="159">
        <v>2.79</v>
      </c>
      <c r="M211" s="159">
        <v>28.56</v>
      </c>
      <c r="N211" s="159">
        <v>0.41299999999999998</v>
      </c>
    </row>
    <row r="212" spans="1:14" ht="16.5">
      <c r="A212" s="2" t="str">
        <f t="shared" si="3"/>
        <v>799상위25%</v>
      </c>
      <c r="B212" s="141">
        <v>799</v>
      </c>
      <c r="C212" s="103" t="s">
        <v>1623</v>
      </c>
      <c r="D212" s="159">
        <v>0.52900000000000003</v>
      </c>
      <c r="E212" s="159">
        <v>0.316</v>
      </c>
      <c r="F212" s="159">
        <v>1.4E-2</v>
      </c>
      <c r="G212" s="159">
        <v>0.80900000000000005</v>
      </c>
      <c r="H212" s="159">
        <v>0.21299999999999999</v>
      </c>
      <c r="I212" s="159">
        <v>8.9999999999999993E-3</v>
      </c>
      <c r="J212" s="159">
        <v>0.27500000000000002</v>
      </c>
      <c r="K212" s="159">
        <v>11.2</v>
      </c>
      <c r="L212" s="159">
        <v>2.79</v>
      </c>
      <c r="M212" s="159">
        <v>28.56</v>
      </c>
      <c r="N212" s="159">
        <v>0.41299999999999998</v>
      </c>
    </row>
    <row r="213" spans="1:14" ht="16.5">
      <c r="A213" s="2" t="str">
        <f t="shared" si="3"/>
        <v>811상위25%</v>
      </c>
      <c r="B213" s="141">
        <v>811</v>
      </c>
      <c r="C213" s="103" t="s">
        <v>1623</v>
      </c>
      <c r="D213" s="159">
        <v>0.38300000000000001</v>
      </c>
      <c r="E213" s="159">
        <v>0.315</v>
      </c>
      <c r="F213" s="159">
        <v>0.01</v>
      </c>
      <c r="G213" s="159">
        <v>0.53</v>
      </c>
      <c r="H213" s="159">
        <v>0.252</v>
      </c>
      <c r="I213" s="159">
        <v>0.44800000000000001</v>
      </c>
      <c r="J213" s="159">
        <v>1.3220000000000001</v>
      </c>
      <c r="K213" s="159">
        <v>6.4</v>
      </c>
      <c r="L213" s="159">
        <v>19.04</v>
      </c>
      <c r="M213" s="159">
        <v>11.46</v>
      </c>
      <c r="N213" s="159">
        <v>0.121</v>
      </c>
    </row>
    <row r="214" spans="1:14" ht="16.5">
      <c r="A214" s="2" t="str">
        <f t="shared" si="3"/>
        <v>812상위25%</v>
      </c>
      <c r="B214" s="141">
        <v>812</v>
      </c>
      <c r="C214" s="103" t="s">
        <v>1623</v>
      </c>
      <c r="D214" s="159">
        <v>0.68300000000000005</v>
      </c>
      <c r="E214" s="159">
        <v>0.112</v>
      </c>
      <c r="F214" s="159">
        <v>1.9E-2</v>
      </c>
      <c r="G214" s="159">
        <v>0.48399999999999999</v>
      </c>
      <c r="H214" s="159">
        <v>0.22</v>
      </c>
      <c r="I214" s="159">
        <v>6.8000000000000005E-2</v>
      </c>
      <c r="J214" s="159">
        <v>0.59299999999999997</v>
      </c>
      <c r="K214" s="159">
        <v>5.46</v>
      </c>
      <c r="L214" s="159">
        <v>9.7899999999999991</v>
      </c>
      <c r="M214" s="159">
        <v>32.04</v>
      </c>
      <c r="N214" s="159">
        <v>0.254</v>
      </c>
    </row>
    <row r="215" spans="1:14" ht="16.5">
      <c r="A215" s="2" t="str">
        <f t="shared" si="3"/>
        <v>821상위25%</v>
      </c>
      <c r="B215" s="141">
        <v>821</v>
      </c>
      <c r="C215" s="103" t="s">
        <v>1623</v>
      </c>
      <c r="D215" s="159">
        <v>0.63100000000000001</v>
      </c>
      <c r="E215" s="159">
        <v>0.25800000000000001</v>
      </c>
      <c r="F215" s="159">
        <v>0.02</v>
      </c>
      <c r="G215" s="159">
        <v>1.452</v>
      </c>
      <c r="H215" s="159">
        <v>0.59899999999999998</v>
      </c>
      <c r="I215" s="159">
        <v>1.4E-2</v>
      </c>
      <c r="J215" s="159">
        <v>0.42199999999999999</v>
      </c>
      <c r="K215" s="159">
        <v>11.79</v>
      </c>
      <c r="L215" s="159">
        <v>12.84</v>
      </c>
      <c r="M215" s="159">
        <v>25.65</v>
      </c>
      <c r="N215" s="159">
        <v>0.124</v>
      </c>
    </row>
    <row r="216" spans="1:14" ht="16.5">
      <c r="A216" s="2" t="str">
        <f t="shared" si="3"/>
        <v>822상위25%</v>
      </c>
      <c r="B216" s="141">
        <v>822</v>
      </c>
      <c r="C216" s="103" t="s">
        <v>1623</v>
      </c>
      <c r="D216" s="159">
        <v>0</v>
      </c>
      <c r="E216" s="159">
        <v>0</v>
      </c>
      <c r="F216" s="159">
        <v>0</v>
      </c>
      <c r="G216" s="159">
        <v>0</v>
      </c>
      <c r="H216" s="159">
        <v>0</v>
      </c>
      <c r="I216" s="159">
        <v>0</v>
      </c>
      <c r="J216" s="159">
        <v>0</v>
      </c>
      <c r="K216" s="159">
        <v>0</v>
      </c>
      <c r="L216" s="159">
        <v>0</v>
      </c>
      <c r="M216" s="159">
        <v>0</v>
      </c>
      <c r="N216" s="159">
        <v>0</v>
      </c>
    </row>
    <row r="217" spans="1:14" ht="16.5">
      <c r="A217" s="2" t="str">
        <f t="shared" si="3"/>
        <v>911상위25%</v>
      </c>
      <c r="B217" s="141">
        <v>911</v>
      </c>
      <c r="C217" s="103" t="s">
        <v>1623</v>
      </c>
      <c r="D217" s="159">
        <v>0.64100000000000001</v>
      </c>
      <c r="E217" s="159">
        <v>0.16</v>
      </c>
      <c r="F217" s="159">
        <v>1.6E-2</v>
      </c>
      <c r="G217" s="159">
        <v>0.60399999999999998</v>
      </c>
      <c r="H217" s="159">
        <v>0.501</v>
      </c>
      <c r="I217" s="159">
        <v>1.2E-2</v>
      </c>
      <c r="J217" s="159">
        <v>0.84899999999999998</v>
      </c>
      <c r="K217" s="159">
        <v>5.29</v>
      </c>
      <c r="L217" s="159">
        <v>8.2799999999999994</v>
      </c>
      <c r="M217" s="159">
        <v>14.06</v>
      </c>
      <c r="N217" s="159">
        <v>0.23899999999999999</v>
      </c>
    </row>
    <row r="218" spans="1:14" ht="16.5">
      <c r="A218" s="2" t="str">
        <f t="shared" si="3"/>
        <v>912상위25%</v>
      </c>
      <c r="B218" s="141">
        <v>912</v>
      </c>
      <c r="C218" s="103" t="s">
        <v>1623</v>
      </c>
      <c r="D218" s="159">
        <v>0.61499999999999999</v>
      </c>
      <c r="E218" s="159">
        <v>0.23799999999999999</v>
      </c>
      <c r="F218" s="159">
        <v>4.0000000000000001E-3</v>
      </c>
      <c r="G218" s="159">
        <v>1.679</v>
      </c>
      <c r="H218" s="159">
        <v>0.21199999999999999</v>
      </c>
      <c r="I218" s="159">
        <v>1.2999999999999999E-2</v>
      </c>
      <c r="J218" s="159">
        <v>0.13300000000000001</v>
      </c>
      <c r="K218" s="159">
        <v>8.7100000000000009</v>
      </c>
      <c r="L218" s="159">
        <v>11.03</v>
      </c>
      <c r="M218" s="159">
        <v>20.43</v>
      </c>
      <c r="N218" s="159">
        <v>0.156</v>
      </c>
    </row>
    <row r="219" spans="1:14" ht="16.5">
      <c r="A219" s="2" t="str">
        <f t="shared" si="3"/>
        <v>913상위25%</v>
      </c>
      <c r="B219" s="141">
        <v>913</v>
      </c>
      <c r="C219" s="103" t="s">
        <v>1623</v>
      </c>
      <c r="D219" s="159">
        <v>0.70799999999999996</v>
      </c>
      <c r="E219" s="159">
        <v>0.123</v>
      </c>
      <c r="F219" s="159">
        <v>2.3E-2</v>
      </c>
      <c r="G219" s="159">
        <v>0.69099999999999995</v>
      </c>
      <c r="H219" s="159">
        <v>0.49099999999999999</v>
      </c>
      <c r="I219" s="159">
        <v>7.0000000000000001E-3</v>
      </c>
      <c r="J219" s="159">
        <v>0.72099999999999997</v>
      </c>
      <c r="K219" s="159">
        <v>4.92</v>
      </c>
      <c r="L219" s="159">
        <v>9.6199999999999992</v>
      </c>
      <c r="M219" s="159">
        <v>13.42</v>
      </c>
      <c r="N219" s="159">
        <v>0.23300000000000001</v>
      </c>
    </row>
    <row r="220" spans="1:14" ht="16.5">
      <c r="A220" s="2" t="str">
        <f t="shared" si="3"/>
        <v>914상위25%</v>
      </c>
      <c r="B220" s="141">
        <v>914</v>
      </c>
      <c r="C220" s="103" t="s">
        <v>1623</v>
      </c>
      <c r="D220" s="159">
        <v>0.63200000000000001</v>
      </c>
      <c r="E220" s="159">
        <v>0.252</v>
      </c>
      <c r="F220" s="159">
        <v>2.5000000000000001E-2</v>
      </c>
      <c r="G220" s="159">
        <v>1.2889999999999999</v>
      </c>
      <c r="H220" s="159">
        <v>0.34399999999999997</v>
      </c>
      <c r="I220" s="159">
        <v>8.0000000000000002E-3</v>
      </c>
      <c r="J220" s="159">
        <v>0.27300000000000002</v>
      </c>
      <c r="K220" s="159">
        <v>9.75</v>
      </c>
      <c r="L220" s="159">
        <v>10.47</v>
      </c>
      <c r="M220" s="159">
        <v>14.07</v>
      </c>
      <c r="N220" s="159">
        <v>0.127</v>
      </c>
    </row>
    <row r="221" spans="1:14" ht="16.5">
      <c r="A221" s="2" t="str">
        <f t="shared" si="3"/>
        <v>915상위25%</v>
      </c>
      <c r="B221" s="141">
        <v>915</v>
      </c>
      <c r="C221" s="103" t="s">
        <v>1623</v>
      </c>
      <c r="D221" s="159">
        <v>0.72199999999999998</v>
      </c>
      <c r="E221" s="159">
        <v>0.121</v>
      </c>
      <c r="F221" s="159">
        <v>1.4999999999999999E-2</v>
      </c>
      <c r="G221" s="159">
        <v>0.81100000000000005</v>
      </c>
      <c r="H221" s="159">
        <v>0.47599999999999998</v>
      </c>
      <c r="I221" s="159">
        <v>1.2E-2</v>
      </c>
      <c r="J221" s="159">
        <v>0.60199999999999998</v>
      </c>
      <c r="K221" s="159">
        <v>5.89</v>
      </c>
      <c r="L221" s="159">
        <v>10.65</v>
      </c>
      <c r="M221" s="159">
        <v>14.31</v>
      </c>
      <c r="N221" s="159">
        <v>0.19400000000000001</v>
      </c>
    </row>
    <row r="222" spans="1:14" ht="16.5">
      <c r="A222" s="2" t="str">
        <f t="shared" si="3"/>
        <v>919상위25%</v>
      </c>
      <c r="B222" s="141">
        <v>919</v>
      </c>
      <c r="C222" s="103" t="s">
        <v>1623</v>
      </c>
      <c r="D222" s="159">
        <v>0.56299999999999994</v>
      </c>
      <c r="E222" s="159">
        <v>0.22800000000000001</v>
      </c>
      <c r="F222" s="159">
        <v>1.9E-2</v>
      </c>
      <c r="G222" s="159">
        <v>0.48799999999999999</v>
      </c>
      <c r="H222" s="159">
        <v>0.311</v>
      </c>
      <c r="I222" s="159">
        <v>2.1999999999999999E-2</v>
      </c>
      <c r="J222" s="159">
        <v>0.68200000000000005</v>
      </c>
      <c r="K222" s="159">
        <v>4.59</v>
      </c>
      <c r="L222" s="159">
        <v>9.58</v>
      </c>
      <c r="M222" s="159">
        <v>18.62</v>
      </c>
      <c r="N222" s="159">
        <v>0.26800000000000002</v>
      </c>
    </row>
    <row r="223" spans="1:14" ht="16.5">
      <c r="A223" s="2" t="str">
        <f t="shared" si="3"/>
        <v>921상위25%</v>
      </c>
      <c r="B223" s="141">
        <v>921</v>
      </c>
      <c r="C223" s="103" t="s">
        <v>1623</v>
      </c>
      <c r="D223" s="159">
        <v>0.28599999999999998</v>
      </c>
      <c r="E223" s="159">
        <v>0.442</v>
      </c>
      <c r="F223" s="159">
        <v>0.03</v>
      </c>
      <c r="G223" s="159">
        <v>0.41499999999999998</v>
      </c>
      <c r="H223" s="159">
        <v>0.214</v>
      </c>
      <c r="I223" s="159">
        <v>3.4000000000000002E-2</v>
      </c>
      <c r="J223" s="159">
        <v>0.59899999999999998</v>
      </c>
      <c r="K223" s="159">
        <v>5.56</v>
      </c>
      <c r="L223" s="159">
        <v>32.94</v>
      </c>
      <c r="M223" s="159">
        <v>89.06</v>
      </c>
      <c r="N223" s="159">
        <v>0.19900000000000001</v>
      </c>
    </row>
    <row r="224" spans="1:14" ht="16.5">
      <c r="A224" s="2" t="str">
        <f t="shared" si="3"/>
        <v>922상위25%</v>
      </c>
      <c r="B224" s="141">
        <v>922</v>
      </c>
      <c r="C224" s="103" t="s">
        <v>1623</v>
      </c>
      <c r="D224" s="159">
        <v>0.35299999999999998</v>
      </c>
      <c r="E224" s="159">
        <v>0.41399999999999998</v>
      </c>
      <c r="F224" s="159">
        <v>2.8000000000000001E-2</v>
      </c>
      <c r="G224" s="159">
        <v>0.67800000000000005</v>
      </c>
      <c r="H224" s="159">
        <v>0.13500000000000001</v>
      </c>
      <c r="I224" s="159">
        <v>5.8000000000000003E-2</v>
      </c>
      <c r="J224" s="159">
        <v>0.28399999999999997</v>
      </c>
      <c r="K224" s="159">
        <v>6.82</v>
      </c>
      <c r="L224" s="159">
        <v>116.97</v>
      </c>
      <c r="M224" s="159">
        <v>37.840000000000003</v>
      </c>
      <c r="N224" s="159">
        <v>0.129</v>
      </c>
    </row>
    <row r="225" spans="1:14" ht="16.5">
      <c r="A225" s="2" t="str">
        <f t="shared" si="3"/>
        <v>923상위25%</v>
      </c>
      <c r="B225" s="141">
        <v>923</v>
      </c>
      <c r="C225" s="103" t="s">
        <v>1623</v>
      </c>
      <c r="D225" s="159">
        <v>0.36299999999999999</v>
      </c>
      <c r="E225" s="159">
        <v>0.41</v>
      </c>
      <c r="F225" s="159">
        <v>4.5999999999999999E-2</v>
      </c>
      <c r="G225" s="159">
        <v>0.65600000000000003</v>
      </c>
      <c r="H225" s="159">
        <v>0.45900000000000002</v>
      </c>
      <c r="I225" s="159">
        <v>6.0000000000000001E-3</v>
      </c>
      <c r="J225" s="159">
        <v>0.70899999999999996</v>
      </c>
      <c r="K225" s="159">
        <v>6.75</v>
      </c>
      <c r="L225" s="159">
        <v>149.30000000000001</v>
      </c>
      <c r="M225" s="159">
        <v>88.71</v>
      </c>
      <c r="N225" s="159">
        <v>0.14399999999999999</v>
      </c>
    </row>
    <row r="226" spans="1:14" ht="16.5">
      <c r="A226" s="2" t="str">
        <f t="shared" si="3"/>
        <v>924상위25%</v>
      </c>
      <c r="B226" s="141">
        <v>924</v>
      </c>
      <c r="C226" s="103" t="s">
        <v>1623</v>
      </c>
      <c r="D226" s="159">
        <v>0.52900000000000003</v>
      </c>
      <c r="E226" s="159">
        <v>0.187</v>
      </c>
      <c r="F226" s="159">
        <v>2.5999999999999999E-2</v>
      </c>
      <c r="G226" s="159">
        <v>0.42899999999999999</v>
      </c>
      <c r="H226" s="159">
        <v>0.39400000000000002</v>
      </c>
      <c r="I226" s="159">
        <v>6.2E-2</v>
      </c>
      <c r="J226" s="159">
        <v>1.0609999999999999</v>
      </c>
      <c r="K226" s="159">
        <v>8.35</v>
      </c>
      <c r="L226" s="159">
        <v>61.99</v>
      </c>
      <c r="M226" s="159">
        <v>41.07</v>
      </c>
      <c r="N226" s="159">
        <v>0.111</v>
      </c>
    </row>
    <row r="227" spans="1:14" ht="16.5">
      <c r="A227" s="2" t="str">
        <f t="shared" si="3"/>
        <v>929상위25%</v>
      </c>
      <c r="B227" s="141">
        <v>929</v>
      </c>
      <c r="C227" s="103" t="s">
        <v>1623</v>
      </c>
      <c r="D227" s="159">
        <v>9.4E-2</v>
      </c>
      <c r="E227" s="159">
        <v>0.55600000000000005</v>
      </c>
      <c r="F227" s="159">
        <v>1.4999999999999999E-2</v>
      </c>
      <c r="G227" s="159">
        <v>0.46200000000000002</v>
      </c>
      <c r="H227" s="159">
        <v>9.8000000000000004E-2</v>
      </c>
      <c r="I227" s="159">
        <v>7.4999999999999997E-2</v>
      </c>
      <c r="J227" s="159">
        <v>0.374</v>
      </c>
      <c r="K227" s="159">
        <v>14.17</v>
      </c>
      <c r="L227" s="159">
        <v>13.82</v>
      </c>
      <c r="M227" s="159">
        <v>93.29</v>
      </c>
      <c r="N227" s="159">
        <v>0.13200000000000001</v>
      </c>
    </row>
    <row r="228" spans="1:14" ht="16.5">
      <c r="A228" s="2" t="str">
        <f t="shared" si="3"/>
        <v>111하위25%</v>
      </c>
      <c r="B228" s="141">
        <v>111</v>
      </c>
      <c r="C228" s="103" t="s">
        <v>1624</v>
      </c>
      <c r="D228" s="159">
        <v>0.874</v>
      </c>
      <c r="E228" s="159">
        <v>0.108</v>
      </c>
      <c r="F228" s="159">
        <v>1.4999999999999999E-2</v>
      </c>
      <c r="G228" s="159">
        <v>1.3169999999999999</v>
      </c>
      <c r="H228" s="159">
        <v>0.309</v>
      </c>
      <c r="I228" s="159">
        <v>8.9999999999999993E-3</v>
      </c>
      <c r="J228" s="159">
        <v>0.24099999999999999</v>
      </c>
      <c r="K228" s="159">
        <v>10.78</v>
      </c>
      <c r="L228" s="159">
        <v>4.5599999999999996</v>
      </c>
      <c r="M228" s="159">
        <v>27.94</v>
      </c>
      <c r="N228" s="159">
        <v>0.27600000000000002</v>
      </c>
    </row>
    <row r="229" spans="1:14" ht="16.5">
      <c r="A229" s="2" t="str">
        <f t="shared" si="3"/>
        <v>112하위25%</v>
      </c>
      <c r="B229" s="141">
        <v>112</v>
      </c>
      <c r="C229" s="103" t="s">
        <v>1624</v>
      </c>
      <c r="D229" s="159">
        <v>0.84799999999999998</v>
      </c>
      <c r="E229" s="159">
        <v>0.129</v>
      </c>
      <c r="F229" s="159">
        <v>1.9E-2</v>
      </c>
      <c r="G229" s="159">
        <v>1.798</v>
      </c>
      <c r="H229" s="159">
        <v>0.39</v>
      </c>
      <c r="I229" s="159">
        <v>1E-3</v>
      </c>
      <c r="J229" s="159">
        <v>0.217</v>
      </c>
      <c r="K229" s="159">
        <v>9.32</v>
      </c>
      <c r="L229" s="159">
        <v>7.83</v>
      </c>
      <c r="M229" s="159">
        <v>22.92</v>
      </c>
      <c r="N229" s="159">
        <v>0.191</v>
      </c>
    </row>
    <row r="230" spans="1:14" ht="16.5">
      <c r="A230" s="2" t="str">
        <f t="shared" si="3"/>
        <v>113하위25%</v>
      </c>
      <c r="B230" s="141">
        <v>113</v>
      </c>
      <c r="C230" s="103" t="s">
        <v>1624</v>
      </c>
      <c r="D230" s="159">
        <v>0.83</v>
      </c>
      <c r="E230" s="159">
        <v>0.14699999999999999</v>
      </c>
      <c r="F230" s="159">
        <v>0.01</v>
      </c>
      <c r="G230" s="159">
        <v>1.869</v>
      </c>
      <c r="H230" s="159">
        <v>0.50900000000000001</v>
      </c>
      <c r="I230" s="159">
        <v>4.8000000000000001E-2</v>
      </c>
      <c r="J230" s="159">
        <v>0.29799999999999999</v>
      </c>
      <c r="K230" s="159">
        <v>17.82</v>
      </c>
      <c r="L230" s="159">
        <v>9.56</v>
      </c>
      <c r="M230" s="159">
        <v>27.91</v>
      </c>
      <c r="N230" s="159">
        <v>0.125</v>
      </c>
    </row>
    <row r="231" spans="1:14" ht="16.5">
      <c r="A231" s="2" t="str">
        <f t="shared" si="3"/>
        <v>114하위25%</v>
      </c>
      <c r="B231" s="141">
        <v>114</v>
      </c>
      <c r="C231" s="103" t="s">
        <v>1624</v>
      </c>
      <c r="D231" s="159">
        <v>0.82599999999999996</v>
      </c>
      <c r="E231" s="159">
        <v>0.155</v>
      </c>
      <c r="F231" s="159">
        <v>1.9E-2</v>
      </c>
      <c r="G231" s="159">
        <v>1.135</v>
      </c>
      <c r="H231" s="159">
        <v>0.42899999999999999</v>
      </c>
      <c r="I231" s="159">
        <v>4.0000000000000001E-3</v>
      </c>
      <c r="J231" s="159">
        <v>0.38100000000000001</v>
      </c>
      <c r="K231" s="159">
        <v>7.8</v>
      </c>
      <c r="L231" s="159">
        <v>4.96</v>
      </c>
      <c r="M231" s="159">
        <v>9.31</v>
      </c>
      <c r="N231" s="159">
        <v>0.223</v>
      </c>
    </row>
    <row r="232" spans="1:14" ht="16.5">
      <c r="A232" s="2" t="str">
        <f t="shared" si="3"/>
        <v>115하위25%</v>
      </c>
      <c r="B232" s="141">
        <v>115</v>
      </c>
      <c r="C232" s="103" t="s">
        <v>1624</v>
      </c>
      <c r="D232" s="159">
        <v>0.88100000000000001</v>
      </c>
      <c r="E232" s="159">
        <v>0.09</v>
      </c>
      <c r="F232" s="159">
        <v>6.0000000000000001E-3</v>
      </c>
      <c r="G232" s="159">
        <v>1.1459999999999999</v>
      </c>
      <c r="H232" s="159">
        <v>0.14299999999999999</v>
      </c>
      <c r="I232" s="159">
        <v>0</v>
      </c>
      <c r="J232" s="159">
        <v>0.125</v>
      </c>
      <c r="K232" s="159">
        <v>4.6900000000000004</v>
      </c>
      <c r="L232" s="159">
        <v>19.66</v>
      </c>
      <c r="M232" s="159">
        <v>3.42</v>
      </c>
      <c r="N232" s="159">
        <v>2.8000000000000001E-2</v>
      </c>
    </row>
    <row r="233" spans="1:14" ht="16.5">
      <c r="A233" s="2" t="str">
        <f t="shared" si="3"/>
        <v>119하위25%</v>
      </c>
      <c r="B233" s="141">
        <v>119</v>
      </c>
      <c r="C233" s="103" t="s">
        <v>1624</v>
      </c>
      <c r="D233" s="159">
        <v>0.84</v>
      </c>
      <c r="E233" s="159">
        <v>0.13</v>
      </c>
      <c r="F233" s="159">
        <v>3.0000000000000001E-3</v>
      </c>
      <c r="G233" s="159">
        <v>1.73</v>
      </c>
      <c r="H233" s="159">
        <v>0.25800000000000001</v>
      </c>
      <c r="I233" s="159">
        <v>3.0000000000000001E-3</v>
      </c>
      <c r="J233" s="159">
        <v>0.151</v>
      </c>
      <c r="K233" s="159">
        <v>8.36</v>
      </c>
      <c r="L233" s="159">
        <v>9.89</v>
      </c>
      <c r="M233" s="159">
        <v>23.18</v>
      </c>
      <c r="N233" s="159">
        <v>0.17799999999999999</v>
      </c>
    </row>
    <row r="234" spans="1:14" ht="16.5">
      <c r="A234" s="2" t="str">
        <f t="shared" si="3"/>
        <v>121하위25%</v>
      </c>
      <c r="B234" s="141">
        <v>121</v>
      </c>
      <c r="C234" s="103" t="s">
        <v>1624</v>
      </c>
      <c r="D234" s="159">
        <v>0.90800000000000003</v>
      </c>
      <c r="E234" s="159">
        <v>8.1000000000000003E-2</v>
      </c>
      <c r="F234" s="159">
        <v>7.0000000000000001E-3</v>
      </c>
      <c r="G234" s="159">
        <v>3.3660000000000001</v>
      </c>
      <c r="H234" s="159">
        <v>0.35</v>
      </c>
      <c r="I234" s="159">
        <v>0</v>
      </c>
      <c r="J234" s="159">
        <v>0.104</v>
      </c>
      <c r="K234" s="159">
        <v>16.72</v>
      </c>
      <c r="L234" s="159">
        <v>17.88</v>
      </c>
      <c r="M234" s="159">
        <v>23.41</v>
      </c>
      <c r="N234" s="159">
        <v>7.2999999999999995E-2</v>
      </c>
    </row>
    <row r="235" spans="1:14" ht="16.5">
      <c r="A235" s="2" t="str">
        <f t="shared" si="3"/>
        <v>122하위25%</v>
      </c>
      <c r="B235" s="141">
        <v>122</v>
      </c>
      <c r="C235" s="103" t="s">
        <v>1624</v>
      </c>
      <c r="D235" s="159">
        <v>0.91</v>
      </c>
      <c r="E235" s="159">
        <v>6.6000000000000003E-2</v>
      </c>
      <c r="F235" s="159">
        <v>8.9999999999999993E-3</v>
      </c>
      <c r="G235" s="159">
        <v>1.417</v>
      </c>
      <c r="H235" s="159">
        <v>0.41499999999999998</v>
      </c>
      <c r="I235" s="159">
        <v>0</v>
      </c>
      <c r="J235" s="159">
        <v>0.29299999999999998</v>
      </c>
      <c r="K235" s="159">
        <v>6.06</v>
      </c>
      <c r="L235" s="159">
        <v>7.68</v>
      </c>
      <c r="M235" s="159">
        <v>26.88</v>
      </c>
      <c r="N235" s="159">
        <v>0.25800000000000001</v>
      </c>
    </row>
    <row r="236" spans="1:14" ht="16.5">
      <c r="A236" s="2" t="str">
        <f t="shared" si="3"/>
        <v>123하위25%</v>
      </c>
      <c r="B236" s="141">
        <v>123</v>
      </c>
      <c r="C236" s="103" t="s">
        <v>1624</v>
      </c>
      <c r="D236" s="159">
        <v>0.93400000000000005</v>
      </c>
      <c r="E236" s="159">
        <v>5.1999999999999998E-2</v>
      </c>
      <c r="F236" s="159">
        <v>1.4999999999999999E-2</v>
      </c>
      <c r="G236" s="159">
        <v>1.6639999999999999</v>
      </c>
      <c r="H236" s="159">
        <v>0.49199999999999999</v>
      </c>
      <c r="I236" s="159">
        <v>2E-3</v>
      </c>
      <c r="J236" s="159">
        <v>0.29699999999999999</v>
      </c>
      <c r="K236" s="159">
        <v>8.56</v>
      </c>
      <c r="L236" s="159">
        <v>10.96</v>
      </c>
      <c r="M236" s="159">
        <v>10.92</v>
      </c>
      <c r="N236" s="159">
        <v>0.11700000000000001</v>
      </c>
    </row>
    <row r="237" spans="1:14" ht="16.5">
      <c r="A237" s="2" t="str">
        <f t="shared" si="3"/>
        <v>124하위25%</v>
      </c>
      <c r="B237" s="141">
        <v>124</v>
      </c>
      <c r="C237" s="103" t="s">
        <v>1624</v>
      </c>
      <c r="D237" s="159">
        <v>0.91600000000000004</v>
      </c>
      <c r="E237" s="159">
        <v>7.0999999999999994E-2</v>
      </c>
      <c r="F237" s="159">
        <v>7.0000000000000001E-3</v>
      </c>
      <c r="G237" s="159">
        <v>3.6219999999999999</v>
      </c>
      <c r="H237" s="159">
        <v>0.32300000000000001</v>
      </c>
      <c r="I237" s="159">
        <v>0</v>
      </c>
      <c r="J237" s="159">
        <v>8.8999999999999996E-2</v>
      </c>
      <c r="K237" s="159">
        <v>16.64</v>
      </c>
      <c r="L237" s="159">
        <v>18.62</v>
      </c>
      <c r="M237" s="159">
        <v>23.87</v>
      </c>
      <c r="N237" s="159">
        <v>7.1999999999999995E-2</v>
      </c>
    </row>
    <row r="238" spans="1:14" ht="16.5">
      <c r="A238" s="2" t="str">
        <f t="shared" si="3"/>
        <v>129하위25%</v>
      </c>
      <c r="B238" s="141">
        <v>129</v>
      </c>
      <c r="C238" s="103" t="s">
        <v>1624</v>
      </c>
      <c r="D238" s="159">
        <v>0.91</v>
      </c>
      <c r="E238" s="159">
        <v>6.7000000000000004E-2</v>
      </c>
      <c r="F238" s="159">
        <v>4.1000000000000002E-2</v>
      </c>
      <c r="G238" s="159">
        <v>0.80700000000000005</v>
      </c>
      <c r="H238" s="159">
        <v>0.495</v>
      </c>
      <c r="I238" s="159">
        <v>1.0999999999999999E-2</v>
      </c>
      <c r="J238" s="159">
        <v>0.628</v>
      </c>
      <c r="K238" s="159">
        <v>16.36</v>
      </c>
      <c r="L238" s="159">
        <v>5.9</v>
      </c>
      <c r="M238" s="159">
        <v>13.68</v>
      </c>
      <c r="N238" s="159">
        <v>0.158</v>
      </c>
    </row>
    <row r="239" spans="1:14" ht="16.5">
      <c r="A239" s="2" t="str">
        <f t="shared" si="3"/>
        <v>211하위25%</v>
      </c>
      <c r="B239" s="141">
        <v>211</v>
      </c>
      <c r="C239" s="103" t="s">
        <v>1624</v>
      </c>
      <c r="D239" s="159">
        <v>0.91800000000000004</v>
      </c>
      <c r="E239" s="159">
        <v>6.0999999999999999E-2</v>
      </c>
      <c r="F239" s="159">
        <v>4.0000000000000001E-3</v>
      </c>
      <c r="G239" s="159">
        <v>0.69799999999999995</v>
      </c>
      <c r="H239" s="159">
        <v>0.22900000000000001</v>
      </c>
      <c r="I239" s="159">
        <v>3.0000000000000001E-3</v>
      </c>
      <c r="J239" s="159">
        <v>0.33200000000000002</v>
      </c>
      <c r="K239" s="159">
        <v>5.34</v>
      </c>
      <c r="L239" s="159">
        <v>3.23</v>
      </c>
      <c r="M239" s="159">
        <v>21.26</v>
      </c>
      <c r="N239" s="159">
        <v>0.45</v>
      </c>
    </row>
    <row r="240" spans="1:14" ht="16.5">
      <c r="A240" s="2" t="str">
        <f t="shared" si="3"/>
        <v>212하위25%</v>
      </c>
      <c r="B240" s="141">
        <v>212</v>
      </c>
      <c r="C240" s="103" t="s">
        <v>1624</v>
      </c>
      <c r="D240" s="159">
        <v>0.86399999999999999</v>
      </c>
      <c r="E240" s="159">
        <v>0.11899999999999999</v>
      </c>
      <c r="F240" s="159">
        <v>1E-3</v>
      </c>
      <c r="G240" s="159">
        <v>0.26500000000000001</v>
      </c>
      <c r="H240" s="159">
        <v>0.13300000000000001</v>
      </c>
      <c r="I240" s="159">
        <v>6.0000000000000001E-3</v>
      </c>
      <c r="J240" s="159">
        <v>0.52400000000000002</v>
      </c>
      <c r="K240" s="159">
        <v>0</v>
      </c>
      <c r="L240" s="159">
        <v>14.66</v>
      </c>
      <c r="M240" s="159">
        <v>0</v>
      </c>
      <c r="N240" s="159">
        <v>0</v>
      </c>
    </row>
    <row r="241" spans="1:14" ht="16.5">
      <c r="A241" s="2" t="str">
        <f t="shared" si="3"/>
        <v>213하위25%</v>
      </c>
      <c r="B241" s="141">
        <v>213</v>
      </c>
      <c r="C241" s="103" t="s">
        <v>1624</v>
      </c>
      <c r="D241" s="159">
        <v>0.89200000000000002</v>
      </c>
      <c r="E241" s="159">
        <v>8.2000000000000003E-2</v>
      </c>
      <c r="F241" s="159">
        <v>6.0000000000000001E-3</v>
      </c>
      <c r="G241" s="159">
        <v>0.98099999999999998</v>
      </c>
      <c r="H241" s="159">
        <v>0.40500000000000003</v>
      </c>
      <c r="I241" s="159">
        <v>2E-3</v>
      </c>
      <c r="J241" s="159">
        <v>0.41499999999999998</v>
      </c>
      <c r="K241" s="159">
        <v>10.24</v>
      </c>
      <c r="L241" s="159">
        <v>2.97</v>
      </c>
      <c r="M241" s="159">
        <v>18.98</v>
      </c>
      <c r="N241" s="159">
        <v>0.38200000000000001</v>
      </c>
    </row>
    <row r="242" spans="1:14" ht="16.5">
      <c r="A242" s="2" t="str">
        <f t="shared" si="3"/>
        <v>214하위25%</v>
      </c>
      <c r="B242" s="141">
        <v>214</v>
      </c>
      <c r="C242" s="103" t="s">
        <v>1624</v>
      </c>
      <c r="D242" s="159">
        <v>0.68300000000000005</v>
      </c>
      <c r="E242" s="159">
        <v>0.28499999999999998</v>
      </c>
      <c r="F242" s="159">
        <v>6.0000000000000001E-3</v>
      </c>
      <c r="G242" s="159">
        <v>0.80900000000000005</v>
      </c>
      <c r="H242" s="159">
        <v>0.249</v>
      </c>
      <c r="I242" s="159">
        <v>3.4000000000000002E-2</v>
      </c>
      <c r="J242" s="159">
        <v>0.35</v>
      </c>
      <c r="K242" s="159">
        <v>3.69</v>
      </c>
      <c r="L242" s="159">
        <v>5.35</v>
      </c>
      <c r="M242" s="159">
        <v>9.74</v>
      </c>
      <c r="N242" s="159">
        <v>0.35599999999999998</v>
      </c>
    </row>
    <row r="243" spans="1:14" ht="16.5">
      <c r="A243" s="2" t="str">
        <f t="shared" si="3"/>
        <v>215하위25%</v>
      </c>
      <c r="B243" s="141">
        <v>215</v>
      </c>
      <c r="C243" s="103" t="s">
        <v>1624</v>
      </c>
      <c r="D243" s="159">
        <v>0.74199999999999999</v>
      </c>
      <c r="E243" s="159">
        <v>0.23499999999999999</v>
      </c>
      <c r="F243" s="159">
        <v>1.0999999999999999E-2</v>
      </c>
      <c r="G243" s="159">
        <v>0.98399999999999999</v>
      </c>
      <c r="H243" s="159">
        <v>0.28899999999999998</v>
      </c>
      <c r="I243" s="159">
        <v>1.4999999999999999E-2</v>
      </c>
      <c r="J243" s="159">
        <v>0.309</v>
      </c>
      <c r="K243" s="159">
        <v>5.76</v>
      </c>
      <c r="L243" s="159">
        <v>7.54</v>
      </c>
      <c r="M243" s="159">
        <v>10.6</v>
      </c>
      <c r="N243" s="159">
        <v>0.21199999999999999</v>
      </c>
    </row>
    <row r="244" spans="1:14" ht="16.5">
      <c r="A244" s="2" t="str">
        <f t="shared" si="3"/>
        <v>219하위25%</v>
      </c>
      <c r="B244" s="141">
        <v>219</v>
      </c>
      <c r="C244" s="103" t="s">
        <v>1624</v>
      </c>
      <c r="D244" s="159">
        <v>0.88400000000000001</v>
      </c>
      <c r="E244" s="159">
        <v>9.1999999999999998E-2</v>
      </c>
      <c r="F244" s="159">
        <v>7.0000000000000001E-3</v>
      </c>
      <c r="G244" s="159">
        <v>1.1519999999999999</v>
      </c>
      <c r="H244" s="159">
        <v>0.45</v>
      </c>
      <c r="I244" s="159">
        <v>1.4E-2</v>
      </c>
      <c r="J244" s="159">
        <v>0.40300000000000002</v>
      </c>
      <c r="K244" s="159">
        <v>6.21</v>
      </c>
      <c r="L244" s="159">
        <v>7.94</v>
      </c>
      <c r="M244" s="159">
        <v>12.86</v>
      </c>
      <c r="N244" s="159">
        <v>0.20899999999999999</v>
      </c>
    </row>
    <row r="245" spans="1:14" ht="16.5">
      <c r="A245" s="2" t="str">
        <f t="shared" si="3"/>
        <v>221하위25%</v>
      </c>
      <c r="B245" s="141">
        <v>221</v>
      </c>
      <c r="C245" s="103" t="s">
        <v>1624</v>
      </c>
      <c r="D245" s="159">
        <v>0.90800000000000003</v>
      </c>
      <c r="E245" s="159">
        <v>7.2999999999999995E-2</v>
      </c>
      <c r="F245" s="159">
        <v>6.0000000000000001E-3</v>
      </c>
      <c r="G245" s="159">
        <v>0.85199999999999998</v>
      </c>
      <c r="H245" s="159">
        <v>0.39100000000000001</v>
      </c>
      <c r="I245" s="159">
        <v>2.5000000000000001E-2</v>
      </c>
      <c r="J245" s="159">
        <v>0.48799999999999999</v>
      </c>
      <c r="K245" s="159">
        <v>3.79</v>
      </c>
      <c r="L245" s="159">
        <v>7.94</v>
      </c>
      <c r="M245" s="159">
        <v>7.83</v>
      </c>
      <c r="N245" s="159">
        <v>0.26200000000000001</v>
      </c>
    </row>
    <row r="246" spans="1:14" ht="16.5">
      <c r="A246" s="2" t="str">
        <f t="shared" si="3"/>
        <v>222하위25%</v>
      </c>
      <c r="B246" s="141">
        <v>222</v>
      </c>
      <c r="C246" s="103" t="s">
        <v>1624</v>
      </c>
      <c r="D246" s="159">
        <v>0.82699999999999996</v>
      </c>
      <c r="E246" s="159">
        <v>0.153</v>
      </c>
      <c r="F246" s="159">
        <v>8.9999999999999993E-3</v>
      </c>
      <c r="G246" s="159">
        <v>0.98</v>
      </c>
      <c r="H246" s="159">
        <v>0.38</v>
      </c>
      <c r="I246" s="159">
        <v>2.5999999999999999E-2</v>
      </c>
      <c r="J246" s="159">
        <v>0.41399999999999998</v>
      </c>
      <c r="K246" s="159">
        <v>9.6999999999999993</v>
      </c>
      <c r="L246" s="159">
        <v>4.2</v>
      </c>
      <c r="M246" s="159">
        <v>12.52</v>
      </c>
      <c r="N246" s="159">
        <v>0.26100000000000001</v>
      </c>
    </row>
    <row r="247" spans="1:14" ht="16.5">
      <c r="A247" s="2" t="str">
        <f t="shared" si="3"/>
        <v>223하위25%</v>
      </c>
      <c r="B247" s="141">
        <v>223</v>
      </c>
      <c r="C247" s="103" t="s">
        <v>1624</v>
      </c>
      <c r="D247" s="159">
        <v>0.873</v>
      </c>
      <c r="E247" s="159">
        <v>0.108</v>
      </c>
      <c r="F247" s="159">
        <v>1.4E-2</v>
      </c>
      <c r="G247" s="159">
        <v>1.2929999999999999</v>
      </c>
      <c r="H247" s="159">
        <v>0.42499999999999999</v>
      </c>
      <c r="I247" s="159">
        <v>1.2E-2</v>
      </c>
      <c r="J247" s="159">
        <v>0.33800000000000002</v>
      </c>
      <c r="K247" s="159">
        <v>6.13</v>
      </c>
      <c r="L247" s="159">
        <v>12.4</v>
      </c>
      <c r="M247" s="159">
        <v>10.72</v>
      </c>
      <c r="N247" s="159">
        <v>0.15</v>
      </c>
    </row>
    <row r="248" spans="1:14" ht="16.5">
      <c r="A248" s="2" t="str">
        <f t="shared" si="3"/>
        <v>224하위25%</v>
      </c>
      <c r="B248" s="141">
        <v>224</v>
      </c>
      <c r="C248" s="103" t="s">
        <v>1624</v>
      </c>
      <c r="D248" s="159">
        <v>0.88600000000000001</v>
      </c>
      <c r="E248" s="159">
        <v>9.1999999999999998E-2</v>
      </c>
      <c r="F248" s="159">
        <v>1.6E-2</v>
      </c>
      <c r="G248" s="159">
        <v>1.06</v>
      </c>
      <c r="H248" s="159">
        <v>0.378</v>
      </c>
      <c r="I248" s="159">
        <v>1.2E-2</v>
      </c>
      <c r="J248" s="159">
        <v>0.36799999999999999</v>
      </c>
      <c r="K248" s="159">
        <v>5.87</v>
      </c>
      <c r="L248" s="159">
        <v>8.43</v>
      </c>
      <c r="M248" s="159">
        <v>9.52</v>
      </c>
      <c r="N248" s="159">
        <v>0.184</v>
      </c>
    </row>
    <row r="249" spans="1:14" ht="16.5">
      <c r="A249" s="2" t="str">
        <f t="shared" si="3"/>
        <v>225하위25%</v>
      </c>
      <c r="B249" s="141">
        <v>225</v>
      </c>
      <c r="C249" s="103" t="s">
        <v>1624</v>
      </c>
      <c r="D249" s="159">
        <v>0.83899999999999997</v>
      </c>
      <c r="E249" s="159">
        <v>0.14000000000000001</v>
      </c>
      <c r="F249" s="159">
        <v>1.0999999999999999E-2</v>
      </c>
      <c r="G249" s="159">
        <v>1.0569999999999999</v>
      </c>
      <c r="H249" s="159">
        <v>0.36899999999999999</v>
      </c>
      <c r="I249" s="159">
        <v>8.0000000000000002E-3</v>
      </c>
      <c r="J249" s="159">
        <v>0.35699999999999998</v>
      </c>
      <c r="K249" s="159">
        <v>5.3</v>
      </c>
      <c r="L249" s="159">
        <v>4.74</v>
      </c>
      <c r="M249" s="159">
        <v>8.19</v>
      </c>
      <c r="N249" s="159">
        <v>0.27800000000000002</v>
      </c>
    </row>
    <row r="250" spans="1:14" ht="16.5">
      <c r="A250" s="2" t="str">
        <f t="shared" si="3"/>
        <v>226하위25%</v>
      </c>
      <c r="B250" s="141">
        <v>226</v>
      </c>
      <c r="C250" s="103" t="s">
        <v>1624</v>
      </c>
      <c r="D250" s="159">
        <v>0.81799999999999995</v>
      </c>
      <c r="E250" s="159">
        <v>0.158</v>
      </c>
      <c r="F250" s="159">
        <v>1.7999999999999999E-2</v>
      </c>
      <c r="G250" s="159">
        <v>1.0509999999999999</v>
      </c>
      <c r="H250" s="159">
        <v>0.33</v>
      </c>
      <c r="I250" s="159">
        <v>4.7E-2</v>
      </c>
      <c r="J250" s="159">
        <v>0.35899999999999999</v>
      </c>
      <c r="K250" s="159">
        <v>5.47</v>
      </c>
      <c r="L250" s="159">
        <v>7.12</v>
      </c>
      <c r="M250" s="159">
        <v>10.56</v>
      </c>
      <c r="N250" s="159">
        <v>0.22800000000000001</v>
      </c>
    </row>
    <row r="251" spans="1:14" ht="16.5">
      <c r="A251" s="2" t="str">
        <f t="shared" si="3"/>
        <v>227하위25%</v>
      </c>
      <c r="B251" s="141">
        <v>227</v>
      </c>
      <c r="C251" s="103" t="s">
        <v>1624</v>
      </c>
      <c r="D251" s="159">
        <v>0.68300000000000005</v>
      </c>
      <c r="E251" s="159">
        <v>0.28499999999999998</v>
      </c>
      <c r="F251" s="159">
        <v>6.0000000000000001E-3</v>
      </c>
      <c r="G251" s="159">
        <v>0.80900000000000005</v>
      </c>
      <c r="H251" s="159">
        <v>0.249</v>
      </c>
      <c r="I251" s="159">
        <v>3.4000000000000002E-2</v>
      </c>
      <c r="J251" s="159">
        <v>0.35</v>
      </c>
      <c r="K251" s="159">
        <v>3.69</v>
      </c>
      <c r="L251" s="159">
        <v>5.35</v>
      </c>
      <c r="M251" s="159">
        <v>9.74</v>
      </c>
      <c r="N251" s="159">
        <v>0.35599999999999998</v>
      </c>
    </row>
    <row r="252" spans="1:14" ht="16.5">
      <c r="A252" s="2" t="str">
        <f t="shared" si="3"/>
        <v>229하위25%</v>
      </c>
      <c r="B252" s="141">
        <v>229</v>
      </c>
      <c r="C252" s="103" t="s">
        <v>1624</v>
      </c>
      <c r="D252" s="159">
        <v>0.84799999999999998</v>
      </c>
      <c r="E252" s="159">
        <v>0.126</v>
      </c>
      <c r="F252" s="159">
        <v>1.4999999999999999E-2</v>
      </c>
      <c r="G252" s="159">
        <v>1.373</v>
      </c>
      <c r="H252" s="159">
        <v>0.35099999999999998</v>
      </c>
      <c r="I252" s="159">
        <v>1.7999999999999999E-2</v>
      </c>
      <c r="J252" s="159">
        <v>0.26900000000000002</v>
      </c>
      <c r="K252" s="159">
        <v>6.52</v>
      </c>
      <c r="L252" s="159">
        <v>7.91</v>
      </c>
      <c r="M252" s="159">
        <v>9.77</v>
      </c>
      <c r="N252" s="159">
        <v>0.17799999999999999</v>
      </c>
    </row>
    <row r="253" spans="1:14" ht="16.5">
      <c r="A253" s="2" t="str">
        <f t="shared" si="3"/>
        <v>231하위25%</v>
      </c>
      <c r="B253" s="141">
        <v>231</v>
      </c>
      <c r="C253" s="103" t="s">
        <v>1624</v>
      </c>
      <c r="D253" s="159">
        <v>0.96599999999999997</v>
      </c>
      <c r="E253" s="159">
        <v>0.02</v>
      </c>
      <c r="F253" s="159">
        <v>3.0000000000000001E-3</v>
      </c>
      <c r="G253" s="159">
        <v>3.2749999999999999</v>
      </c>
      <c r="H253" s="159">
        <v>0.52700000000000002</v>
      </c>
      <c r="I253" s="159">
        <v>0</v>
      </c>
      <c r="J253" s="159">
        <v>0.161</v>
      </c>
      <c r="K253" s="159">
        <v>41.88</v>
      </c>
      <c r="L253" s="159">
        <v>10.73</v>
      </c>
      <c r="M253" s="159">
        <v>232.09</v>
      </c>
      <c r="N253" s="159">
        <v>0.113</v>
      </c>
    </row>
    <row r="254" spans="1:14" ht="16.5">
      <c r="A254" s="2" t="str">
        <f t="shared" si="3"/>
        <v>232하위25%</v>
      </c>
      <c r="B254" s="141">
        <v>232</v>
      </c>
      <c r="C254" s="103" t="s">
        <v>1624</v>
      </c>
      <c r="D254" s="159">
        <v>0.81299999999999994</v>
      </c>
      <c r="E254" s="159">
        <v>0.17799999999999999</v>
      </c>
      <c r="F254" s="159">
        <v>8.9999999999999993E-3</v>
      </c>
      <c r="G254" s="159">
        <v>1.226</v>
      </c>
      <c r="H254" s="159">
        <v>0.13700000000000001</v>
      </c>
      <c r="I254" s="159">
        <v>1.7000000000000001E-2</v>
      </c>
      <c r="J254" s="159">
        <v>0.125</v>
      </c>
      <c r="K254" s="159">
        <v>4.13</v>
      </c>
      <c r="L254" s="159">
        <v>112.91</v>
      </c>
      <c r="M254" s="159">
        <v>12.71</v>
      </c>
      <c r="N254" s="159">
        <v>0.17199999999999999</v>
      </c>
    </row>
    <row r="255" spans="1:14" ht="16.5">
      <c r="A255" s="2" t="str">
        <f t="shared" si="3"/>
        <v>233하위25%</v>
      </c>
      <c r="B255" s="141">
        <v>233</v>
      </c>
      <c r="C255" s="103" t="s">
        <v>1624</v>
      </c>
      <c r="D255" s="159">
        <v>0.40300000000000002</v>
      </c>
      <c r="E255" s="159">
        <v>0.58499999999999996</v>
      </c>
      <c r="F255" s="159">
        <v>6.0000000000000001E-3</v>
      </c>
      <c r="G255" s="159">
        <v>2.1840000000000002</v>
      </c>
      <c r="H255" s="159">
        <v>0.153</v>
      </c>
      <c r="I255" s="159">
        <v>2.5999999999999999E-2</v>
      </c>
      <c r="J255" s="159">
        <v>8.2000000000000003E-2</v>
      </c>
      <c r="K255" s="159">
        <v>14.17</v>
      </c>
      <c r="L255" s="159">
        <v>46.75</v>
      </c>
      <c r="M255" s="159">
        <v>84.52</v>
      </c>
      <c r="N255" s="159">
        <v>0.08</v>
      </c>
    </row>
    <row r="256" spans="1:14" ht="16.5">
      <c r="A256" s="2" t="str">
        <f t="shared" si="3"/>
        <v>234하위25%</v>
      </c>
      <c r="B256" s="141">
        <v>234</v>
      </c>
      <c r="C256" s="103" t="s">
        <v>1624</v>
      </c>
      <c r="D256" s="159">
        <v>0.23599999999999999</v>
      </c>
      <c r="E256" s="159">
        <v>0.73899999999999999</v>
      </c>
      <c r="F256" s="159">
        <v>1.7999999999999999E-2</v>
      </c>
      <c r="G256" s="159">
        <v>1.9370000000000001</v>
      </c>
      <c r="H256" s="159">
        <v>0.29899999999999999</v>
      </c>
      <c r="I256" s="159">
        <v>0</v>
      </c>
      <c r="J256" s="159">
        <v>0.154</v>
      </c>
      <c r="K256" s="159">
        <v>53.8</v>
      </c>
      <c r="L256" s="159">
        <v>10.7</v>
      </c>
      <c r="M256" s="159">
        <v>92.7</v>
      </c>
      <c r="N256" s="159">
        <v>0.10100000000000001</v>
      </c>
    </row>
    <row r="257" spans="1:14" ht="16.5">
      <c r="A257" s="2" t="str">
        <f t="shared" si="3"/>
        <v>235하위25%</v>
      </c>
      <c r="B257" s="141">
        <v>235</v>
      </c>
      <c r="C257" s="103" t="s">
        <v>1624</v>
      </c>
      <c r="D257" s="159">
        <v>0.72099999999999997</v>
      </c>
      <c r="E257" s="159">
        <v>0.26200000000000001</v>
      </c>
      <c r="F257" s="159">
        <v>1.7999999999999999E-2</v>
      </c>
      <c r="G257" s="159">
        <v>0.94199999999999995</v>
      </c>
      <c r="H257" s="159">
        <v>0.35099999999999998</v>
      </c>
      <c r="I257" s="159">
        <v>0.14299999999999999</v>
      </c>
      <c r="J257" s="159">
        <v>0.52500000000000002</v>
      </c>
      <c r="K257" s="159">
        <v>8.01</v>
      </c>
      <c r="L257" s="159">
        <v>8.74</v>
      </c>
      <c r="M257" s="159">
        <v>69.89</v>
      </c>
      <c r="N257" s="159">
        <v>0.22500000000000001</v>
      </c>
    </row>
    <row r="258" spans="1:14" ht="16.5">
      <c r="A258" s="2" t="str">
        <f t="shared" si="3"/>
        <v>236하위25%</v>
      </c>
      <c r="B258" s="141">
        <v>236</v>
      </c>
      <c r="C258" s="103" t="s">
        <v>1624</v>
      </c>
      <c r="D258" s="159">
        <v>0.66100000000000003</v>
      </c>
      <c r="E258" s="159">
        <v>0.32400000000000001</v>
      </c>
      <c r="F258" s="159">
        <v>1.0999999999999999E-2</v>
      </c>
      <c r="G258" s="159">
        <v>1.615</v>
      </c>
      <c r="H258" s="159">
        <v>0.14499999999999999</v>
      </c>
      <c r="I258" s="159">
        <v>5.8999999999999997E-2</v>
      </c>
      <c r="J258" s="159">
        <v>0.126</v>
      </c>
      <c r="K258" s="159">
        <v>7.2</v>
      </c>
      <c r="L258" s="159">
        <v>32.25</v>
      </c>
      <c r="M258" s="159">
        <v>11.02</v>
      </c>
      <c r="N258" s="159">
        <v>7.9000000000000001E-2</v>
      </c>
    </row>
    <row r="259" spans="1:14" ht="16.5">
      <c r="A259" s="2" t="str">
        <f t="shared" ref="A259:A322" si="4">B259&amp;C259</f>
        <v>237하위25%</v>
      </c>
      <c r="B259" s="141">
        <v>237</v>
      </c>
      <c r="C259" s="103" t="s">
        <v>1624</v>
      </c>
      <c r="D259" s="159">
        <v>0.83499999999999996</v>
      </c>
      <c r="E259" s="159">
        <v>0.14699999999999999</v>
      </c>
      <c r="F259" s="159">
        <v>1.2999999999999999E-2</v>
      </c>
      <c r="G259" s="159">
        <v>1.9079999999999999</v>
      </c>
      <c r="H259" s="159">
        <v>0.44400000000000001</v>
      </c>
      <c r="I259" s="159">
        <v>4.0000000000000001E-3</v>
      </c>
      <c r="J259" s="159">
        <v>0.23499999999999999</v>
      </c>
      <c r="K259" s="159">
        <v>18.690000000000001</v>
      </c>
      <c r="L259" s="159">
        <v>25.14</v>
      </c>
      <c r="M259" s="159">
        <v>40.42</v>
      </c>
      <c r="N259" s="159">
        <v>6.9000000000000006E-2</v>
      </c>
    </row>
    <row r="260" spans="1:14" ht="16.5">
      <c r="A260" s="2" t="str">
        <f t="shared" si="4"/>
        <v>239하위25%</v>
      </c>
      <c r="B260" s="141">
        <v>239</v>
      </c>
      <c r="C260" s="103" t="s">
        <v>1624</v>
      </c>
      <c r="D260" s="159">
        <v>0.46400000000000002</v>
      </c>
      <c r="E260" s="159">
        <v>0.51600000000000001</v>
      </c>
      <c r="F260" s="159">
        <v>2.8000000000000001E-2</v>
      </c>
      <c r="G260" s="159">
        <v>1.046</v>
      </c>
      <c r="H260" s="159">
        <v>0.499</v>
      </c>
      <c r="I260" s="159">
        <v>1.2999999999999999E-2</v>
      </c>
      <c r="J260" s="159">
        <v>0.48899999999999999</v>
      </c>
      <c r="K260" s="159">
        <v>10.9</v>
      </c>
      <c r="L260" s="159">
        <v>83.56</v>
      </c>
      <c r="M260" s="159">
        <v>56.64</v>
      </c>
      <c r="N260" s="159">
        <v>8.5999999999999993E-2</v>
      </c>
    </row>
    <row r="261" spans="1:14" ht="16.5">
      <c r="A261" s="2" t="str">
        <f t="shared" si="4"/>
        <v>311하위25%</v>
      </c>
      <c r="B261" s="141">
        <v>311</v>
      </c>
      <c r="C261" s="103" t="s">
        <v>1624</v>
      </c>
      <c r="D261" s="159">
        <v>0.42</v>
      </c>
      <c r="E261" s="159">
        <v>0.121</v>
      </c>
      <c r="F261" s="159">
        <v>8.9999999999999993E-3</v>
      </c>
      <c r="G261" s="159">
        <v>0.39400000000000002</v>
      </c>
      <c r="H261" s="159">
        <v>0.18099999999999999</v>
      </c>
      <c r="I261" s="159">
        <v>1E-3</v>
      </c>
      <c r="J261" s="159">
        <v>0.46100000000000002</v>
      </c>
      <c r="K261" s="159">
        <v>25.3</v>
      </c>
      <c r="L261" s="159">
        <v>22.5</v>
      </c>
      <c r="M261" s="159">
        <v>90.71</v>
      </c>
      <c r="N261" s="159">
        <v>7.2999999999999995E-2</v>
      </c>
    </row>
    <row r="262" spans="1:14" ht="16.5">
      <c r="A262" s="2" t="str">
        <f t="shared" si="4"/>
        <v>312하위25%</v>
      </c>
      <c r="B262" s="141">
        <v>312</v>
      </c>
      <c r="C262" s="103" t="s">
        <v>1624</v>
      </c>
      <c r="D262" s="159">
        <v>0.88800000000000001</v>
      </c>
      <c r="E262" s="159">
        <v>9.8000000000000004E-2</v>
      </c>
      <c r="F262" s="159">
        <v>5.0000000000000001E-3</v>
      </c>
      <c r="G262" s="159">
        <v>0.55400000000000005</v>
      </c>
      <c r="H262" s="159">
        <v>0.73</v>
      </c>
      <c r="I262" s="159">
        <v>0</v>
      </c>
      <c r="J262" s="159">
        <v>1.3169999999999999</v>
      </c>
      <c r="K262" s="159">
        <v>4.96</v>
      </c>
      <c r="L262" s="159">
        <v>5.09</v>
      </c>
      <c r="M262" s="159">
        <v>71.55</v>
      </c>
      <c r="N262" s="159">
        <v>0.38400000000000001</v>
      </c>
    </row>
    <row r="263" spans="1:14" ht="16.5">
      <c r="A263" s="2" t="str">
        <f t="shared" si="4"/>
        <v>390하위25%</v>
      </c>
      <c r="B263" s="141">
        <v>390</v>
      </c>
      <c r="C263" s="103" t="s">
        <v>1624</v>
      </c>
      <c r="D263" s="159">
        <v>0.78200000000000003</v>
      </c>
      <c r="E263" s="159">
        <v>0.20300000000000001</v>
      </c>
      <c r="F263" s="159">
        <v>8.0000000000000002E-3</v>
      </c>
      <c r="G263" s="159">
        <v>0.90500000000000003</v>
      </c>
      <c r="H263" s="159">
        <v>1.0999999999999999E-2</v>
      </c>
      <c r="I263" s="159">
        <v>0</v>
      </c>
      <c r="J263" s="159">
        <v>1.2E-2</v>
      </c>
      <c r="K263" s="159">
        <v>0</v>
      </c>
      <c r="L263" s="159">
        <v>0</v>
      </c>
      <c r="M263" s="159">
        <v>0</v>
      </c>
      <c r="N263" s="159">
        <v>0</v>
      </c>
    </row>
    <row r="264" spans="1:14" ht="16.5">
      <c r="A264" s="2" t="str">
        <f t="shared" si="4"/>
        <v>411하위25%</v>
      </c>
      <c r="B264" s="141">
        <v>411</v>
      </c>
      <c r="C264" s="103" t="s">
        <v>1624</v>
      </c>
      <c r="D264" s="159">
        <v>0.90900000000000003</v>
      </c>
      <c r="E264" s="159">
        <v>7.0999999999999994E-2</v>
      </c>
      <c r="F264" s="159">
        <v>8.9999999999999993E-3</v>
      </c>
      <c r="G264" s="159">
        <v>1.3839999999999999</v>
      </c>
      <c r="H264" s="159">
        <v>0.36799999999999999</v>
      </c>
      <c r="I264" s="159">
        <v>1.0999999999999999E-2</v>
      </c>
      <c r="J264" s="159">
        <v>0.27400000000000002</v>
      </c>
      <c r="K264" s="159">
        <v>6.74</v>
      </c>
      <c r="L264" s="159">
        <v>6.54</v>
      </c>
      <c r="M264" s="159">
        <v>16.809999999999999</v>
      </c>
      <c r="N264" s="159">
        <v>0.24199999999999999</v>
      </c>
    </row>
    <row r="265" spans="1:14" ht="16.5">
      <c r="A265" s="2" t="str">
        <f t="shared" si="4"/>
        <v>412하위25%</v>
      </c>
      <c r="B265" s="141">
        <v>412</v>
      </c>
      <c r="C265" s="103" t="s">
        <v>1624</v>
      </c>
      <c r="D265" s="159">
        <v>0.89400000000000002</v>
      </c>
      <c r="E265" s="159">
        <v>8.4000000000000005E-2</v>
      </c>
      <c r="F265" s="159">
        <v>1.7000000000000001E-2</v>
      </c>
      <c r="G265" s="159">
        <v>0.96699999999999997</v>
      </c>
      <c r="H265" s="159">
        <v>0.51600000000000001</v>
      </c>
      <c r="I265" s="159">
        <v>7.0000000000000001E-3</v>
      </c>
      <c r="J265" s="159">
        <v>0.54100000000000004</v>
      </c>
      <c r="K265" s="159">
        <v>6.93</v>
      </c>
      <c r="L265" s="159">
        <v>8.0399999999999991</v>
      </c>
      <c r="M265" s="159">
        <v>8.86</v>
      </c>
      <c r="N265" s="159">
        <v>0.156</v>
      </c>
    </row>
    <row r="266" spans="1:14" ht="16.5">
      <c r="A266" s="2" t="str">
        <f t="shared" si="4"/>
        <v>413하위25%</v>
      </c>
      <c r="B266" s="141">
        <v>413</v>
      </c>
      <c r="C266" s="103" t="s">
        <v>1624</v>
      </c>
      <c r="D266" s="159">
        <v>0.84</v>
      </c>
      <c r="E266" s="159">
        <v>0.13800000000000001</v>
      </c>
      <c r="F266" s="159">
        <v>1.7999999999999999E-2</v>
      </c>
      <c r="G266" s="159">
        <v>0.85399999999999998</v>
      </c>
      <c r="H266" s="159">
        <v>0.61199999999999999</v>
      </c>
      <c r="I266" s="159">
        <v>7.0000000000000001E-3</v>
      </c>
      <c r="J266" s="159">
        <v>0.72499999999999998</v>
      </c>
      <c r="K266" s="159">
        <v>9.27</v>
      </c>
      <c r="L266" s="159">
        <v>6.1</v>
      </c>
      <c r="M266" s="159">
        <v>14.14</v>
      </c>
      <c r="N266" s="159">
        <v>0.20100000000000001</v>
      </c>
    </row>
    <row r="267" spans="1:14" ht="16.5">
      <c r="A267" s="2" t="str">
        <f t="shared" si="4"/>
        <v>414하위25%</v>
      </c>
      <c r="B267" s="141">
        <v>414</v>
      </c>
      <c r="C267" s="103" t="s">
        <v>1624</v>
      </c>
      <c r="D267" s="159">
        <v>0.82199999999999995</v>
      </c>
      <c r="E267" s="159">
        <v>0.152</v>
      </c>
      <c r="F267" s="159">
        <v>3.1E-2</v>
      </c>
      <c r="G267" s="159">
        <v>1.171</v>
      </c>
      <c r="H267" s="159">
        <v>0.3</v>
      </c>
      <c r="I267" s="159">
        <v>2E-3</v>
      </c>
      <c r="J267" s="159">
        <v>0.25900000000000001</v>
      </c>
      <c r="K267" s="159">
        <v>3.95</v>
      </c>
      <c r="L267" s="159">
        <v>5.69</v>
      </c>
      <c r="M267" s="159">
        <v>22.96</v>
      </c>
      <c r="N267" s="159">
        <v>0.38500000000000001</v>
      </c>
    </row>
    <row r="268" spans="1:14" ht="16.5">
      <c r="A268" s="2" t="str">
        <f t="shared" si="4"/>
        <v>415하위25%</v>
      </c>
      <c r="B268" s="141">
        <v>415</v>
      </c>
      <c r="C268" s="103" t="s">
        <v>1624</v>
      </c>
      <c r="D268" s="159">
        <v>0.85</v>
      </c>
      <c r="E268" s="159">
        <v>0.126</v>
      </c>
      <c r="F268" s="159">
        <v>8.0000000000000002E-3</v>
      </c>
      <c r="G268" s="159">
        <v>1.7529999999999999</v>
      </c>
      <c r="H268" s="159">
        <v>0.34699999999999998</v>
      </c>
      <c r="I268" s="159">
        <v>1.9E-2</v>
      </c>
      <c r="J268" s="159">
        <v>0.20899999999999999</v>
      </c>
      <c r="K268" s="159">
        <v>6.92</v>
      </c>
      <c r="L268" s="159">
        <v>9.89</v>
      </c>
      <c r="M268" s="159">
        <v>8.07</v>
      </c>
      <c r="N268" s="159">
        <v>0.122</v>
      </c>
    </row>
    <row r="269" spans="1:14" ht="16.5">
      <c r="A269" s="2" t="str">
        <f t="shared" si="4"/>
        <v>416하위25%</v>
      </c>
      <c r="B269" s="141">
        <v>416</v>
      </c>
      <c r="C269" s="103" t="s">
        <v>1624</v>
      </c>
      <c r="D269" s="159">
        <v>0.879</v>
      </c>
      <c r="E269" s="159">
        <v>0.10100000000000001</v>
      </c>
      <c r="F269" s="159">
        <v>1.9E-2</v>
      </c>
      <c r="G269" s="159">
        <v>1.248</v>
      </c>
      <c r="H269" s="159">
        <v>0.45100000000000001</v>
      </c>
      <c r="I269" s="159">
        <v>0.01</v>
      </c>
      <c r="J269" s="159">
        <v>0.36899999999999999</v>
      </c>
      <c r="K269" s="159">
        <v>7.75</v>
      </c>
      <c r="L269" s="159">
        <v>7.07</v>
      </c>
      <c r="M269" s="159">
        <v>11.41</v>
      </c>
      <c r="N269" s="159">
        <v>0.183</v>
      </c>
    </row>
    <row r="270" spans="1:14" ht="16.5">
      <c r="A270" s="2" t="str">
        <f t="shared" si="4"/>
        <v>419하위25%</v>
      </c>
      <c r="B270" s="141">
        <v>419</v>
      </c>
      <c r="C270" s="103" t="s">
        <v>1624</v>
      </c>
      <c r="D270" s="159">
        <v>0.88100000000000001</v>
      </c>
      <c r="E270" s="159">
        <v>9.2999999999999999E-2</v>
      </c>
      <c r="F270" s="159">
        <v>0.01</v>
      </c>
      <c r="G270" s="159">
        <v>1.3360000000000001</v>
      </c>
      <c r="H270" s="159">
        <v>0.44400000000000001</v>
      </c>
      <c r="I270" s="159">
        <v>1.7000000000000001E-2</v>
      </c>
      <c r="J270" s="159">
        <v>0.34499999999999997</v>
      </c>
      <c r="K270" s="159">
        <v>8.23</v>
      </c>
      <c r="L270" s="159">
        <v>7.38</v>
      </c>
      <c r="M270" s="159">
        <v>16.079999999999998</v>
      </c>
      <c r="N270" s="159">
        <v>0.19500000000000001</v>
      </c>
    </row>
    <row r="271" spans="1:14" ht="16.5">
      <c r="A271" s="2" t="str">
        <f t="shared" si="4"/>
        <v>421하위25%</v>
      </c>
      <c r="B271" s="141">
        <v>421</v>
      </c>
      <c r="C271" s="103" t="s">
        <v>1624</v>
      </c>
      <c r="D271" s="159">
        <v>0.51600000000000001</v>
      </c>
      <c r="E271" s="159">
        <v>0.47899999999999998</v>
      </c>
      <c r="F271" s="159">
        <v>0</v>
      </c>
      <c r="G271" s="159">
        <v>2.3769999999999998</v>
      </c>
      <c r="H271" s="159">
        <v>1.4999999999999999E-2</v>
      </c>
      <c r="I271" s="159">
        <v>2E-3</v>
      </c>
      <c r="J271" s="159">
        <v>7.0000000000000001E-3</v>
      </c>
      <c r="K271" s="159">
        <v>10.44</v>
      </c>
      <c r="L271" s="159">
        <v>6.83</v>
      </c>
      <c r="M271" s="159">
        <v>137.96</v>
      </c>
      <c r="N271" s="159">
        <v>0.23499999999999999</v>
      </c>
    </row>
    <row r="272" spans="1:14" ht="16.5">
      <c r="A272" s="2" t="str">
        <f t="shared" si="4"/>
        <v>422하위25%</v>
      </c>
      <c r="B272" s="141">
        <v>422</v>
      </c>
      <c r="C272" s="103" t="s">
        <v>1624</v>
      </c>
      <c r="D272" s="159">
        <v>0.69599999999999995</v>
      </c>
      <c r="E272" s="159">
        <v>0.27900000000000003</v>
      </c>
      <c r="F272" s="159">
        <v>1.0999999999999999E-2</v>
      </c>
      <c r="G272" s="159">
        <v>0.96899999999999997</v>
      </c>
      <c r="H272" s="159">
        <v>0.24399999999999999</v>
      </c>
      <c r="I272" s="159">
        <v>1.4E-2</v>
      </c>
      <c r="J272" s="159">
        <v>0.26700000000000002</v>
      </c>
      <c r="K272" s="159">
        <v>5.53</v>
      </c>
      <c r="L272" s="159">
        <v>7.39</v>
      </c>
      <c r="M272" s="159">
        <v>9.4</v>
      </c>
      <c r="N272" s="159">
        <v>0.21</v>
      </c>
    </row>
    <row r="273" spans="1:14" ht="16.5">
      <c r="A273" s="2" t="str">
        <f t="shared" si="4"/>
        <v>423하위25%</v>
      </c>
      <c r="B273" s="141">
        <v>423</v>
      </c>
      <c r="C273" s="103" t="s">
        <v>1624</v>
      </c>
      <c r="D273" s="159">
        <v>0.93899999999999995</v>
      </c>
      <c r="E273" s="159">
        <v>5.5E-2</v>
      </c>
      <c r="F273" s="159">
        <v>3.0000000000000001E-3</v>
      </c>
      <c r="G273" s="159">
        <v>0.58899999999999997</v>
      </c>
      <c r="H273" s="159">
        <v>0.255</v>
      </c>
      <c r="I273" s="159">
        <v>0</v>
      </c>
      <c r="J273" s="159">
        <v>0.433</v>
      </c>
      <c r="K273" s="159">
        <v>4.1500000000000004</v>
      </c>
      <c r="L273" s="159">
        <v>4.8499999999999996</v>
      </c>
      <c r="M273" s="159">
        <v>7.56</v>
      </c>
      <c r="N273" s="159">
        <v>0.315</v>
      </c>
    </row>
    <row r="274" spans="1:14" ht="16.5">
      <c r="A274" s="2" t="str">
        <f t="shared" si="4"/>
        <v>429하위25%</v>
      </c>
      <c r="B274" s="141">
        <v>429</v>
      </c>
      <c r="C274" s="103" t="s">
        <v>1624</v>
      </c>
      <c r="D274" s="159">
        <v>0.91400000000000003</v>
      </c>
      <c r="E274" s="159">
        <v>7.5999999999999998E-2</v>
      </c>
      <c r="F274" s="159">
        <v>4.0000000000000001E-3</v>
      </c>
      <c r="G274" s="159">
        <v>0.67800000000000005</v>
      </c>
      <c r="H274" s="159">
        <v>0.311</v>
      </c>
      <c r="I274" s="159">
        <v>1E-3</v>
      </c>
      <c r="J274" s="159">
        <v>0.46100000000000002</v>
      </c>
      <c r="K274" s="159">
        <v>4.99</v>
      </c>
      <c r="L274" s="159">
        <v>5.18</v>
      </c>
      <c r="M274" s="159">
        <v>13.58</v>
      </c>
      <c r="N274" s="159">
        <v>0.32</v>
      </c>
    </row>
    <row r="275" spans="1:14" ht="16.5">
      <c r="A275" s="2" t="str">
        <f t="shared" si="4"/>
        <v>431하위25%</v>
      </c>
      <c r="B275" s="141">
        <v>431</v>
      </c>
      <c r="C275" s="103" t="s">
        <v>1624</v>
      </c>
      <c r="D275" s="159">
        <v>0.83799999999999997</v>
      </c>
      <c r="E275" s="159">
        <v>0.13500000000000001</v>
      </c>
      <c r="F275" s="159">
        <v>1.7999999999999999E-2</v>
      </c>
      <c r="G275" s="159">
        <v>0.94199999999999995</v>
      </c>
      <c r="H275" s="159">
        <v>0.30099999999999999</v>
      </c>
      <c r="I275" s="159">
        <v>1.0999999999999999E-2</v>
      </c>
      <c r="J275" s="159">
        <v>0.33100000000000002</v>
      </c>
      <c r="K275" s="159">
        <v>5.45</v>
      </c>
      <c r="L275" s="159">
        <v>6.17</v>
      </c>
      <c r="M275" s="159">
        <v>15.81</v>
      </c>
      <c r="N275" s="159">
        <v>0.28199999999999997</v>
      </c>
    </row>
    <row r="276" spans="1:14" ht="16.5">
      <c r="A276" s="2" t="str">
        <f t="shared" si="4"/>
        <v>432하위25%</v>
      </c>
      <c r="B276" s="141">
        <v>432</v>
      </c>
      <c r="C276" s="103" t="s">
        <v>1624</v>
      </c>
      <c r="D276" s="159">
        <v>0.89600000000000002</v>
      </c>
      <c r="E276" s="159">
        <v>8.3000000000000004E-2</v>
      </c>
      <c r="F276" s="159">
        <v>1.4E-2</v>
      </c>
      <c r="G276" s="159">
        <v>1.1639999999999999</v>
      </c>
      <c r="H276" s="159">
        <v>0.38800000000000001</v>
      </c>
      <c r="I276" s="159">
        <v>8.9999999999999993E-3</v>
      </c>
      <c r="J276" s="159">
        <v>0.34</v>
      </c>
      <c r="K276" s="159">
        <v>5.81</v>
      </c>
      <c r="L276" s="159">
        <v>8.9499999999999993</v>
      </c>
      <c r="M276" s="159">
        <v>9.02</v>
      </c>
      <c r="N276" s="159">
        <v>0.17299999999999999</v>
      </c>
    </row>
    <row r="277" spans="1:14" ht="16.5">
      <c r="A277" s="2" t="str">
        <f t="shared" si="4"/>
        <v>433하위25%</v>
      </c>
      <c r="B277" s="141">
        <v>433</v>
      </c>
      <c r="C277" s="103" t="s">
        <v>1624</v>
      </c>
      <c r="D277" s="159">
        <v>0.83199999999999996</v>
      </c>
      <c r="E277" s="159">
        <v>0.14399999999999999</v>
      </c>
      <c r="F277" s="159">
        <v>0.01</v>
      </c>
      <c r="G277" s="159">
        <v>1.093</v>
      </c>
      <c r="H277" s="159">
        <v>0.36799999999999999</v>
      </c>
      <c r="I277" s="159">
        <v>1.4E-2</v>
      </c>
      <c r="J277" s="159">
        <v>0.35</v>
      </c>
      <c r="K277" s="159">
        <v>5.24</v>
      </c>
      <c r="L277" s="159">
        <v>5.35</v>
      </c>
      <c r="M277" s="159">
        <v>8.98</v>
      </c>
      <c r="N277" s="159">
        <v>0.26600000000000001</v>
      </c>
    </row>
    <row r="278" spans="1:14" ht="16.5">
      <c r="A278" s="2" t="str">
        <f t="shared" si="4"/>
        <v>439하위25%</v>
      </c>
      <c r="B278" s="141">
        <v>439</v>
      </c>
      <c r="C278" s="103" t="s">
        <v>1624</v>
      </c>
      <c r="D278" s="159">
        <v>0.84499999999999997</v>
      </c>
      <c r="E278" s="159">
        <v>0.13600000000000001</v>
      </c>
      <c r="F278" s="159">
        <v>1.2E-2</v>
      </c>
      <c r="G278" s="159">
        <v>1.0880000000000001</v>
      </c>
      <c r="H278" s="159">
        <v>0.23799999999999999</v>
      </c>
      <c r="I278" s="159">
        <v>4.1000000000000002E-2</v>
      </c>
      <c r="J278" s="159">
        <v>0.25700000000000001</v>
      </c>
      <c r="K278" s="159">
        <v>4.37</v>
      </c>
      <c r="L278" s="159">
        <v>8.75</v>
      </c>
      <c r="M278" s="159">
        <v>6.63</v>
      </c>
      <c r="N278" s="159">
        <v>0.192</v>
      </c>
    </row>
    <row r="279" spans="1:14" ht="16.5">
      <c r="A279" s="2" t="str">
        <f t="shared" si="4"/>
        <v>441하위25%</v>
      </c>
      <c r="B279" s="141">
        <v>441</v>
      </c>
      <c r="C279" s="103" t="s">
        <v>1624</v>
      </c>
      <c r="D279" s="159">
        <v>0.503</v>
      </c>
      <c r="E279" s="159">
        <v>0.30299999999999999</v>
      </c>
      <c r="F279" s="159">
        <v>0.01</v>
      </c>
      <c r="G279" s="159">
        <v>0.28799999999999998</v>
      </c>
      <c r="H279" s="159">
        <v>3.5999999999999997E-2</v>
      </c>
      <c r="I279" s="159">
        <v>2E-3</v>
      </c>
      <c r="J279" s="159">
        <v>0.13300000000000001</v>
      </c>
      <c r="K279" s="159">
        <v>85.9</v>
      </c>
      <c r="L279" s="159">
        <v>28.93</v>
      </c>
      <c r="M279" s="159">
        <v>201.26</v>
      </c>
      <c r="N279" s="159">
        <v>4.1000000000000002E-2</v>
      </c>
    </row>
    <row r="280" spans="1:14" ht="16.5">
      <c r="A280" s="2" t="str">
        <f t="shared" si="4"/>
        <v>442하위25%</v>
      </c>
      <c r="B280" s="141">
        <v>442</v>
      </c>
      <c r="C280" s="103" t="s">
        <v>1624</v>
      </c>
      <c r="D280" s="159">
        <v>0.66100000000000003</v>
      </c>
      <c r="E280" s="159">
        <v>0.32400000000000001</v>
      </c>
      <c r="F280" s="159">
        <v>1.0999999999999999E-2</v>
      </c>
      <c r="G280" s="159">
        <v>1.615</v>
      </c>
      <c r="H280" s="159">
        <v>0.14499999999999999</v>
      </c>
      <c r="I280" s="159">
        <v>5.8999999999999997E-2</v>
      </c>
      <c r="J280" s="159">
        <v>0.126</v>
      </c>
      <c r="K280" s="159">
        <v>7.2</v>
      </c>
      <c r="L280" s="159">
        <v>32.25</v>
      </c>
      <c r="M280" s="159">
        <v>11.02</v>
      </c>
      <c r="N280" s="159">
        <v>7.9000000000000001E-2</v>
      </c>
    </row>
    <row r="281" spans="1:14" ht="16.5">
      <c r="A281" s="2" t="str">
        <f t="shared" si="4"/>
        <v>443하위25%</v>
      </c>
      <c r="B281" s="141">
        <v>443</v>
      </c>
      <c r="C281" s="103" t="s">
        <v>1624</v>
      </c>
      <c r="D281" s="159">
        <v>0.503</v>
      </c>
      <c r="E281" s="159">
        <v>0.30299999999999999</v>
      </c>
      <c r="F281" s="159">
        <v>0.01</v>
      </c>
      <c r="G281" s="159">
        <v>0.28799999999999998</v>
      </c>
      <c r="H281" s="159">
        <v>3.5999999999999997E-2</v>
      </c>
      <c r="I281" s="159">
        <v>2E-3</v>
      </c>
      <c r="J281" s="159">
        <v>0.13300000000000001</v>
      </c>
      <c r="K281" s="159">
        <v>85.9</v>
      </c>
      <c r="L281" s="159">
        <v>28.93</v>
      </c>
      <c r="M281" s="159">
        <v>201.26</v>
      </c>
      <c r="N281" s="159">
        <v>4.1000000000000002E-2</v>
      </c>
    </row>
    <row r="282" spans="1:14" ht="16.5">
      <c r="A282" s="2" t="str">
        <f t="shared" si="4"/>
        <v>444하위25%</v>
      </c>
      <c r="B282" s="141">
        <v>444</v>
      </c>
      <c r="C282" s="103" t="s">
        <v>1624</v>
      </c>
      <c r="D282" s="159">
        <v>0.90600000000000003</v>
      </c>
      <c r="E282" s="159">
        <v>8.8999999999999996E-2</v>
      </c>
      <c r="F282" s="159">
        <v>1.4E-2</v>
      </c>
      <c r="G282" s="159">
        <v>1.0109999999999999</v>
      </c>
      <c r="H282" s="159">
        <v>0.51300000000000001</v>
      </c>
      <c r="I282" s="159">
        <v>0.105</v>
      </c>
      <c r="J282" s="159">
        <v>0.61099999999999999</v>
      </c>
      <c r="K282" s="159">
        <v>74.94</v>
      </c>
      <c r="L282" s="159">
        <v>120.64</v>
      </c>
      <c r="M282" s="159">
        <v>273.88</v>
      </c>
      <c r="N282" s="159">
        <v>1.7999999999999999E-2</v>
      </c>
    </row>
    <row r="283" spans="1:14" ht="16.5">
      <c r="A283" s="2" t="str">
        <f t="shared" si="4"/>
        <v>445하위25%</v>
      </c>
      <c r="B283" s="141">
        <v>445</v>
      </c>
      <c r="C283" s="103" t="s">
        <v>1624</v>
      </c>
      <c r="D283" s="159">
        <v>0.83499999999999996</v>
      </c>
      <c r="E283" s="159">
        <v>0.14699999999999999</v>
      </c>
      <c r="F283" s="159">
        <v>1.2999999999999999E-2</v>
      </c>
      <c r="G283" s="159">
        <v>1.9079999999999999</v>
      </c>
      <c r="H283" s="159">
        <v>0.44400000000000001</v>
      </c>
      <c r="I283" s="159">
        <v>4.0000000000000001E-3</v>
      </c>
      <c r="J283" s="159">
        <v>0.23499999999999999</v>
      </c>
      <c r="K283" s="159">
        <v>18.690000000000001</v>
      </c>
      <c r="L283" s="159">
        <v>25.14</v>
      </c>
      <c r="M283" s="159">
        <v>40.42</v>
      </c>
      <c r="N283" s="159">
        <v>6.9000000000000006E-2</v>
      </c>
    </row>
    <row r="284" spans="1:14" ht="16.5">
      <c r="A284" s="2" t="str">
        <f t="shared" si="4"/>
        <v>446하위25%</v>
      </c>
      <c r="B284" s="141">
        <v>446</v>
      </c>
      <c r="C284" s="103" t="s">
        <v>1624</v>
      </c>
      <c r="D284" s="159">
        <v>0.91300000000000003</v>
      </c>
      <c r="E284" s="159">
        <v>7.0000000000000007E-2</v>
      </c>
      <c r="F284" s="159">
        <v>3.0000000000000001E-3</v>
      </c>
      <c r="G284" s="159">
        <v>1.8029999999999999</v>
      </c>
      <c r="H284" s="159">
        <v>0.19900000000000001</v>
      </c>
      <c r="I284" s="159">
        <v>3.0000000000000001E-3</v>
      </c>
      <c r="J284" s="159">
        <v>0.112</v>
      </c>
      <c r="K284" s="159">
        <v>14.73</v>
      </c>
      <c r="L284" s="159">
        <v>14.84</v>
      </c>
      <c r="M284" s="159">
        <v>20.8</v>
      </c>
      <c r="N284" s="159">
        <v>8.6999999999999994E-2</v>
      </c>
    </row>
    <row r="285" spans="1:14" ht="16.5">
      <c r="A285" s="2" t="str">
        <f t="shared" si="4"/>
        <v>447하위25%</v>
      </c>
      <c r="B285" s="141">
        <v>447</v>
      </c>
      <c r="C285" s="103" t="s">
        <v>1624</v>
      </c>
      <c r="D285" s="159">
        <v>0.79600000000000004</v>
      </c>
      <c r="E285" s="159">
        <v>0.16500000000000001</v>
      </c>
      <c r="F285" s="159">
        <v>2E-3</v>
      </c>
      <c r="G285" s="159">
        <v>1.6539999999999999</v>
      </c>
      <c r="H285" s="159">
        <v>0.47299999999999998</v>
      </c>
      <c r="I285" s="159">
        <v>0</v>
      </c>
      <c r="J285" s="159">
        <v>0.28599999999999998</v>
      </c>
      <c r="K285" s="159">
        <v>27.43</v>
      </c>
      <c r="L285" s="159">
        <v>7.54</v>
      </c>
      <c r="M285" s="159">
        <v>31.8</v>
      </c>
      <c r="N285" s="159">
        <v>0.13800000000000001</v>
      </c>
    </row>
    <row r="286" spans="1:14" ht="16.5">
      <c r="A286" s="2" t="str">
        <f t="shared" si="4"/>
        <v>449하위25%</v>
      </c>
      <c r="B286" s="141">
        <v>449</v>
      </c>
      <c r="C286" s="103" t="s">
        <v>1624</v>
      </c>
      <c r="D286" s="159">
        <v>0.2</v>
      </c>
      <c r="E286" s="159">
        <v>0.77100000000000002</v>
      </c>
      <c r="F286" s="159">
        <v>1.4999999999999999E-2</v>
      </c>
      <c r="G286" s="159">
        <v>1.3759999999999999</v>
      </c>
      <c r="H286" s="159">
        <v>0.29899999999999999</v>
      </c>
      <c r="I286" s="159">
        <v>1.4E-2</v>
      </c>
      <c r="J286" s="159">
        <v>0.22700000000000001</v>
      </c>
      <c r="K286" s="159">
        <v>11.04</v>
      </c>
      <c r="L286" s="159">
        <v>171.06</v>
      </c>
      <c r="M286" s="159">
        <v>960.69</v>
      </c>
      <c r="N286" s="159">
        <v>9.5000000000000001E-2</v>
      </c>
    </row>
    <row r="287" spans="1:14" ht="16.5">
      <c r="A287" s="2" t="str">
        <f t="shared" si="4"/>
        <v>511하위25%</v>
      </c>
      <c r="B287" s="141">
        <v>511</v>
      </c>
      <c r="C287" s="103" t="s">
        <v>1624</v>
      </c>
      <c r="D287" s="159">
        <v>0.90400000000000003</v>
      </c>
      <c r="E287" s="159">
        <v>7.9000000000000001E-2</v>
      </c>
      <c r="F287" s="159">
        <v>8.0000000000000002E-3</v>
      </c>
      <c r="G287" s="159">
        <v>0.60599999999999998</v>
      </c>
      <c r="H287" s="159">
        <v>0.21099999999999999</v>
      </c>
      <c r="I287" s="159">
        <v>1.2E-2</v>
      </c>
      <c r="J287" s="159">
        <v>0.36899999999999999</v>
      </c>
      <c r="K287" s="159">
        <v>8.74</v>
      </c>
      <c r="L287" s="159">
        <v>7.3</v>
      </c>
      <c r="M287" s="159">
        <v>13.97</v>
      </c>
      <c r="N287" s="159">
        <v>0.18</v>
      </c>
    </row>
    <row r="288" spans="1:14" ht="16.5">
      <c r="A288" s="2" t="str">
        <f t="shared" si="4"/>
        <v>512하위25%</v>
      </c>
      <c r="B288" s="141">
        <v>512</v>
      </c>
      <c r="C288" s="103" t="s">
        <v>1624</v>
      </c>
      <c r="D288" s="159">
        <v>0.91800000000000004</v>
      </c>
      <c r="E288" s="159">
        <v>4.0000000000000001E-3</v>
      </c>
      <c r="F288" s="159">
        <v>2E-3</v>
      </c>
      <c r="G288" s="159">
        <v>1.647</v>
      </c>
      <c r="H288" s="159">
        <v>0.29099999999999998</v>
      </c>
      <c r="I288" s="159">
        <v>0</v>
      </c>
      <c r="J288" s="159">
        <v>0.17699999999999999</v>
      </c>
      <c r="K288" s="159">
        <v>0</v>
      </c>
      <c r="L288" s="159">
        <v>2.84</v>
      </c>
      <c r="M288" s="159">
        <v>0</v>
      </c>
      <c r="N288" s="159">
        <v>0</v>
      </c>
    </row>
    <row r="289" spans="1:14" ht="16.5">
      <c r="A289" s="2" t="str">
        <f t="shared" si="4"/>
        <v>520하위25%</v>
      </c>
      <c r="B289" s="141">
        <v>520</v>
      </c>
      <c r="C289" s="103" t="s">
        <v>1624</v>
      </c>
      <c r="D289" s="159">
        <v>0.90200000000000002</v>
      </c>
      <c r="E289" s="159">
        <v>7.1999999999999995E-2</v>
      </c>
      <c r="F289" s="159">
        <v>2.8000000000000001E-2</v>
      </c>
      <c r="G289" s="159">
        <v>1.133</v>
      </c>
      <c r="H289" s="159">
        <v>0.42299999999999999</v>
      </c>
      <c r="I289" s="159">
        <v>4.0000000000000001E-3</v>
      </c>
      <c r="J289" s="159">
        <v>0.377</v>
      </c>
      <c r="K289" s="159">
        <v>13.8</v>
      </c>
      <c r="L289" s="159">
        <v>4.54</v>
      </c>
      <c r="M289" s="159">
        <v>22.92</v>
      </c>
      <c r="N289" s="159">
        <v>0.249</v>
      </c>
    </row>
    <row r="290" spans="1:14" ht="16.5">
      <c r="A290" s="2" t="str">
        <f t="shared" si="4"/>
        <v>611하위25%</v>
      </c>
      <c r="B290" s="141">
        <v>611</v>
      </c>
      <c r="C290" s="103" t="s">
        <v>1624</v>
      </c>
      <c r="D290" s="159">
        <v>0.93500000000000005</v>
      </c>
      <c r="E290" s="159">
        <v>0.05</v>
      </c>
      <c r="F290" s="159">
        <v>2E-3</v>
      </c>
      <c r="G290" s="159">
        <v>4.0720000000000001</v>
      </c>
      <c r="H290" s="159">
        <v>0.14499999999999999</v>
      </c>
      <c r="I290" s="159">
        <v>1.4999999999999999E-2</v>
      </c>
      <c r="J290" s="159">
        <v>3.9E-2</v>
      </c>
      <c r="K290" s="159">
        <v>26.96</v>
      </c>
      <c r="L290" s="159">
        <v>7.8</v>
      </c>
      <c r="M290" s="159">
        <v>127.07</v>
      </c>
      <c r="N290" s="159">
        <v>0.158</v>
      </c>
    </row>
    <row r="291" spans="1:14" ht="16.5">
      <c r="A291" s="2" t="str">
        <f t="shared" si="4"/>
        <v>612하위25%</v>
      </c>
      <c r="B291" s="141">
        <v>612</v>
      </c>
      <c r="C291" s="103" t="s">
        <v>1624</v>
      </c>
      <c r="D291" s="159">
        <v>0.83199999999999996</v>
      </c>
      <c r="E291" s="159">
        <v>0.14099999999999999</v>
      </c>
      <c r="F291" s="159">
        <v>8.9999999999999993E-3</v>
      </c>
      <c r="G291" s="159">
        <v>1.7689999999999999</v>
      </c>
      <c r="H291" s="159">
        <v>0.35</v>
      </c>
      <c r="I291" s="159">
        <v>2.4E-2</v>
      </c>
      <c r="J291" s="159">
        <v>0.21199999999999999</v>
      </c>
      <c r="K291" s="159">
        <v>7.12</v>
      </c>
      <c r="L291" s="159">
        <v>8.9600000000000009</v>
      </c>
      <c r="M291" s="159">
        <v>8.5299999999999994</v>
      </c>
      <c r="N291" s="159">
        <v>0.13500000000000001</v>
      </c>
    </row>
    <row r="292" spans="1:14" ht="16.5">
      <c r="A292" s="2" t="str">
        <f t="shared" si="4"/>
        <v>619하위25%</v>
      </c>
      <c r="B292" s="141">
        <v>619</v>
      </c>
      <c r="C292" s="103" t="s">
        <v>1624</v>
      </c>
      <c r="D292" s="159">
        <v>0.86399999999999999</v>
      </c>
      <c r="E292" s="159">
        <v>0.112</v>
      </c>
      <c r="F292" s="159">
        <v>5.0000000000000001E-3</v>
      </c>
      <c r="G292" s="159">
        <v>1.1499999999999999</v>
      </c>
      <c r="H292" s="159">
        <v>0.22500000000000001</v>
      </c>
      <c r="I292" s="159">
        <v>6.4000000000000001E-2</v>
      </c>
      <c r="J292" s="159">
        <v>0.252</v>
      </c>
      <c r="K292" s="159">
        <v>6.39</v>
      </c>
      <c r="L292" s="159">
        <v>9.56</v>
      </c>
      <c r="M292" s="159">
        <v>9.69</v>
      </c>
      <c r="N292" s="159">
        <v>0.158</v>
      </c>
    </row>
    <row r="293" spans="1:14" ht="16.5">
      <c r="A293" s="2" t="str">
        <f t="shared" si="4"/>
        <v>621하위25%</v>
      </c>
      <c r="B293" s="141">
        <v>621</v>
      </c>
      <c r="C293" s="103" t="s">
        <v>1624</v>
      </c>
      <c r="D293" s="159">
        <v>0.92900000000000005</v>
      </c>
      <c r="E293" s="159">
        <v>5.1999999999999998E-2</v>
      </c>
      <c r="F293" s="159">
        <v>5.0000000000000001E-3</v>
      </c>
      <c r="G293" s="159">
        <v>0.76600000000000001</v>
      </c>
      <c r="H293" s="159">
        <v>0.41899999999999998</v>
      </c>
      <c r="I293" s="159">
        <v>3.0000000000000001E-3</v>
      </c>
      <c r="J293" s="159">
        <v>0.55100000000000005</v>
      </c>
      <c r="K293" s="159">
        <v>16.690000000000001</v>
      </c>
      <c r="L293" s="159">
        <v>13.81</v>
      </c>
      <c r="M293" s="159">
        <v>13.36</v>
      </c>
      <c r="N293" s="159">
        <v>5.7000000000000002E-2</v>
      </c>
    </row>
    <row r="294" spans="1:14" ht="16.5">
      <c r="A294" s="2" t="str">
        <f t="shared" si="4"/>
        <v>622하위25%</v>
      </c>
      <c r="B294" s="141">
        <v>622</v>
      </c>
      <c r="C294" s="103" t="s">
        <v>1624</v>
      </c>
      <c r="D294" s="159">
        <v>0.90100000000000002</v>
      </c>
      <c r="E294" s="159">
        <v>6.9000000000000006E-2</v>
      </c>
      <c r="F294" s="159">
        <v>3.5999999999999997E-2</v>
      </c>
      <c r="G294" s="159">
        <v>1.413</v>
      </c>
      <c r="H294" s="159">
        <v>0.58399999999999996</v>
      </c>
      <c r="I294" s="159">
        <v>1.0999999999999999E-2</v>
      </c>
      <c r="J294" s="159">
        <v>0.42099999999999999</v>
      </c>
      <c r="K294" s="159">
        <v>8.27</v>
      </c>
      <c r="L294" s="159">
        <v>23.49</v>
      </c>
      <c r="M294" s="159">
        <v>20.48</v>
      </c>
      <c r="N294" s="159">
        <v>0.115</v>
      </c>
    </row>
    <row r="295" spans="1:14" ht="16.5">
      <c r="A295" s="2" t="str">
        <f t="shared" si="4"/>
        <v>623하위25%</v>
      </c>
      <c r="B295" s="141">
        <v>623</v>
      </c>
      <c r="C295" s="103" t="s">
        <v>1624</v>
      </c>
      <c r="D295" s="159">
        <v>0.65300000000000002</v>
      </c>
      <c r="E295" s="159">
        <v>0.30199999999999999</v>
      </c>
      <c r="F295" s="159">
        <v>4.0000000000000001E-3</v>
      </c>
      <c r="G295" s="159">
        <v>0.32800000000000001</v>
      </c>
      <c r="H295" s="159">
        <v>0.71499999999999997</v>
      </c>
      <c r="I295" s="159">
        <v>2.5999999999999999E-2</v>
      </c>
      <c r="J295" s="159">
        <v>2.2589999999999999</v>
      </c>
      <c r="K295" s="159">
        <v>2.59</v>
      </c>
      <c r="L295" s="159">
        <v>3.91</v>
      </c>
      <c r="M295" s="159">
        <v>11.69</v>
      </c>
      <c r="N295" s="159">
        <v>0.55600000000000005</v>
      </c>
    </row>
    <row r="296" spans="1:14" ht="16.5">
      <c r="A296" s="2" t="str">
        <f t="shared" si="4"/>
        <v>624하위25%</v>
      </c>
      <c r="B296" s="141">
        <v>624</v>
      </c>
      <c r="C296" s="103" t="s">
        <v>1624</v>
      </c>
      <c r="D296" s="159">
        <v>0.876</v>
      </c>
      <c r="E296" s="159">
        <v>0.107</v>
      </c>
      <c r="F296" s="159">
        <v>8.9999999999999993E-3</v>
      </c>
      <c r="G296" s="159">
        <v>0.89200000000000002</v>
      </c>
      <c r="H296" s="159">
        <v>0.436</v>
      </c>
      <c r="I296" s="159">
        <v>1.2999999999999999E-2</v>
      </c>
      <c r="J296" s="159">
        <v>0.503</v>
      </c>
      <c r="K296" s="159">
        <v>7.06</v>
      </c>
      <c r="L296" s="159">
        <v>7.08</v>
      </c>
      <c r="M296" s="159">
        <v>10.95</v>
      </c>
      <c r="N296" s="159">
        <v>0.192</v>
      </c>
    </row>
    <row r="297" spans="1:14" ht="16.5">
      <c r="A297" s="2" t="str">
        <f t="shared" si="4"/>
        <v>625하위25%</v>
      </c>
      <c r="B297" s="141">
        <v>625</v>
      </c>
      <c r="C297" s="103" t="s">
        <v>1624</v>
      </c>
      <c r="D297" s="159">
        <v>0.86</v>
      </c>
      <c r="E297" s="159">
        <v>0.12</v>
      </c>
      <c r="F297" s="159">
        <v>1.4E-2</v>
      </c>
      <c r="G297" s="159">
        <v>0.96299999999999997</v>
      </c>
      <c r="H297" s="159">
        <v>0.438</v>
      </c>
      <c r="I297" s="159">
        <v>8.0000000000000002E-3</v>
      </c>
      <c r="J297" s="159">
        <v>0.46300000000000002</v>
      </c>
      <c r="K297" s="159">
        <v>5.95</v>
      </c>
      <c r="L297" s="159">
        <v>12.53</v>
      </c>
      <c r="M297" s="159">
        <v>6.62</v>
      </c>
      <c r="N297" s="159">
        <v>9.7000000000000003E-2</v>
      </c>
    </row>
    <row r="298" spans="1:14" ht="16.5">
      <c r="A298" s="2" t="str">
        <f t="shared" si="4"/>
        <v>626하위25%</v>
      </c>
      <c r="B298" s="141">
        <v>626</v>
      </c>
      <c r="C298" s="103" t="s">
        <v>1624</v>
      </c>
      <c r="D298" s="159">
        <v>0.81799999999999995</v>
      </c>
      <c r="E298" s="159">
        <v>0.158</v>
      </c>
      <c r="F298" s="159">
        <v>1.7999999999999999E-2</v>
      </c>
      <c r="G298" s="159">
        <v>1.0509999999999999</v>
      </c>
      <c r="H298" s="159">
        <v>0.33</v>
      </c>
      <c r="I298" s="159">
        <v>4.7E-2</v>
      </c>
      <c r="J298" s="159">
        <v>0.35899999999999999</v>
      </c>
      <c r="K298" s="159">
        <v>5.47</v>
      </c>
      <c r="L298" s="159">
        <v>7.12</v>
      </c>
      <c r="M298" s="159">
        <v>10.56</v>
      </c>
      <c r="N298" s="159">
        <v>0.22800000000000001</v>
      </c>
    </row>
    <row r="299" spans="1:14" ht="16.5">
      <c r="A299" s="2" t="str">
        <f t="shared" si="4"/>
        <v>627하위25%</v>
      </c>
      <c r="B299" s="141">
        <v>627</v>
      </c>
      <c r="C299" s="103" t="s">
        <v>1624</v>
      </c>
      <c r="D299" s="159">
        <v>0.872</v>
      </c>
      <c r="E299" s="159">
        <v>0.105</v>
      </c>
      <c r="F299" s="159">
        <v>1.0999999999999999E-2</v>
      </c>
      <c r="G299" s="159">
        <v>1.1299999999999999</v>
      </c>
      <c r="H299" s="159">
        <v>0.34499999999999997</v>
      </c>
      <c r="I299" s="159">
        <v>1.7999999999999999E-2</v>
      </c>
      <c r="J299" s="159">
        <v>0.32200000000000001</v>
      </c>
      <c r="K299" s="159">
        <v>5.51</v>
      </c>
      <c r="L299" s="159">
        <v>8.69</v>
      </c>
      <c r="M299" s="159">
        <v>9.02</v>
      </c>
      <c r="N299" s="159">
        <v>0.186</v>
      </c>
    </row>
    <row r="300" spans="1:14" ht="16.5">
      <c r="A300" s="2" t="str">
        <f t="shared" si="4"/>
        <v>628하위25%</v>
      </c>
      <c r="B300" s="141">
        <v>628</v>
      </c>
      <c r="C300" s="103" t="s">
        <v>1624</v>
      </c>
      <c r="D300" s="159">
        <v>0.84</v>
      </c>
      <c r="E300" s="159">
        <v>0.13600000000000001</v>
      </c>
      <c r="F300" s="159">
        <v>6.0000000000000001E-3</v>
      </c>
      <c r="G300" s="159">
        <v>1.0469999999999999</v>
      </c>
      <c r="H300" s="159">
        <v>0.55900000000000005</v>
      </c>
      <c r="I300" s="159">
        <v>1E-3</v>
      </c>
      <c r="J300" s="159">
        <v>0.53500000000000003</v>
      </c>
      <c r="K300" s="159">
        <v>7.77</v>
      </c>
      <c r="L300" s="159">
        <v>6.64</v>
      </c>
      <c r="M300" s="159">
        <v>16.88</v>
      </c>
      <c r="N300" s="159">
        <v>0.22</v>
      </c>
    </row>
    <row r="301" spans="1:14" ht="16.5">
      <c r="A301" s="2" t="str">
        <f t="shared" si="4"/>
        <v>629하위25%</v>
      </c>
      <c r="B301" s="141">
        <v>629</v>
      </c>
      <c r="C301" s="103" t="s">
        <v>1624</v>
      </c>
      <c r="D301" s="159">
        <v>0.89600000000000002</v>
      </c>
      <c r="E301" s="159">
        <v>8.3000000000000004E-2</v>
      </c>
      <c r="F301" s="159">
        <v>1.4E-2</v>
      </c>
      <c r="G301" s="159">
        <v>1.1639999999999999</v>
      </c>
      <c r="H301" s="159">
        <v>0.38800000000000001</v>
      </c>
      <c r="I301" s="159">
        <v>8.9999999999999993E-3</v>
      </c>
      <c r="J301" s="159">
        <v>0.34</v>
      </c>
      <c r="K301" s="159">
        <v>5.81</v>
      </c>
      <c r="L301" s="159">
        <v>8.9499999999999993</v>
      </c>
      <c r="M301" s="159">
        <v>9.02</v>
      </c>
      <c r="N301" s="159">
        <v>0.17299999999999999</v>
      </c>
    </row>
    <row r="302" spans="1:14" ht="16.5">
      <c r="A302" s="2" t="str">
        <f t="shared" si="4"/>
        <v>631하위25%</v>
      </c>
      <c r="B302" s="141">
        <v>631</v>
      </c>
      <c r="C302" s="103" t="s">
        <v>1624</v>
      </c>
      <c r="D302" s="159">
        <v>0.84099999999999997</v>
      </c>
      <c r="E302" s="159">
        <v>0.14599999999999999</v>
      </c>
      <c r="F302" s="159">
        <v>3.0000000000000001E-3</v>
      </c>
      <c r="G302" s="159">
        <v>2.4510000000000001</v>
      </c>
      <c r="H302" s="159">
        <v>0.108</v>
      </c>
      <c r="I302" s="159">
        <v>0.01</v>
      </c>
      <c r="J302" s="159">
        <v>4.8000000000000001E-2</v>
      </c>
      <c r="K302" s="159">
        <v>11.8</v>
      </c>
      <c r="L302" s="159">
        <v>28.35</v>
      </c>
      <c r="M302" s="159">
        <v>13.52</v>
      </c>
      <c r="N302" s="159">
        <v>4.5999999999999999E-2</v>
      </c>
    </row>
    <row r="303" spans="1:14" ht="16.5">
      <c r="A303" s="2" t="str">
        <f t="shared" si="4"/>
        <v>632하위25%</v>
      </c>
      <c r="B303" s="141">
        <v>632</v>
      </c>
      <c r="C303" s="103" t="s">
        <v>1624</v>
      </c>
      <c r="D303" s="159">
        <v>0.89300000000000002</v>
      </c>
      <c r="E303" s="159">
        <v>9.1999999999999998E-2</v>
      </c>
      <c r="F303" s="159">
        <v>5.0000000000000001E-3</v>
      </c>
      <c r="G303" s="159">
        <v>1.716</v>
      </c>
      <c r="H303" s="159">
        <v>0.123</v>
      </c>
      <c r="I303" s="159">
        <v>3.0000000000000001E-3</v>
      </c>
      <c r="J303" s="159">
        <v>7.2999999999999995E-2</v>
      </c>
      <c r="K303" s="159">
        <v>7.75</v>
      </c>
      <c r="L303" s="159">
        <v>11.79</v>
      </c>
      <c r="M303" s="159">
        <v>17.87</v>
      </c>
      <c r="N303" s="159">
        <v>0.158</v>
      </c>
    </row>
    <row r="304" spans="1:14" ht="16.5">
      <c r="A304" s="2" t="str">
        <f t="shared" si="4"/>
        <v>633하위25%</v>
      </c>
      <c r="B304" s="141">
        <v>633</v>
      </c>
      <c r="C304" s="103" t="s">
        <v>1624</v>
      </c>
      <c r="D304" s="159">
        <v>0.66100000000000003</v>
      </c>
      <c r="E304" s="159">
        <v>0.32400000000000001</v>
      </c>
      <c r="F304" s="159">
        <v>1.0999999999999999E-2</v>
      </c>
      <c r="G304" s="159">
        <v>1.615</v>
      </c>
      <c r="H304" s="159">
        <v>0.14499999999999999</v>
      </c>
      <c r="I304" s="159">
        <v>5.8999999999999997E-2</v>
      </c>
      <c r="J304" s="159">
        <v>0.126</v>
      </c>
      <c r="K304" s="159">
        <v>7.2</v>
      </c>
      <c r="L304" s="159">
        <v>32.25</v>
      </c>
      <c r="M304" s="159">
        <v>11.02</v>
      </c>
      <c r="N304" s="159">
        <v>7.9000000000000001E-2</v>
      </c>
    </row>
    <row r="305" spans="1:14" ht="16.5">
      <c r="A305" s="2" t="str">
        <f t="shared" si="4"/>
        <v>634하위25%</v>
      </c>
      <c r="B305" s="141">
        <v>634</v>
      </c>
      <c r="C305" s="103" t="s">
        <v>1624</v>
      </c>
      <c r="D305" s="159">
        <v>0.89900000000000002</v>
      </c>
      <c r="E305" s="159">
        <v>9.5000000000000001E-2</v>
      </c>
      <c r="F305" s="159">
        <v>1.2E-2</v>
      </c>
      <c r="G305" s="159">
        <v>1.333</v>
      </c>
      <c r="H305" s="159">
        <v>0.41199999999999998</v>
      </c>
      <c r="I305" s="159">
        <v>9.2999999999999999E-2</v>
      </c>
      <c r="J305" s="159">
        <v>0.379</v>
      </c>
      <c r="K305" s="159">
        <v>14.27</v>
      </c>
      <c r="L305" s="159">
        <v>85.6</v>
      </c>
      <c r="M305" s="159">
        <v>33.380000000000003</v>
      </c>
      <c r="N305" s="159">
        <v>5.1999999999999998E-2</v>
      </c>
    </row>
    <row r="306" spans="1:14" ht="16.5">
      <c r="A306" s="2" t="str">
        <f t="shared" si="4"/>
        <v>635하위25%</v>
      </c>
      <c r="B306" s="141">
        <v>635</v>
      </c>
      <c r="C306" s="103" t="s">
        <v>1624</v>
      </c>
      <c r="D306" s="159">
        <v>0.46400000000000002</v>
      </c>
      <c r="E306" s="159">
        <v>0.51600000000000001</v>
      </c>
      <c r="F306" s="159">
        <v>2.8000000000000001E-2</v>
      </c>
      <c r="G306" s="159">
        <v>1.046</v>
      </c>
      <c r="H306" s="159">
        <v>0.499</v>
      </c>
      <c r="I306" s="159">
        <v>1.2999999999999999E-2</v>
      </c>
      <c r="J306" s="159">
        <v>0.48899999999999999</v>
      </c>
      <c r="K306" s="159">
        <v>10.9</v>
      </c>
      <c r="L306" s="159">
        <v>83.56</v>
      </c>
      <c r="M306" s="159">
        <v>56.64</v>
      </c>
      <c r="N306" s="159">
        <v>8.5999999999999993E-2</v>
      </c>
    </row>
    <row r="307" spans="1:14" ht="16.5">
      <c r="A307" s="2" t="str">
        <f t="shared" si="4"/>
        <v>636하위25%</v>
      </c>
      <c r="B307" s="141">
        <v>636</v>
      </c>
      <c r="C307" s="103" t="s">
        <v>1624</v>
      </c>
      <c r="D307" s="159">
        <v>0.83499999999999996</v>
      </c>
      <c r="E307" s="159">
        <v>0.14699999999999999</v>
      </c>
      <c r="F307" s="159">
        <v>1.2999999999999999E-2</v>
      </c>
      <c r="G307" s="159">
        <v>1.9079999999999999</v>
      </c>
      <c r="H307" s="159">
        <v>0.44400000000000001</v>
      </c>
      <c r="I307" s="159">
        <v>4.0000000000000001E-3</v>
      </c>
      <c r="J307" s="159">
        <v>0.23499999999999999</v>
      </c>
      <c r="K307" s="159">
        <v>18.690000000000001</v>
      </c>
      <c r="L307" s="159">
        <v>25.14</v>
      </c>
      <c r="M307" s="159">
        <v>40.42</v>
      </c>
      <c r="N307" s="159">
        <v>6.9000000000000006E-2</v>
      </c>
    </row>
    <row r="308" spans="1:14" ht="16.5">
      <c r="A308" s="2" t="str">
        <f t="shared" si="4"/>
        <v>637하위25%</v>
      </c>
      <c r="B308" s="141">
        <v>637</v>
      </c>
      <c r="C308" s="103" t="s">
        <v>1624</v>
      </c>
      <c r="D308" s="159">
        <v>0.81299999999999994</v>
      </c>
      <c r="E308" s="159">
        <v>0.17799999999999999</v>
      </c>
      <c r="F308" s="159">
        <v>8.9999999999999993E-3</v>
      </c>
      <c r="G308" s="159">
        <v>1.226</v>
      </c>
      <c r="H308" s="159">
        <v>0.13700000000000001</v>
      </c>
      <c r="I308" s="159">
        <v>1.7000000000000001E-2</v>
      </c>
      <c r="J308" s="159">
        <v>0.125</v>
      </c>
      <c r="K308" s="159">
        <v>4.13</v>
      </c>
      <c r="L308" s="159">
        <v>112.91</v>
      </c>
      <c r="M308" s="159">
        <v>12.71</v>
      </c>
      <c r="N308" s="159">
        <v>0.17199999999999999</v>
      </c>
    </row>
    <row r="309" spans="1:14" ht="16.5">
      <c r="A309" s="2" t="str">
        <f t="shared" si="4"/>
        <v>639하위25%</v>
      </c>
      <c r="B309" s="141">
        <v>639</v>
      </c>
      <c r="C309" s="103" t="s">
        <v>1624</v>
      </c>
      <c r="D309" s="159">
        <v>0.23599999999999999</v>
      </c>
      <c r="E309" s="159">
        <v>0.73899999999999999</v>
      </c>
      <c r="F309" s="159">
        <v>1.7999999999999999E-2</v>
      </c>
      <c r="G309" s="159">
        <v>1.9370000000000001</v>
      </c>
      <c r="H309" s="159">
        <v>0.29899999999999999</v>
      </c>
      <c r="I309" s="159">
        <v>0</v>
      </c>
      <c r="J309" s="159">
        <v>0.154</v>
      </c>
      <c r="K309" s="159">
        <v>53.8</v>
      </c>
      <c r="L309" s="159">
        <v>10.7</v>
      </c>
      <c r="M309" s="159">
        <v>92.7</v>
      </c>
      <c r="N309" s="159">
        <v>0.10100000000000001</v>
      </c>
    </row>
    <row r="310" spans="1:14" ht="16.5">
      <c r="A310" s="2" t="str">
        <f t="shared" si="4"/>
        <v>711하위25%</v>
      </c>
      <c r="B310" s="141">
        <v>711</v>
      </c>
      <c r="C310" s="103" t="s">
        <v>1624</v>
      </c>
      <c r="D310" s="159">
        <v>0.93899999999999995</v>
      </c>
      <c r="E310" s="159">
        <v>5.1999999999999998E-2</v>
      </c>
      <c r="F310" s="159">
        <v>6.0000000000000001E-3</v>
      </c>
      <c r="G310" s="159">
        <v>2.2210000000000001</v>
      </c>
      <c r="H310" s="159">
        <v>0.45400000000000001</v>
      </c>
      <c r="I310" s="159">
        <v>5.0000000000000001E-3</v>
      </c>
      <c r="J310" s="159">
        <v>0.20699999999999999</v>
      </c>
      <c r="K310" s="159">
        <v>11.21</v>
      </c>
      <c r="L310" s="159">
        <v>19.95</v>
      </c>
      <c r="M310" s="159">
        <v>27.44</v>
      </c>
      <c r="N310" s="159">
        <v>0.10299999999999999</v>
      </c>
    </row>
    <row r="311" spans="1:14" ht="16.5">
      <c r="A311" s="2" t="str">
        <f t="shared" si="4"/>
        <v>712하위25%</v>
      </c>
      <c r="B311" s="141">
        <v>712</v>
      </c>
      <c r="C311" s="103" t="s">
        <v>1624</v>
      </c>
      <c r="D311" s="159">
        <v>0.91200000000000003</v>
      </c>
      <c r="E311" s="159">
        <v>7.6999999999999999E-2</v>
      </c>
      <c r="F311" s="159">
        <v>6.0000000000000001E-3</v>
      </c>
      <c r="G311" s="159">
        <v>2.7240000000000002</v>
      </c>
      <c r="H311" s="159">
        <v>0.39700000000000002</v>
      </c>
      <c r="I311" s="159">
        <v>7.0000000000000001E-3</v>
      </c>
      <c r="J311" s="159">
        <v>0.14799999999999999</v>
      </c>
      <c r="K311" s="159">
        <v>12.07</v>
      </c>
      <c r="L311" s="159">
        <v>18.579999999999998</v>
      </c>
      <c r="M311" s="159">
        <v>32.51</v>
      </c>
      <c r="N311" s="159">
        <v>0.106</v>
      </c>
    </row>
    <row r="312" spans="1:14" ht="16.5">
      <c r="A312" s="2" t="str">
        <f t="shared" si="4"/>
        <v>721하위25%</v>
      </c>
      <c r="B312" s="141">
        <v>721</v>
      </c>
      <c r="C312" s="103" t="s">
        <v>1624</v>
      </c>
      <c r="D312" s="159">
        <v>0.876</v>
      </c>
      <c r="E312" s="159">
        <v>0.108</v>
      </c>
      <c r="F312" s="159">
        <v>8.0000000000000002E-3</v>
      </c>
      <c r="G312" s="159">
        <v>1.4930000000000001</v>
      </c>
      <c r="H312" s="159">
        <v>0.36</v>
      </c>
      <c r="I312" s="159">
        <v>5.0000000000000001E-3</v>
      </c>
      <c r="J312" s="159">
        <v>0.245</v>
      </c>
      <c r="K312" s="159">
        <v>8.83</v>
      </c>
      <c r="L312" s="159">
        <v>6.42</v>
      </c>
      <c r="M312" s="159">
        <v>14.46</v>
      </c>
      <c r="N312" s="159">
        <v>0.2</v>
      </c>
    </row>
    <row r="313" spans="1:14" ht="16.5">
      <c r="A313" s="2" t="str">
        <f t="shared" si="4"/>
        <v>722하위25%</v>
      </c>
      <c r="B313" s="141">
        <v>722</v>
      </c>
      <c r="C313" s="103" t="s">
        <v>1624</v>
      </c>
      <c r="D313" s="159">
        <v>0.872</v>
      </c>
      <c r="E313" s="159">
        <v>0.10100000000000001</v>
      </c>
      <c r="F313" s="159">
        <v>1.7000000000000001E-2</v>
      </c>
      <c r="G313" s="159">
        <v>1.341</v>
      </c>
      <c r="H313" s="159">
        <v>0.40699999999999997</v>
      </c>
      <c r="I313" s="159">
        <v>3.0000000000000001E-3</v>
      </c>
      <c r="J313" s="159">
        <v>0.30599999999999999</v>
      </c>
      <c r="K313" s="159">
        <v>8.34</v>
      </c>
      <c r="L313" s="159">
        <v>5.15</v>
      </c>
      <c r="M313" s="159">
        <v>14.36</v>
      </c>
      <c r="N313" s="159">
        <v>0.24399999999999999</v>
      </c>
    </row>
    <row r="314" spans="1:14" ht="16.5">
      <c r="A314" s="2" t="str">
        <f t="shared" si="4"/>
        <v>730하위25%</v>
      </c>
      <c r="B314" s="141">
        <v>730</v>
      </c>
      <c r="C314" s="103" t="s">
        <v>1624</v>
      </c>
      <c r="D314" s="159">
        <v>0.85299999999999998</v>
      </c>
      <c r="E314" s="159">
        <v>0.13100000000000001</v>
      </c>
      <c r="F314" s="159">
        <v>1.2E-2</v>
      </c>
      <c r="G314" s="159">
        <v>1.726</v>
      </c>
      <c r="H314" s="159">
        <v>0.40300000000000002</v>
      </c>
      <c r="I314" s="159">
        <v>1.4999999999999999E-2</v>
      </c>
      <c r="J314" s="159">
        <v>0.24199999999999999</v>
      </c>
      <c r="K314" s="159">
        <v>11.27</v>
      </c>
      <c r="L314" s="159">
        <v>8.51</v>
      </c>
      <c r="M314" s="159">
        <v>19.57</v>
      </c>
      <c r="N314" s="159">
        <v>0.155</v>
      </c>
    </row>
    <row r="315" spans="1:14" ht="16.5">
      <c r="A315" s="2" t="str">
        <f t="shared" si="4"/>
        <v>740하위25%</v>
      </c>
      <c r="B315" s="141">
        <v>740</v>
      </c>
      <c r="C315" s="103" t="s">
        <v>1624</v>
      </c>
      <c r="D315" s="159">
        <v>0.89700000000000002</v>
      </c>
      <c r="E315" s="159">
        <v>8.4000000000000005E-2</v>
      </c>
      <c r="F315" s="159">
        <v>5.0000000000000001E-3</v>
      </c>
      <c r="G315" s="159">
        <v>1.52</v>
      </c>
      <c r="H315" s="159">
        <v>0.247</v>
      </c>
      <c r="I315" s="159">
        <v>1.4E-2</v>
      </c>
      <c r="J315" s="159">
        <v>0.17199999999999999</v>
      </c>
      <c r="K315" s="159">
        <v>10.23</v>
      </c>
      <c r="L315" s="159">
        <v>6.46</v>
      </c>
      <c r="M315" s="159">
        <v>10.97</v>
      </c>
      <c r="N315" s="159">
        <v>0.161</v>
      </c>
    </row>
    <row r="316" spans="1:14" ht="16.5">
      <c r="A316" s="2" t="str">
        <f t="shared" si="4"/>
        <v>750하위25%</v>
      </c>
      <c r="B316" s="141">
        <v>750</v>
      </c>
      <c r="C316" s="103" t="s">
        <v>1624</v>
      </c>
      <c r="D316" s="159">
        <v>0.76</v>
      </c>
      <c r="E316" s="159">
        <v>0.23100000000000001</v>
      </c>
      <c r="F316" s="159">
        <v>3.1E-2</v>
      </c>
      <c r="G316" s="159">
        <v>1.0980000000000001</v>
      </c>
      <c r="H316" s="159">
        <v>0.28599999999999998</v>
      </c>
      <c r="I316" s="159">
        <v>5.0000000000000001E-3</v>
      </c>
      <c r="J316" s="159">
        <v>0.26500000000000001</v>
      </c>
      <c r="K316" s="159">
        <v>7.53</v>
      </c>
      <c r="L316" s="159">
        <v>8.06</v>
      </c>
      <c r="M316" s="159">
        <v>18.510000000000002</v>
      </c>
      <c r="N316" s="159">
        <v>0.20300000000000001</v>
      </c>
    </row>
    <row r="317" spans="1:14" ht="16.5">
      <c r="A317" s="2" t="str">
        <f t="shared" si="4"/>
        <v>761하위25%</v>
      </c>
      <c r="B317" s="141">
        <v>761</v>
      </c>
      <c r="C317" s="103" t="s">
        <v>1624</v>
      </c>
      <c r="D317" s="159">
        <v>0.94599999999999995</v>
      </c>
      <c r="E317" s="159">
        <v>0.04</v>
      </c>
      <c r="F317" s="159">
        <v>1.0999999999999999E-2</v>
      </c>
      <c r="G317" s="159">
        <v>1.5009999999999999</v>
      </c>
      <c r="H317" s="159">
        <v>0.26700000000000002</v>
      </c>
      <c r="I317" s="159">
        <v>6.0000000000000001E-3</v>
      </c>
      <c r="J317" s="159">
        <v>0.182</v>
      </c>
      <c r="K317" s="159">
        <v>11.32</v>
      </c>
      <c r="L317" s="159">
        <v>4.4400000000000004</v>
      </c>
      <c r="M317" s="159">
        <v>18.850000000000001</v>
      </c>
      <c r="N317" s="159">
        <v>0.26100000000000001</v>
      </c>
    </row>
    <row r="318" spans="1:14" ht="16.5">
      <c r="A318" s="2" t="str">
        <f t="shared" si="4"/>
        <v>762하위25%</v>
      </c>
      <c r="B318" s="141">
        <v>762</v>
      </c>
      <c r="C318" s="103" t="s">
        <v>1624</v>
      </c>
      <c r="D318" s="159">
        <v>0.83699999999999997</v>
      </c>
      <c r="E318" s="159">
        <v>0.13400000000000001</v>
      </c>
      <c r="F318" s="159">
        <v>1.0999999999999999E-2</v>
      </c>
      <c r="G318" s="159">
        <v>0.81599999999999995</v>
      </c>
      <c r="H318" s="159">
        <v>0.28899999999999998</v>
      </c>
      <c r="I318" s="159">
        <v>1.2E-2</v>
      </c>
      <c r="J318" s="159">
        <v>0.36899999999999999</v>
      </c>
      <c r="K318" s="159">
        <v>5.82</v>
      </c>
      <c r="L318" s="159">
        <v>6.16</v>
      </c>
      <c r="M318" s="159">
        <v>12.37</v>
      </c>
      <c r="N318" s="159">
        <v>0.253</v>
      </c>
    </row>
    <row r="319" spans="1:14" ht="16.5">
      <c r="A319" s="2" t="str">
        <f t="shared" si="4"/>
        <v>770하위25%</v>
      </c>
      <c r="B319" s="141">
        <v>770</v>
      </c>
      <c r="C319" s="103" t="s">
        <v>1624</v>
      </c>
      <c r="D319" s="159">
        <v>0.88200000000000001</v>
      </c>
      <c r="E319" s="159">
        <v>0.10299999999999999</v>
      </c>
      <c r="F319" s="159">
        <v>4.0000000000000001E-3</v>
      </c>
      <c r="G319" s="159">
        <v>1.284</v>
      </c>
      <c r="H319" s="159">
        <v>0.22500000000000001</v>
      </c>
      <c r="I319" s="159">
        <v>3.0000000000000001E-3</v>
      </c>
      <c r="J319" s="159">
        <v>0.17799999999999999</v>
      </c>
      <c r="K319" s="159">
        <v>7.48</v>
      </c>
      <c r="L319" s="159">
        <v>6.44</v>
      </c>
      <c r="M319" s="159">
        <v>13.38</v>
      </c>
      <c r="N319" s="159">
        <v>0.214</v>
      </c>
    </row>
    <row r="320" spans="1:14" ht="16.5">
      <c r="A320" s="2" t="str">
        <f t="shared" si="4"/>
        <v>791하위25%</v>
      </c>
      <c r="B320" s="141">
        <v>791</v>
      </c>
      <c r="C320" s="103" t="s">
        <v>1624</v>
      </c>
      <c r="D320" s="159">
        <v>0.63700000000000001</v>
      </c>
      <c r="E320" s="159">
        <v>0.33600000000000002</v>
      </c>
      <c r="F320" s="159">
        <v>1.9E-2</v>
      </c>
      <c r="G320" s="159">
        <v>0.57999999999999996</v>
      </c>
      <c r="H320" s="159">
        <v>0.215</v>
      </c>
      <c r="I320" s="159">
        <v>3.5999999999999997E-2</v>
      </c>
      <c r="J320" s="159">
        <v>0.433</v>
      </c>
      <c r="K320" s="159">
        <v>12.15</v>
      </c>
      <c r="L320" s="159">
        <v>25.72</v>
      </c>
      <c r="M320" s="159">
        <v>12.48</v>
      </c>
      <c r="N320" s="159">
        <v>4.1000000000000002E-2</v>
      </c>
    </row>
    <row r="321" spans="1:14" ht="16.5">
      <c r="A321" s="2" t="str">
        <f t="shared" si="4"/>
        <v>792하위25%</v>
      </c>
      <c r="B321" s="141">
        <v>792</v>
      </c>
      <c r="C321" s="103" t="s">
        <v>1624</v>
      </c>
      <c r="D321" s="159">
        <v>0.85599999999999998</v>
      </c>
      <c r="E321" s="159">
        <v>0.113</v>
      </c>
      <c r="F321" s="159">
        <v>3.0000000000000001E-3</v>
      </c>
      <c r="G321" s="159">
        <v>1.056</v>
      </c>
      <c r="H321" s="159">
        <v>0.33400000000000002</v>
      </c>
      <c r="I321" s="159">
        <v>6.0000000000000001E-3</v>
      </c>
      <c r="J321" s="159">
        <v>0.32200000000000001</v>
      </c>
      <c r="K321" s="159">
        <v>9.56</v>
      </c>
      <c r="L321" s="159">
        <v>6.5</v>
      </c>
      <c r="M321" s="159">
        <v>18.22</v>
      </c>
      <c r="N321" s="159">
        <v>0.20399999999999999</v>
      </c>
    </row>
    <row r="322" spans="1:14" ht="16.5">
      <c r="A322" s="2" t="str">
        <f t="shared" si="4"/>
        <v>793하위25%</v>
      </c>
      <c r="B322" s="141">
        <v>793</v>
      </c>
      <c r="C322" s="103" t="s">
        <v>1624</v>
      </c>
      <c r="D322" s="159">
        <v>0.73699999999999999</v>
      </c>
      <c r="E322" s="159">
        <v>0.23300000000000001</v>
      </c>
      <c r="F322" s="159">
        <v>1.2999999999999999E-2</v>
      </c>
      <c r="G322" s="159">
        <v>0.75800000000000001</v>
      </c>
      <c r="H322" s="159">
        <v>0.24</v>
      </c>
      <c r="I322" s="159">
        <v>1E-3</v>
      </c>
      <c r="J322" s="159">
        <v>0.318</v>
      </c>
      <c r="K322" s="159">
        <v>12.31</v>
      </c>
      <c r="L322" s="159">
        <v>16.670000000000002</v>
      </c>
      <c r="M322" s="159">
        <v>12.33</v>
      </c>
      <c r="N322" s="159">
        <v>0.06</v>
      </c>
    </row>
    <row r="323" spans="1:14" ht="16.5">
      <c r="A323" s="2" t="str">
        <f t="shared" ref="A323:A340" si="5">B323&amp;C323</f>
        <v>794하위25%</v>
      </c>
      <c r="B323" s="141">
        <v>794</v>
      </c>
      <c r="C323" s="103" t="s">
        <v>1624</v>
      </c>
      <c r="D323" s="159">
        <v>0.86099999999999999</v>
      </c>
      <c r="E323" s="159">
        <v>0.11600000000000001</v>
      </c>
      <c r="F323" s="159">
        <v>7.0000000000000001E-3</v>
      </c>
      <c r="G323" s="159">
        <v>1.6739999999999999</v>
      </c>
      <c r="H323" s="159">
        <v>0.40300000000000002</v>
      </c>
      <c r="I323" s="159">
        <v>5.1999999999999998E-2</v>
      </c>
      <c r="J323" s="159">
        <v>0.27200000000000002</v>
      </c>
      <c r="K323" s="159">
        <v>9.6</v>
      </c>
      <c r="L323" s="159">
        <v>8.93</v>
      </c>
      <c r="M323" s="159">
        <v>14.43</v>
      </c>
      <c r="N323" s="159">
        <v>0.14699999999999999</v>
      </c>
    </row>
    <row r="324" spans="1:14" ht="16.5">
      <c r="A324" s="2" t="str">
        <f t="shared" si="5"/>
        <v>795하위25%</v>
      </c>
      <c r="B324" s="141">
        <v>795</v>
      </c>
      <c r="C324" s="103" t="s">
        <v>1624</v>
      </c>
      <c r="D324" s="159">
        <v>0.76400000000000001</v>
      </c>
      <c r="E324" s="159">
        <v>0.214</v>
      </c>
      <c r="F324" s="159">
        <v>1.7999999999999999E-2</v>
      </c>
      <c r="G324" s="159">
        <v>1.04</v>
      </c>
      <c r="H324" s="159">
        <v>0.41299999999999998</v>
      </c>
      <c r="I324" s="159">
        <v>2.5000000000000001E-2</v>
      </c>
      <c r="J324" s="159">
        <v>0.42099999999999999</v>
      </c>
      <c r="K324" s="159">
        <v>9.0500000000000007</v>
      </c>
      <c r="L324" s="159">
        <v>5.3</v>
      </c>
      <c r="M324" s="159">
        <v>11.76</v>
      </c>
      <c r="N324" s="159">
        <v>0.214</v>
      </c>
    </row>
    <row r="325" spans="1:14" ht="16.5">
      <c r="A325" s="2" t="str">
        <f t="shared" si="5"/>
        <v>799하위25%</v>
      </c>
      <c r="B325" s="141">
        <v>799</v>
      </c>
      <c r="C325" s="103" t="s">
        <v>1624</v>
      </c>
      <c r="D325" s="159">
        <v>0.76400000000000001</v>
      </c>
      <c r="E325" s="159">
        <v>0.214</v>
      </c>
      <c r="F325" s="159">
        <v>1.7999999999999999E-2</v>
      </c>
      <c r="G325" s="159">
        <v>1.04</v>
      </c>
      <c r="H325" s="159">
        <v>0.41299999999999998</v>
      </c>
      <c r="I325" s="159">
        <v>2.5000000000000001E-2</v>
      </c>
      <c r="J325" s="159">
        <v>0.42099999999999999</v>
      </c>
      <c r="K325" s="159">
        <v>9.0500000000000007</v>
      </c>
      <c r="L325" s="159">
        <v>5.3</v>
      </c>
      <c r="M325" s="159">
        <v>11.76</v>
      </c>
      <c r="N325" s="159">
        <v>0.214</v>
      </c>
    </row>
    <row r="326" spans="1:14" ht="16.5">
      <c r="A326" s="2" t="str">
        <f t="shared" si="5"/>
        <v>811하위25%</v>
      </c>
      <c r="B326" s="141">
        <v>811</v>
      </c>
      <c r="C326" s="103" t="s">
        <v>1624</v>
      </c>
      <c r="D326" s="159">
        <v>0.623</v>
      </c>
      <c r="E326" s="159">
        <v>0.36</v>
      </c>
      <c r="F326" s="159">
        <v>2.8000000000000001E-2</v>
      </c>
      <c r="G326" s="159">
        <v>0.747</v>
      </c>
      <c r="H326" s="159">
        <v>0.497</v>
      </c>
      <c r="I326" s="159">
        <v>5.0000000000000001E-3</v>
      </c>
      <c r="J326" s="159">
        <v>0.67100000000000004</v>
      </c>
      <c r="K326" s="159">
        <v>12.79</v>
      </c>
      <c r="L326" s="159">
        <v>5.71</v>
      </c>
      <c r="M326" s="159">
        <v>26.43</v>
      </c>
      <c r="N326" s="159">
        <v>0.216</v>
      </c>
    </row>
    <row r="327" spans="1:14" ht="16.5">
      <c r="A327" s="2" t="str">
        <f t="shared" si="5"/>
        <v>812하위25%</v>
      </c>
      <c r="B327" s="141">
        <v>812</v>
      </c>
      <c r="C327" s="103" t="s">
        <v>1624</v>
      </c>
      <c r="D327" s="159">
        <v>0.57499999999999996</v>
      </c>
      <c r="E327" s="159">
        <v>0.372</v>
      </c>
      <c r="F327" s="159">
        <v>1.4E-2</v>
      </c>
      <c r="G327" s="159">
        <v>0.50600000000000001</v>
      </c>
      <c r="H327" s="159">
        <v>0.51800000000000002</v>
      </c>
      <c r="I327" s="159">
        <v>4.5999999999999999E-2</v>
      </c>
      <c r="J327" s="159">
        <v>1.1140000000000001</v>
      </c>
      <c r="K327" s="159">
        <v>3.93</v>
      </c>
      <c r="L327" s="159">
        <v>11.79</v>
      </c>
      <c r="M327" s="159">
        <v>20.329999999999998</v>
      </c>
      <c r="N327" s="159">
        <v>0.28999999999999998</v>
      </c>
    </row>
    <row r="328" spans="1:14" ht="16.5">
      <c r="A328" s="2" t="str">
        <f t="shared" si="5"/>
        <v>821하위25%</v>
      </c>
      <c r="B328" s="141">
        <v>821</v>
      </c>
      <c r="C328" s="103" t="s">
        <v>1624</v>
      </c>
      <c r="D328" s="159">
        <v>0.63700000000000001</v>
      </c>
      <c r="E328" s="159">
        <v>0.32900000000000001</v>
      </c>
      <c r="F328" s="159">
        <v>1.9E-2</v>
      </c>
      <c r="G328" s="159">
        <v>0.68799999999999994</v>
      </c>
      <c r="H328" s="159">
        <v>0.60899999999999999</v>
      </c>
      <c r="I328" s="159">
        <v>1.9E-2</v>
      </c>
      <c r="J328" s="159">
        <v>0.91300000000000003</v>
      </c>
      <c r="K328" s="159">
        <v>9.1199999999999992</v>
      </c>
      <c r="L328" s="159">
        <v>9.18</v>
      </c>
      <c r="M328" s="159">
        <v>15.53</v>
      </c>
      <c r="N328" s="159">
        <v>0.154</v>
      </c>
    </row>
    <row r="329" spans="1:14" ht="16.5">
      <c r="A329" s="2" t="str">
        <f t="shared" si="5"/>
        <v>822하위25%</v>
      </c>
      <c r="B329" s="141">
        <v>822</v>
      </c>
      <c r="C329" s="103" t="s">
        <v>1624</v>
      </c>
      <c r="D329" s="159">
        <v>0</v>
      </c>
      <c r="E329" s="159">
        <v>0</v>
      </c>
      <c r="F329" s="159">
        <v>0</v>
      </c>
      <c r="G329" s="159">
        <v>0</v>
      </c>
      <c r="H329" s="159">
        <v>0</v>
      </c>
      <c r="I329" s="159">
        <v>0</v>
      </c>
      <c r="J329" s="159">
        <v>0</v>
      </c>
      <c r="K329" s="159">
        <v>0</v>
      </c>
      <c r="L329" s="159">
        <v>0</v>
      </c>
      <c r="M329" s="159">
        <v>0</v>
      </c>
      <c r="N329" s="159">
        <v>0</v>
      </c>
    </row>
    <row r="330" spans="1:14" ht="16.5">
      <c r="A330" s="2" t="str">
        <f t="shared" si="5"/>
        <v>911하위25%</v>
      </c>
      <c r="B330" s="141">
        <v>911</v>
      </c>
      <c r="C330" s="103" t="s">
        <v>1624</v>
      </c>
      <c r="D330" s="159">
        <v>0.80500000000000005</v>
      </c>
      <c r="E330" s="159">
        <v>0.17799999999999999</v>
      </c>
      <c r="F330" s="159">
        <v>1.2E-2</v>
      </c>
      <c r="G330" s="159">
        <v>1.43</v>
      </c>
      <c r="H330" s="159">
        <v>0.41099999999999998</v>
      </c>
      <c r="I330" s="159">
        <v>0.01</v>
      </c>
      <c r="J330" s="159">
        <v>0.29499999999999998</v>
      </c>
      <c r="K330" s="159">
        <v>7.62</v>
      </c>
      <c r="L330" s="159">
        <v>8.43</v>
      </c>
      <c r="M330" s="159">
        <v>9.5500000000000007</v>
      </c>
      <c r="N330" s="159">
        <v>0.14499999999999999</v>
      </c>
    </row>
    <row r="331" spans="1:14" ht="16.5">
      <c r="A331" s="2" t="str">
        <f t="shared" si="5"/>
        <v>912하위25%</v>
      </c>
      <c r="B331" s="141">
        <v>912</v>
      </c>
      <c r="C331" s="103" t="s">
        <v>1624</v>
      </c>
      <c r="D331" s="159">
        <v>0.77700000000000002</v>
      </c>
      <c r="E331" s="159">
        <v>0.20499999999999999</v>
      </c>
      <c r="F331" s="159">
        <v>1.4999999999999999E-2</v>
      </c>
      <c r="G331" s="159">
        <v>1.5</v>
      </c>
      <c r="H331" s="159">
        <v>0.35799999999999998</v>
      </c>
      <c r="I331" s="159">
        <v>2.5999999999999999E-2</v>
      </c>
      <c r="J331" s="159">
        <v>0.25600000000000001</v>
      </c>
      <c r="K331" s="159">
        <v>7.98</v>
      </c>
      <c r="L331" s="159">
        <v>11.24</v>
      </c>
      <c r="M331" s="159">
        <v>17.45</v>
      </c>
      <c r="N331" s="159">
        <v>0.157</v>
      </c>
    </row>
    <row r="332" spans="1:14" ht="16.5">
      <c r="A332" s="2" t="str">
        <f t="shared" si="5"/>
        <v>913하위25%</v>
      </c>
      <c r="B332" s="141">
        <v>913</v>
      </c>
      <c r="C332" s="103" t="s">
        <v>1624</v>
      </c>
      <c r="D332" s="159">
        <v>0.88600000000000001</v>
      </c>
      <c r="E332" s="159">
        <v>9.1999999999999998E-2</v>
      </c>
      <c r="F332" s="159">
        <v>1.6E-2</v>
      </c>
      <c r="G332" s="159">
        <v>1.06</v>
      </c>
      <c r="H332" s="159">
        <v>0.378</v>
      </c>
      <c r="I332" s="159">
        <v>1.2E-2</v>
      </c>
      <c r="J332" s="159">
        <v>0.36799999999999999</v>
      </c>
      <c r="K332" s="159">
        <v>5.87</v>
      </c>
      <c r="L332" s="159">
        <v>8.43</v>
      </c>
      <c r="M332" s="159">
        <v>9.52</v>
      </c>
      <c r="N332" s="159">
        <v>0.184</v>
      </c>
    </row>
    <row r="333" spans="1:14" ht="16.5">
      <c r="A333" s="2" t="str">
        <f t="shared" si="5"/>
        <v>914하위25%</v>
      </c>
      <c r="B333" s="141">
        <v>914</v>
      </c>
      <c r="C333" s="103" t="s">
        <v>1624</v>
      </c>
      <c r="D333" s="159">
        <v>0.84899999999999998</v>
      </c>
      <c r="E333" s="159">
        <v>0.13</v>
      </c>
      <c r="F333" s="159">
        <v>1.2999999999999999E-2</v>
      </c>
      <c r="G333" s="159">
        <v>1.0740000000000001</v>
      </c>
      <c r="H333" s="159">
        <v>0.48699999999999999</v>
      </c>
      <c r="I333" s="159">
        <v>0.01</v>
      </c>
      <c r="J333" s="159">
        <v>0.46300000000000002</v>
      </c>
      <c r="K333" s="159">
        <v>5.53</v>
      </c>
      <c r="L333" s="159">
        <v>8.35</v>
      </c>
      <c r="M333" s="159">
        <v>10.38</v>
      </c>
      <c r="N333" s="159">
        <v>0.20399999999999999</v>
      </c>
    </row>
    <row r="334" spans="1:14" ht="16.5">
      <c r="A334" s="2" t="str">
        <f t="shared" si="5"/>
        <v>915하위25%</v>
      </c>
      <c r="B334" s="141">
        <v>915</v>
      </c>
      <c r="C334" s="103" t="s">
        <v>1624</v>
      </c>
      <c r="D334" s="159">
        <v>0.88600000000000001</v>
      </c>
      <c r="E334" s="159">
        <v>9.4E-2</v>
      </c>
      <c r="F334" s="159">
        <v>1.4999999999999999E-2</v>
      </c>
      <c r="G334" s="159">
        <v>1.1399999999999999</v>
      </c>
      <c r="H334" s="159">
        <v>0.432</v>
      </c>
      <c r="I334" s="159">
        <v>8.0000000000000002E-3</v>
      </c>
      <c r="J334" s="159">
        <v>0.38600000000000001</v>
      </c>
      <c r="K334" s="159">
        <v>6.33</v>
      </c>
      <c r="L334" s="159">
        <v>10.72</v>
      </c>
      <c r="M334" s="159">
        <v>10.9</v>
      </c>
      <c r="N334" s="159">
        <v>0.159</v>
      </c>
    </row>
    <row r="335" spans="1:14" ht="16.5">
      <c r="A335" s="2" t="str">
        <f t="shared" si="5"/>
        <v>919하위25%</v>
      </c>
      <c r="B335" s="141">
        <v>919</v>
      </c>
      <c r="C335" s="103" t="s">
        <v>1624</v>
      </c>
      <c r="D335" s="159">
        <v>0.872</v>
      </c>
      <c r="E335" s="159">
        <v>0.108</v>
      </c>
      <c r="F335" s="159">
        <v>1.6E-2</v>
      </c>
      <c r="G335" s="159">
        <v>1.323</v>
      </c>
      <c r="H335" s="159">
        <v>0.37</v>
      </c>
      <c r="I335" s="159">
        <v>1.2999999999999999E-2</v>
      </c>
      <c r="J335" s="159">
        <v>0.28899999999999998</v>
      </c>
      <c r="K335" s="159">
        <v>6.31</v>
      </c>
      <c r="L335" s="159">
        <v>11.12</v>
      </c>
      <c r="M335" s="159">
        <v>8.58</v>
      </c>
      <c r="N335" s="159">
        <v>0.13200000000000001</v>
      </c>
    </row>
    <row r="336" spans="1:14" ht="16.5">
      <c r="A336" s="2" t="str">
        <f t="shared" si="5"/>
        <v>921하위25%</v>
      </c>
      <c r="B336" s="141">
        <v>921</v>
      </c>
      <c r="C336" s="103" t="s">
        <v>1624</v>
      </c>
      <c r="D336" s="159">
        <v>0.89900000000000002</v>
      </c>
      <c r="E336" s="159">
        <v>9.5000000000000001E-2</v>
      </c>
      <c r="F336" s="159">
        <v>1.2E-2</v>
      </c>
      <c r="G336" s="159">
        <v>1.333</v>
      </c>
      <c r="H336" s="159">
        <v>0.41199999999999998</v>
      </c>
      <c r="I336" s="159">
        <v>9.2999999999999999E-2</v>
      </c>
      <c r="J336" s="159">
        <v>0.379</v>
      </c>
      <c r="K336" s="159">
        <v>14.27</v>
      </c>
      <c r="L336" s="159">
        <v>85.6</v>
      </c>
      <c r="M336" s="159">
        <v>33.380000000000003</v>
      </c>
      <c r="N336" s="159">
        <v>5.1999999999999998E-2</v>
      </c>
    </row>
    <row r="337" spans="1:14" ht="16.5">
      <c r="A337" s="2" t="str">
        <f t="shared" si="5"/>
        <v>922하위25%</v>
      </c>
      <c r="B337" s="141">
        <v>922</v>
      </c>
      <c r="C337" s="103" t="s">
        <v>1624</v>
      </c>
      <c r="D337" s="159">
        <v>0.66100000000000003</v>
      </c>
      <c r="E337" s="159">
        <v>0.32400000000000001</v>
      </c>
      <c r="F337" s="159">
        <v>1.0999999999999999E-2</v>
      </c>
      <c r="G337" s="159">
        <v>1.615</v>
      </c>
      <c r="H337" s="159">
        <v>0.14499999999999999</v>
      </c>
      <c r="I337" s="159">
        <v>5.8999999999999997E-2</v>
      </c>
      <c r="J337" s="159">
        <v>0.126</v>
      </c>
      <c r="K337" s="159">
        <v>7.2</v>
      </c>
      <c r="L337" s="159">
        <v>32.25</v>
      </c>
      <c r="M337" s="159">
        <v>11.02</v>
      </c>
      <c r="N337" s="159">
        <v>7.9000000000000001E-2</v>
      </c>
    </row>
    <row r="338" spans="1:14" ht="16.5">
      <c r="A338" s="2" t="str">
        <f t="shared" si="5"/>
        <v>923하위25%</v>
      </c>
      <c r="B338" s="141">
        <v>923</v>
      </c>
      <c r="C338" s="103" t="s">
        <v>1624</v>
      </c>
      <c r="D338" s="159">
        <v>0.46400000000000002</v>
      </c>
      <c r="E338" s="159">
        <v>0.51600000000000001</v>
      </c>
      <c r="F338" s="159">
        <v>2.8000000000000001E-2</v>
      </c>
      <c r="G338" s="159">
        <v>1.046</v>
      </c>
      <c r="H338" s="159">
        <v>0.499</v>
      </c>
      <c r="I338" s="159">
        <v>1.2999999999999999E-2</v>
      </c>
      <c r="J338" s="159">
        <v>0.48899999999999999</v>
      </c>
      <c r="K338" s="159">
        <v>10.9</v>
      </c>
      <c r="L338" s="159">
        <v>83.56</v>
      </c>
      <c r="M338" s="159">
        <v>56.64</v>
      </c>
      <c r="N338" s="159">
        <v>8.5999999999999993E-2</v>
      </c>
    </row>
    <row r="339" spans="1:14" ht="16.5">
      <c r="A339" s="2" t="str">
        <f t="shared" si="5"/>
        <v>924하위25%</v>
      </c>
      <c r="B339" s="141">
        <v>924</v>
      </c>
      <c r="C339" s="103" t="s">
        <v>1624</v>
      </c>
      <c r="D339" s="159">
        <v>0.83499999999999996</v>
      </c>
      <c r="E339" s="159">
        <v>0.14699999999999999</v>
      </c>
      <c r="F339" s="159">
        <v>1.2999999999999999E-2</v>
      </c>
      <c r="G339" s="159">
        <v>1.9079999999999999</v>
      </c>
      <c r="H339" s="159">
        <v>0.44400000000000001</v>
      </c>
      <c r="I339" s="159">
        <v>4.0000000000000001E-3</v>
      </c>
      <c r="J339" s="159">
        <v>0.23499999999999999</v>
      </c>
      <c r="K339" s="159">
        <v>18.690000000000001</v>
      </c>
      <c r="L339" s="159">
        <v>25.14</v>
      </c>
      <c r="M339" s="159">
        <v>40.42</v>
      </c>
      <c r="N339" s="159">
        <v>6.9000000000000006E-2</v>
      </c>
    </row>
    <row r="340" spans="1:14" ht="16.5">
      <c r="A340" s="2" t="str">
        <f t="shared" si="5"/>
        <v>929하위25%</v>
      </c>
      <c r="B340" s="141">
        <v>929</v>
      </c>
      <c r="C340" s="103" t="s">
        <v>1624</v>
      </c>
      <c r="D340" s="159">
        <v>0.61</v>
      </c>
      <c r="E340" s="159">
        <v>0.377</v>
      </c>
      <c r="F340" s="159">
        <v>8.9999999999999993E-3</v>
      </c>
      <c r="G340" s="159">
        <v>1.89</v>
      </c>
      <c r="H340" s="159">
        <v>0.18099999999999999</v>
      </c>
      <c r="I340" s="159">
        <v>0.03</v>
      </c>
      <c r="J340" s="159">
        <v>0.112</v>
      </c>
      <c r="K340" s="159">
        <v>11.58</v>
      </c>
      <c r="L340" s="159">
        <v>45.23</v>
      </c>
      <c r="M340" s="159">
        <v>136.46</v>
      </c>
      <c r="N340" s="159">
        <v>0.10100000000000001</v>
      </c>
    </row>
  </sheetData>
  <phoneticPr fontId="1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N340"/>
  <sheetViews>
    <sheetView workbookViewId="0">
      <selection activeCell="H13" sqref="H13"/>
    </sheetView>
  </sheetViews>
  <sheetFormatPr defaultRowHeight="11.25"/>
  <cols>
    <col min="1" max="1" width="8.88671875" style="2"/>
    <col min="2" max="3" width="8.88671875" style="22"/>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6" t="s">
        <v>1192</v>
      </c>
      <c r="C1" s="106" t="s">
        <v>158</v>
      </c>
      <c r="D1" s="107" t="s">
        <v>2705</v>
      </c>
      <c r="E1" s="107" t="s">
        <v>1618</v>
      </c>
      <c r="F1" s="107" t="s">
        <v>1619</v>
      </c>
      <c r="G1" s="106" t="s">
        <v>1620</v>
      </c>
      <c r="H1" s="106" t="s">
        <v>2706</v>
      </c>
      <c r="I1" s="106" t="s">
        <v>2707</v>
      </c>
      <c r="J1" s="106" t="s">
        <v>2708</v>
      </c>
      <c r="K1" s="106" t="s">
        <v>9</v>
      </c>
      <c r="L1" s="106" t="s">
        <v>8</v>
      </c>
      <c r="M1" s="106" t="s">
        <v>10</v>
      </c>
      <c r="N1" s="106" t="s">
        <v>1621</v>
      </c>
    </row>
    <row r="2" spans="1:14" ht="16.5">
      <c r="A2" s="2" t="str">
        <f>B2&amp;C2</f>
        <v>111전체</v>
      </c>
      <c r="B2" s="139">
        <v>111</v>
      </c>
      <c r="C2" s="105" t="s">
        <v>1622</v>
      </c>
      <c r="D2" s="160">
        <v>0.80800000000000005</v>
      </c>
      <c r="E2" s="160">
        <v>0.13400000000000001</v>
      </c>
      <c r="F2" s="160">
        <v>2.3E-2</v>
      </c>
      <c r="G2" s="160">
        <v>0.90100000000000002</v>
      </c>
      <c r="H2" s="160">
        <v>0.498</v>
      </c>
      <c r="I2" s="160">
        <v>6.0000000000000001E-3</v>
      </c>
      <c r="J2" s="160">
        <v>0.56000000000000005</v>
      </c>
      <c r="K2" s="160">
        <v>7.01</v>
      </c>
      <c r="L2" s="160">
        <v>6.08</v>
      </c>
      <c r="M2" s="160">
        <v>24.57</v>
      </c>
      <c r="N2" s="160">
        <v>0.26600000000000001</v>
      </c>
    </row>
    <row r="3" spans="1:14" ht="16.5">
      <c r="A3" s="2" t="str">
        <f t="shared" ref="A3:A66" si="0">B3&amp;C3</f>
        <v>112전체</v>
      </c>
      <c r="B3" s="139">
        <v>112</v>
      </c>
      <c r="C3" s="105" t="s">
        <v>1622</v>
      </c>
      <c r="D3" s="160">
        <v>0.54900000000000004</v>
      </c>
      <c r="E3" s="160">
        <v>0.38300000000000001</v>
      </c>
      <c r="F3" s="160">
        <v>1.6E-2</v>
      </c>
      <c r="G3" s="160">
        <v>0.42099999999999999</v>
      </c>
      <c r="H3" s="160">
        <v>0.23499999999999999</v>
      </c>
      <c r="I3" s="160">
        <v>6.0000000000000001E-3</v>
      </c>
      <c r="J3" s="160">
        <v>0.56999999999999995</v>
      </c>
      <c r="K3" s="160">
        <v>2.37</v>
      </c>
      <c r="L3" s="160">
        <v>1.77</v>
      </c>
      <c r="M3" s="160">
        <v>11.48</v>
      </c>
      <c r="N3" s="160">
        <v>0.9</v>
      </c>
    </row>
    <row r="4" spans="1:14" ht="16.5">
      <c r="A4" s="2" t="str">
        <f t="shared" si="0"/>
        <v>113전체</v>
      </c>
      <c r="B4" s="139">
        <v>113</v>
      </c>
      <c r="C4" s="105" t="s">
        <v>1622</v>
      </c>
      <c r="D4" s="160">
        <v>0.77900000000000003</v>
      </c>
      <c r="E4" s="160">
        <v>0.17</v>
      </c>
      <c r="F4" s="160">
        <v>2.5000000000000001E-2</v>
      </c>
      <c r="G4" s="160">
        <v>0.97</v>
      </c>
      <c r="H4" s="160">
        <v>0.60199999999999998</v>
      </c>
      <c r="I4" s="160">
        <v>4.0000000000000001E-3</v>
      </c>
      <c r="J4" s="160">
        <v>0.624</v>
      </c>
      <c r="K4" s="160">
        <v>7.63</v>
      </c>
      <c r="L4" s="160">
        <v>9.5299999999999994</v>
      </c>
      <c r="M4" s="160">
        <v>24.51</v>
      </c>
      <c r="N4" s="160">
        <v>0.19500000000000001</v>
      </c>
    </row>
    <row r="5" spans="1:14" ht="16.5">
      <c r="A5" s="2" t="str">
        <f t="shared" si="0"/>
        <v>114전체</v>
      </c>
      <c r="B5" s="139">
        <v>114</v>
      </c>
      <c r="C5" s="105" t="s">
        <v>1622</v>
      </c>
      <c r="D5" s="160">
        <v>0.76500000000000001</v>
      </c>
      <c r="E5" s="160">
        <v>0.16200000000000001</v>
      </c>
      <c r="F5" s="160">
        <v>3.6999999999999998E-2</v>
      </c>
      <c r="G5" s="160">
        <v>0.65400000000000003</v>
      </c>
      <c r="H5" s="160">
        <v>0.64900000000000002</v>
      </c>
      <c r="I5" s="160">
        <v>1.4E-2</v>
      </c>
      <c r="J5" s="160">
        <v>1.014</v>
      </c>
      <c r="K5" s="160">
        <v>7.77</v>
      </c>
      <c r="L5" s="160">
        <v>8.07</v>
      </c>
      <c r="M5" s="160">
        <v>21.65</v>
      </c>
      <c r="N5" s="160">
        <v>0.20599999999999999</v>
      </c>
    </row>
    <row r="6" spans="1:14" ht="16.5">
      <c r="A6" s="2" t="str">
        <f t="shared" si="0"/>
        <v>115전체</v>
      </c>
      <c r="B6" s="139">
        <v>115</v>
      </c>
      <c r="C6" s="105" t="s">
        <v>1622</v>
      </c>
      <c r="D6" s="160">
        <v>0.81899999999999995</v>
      </c>
      <c r="E6" s="160">
        <v>0.114</v>
      </c>
      <c r="F6" s="160">
        <v>3.2000000000000001E-2</v>
      </c>
      <c r="G6" s="160">
        <v>0.61799999999999999</v>
      </c>
      <c r="H6" s="160">
        <v>0.59299999999999997</v>
      </c>
      <c r="I6" s="160">
        <v>1E-3</v>
      </c>
      <c r="J6" s="160">
        <v>0.96099999999999997</v>
      </c>
      <c r="K6" s="160">
        <v>6.25</v>
      </c>
      <c r="L6" s="160">
        <v>6.11</v>
      </c>
      <c r="M6" s="160">
        <v>22.14</v>
      </c>
      <c r="N6" s="160">
        <v>0.27900000000000003</v>
      </c>
    </row>
    <row r="7" spans="1:14" ht="16.5">
      <c r="A7" s="2" t="str">
        <f t="shared" si="0"/>
        <v>119전체</v>
      </c>
      <c r="B7" s="139">
        <v>119</v>
      </c>
      <c r="C7" s="105" t="s">
        <v>1622</v>
      </c>
      <c r="D7" s="160">
        <v>0.72</v>
      </c>
      <c r="E7" s="160">
        <v>0.13300000000000001</v>
      </c>
      <c r="F7" s="160">
        <v>1.2E-2</v>
      </c>
      <c r="G7" s="160">
        <v>1.196</v>
      </c>
      <c r="H7" s="160">
        <v>0.56399999999999995</v>
      </c>
      <c r="I7" s="160">
        <v>1E-3</v>
      </c>
      <c r="J7" s="160">
        <v>0.47299999999999998</v>
      </c>
      <c r="K7" s="160">
        <v>9.36</v>
      </c>
      <c r="L7" s="160">
        <v>11.06</v>
      </c>
      <c r="M7" s="160">
        <v>97.52</v>
      </c>
      <c r="N7" s="160">
        <v>0.187</v>
      </c>
    </row>
    <row r="8" spans="1:14" ht="16.5">
      <c r="A8" s="2" t="str">
        <f t="shared" si="0"/>
        <v>121전체</v>
      </c>
      <c r="B8" s="139">
        <v>121</v>
      </c>
      <c r="C8" s="105" t="s">
        <v>1622</v>
      </c>
      <c r="D8" s="160">
        <v>0.82399999999999995</v>
      </c>
      <c r="E8" s="160">
        <v>0.115</v>
      </c>
      <c r="F8" s="160">
        <v>0.01</v>
      </c>
      <c r="G8" s="160">
        <v>1.256</v>
      </c>
      <c r="H8" s="160">
        <v>0.40899999999999997</v>
      </c>
      <c r="I8" s="160">
        <v>3.0000000000000001E-3</v>
      </c>
      <c r="J8" s="160">
        <v>0.32800000000000001</v>
      </c>
      <c r="K8" s="160">
        <v>12.15</v>
      </c>
      <c r="L8" s="160">
        <v>4.16</v>
      </c>
      <c r="M8" s="160">
        <v>28.04</v>
      </c>
      <c r="N8" s="160">
        <v>0.28699999999999998</v>
      </c>
    </row>
    <row r="9" spans="1:14" ht="16.5">
      <c r="A9" s="2" t="str">
        <f t="shared" si="0"/>
        <v>122전체</v>
      </c>
      <c r="B9" s="139">
        <v>122</v>
      </c>
      <c r="C9" s="105" t="s">
        <v>1622</v>
      </c>
      <c r="D9" s="160">
        <v>0.82199999999999995</v>
      </c>
      <c r="E9" s="160">
        <v>6.6000000000000003E-2</v>
      </c>
      <c r="F9" s="160">
        <v>2.4E-2</v>
      </c>
      <c r="G9" s="160">
        <v>0.55900000000000005</v>
      </c>
      <c r="H9" s="160">
        <v>0.496</v>
      </c>
      <c r="I9" s="160">
        <v>4.0000000000000001E-3</v>
      </c>
      <c r="J9" s="160">
        <v>0.89500000000000002</v>
      </c>
      <c r="K9" s="160">
        <v>13.7</v>
      </c>
      <c r="L9" s="160">
        <v>1.48</v>
      </c>
      <c r="M9" s="160">
        <v>24.78</v>
      </c>
      <c r="N9" s="160">
        <v>0.70899999999999996</v>
      </c>
    </row>
    <row r="10" spans="1:14" ht="16.5">
      <c r="A10" s="2" t="str">
        <f t="shared" si="0"/>
        <v>123전체</v>
      </c>
      <c r="B10" s="139">
        <v>123</v>
      </c>
      <c r="C10" s="105" t="s">
        <v>1622</v>
      </c>
      <c r="D10" s="160">
        <v>0.86199999999999999</v>
      </c>
      <c r="E10" s="160">
        <v>9.4E-2</v>
      </c>
      <c r="F10" s="160">
        <v>4.4999999999999998E-2</v>
      </c>
      <c r="G10" s="160">
        <v>0.82199999999999995</v>
      </c>
      <c r="H10" s="160">
        <v>0.58099999999999996</v>
      </c>
      <c r="I10" s="160">
        <v>6.0000000000000001E-3</v>
      </c>
      <c r="J10" s="160">
        <v>0.71499999999999997</v>
      </c>
      <c r="K10" s="160">
        <v>7.24</v>
      </c>
      <c r="L10" s="160">
        <v>13.72</v>
      </c>
      <c r="M10" s="160">
        <v>13.66</v>
      </c>
      <c r="N10" s="160">
        <v>0.13800000000000001</v>
      </c>
    </row>
    <row r="11" spans="1:14" ht="16.5">
      <c r="A11" s="2" t="str">
        <f t="shared" si="0"/>
        <v>124전체</v>
      </c>
      <c r="B11" s="139">
        <v>124</v>
      </c>
      <c r="C11" s="105" t="s">
        <v>1622</v>
      </c>
      <c r="D11" s="160">
        <v>0.79800000000000004</v>
      </c>
      <c r="E11" s="160">
        <v>0.13800000000000001</v>
      </c>
      <c r="F11" s="160">
        <v>1.4999999999999999E-2</v>
      </c>
      <c r="G11" s="160">
        <v>1.135</v>
      </c>
      <c r="H11" s="160">
        <v>0.434</v>
      </c>
      <c r="I11" s="160">
        <v>2E-3</v>
      </c>
      <c r="J11" s="160">
        <v>0.38400000000000001</v>
      </c>
      <c r="K11" s="160">
        <v>12.65</v>
      </c>
      <c r="L11" s="160">
        <v>4.18</v>
      </c>
      <c r="M11" s="160">
        <v>28.32</v>
      </c>
      <c r="N11" s="160">
        <v>0.28299999999999997</v>
      </c>
    </row>
    <row r="12" spans="1:14" ht="16.5">
      <c r="A12" s="2" t="str">
        <f t="shared" si="0"/>
        <v>129전체</v>
      </c>
      <c r="B12" s="139">
        <v>129</v>
      </c>
      <c r="C12" s="105" t="s">
        <v>1622</v>
      </c>
      <c r="D12" s="160">
        <v>0.86199999999999999</v>
      </c>
      <c r="E12" s="160">
        <v>5.8999999999999997E-2</v>
      </c>
      <c r="F12" s="160">
        <v>5.6000000000000001E-2</v>
      </c>
      <c r="G12" s="160">
        <v>0.63900000000000001</v>
      </c>
      <c r="H12" s="160">
        <v>0.54300000000000004</v>
      </c>
      <c r="I12" s="160">
        <v>2E-3</v>
      </c>
      <c r="J12" s="160">
        <v>0.85199999999999998</v>
      </c>
      <c r="K12" s="160">
        <v>17.04</v>
      </c>
      <c r="L12" s="160">
        <v>4.1500000000000004</v>
      </c>
      <c r="M12" s="160">
        <v>12.54</v>
      </c>
      <c r="N12" s="160">
        <v>0.22</v>
      </c>
    </row>
    <row r="13" spans="1:14" ht="16.5">
      <c r="A13" s="2" t="str">
        <f t="shared" si="0"/>
        <v>211전체</v>
      </c>
      <c r="B13" s="139">
        <v>211</v>
      </c>
      <c r="C13" s="105" t="s">
        <v>1622</v>
      </c>
      <c r="D13" s="160">
        <v>0.85</v>
      </c>
      <c r="E13" s="160">
        <v>9.7000000000000003E-2</v>
      </c>
      <c r="F13" s="160">
        <v>8.9999999999999993E-3</v>
      </c>
      <c r="G13" s="160">
        <v>0.71599999999999997</v>
      </c>
      <c r="H13" s="160">
        <v>0.33300000000000002</v>
      </c>
      <c r="I13" s="160">
        <v>4.0000000000000001E-3</v>
      </c>
      <c r="J13" s="160">
        <v>0.47</v>
      </c>
      <c r="K13" s="160">
        <v>4.8499999999999996</v>
      </c>
      <c r="L13" s="160">
        <v>3.43</v>
      </c>
      <c r="M13" s="160">
        <v>15.58</v>
      </c>
      <c r="N13" s="160">
        <v>0.433</v>
      </c>
    </row>
    <row r="14" spans="1:14" ht="16.5">
      <c r="A14" s="2" t="str">
        <f t="shared" si="0"/>
        <v>212전체</v>
      </c>
      <c r="B14" s="139">
        <v>212</v>
      </c>
      <c r="C14" s="105" t="s">
        <v>1622</v>
      </c>
      <c r="D14" s="160">
        <v>0.46700000000000003</v>
      </c>
      <c r="E14" s="160">
        <v>0.24399999999999999</v>
      </c>
      <c r="F14" s="160">
        <v>8.9999999999999993E-3</v>
      </c>
      <c r="G14" s="160">
        <v>0.39800000000000002</v>
      </c>
      <c r="H14" s="160">
        <v>0.187</v>
      </c>
      <c r="I14" s="160">
        <v>4.0000000000000001E-3</v>
      </c>
      <c r="J14" s="160">
        <v>0.47899999999999998</v>
      </c>
      <c r="K14" s="160">
        <v>4.9000000000000004</v>
      </c>
      <c r="L14" s="160">
        <v>3.71</v>
      </c>
      <c r="M14" s="160">
        <v>48.49</v>
      </c>
      <c r="N14" s="160">
        <v>0.45300000000000001</v>
      </c>
    </row>
    <row r="15" spans="1:14" ht="16.5">
      <c r="A15" s="2" t="str">
        <f t="shared" si="0"/>
        <v>213전체</v>
      </c>
      <c r="B15" s="139">
        <v>213</v>
      </c>
      <c r="C15" s="105" t="s">
        <v>1622</v>
      </c>
      <c r="D15" s="160">
        <v>0.79600000000000004</v>
      </c>
      <c r="E15" s="160">
        <v>8.5000000000000006E-2</v>
      </c>
      <c r="F15" s="160">
        <v>6.0000000000000001E-3</v>
      </c>
      <c r="G15" s="160">
        <v>0.66800000000000004</v>
      </c>
      <c r="H15" s="160">
        <v>0.26700000000000002</v>
      </c>
      <c r="I15" s="160">
        <v>4.0000000000000001E-3</v>
      </c>
      <c r="J15" s="160">
        <v>0.40600000000000003</v>
      </c>
      <c r="K15" s="160">
        <v>5.97</v>
      </c>
      <c r="L15" s="160">
        <v>3.33</v>
      </c>
      <c r="M15" s="160">
        <v>21.93</v>
      </c>
      <c r="N15" s="160">
        <v>0.42199999999999999</v>
      </c>
    </row>
    <row r="16" spans="1:14" ht="16.5">
      <c r="A16" s="2" t="str">
        <f t="shared" si="0"/>
        <v>214전체</v>
      </c>
      <c r="B16" s="139">
        <v>214</v>
      </c>
      <c r="C16" s="105" t="s">
        <v>1622</v>
      </c>
      <c r="D16" s="160">
        <v>0.59099999999999997</v>
      </c>
      <c r="E16" s="160">
        <v>0.30599999999999999</v>
      </c>
      <c r="F16" s="160">
        <v>0.01</v>
      </c>
      <c r="G16" s="160">
        <v>0.60499999999999998</v>
      </c>
      <c r="H16" s="160">
        <v>0.29699999999999999</v>
      </c>
      <c r="I16" s="160">
        <v>4.5999999999999999E-2</v>
      </c>
      <c r="J16" s="160">
        <v>0.56799999999999995</v>
      </c>
      <c r="K16" s="160">
        <v>4.29</v>
      </c>
      <c r="L16" s="160">
        <v>5.0199999999999996</v>
      </c>
      <c r="M16" s="160">
        <v>12.94</v>
      </c>
      <c r="N16" s="160">
        <v>0.35499999999999998</v>
      </c>
    </row>
    <row r="17" spans="1:14" ht="16.5">
      <c r="A17" s="2" t="str">
        <f t="shared" si="0"/>
        <v>215전체</v>
      </c>
      <c r="B17" s="139">
        <v>215</v>
      </c>
      <c r="C17" s="105" t="s">
        <v>1622</v>
      </c>
      <c r="D17" s="160">
        <v>0.51700000000000002</v>
      </c>
      <c r="E17" s="160">
        <v>0.36299999999999999</v>
      </c>
      <c r="F17" s="160">
        <v>1.9E-2</v>
      </c>
      <c r="G17" s="160">
        <v>0.98399999999999999</v>
      </c>
      <c r="H17" s="160">
        <v>0.34399999999999997</v>
      </c>
      <c r="I17" s="160">
        <v>2.5999999999999999E-2</v>
      </c>
      <c r="J17" s="160">
        <v>0.376</v>
      </c>
      <c r="K17" s="160">
        <v>7.89</v>
      </c>
      <c r="L17" s="160">
        <v>10.83</v>
      </c>
      <c r="M17" s="160">
        <v>17.8</v>
      </c>
      <c r="N17" s="160">
        <v>0.16300000000000001</v>
      </c>
    </row>
    <row r="18" spans="1:14" ht="16.5">
      <c r="A18" s="2" t="str">
        <f t="shared" si="0"/>
        <v>219전체</v>
      </c>
      <c r="B18" s="139">
        <v>219</v>
      </c>
      <c r="C18" s="105" t="s">
        <v>1622</v>
      </c>
      <c r="D18" s="160">
        <v>0.77500000000000002</v>
      </c>
      <c r="E18" s="160">
        <v>0.11600000000000001</v>
      </c>
      <c r="F18" s="160">
        <v>8.9999999999999993E-3</v>
      </c>
      <c r="G18" s="160">
        <v>0.8</v>
      </c>
      <c r="H18" s="160">
        <v>0.33200000000000002</v>
      </c>
      <c r="I18" s="160">
        <v>2.8000000000000001E-2</v>
      </c>
      <c r="J18" s="160">
        <v>0.44900000000000001</v>
      </c>
      <c r="K18" s="160">
        <v>5.94</v>
      </c>
      <c r="L18" s="160">
        <v>8.41</v>
      </c>
      <c r="M18" s="160">
        <v>13.29</v>
      </c>
      <c r="N18" s="160">
        <v>0.21199999999999999</v>
      </c>
    </row>
    <row r="19" spans="1:14" ht="16.5">
      <c r="A19" s="2" t="str">
        <f t="shared" si="0"/>
        <v>221전체</v>
      </c>
      <c r="B19" s="139">
        <v>221</v>
      </c>
      <c r="C19" s="105" t="s">
        <v>1622</v>
      </c>
      <c r="D19" s="160">
        <v>0.84</v>
      </c>
      <c r="E19" s="160">
        <v>0.112</v>
      </c>
      <c r="F19" s="160">
        <v>1.0999999999999999E-2</v>
      </c>
      <c r="G19" s="160">
        <v>0.93600000000000005</v>
      </c>
      <c r="H19" s="160">
        <v>0.41199999999999998</v>
      </c>
      <c r="I19" s="160">
        <v>4.2000000000000003E-2</v>
      </c>
      <c r="J19" s="160">
        <v>0.48499999999999999</v>
      </c>
      <c r="K19" s="160">
        <v>5.87</v>
      </c>
      <c r="L19" s="160">
        <v>8.59</v>
      </c>
      <c r="M19" s="160">
        <v>12.17</v>
      </c>
      <c r="N19" s="160">
        <v>0.20499999999999999</v>
      </c>
    </row>
    <row r="20" spans="1:14" ht="16.5">
      <c r="A20" s="2" t="str">
        <f t="shared" si="0"/>
        <v>222전체</v>
      </c>
      <c r="B20" s="139">
        <v>222</v>
      </c>
      <c r="C20" s="105" t="s">
        <v>1622</v>
      </c>
      <c r="D20" s="160">
        <v>0.77500000000000002</v>
      </c>
      <c r="E20" s="160">
        <v>0.17799999999999999</v>
      </c>
      <c r="F20" s="160">
        <v>1.7999999999999999E-2</v>
      </c>
      <c r="G20" s="160">
        <v>0.86499999999999999</v>
      </c>
      <c r="H20" s="160">
        <v>0.35499999999999998</v>
      </c>
      <c r="I20" s="160">
        <v>1.7999999999999999E-2</v>
      </c>
      <c r="J20" s="160">
        <v>0.43099999999999999</v>
      </c>
      <c r="K20" s="160">
        <v>7.8</v>
      </c>
      <c r="L20" s="160">
        <v>3.39</v>
      </c>
      <c r="M20" s="160">
        <v>10.1</v>
      </c>
      <c r="N20" s="160">
        <v>0.32400000000000001</v>
      </c>
    </row>
    <row r="21" spans="1:14" ht="16.5">
      <c r="A21" s="2" t="str">
        <f t="shared" si="0"/>
        <v>223전체</v>
      </c>
      <c r="B21" s="139">
        <v>223</v>
      </c>
      <c r="C21" s="105" t="s">
        <v>1622</v>
      </c>
      <c r="D21" s="160">
        <v>0.82799999999999996</v>
      </c>
      <c r="E21" s="160">
        <v>0.112</v>
      </c>
      <c r="F21" s="160">
        <v>1.7000000000000001E-2</v>
      </c>
      <c r="G21" s="160">
        <v>0.97899999999999998</v>
      </c>
      <c r="H21" s="160">
        <v>0.44700000000000001</v>
      </c>
      <c r="I21" s="160">
        <v>0.02</v>
      </c>
      <c r="J21" s="160">
        <v>0.47699999999999998</v>
      </c>
      <c r="K21" s="160">
        <v>5.91</v>
      </c>
      <c r="L21" s="160">
        <v>10.41</v>
      </c>
      <c r="M21" s="160">
        <v>12.1</v>
      </c>
      <c r="N21" s="160">
        <v>0.183</v>
      </c>
    </row>
    <row r="22" spans="1:14" ht="16.5">
      <c r="A22" s="2" t="str">
        <f t="shared" si="0"/>
        <v>224전체</v>
      </c>
      <c r="B22" s="139">
        <v>224</v>
      </c>
      <c r="C22" s="105" t="s">
        <v>1622</v>
      </c>
      <c r="D22" s="160">
        <v>0.83799999999999997</v>
      </c>
      <c r="E22" s="160">
        <v>0.105</v>
      </c>
      <c r="F22" s="160">
        <v>1.7999999999999999E-2</v>
      </c>
      <c r="G22" s="160">
        <v>0.89100000000000001</v>
      </c>
      <c r="H22" s="160">
        <v>0.41599999999999998</v>
      </c>
      <c r="I22" s="160">
        <v>1.7999999999999999E-2</v>
      </c>
      <c r="J22" s="160">
        <v>0.48799999999999999</v>
      </c>
      <c r="K22" s="160">
        <v>5.61</v>
      </c>
      <c r="L22" s="160">
        <v>7.85</v>
      </c>
      <c r="M22" s="160">
        <v>11.16</v>
      </c>
      <c r="N22" s="160">
        <v>0.216</v>
      </c>
    </row>
    <row r="23" spans="1:14" ht="16.5">
      <c r="A23" s="2" t="str">
        <f t="shared" si="0"/>
        <v>225전체</v>
      </c>
      <c r="B23" s="139">
        <v>225</v>
      </c>
      <c r="C23" s="105" t="s">
        <v>1622</v>
      </c>
      <c r="D23" s="160">
        <v>0.80900000000000005</v>
      </c>
      <c r="E23" s="160">
        <v>0.14699999999999999</v>
      </c>
      <c r="F23" s="160">
        <v>1.4E-2</v>
      </c>
      <c r="G23" s="160">
        <v>0.94299999999999995</v>
      </c>
      <c r="H23" s="160">
        <v>0.371</v>
      </c>
      <c r="I23" s="160">
        <v>1.0999999999999999E-2</v>
      </c>
      <c r="J23" s="160">
        <v>0.40500000000000003</v>
      </c>
      <c r="K23" s="160">
        <v>4.97</v>
      </c>
      <c r="L23" s="160">
        <v>5.28</v>
      </c>
      <c r="M23" s="160">
        <v>7.96</v>
      </c>
      <c r="N23" s="160">
        <v>0.26500000000000001</v>
      </c>
    </row>
    <row r="24" spans="1:14" ht="16.5">
      <c r="A24" s="2" t="str">
        <f t="shared" si="0"/>
        <v>226전체</v>
      </c>
      <c r="B24" s="139">
        <v>226</v>
      </c>
      <c r="C24" s="105" t="s">
        <v>1622</v>
      </c>
      <c r="D24" s="160">
        <v>0.72599999999999998</v>
      </c>
      <c r="E24" s="160">
        <v>0.16400000000000001</v>
      </c>
      <c r="F24" s="160">
        <v>1.7000000000000001E-2</v>
      </c>
      <c r="G24" s="160">
        <v>0.83799999999999997</v>
      </c>
      <c r="H24" s="160">
        <v>0.28299999999999997</v>
      </c>
      <c r="I24" s="160">
        <v>2.7E-2</v>
      </c>
      <c r="J24" s="160">
        <v>0.37</v>
      </c>
      <c r="K24" s="160">
        <v>4.79</v>
      </c>
      <c r="L24" s="160">
        <v>6.7</v>
      </c>
      <c r="M24" s="160">
        <v>10.53</v>
      </c>
      <c r="N24" s="160">
        <v>0.26300000000000001</v>
      </c>
    </row>
    <row r="25" spans="1:14" ht="16.5">
      <c r="A25" s="2" t="str">
        <f t="shared" si="0"/>
        <v>227전체</v>
      </c>
      <c r="B25" s="139">
        <v>227</v>
      </c>
      <c r="C25" s="105" t="s">
        <v>1622</v>
      </c>
      <c r="D25" s="160">
        <v>0.59099999999999997</v>
      </c>
      <c r="E25" s="160">
        <v>0.30599999999999999</v>
      </c>
      <c r="F25" s="160">
        <v>0.01</v>
      </c>
      <c r="G25" s="160">
        <v>0.60499999999999998</v>
      </c>
      <c r="H25" s="160">
        <v>0.29699999999999999</v>
      </c>
      <c r="I25" s="160">
        <v>4.5999999999999999E-2</v>
      </c>
      <c r="J25" s="160">
        <v>0.56799999999999995</v>
      </c>
      <c r="K25" s="160">
        <v>4.29</v>
      </c>
      <c r="L25" s="160">
        <v>5.0199999999999996</v>
      </c>
      <c r="M25" s="160">
        <v>12.94</v>
      </c>
      <c r="N25" s="160">
        <v>0.35499999999999998</v>
      </c>
    </row>
    <row r="26" spans="1:14" ht="16.5">
      <c r="A26" s="2" t="str">
        <f t="shared" si="0"/>
        <v>229전체</v>
      </c>
      <c r="B26" s="139">
        <v>229</v>
      </c>
      <c r="C26" s="105" t="s">
        <v>1622</v>
      </c>
      <c r="D26" s="160">
        <v>0.80500000000000005</v>
      </c>
      <c r="E26" s="160">
        <v>0.13100000000000001</v>
      </c>
      <c r="F26" s="160">
        <v>1.6E-2</v>
      </c>
      <c r="G26" s="160">
        <v>1.0609999999999999</v>
      </c>
      <c r="H26" s="160">
        <v>0.38200000000000001</v>
      </c>
      <c r="I26" s="160">
        <v>1.7000000000000001E-2</v>
      </c>
      <c r="J26" s="160">
        <v>0.376</v>
      </c>
      <c r="K26" s="160">
        <v>5.66</v>
      </c>
      <c r="L26" s="160">
        <v>8.08</v>
      </c>
      <c r="M26" s="160">
        <v>10.86</v>
      </c>
      <c r="N26" s="160">
        <v>0.20799999999999999</v>
      </c>
    </row>
    <row r="27" spans="1:14" ht="16.5">
      <c r="A27" s="2" t="str">
        <f t="shared" si="0"/>
        <v>231전체</v>
      </c>
      <c r="B27" s="139">
        <v>231</v>
      </c>
      <c r="C27" s="105" t="s">
        <v>1622</v>
      </c>
      <c r="D27" s="160">
        <v>0.79100000000000004</v>
      </c>
      <c r="E27" s="160">
        <v>0.11899999999999999</v>
      </c>
      <c r="F27" s="160">
        <v>2.5000000000000001E-2</v>
      </c>
      <c r="G27" s="160">
        <v>0.90400000000000003</v>
      </c>
      <c r="H27" s="160">
        <v>0.379</v>
      </c>
      <c r="I27" s="160">
        <v>0</v>
      </c>
      <c r="J27" s="160">
        <v>0.41899999999999998</v>
      </c>
      <c r="K27" s="160">
        <v>15.83</v>
      </c>
      <c r="L27" s="160">
        <v>3.49</v>
      </c>
      <c r="M27" s="160">
        <v>34.82</v>
      </c>
      <c r="N27" s="160">
        <v>0.32100000000000001</v>
      </c>
    </row>
    <row r="28" spans="1:14" ht="16.5">
      <c r="A28" s="2" t="str">
        <f t="shared" si="0"/>
        <v>232전체</v>
      </c>
      <c r="B28" s="139">
        <v>232</v>
      </c>
      <c r="C28" s="105" t="s">
        <v>1622</v>
      </c>
      <c r="D28" s="160">
        <v>0.71399999999999997</v>
      </c>
      <c r="E28" s="160">
        <v>0.222</v>
      </c>
      <c r="F28" s="160">
        <v>0.01</v>
      </c>
      <c r="G28" s="160">
        <v>1.0860000000000001</v>
      </c>
      <c r="H28" s="160">
        <v>0.158</v>
      </c>
      <c r="I28" s="160">
        <v>4.3999999999999997E-2</v>
      </c>
      <c r="J28" s="160">
        <v>0.186</v>
      </c>
      <c r="K28" s="160">
        <v>6.07</v>
      </c>
      <c r="L28" s="160">
        <v>41.8</v>
      </c>
      <c r="M28" s="160">
        <v>12.85</v>
      </c>
      <c r="N28" s="160">
        <v>0.111</v>
      </c>
    </row>
    <row r="29" spans="1:14" ht="16.5">
      <c r="A29" s="2" t="str">
        <f t="shared" si="0"/>
        <v>233전체</v>
      </c>
      <c r="B29" s="139">
        <v>233</v>
      </c>
      <c r="C29" s="105" t="s">
        <v>1622</v>
      </c>
      <c r="D29" s="160">
        <v>0.433</v>
      </c>
      <c r="E29" s="160">
        <v>0.45900000000000002</v>
      </c>
      <c r="F29" s="160">
        <v>2.1000000000000001E-2</v>
      </c>
      <c r="G29" s="160">
        <v>0.71799999999999997</v>
      </c>
      <c r="H29" s="160">
        <v>0.39800000000000002</v>
      </c>
      <c r="I29" s="160">
        <v>6.2E-2</v>
      </c>
      <c r="J29" s="160">
        <v>0.64</v>
      </c>
      <c r="K29" s="160">
        <v>13.14</v>
      </c>
      <c r="L29" s="160">
        <v>24.78</v>
      </c>
      <c r="M29" s="160">
        <v>52.46</v>
      </c>
      <c r="N29" s="160">
        <v>9.7000000000000003E-2</v>
      </c>
    </row>
    <row r="30" spans="1:14" ht="16.5">
      <c r="A30" s="2" t="str">
        <f t="shared" si="0"/>
        <v>234전체</v>
      </c>
      <c r="B30" s="139">
        <v>234</v>
      </c>
      <c r="C30" s="105" t="s">
        <v>1622</v>
      </c>
      <c r="D30" s="160">
        <v>0.19700000000000001</v>
      </c>
      <c r="E30" s="160">
        <v>0.67300000000000004</v>
      </c>
      <c r="F30" s="160">
        <v>0.04</v>
      </c>
      <c r="G30" s="160">
        <v>1.119</v>
      </c>
      <c r="H30" s="160">
        <v>0.63</v>
      </c>
      <c r="I30" s="160">
        <v>0</v>
      </c>
      <c r="J30" s="160">
        <v>0.56299999999999994</v>
      </c>
      <c r="K30" s="160">
        <v>89.6</v>
      </c>
      <c r="L30" s="160">
        <v>22.76</v>
      </c>
      <c r="M30" s="160">
        <v>49.35</v>
      </c>
      <c r="N30" s="160">
        <v>3.5000000000000003E-2</v>
      </c>
    </row>
    <row r="31" spans="1:14" ht="16.5">
      <c r="A31" s="2" t="str">
        <f t="shared" si="0"/>
        <v>235전체</v>
      </c>
      <c r="B31" s="139">
        <v>235</v>
      </c>
      <c r="C31" s="105" t="s">
        <v>1622</v>
      </c>
      <c r="D31" s="160">
        <v>0.45600000000000002</v>
      </c>
      <c r="E31" s="160">
        <v>0.44800000000000001</v>
      </c>
      <c r="F31" s="160">
        <v>4.8000000000000001E-2</v>
      </c>
      <c r="G31" s="160">
        <v>1.02</v>
      </c>
      <c r="H31" s="160">
        <v>0.316</v>
      </c>
      <c r="I31" s="160">
        <v>4.8000000000000001E-2</v>
      </c>
      <c r="J31" s="160">
        <v>0.35699999999999998</v>
      </c>
      <c r="K31" s="160">
        <v>21.8</v>
      </c>
      <c r="L31" s="160">
        <v>21.83</v>
      </c>
      <c r="M31" s="160">
        <v>187.98</v>
      </c>
      <c r="N31" s="160">
        <v>8.5999999999999993E-2</v>
      </c>
    </row>
    <row r="32" spans="1:14" ht="16.5">
      <c r="A32" s="2" t="str">
        <f t="shared" si="0"/>
        <v>236전체</v>
      </c>
      <c r="B32" s="139">
        <v>236</v>
      </c>
      <c r="C32" s="105" t="s">
        <v>1622</v>
      </c>
      <c r="D32" s="160">
        <v>0.54700000000000004</v>
      </c>
      <c r="E32" s="160">
        <v>0.35299999999999998</v>
      </c>
      <c r="F32" s="160">
        <v>2.7E-2</v>
      </c>
      <c r="G32" s="160">
        <v>0.88100000000000001</v>
      </c>
      <c r="H32" s="160">
        <v>0.158</v>
      </c>
      <c r="I32" s="160">
        <v>8.3000000000000004E-2</v>
      </c>
      <c r="J32" s="160">
        <v>0.27400000000000002</v>
      </c>
      <c r="K32" s="160">
        <v>6.33</v>
      </c>
      <c r="L32" s="160">
        <v>43.55</v>
      </c>
      <c r="M32" s="160">
        <v>16.03</v>
      </c>
      <c r="N32" s="160">
        <v>0.11799999999999999</v>
      </c>
    </row>
    <row r="33" spans="1:14" ht="16.5">
      <c r="A33" s="2" t="str">
        <f t="shared" si="0"/>
        <v>237전체</v>
      </c>
      <c r="B33" s="139">
        <v>237</v>
      </c>
      <c r="C33" s="105" t="s">
        <v>1622</v>
      </c>
      <c r="D33" s="160">
        <v>0.65800000000000003</v>
      </c>
      <c r="E33" s="160">
        <v>0.217</v>
      </c>
      <c r="F33" s="160">
        <v>2.8000000000000001E-2</v>
      </c>
      <c r="G33" s="160">
        <v>0.68799999999999994</v>
      </c>
      <c r="H33" s="160">
        <v>0.443</v>
      </c>
      <c r="I33" s="160">
        <v>5.8000000000000003E-2</v>
      </c>
      <c r="J33" s="160">
        <v>0.72799999999999998</v>
      </c>
      <c r="K33" s="160">
        <v>10.53</v>
      </c>
      <c r="L33" s="160">
        <v>27.4</v>
      </c>
      <c r="M33" s="160">
        <v>36.64</v>
      </c>
      <c r="N33" s="160">
        <v>0.104</v>
      </c>
    </row>
    <row r="34" spans="1:14" ht="16.5">
      <c r="A34" s="2" t="str">
        <f t="shared" si="0"/>
        <v>239전체</v>
      </c>
      <c r="B34" s="139">
        <v>239</v>
      </c>
      <c r="C34" s="105" t="s">
        <v>1622</v>
      </c>
      <c r="D34" s="160">
        <v>0.40699999999999997</v>
      </c>
      <c r="E34" s="160">
        <v>0.47799999999999998</v>
      </c>
      <c r="F34" s="160">
        <v>3.4000000000000002E-2</v>
      </c>
      <c r="G34" s="160">
        <v>0.88300000000000001</v>
      </c>
      <c r="H34" s="160">
        <v>0.442</v>
      </c>
      <c r="I34" s="160">
        <v>1.6E-2</v>
      </c>
      <c r="J34" s="160">
        <v>0.51800000000000002</v>
      </c>
      <c r="K34" s="160">
        <v>8.35</v>
      </c>
      <c r="L34" s="160">
        <v>74.88</v>
      </c>
      <c r="M34" s="160">
        <v>62.93</v>
      </c>
      <c r="N34" s="160">
        <v>0.11700000000000001</v>
      </c>
    </row>
    <row r="35" spans="1:14" ht="16.5">
      <c r="A35" s="2" t="str">
        <f t="shared" si="0"/>
        <v>311전체</v>
      </c>
      <c r="B35" s="139">
        <v>311</v>
      </c>
      <c r="C35" s="105" t="s">
        <v>1622</v>
      </c>
      <c r="D35" s="160">
        <v>0.317</v>
      </c>
      <c r="E35" s="160">
        <v>0.17100000000000001</v>
      </c>
      <c r="F35" s="160">
        <v>6.0000000000000001E-3</v>
      </c>
      <c r="G35" s="160">
        <v>0.24</v>
      </c>
      <c r="H35" s="160">
        <v>0.11600000000000001</v>
      </c>
      <c r="I35" s="160">
        <v>2E-3</v>
      </c>
      <c r="J35" s="160">
        <v>0.48899999999999999</v>
      </c>
      <c r="K35" s="160">
        <v>28.66</v>
      </c>
      <c r="L35" s="160">
        <v>23.99</v>
      </c>
      <c r="M35" s="160">
        <v>118.54</v>
      </c>
      <c r="N35" s="160">
        <v>6.8000000000000005E-2</v>
      </c>
    </row>
    <row r="36" spans="1:14" ht="16.5">
      <c r="A36" s="2" t="str">
        <f t="shared" si="0"/>
        <v>312전체</v>
      </c>
      <c r="B36" s="139">
        <v>312</v>
      </c>
      <c r="C36" s="105" t="s">
        <v>1622</v>
      </c>
      <c r="D36" s="160">
        <v>0.69799999999999995</v>
      </c>
      <c r="E36" s="160">
        <v>0.26800000000000002</v>
      </c>
      <c r="F36" s="160">
        <v>2.4E-2</v>
      </c>
      <c r="G36" s="160">
        <v>0.72</v>
      </c>
      <c r="H36" s="160">
        <v>0.7</v>
      </c>
      <c r="I36" s="160">
        <v>0</v>
      </c>
      <c r="J36" s="160">
        <v>0.97299999999999998</v>
      </c>
      <c r="K36" s="160">
        <v>7.58</v>
      </c>
      <c r="L36" s="160">
        <v>12.96</v>
      </c>
      <c r="M36" s="160">
        <v>11.11</v>
      </c>
      <c r="N36" s="160">
        <v>0.11899999999999999</v>
      </c>
    </row>
    <row r="37" spans="1:14" ht="16.5">
      <c r="A37" s="2" t="str">
        <f t="shared" si="0"/>
        <v>390전체</v>
      </c>
      <c r="B37" s="139">
        <v>390</v>
      </c>
      <c r="C37" s="105" t="s">
        <v>1622</v>
      </c>
      <c r="D37" s="160">
        <v>0.64300000000000002</v>
      </c>
      <c r="E37" s="160">
        <v>0.217</v>
      </c>
      <c r="F37" s="160">
        <v>2E-3</v>
      </c>
      <c r="G37" s="160">
        <v>0.161</v>
      </c>
      <c r="H37" s="160">
        <v>0.61199999999999999</v>
      </c>
      <c r="I37" s="160">
        <v>0</v>
      </c>
      <c r="J37" s="160">
        <v>3.81</v>
      </c>
      <c r="K37" s="160">
        <v>23.2</v>
      </c>
      <c r="L37" s="160">
        <v>2.93</v>
      </c>
      <c r="M37" s="160">
        <v>92.5</v>
      </c>
      <c r="N37" s="160">
        <v>0.374</v>
      </c>
    </row>
    <row r="38" spans="1:14" ht="16.5">
      <c r="A38" s="2" t="str">
        <f t="shared" si="0"/>
        <v>411전체</v>
      </c>
      <c r="B38" s="139">
        <v>411</v>
      </c>
      <c r="C38" s="105" t="s">
        <v>1622</v>
      </c>
      <c r="D38" s="160">
        <v>0.83699999999999997</v>
      </c>
      <c r="E38" s="160">
        <v>0.114</v>
      </c>
      <c r="F38" s="160">
        <v>1.7000000000000001E-2</v>
      </c>
      <c r="G38" s="160">
        <v>0.93500000000000005</v>
      </c>
      <c r="H38" s="160">
        <v>0.40300000000000002</v>
      </c>
      <c r="I38" s="160">
        <v>6.0000000000000001E-3</v>
      </c>
      <c r="J38" s="160">
        <v>0.438</v>
      </c>
      <c r="K38" s="160">
        <v>7.33</v>
      </c>
      <c r="L38" s="160">
        <v>6.15</v>
      </c>
      <c r="M38" s="160">
        <v>11.53</v>
      </c>
      <c r="N38" s="160">
        <v>0.21199999999999999</v>
      </c>
    </row>
    <row r="39" spans="1:14" ht="16.5">
      <c r="A39" s="2" t="str">
        <f t="shared" si="0"/>
        <v>412전체</v>
      </c>
      <c r="B39" s="139">
        <v>412</v>
      </c>
      <c r="C39" s="105" t="s">
        <v>1622</v>
      </c>
      <c r="D39" s="160">
        <v>0.83199999999999996</v>
      </c>
      <c r="E39" s="160">
        <v>0.11799999999999999</v>
      </c>
      <c r="F39" s="160">
        <v>2.8000000000000001E-2</v>
      </c>
      <c r="G39" s="160">
        <v>0.53600000000000003</v>
      </c>
      <c r="H39" s="160">
        <v>0.40600000000000003</v>
      </c>
      <c r="I39" s="160">
        <v>1.6E-2</v>
      </c>
      <c r="J39" s="160">
        <v>0.78700000000000003</v>
      </c>
      <c r="K39" s="160">
        <v>5.43</v>
      </c>
      <c r="L39" s="160">
        <v>7.53</v>
      </c>
      <c r="M39" s="160">
        <v>11.04</v>
      </c>
      <c r="N39" s="160">
        <v>0.22600000000000001</v>
      </c>
    </row>
    <row r="40" spans="1:14" ht="16.5">
      <c r="A40" s="2" t="str">
        <f t="shared" si="0"/>
        <v>413전체</v>
      </c>
      <c r="B40" s="139">
        <v>413</v>
      </c>
      <c r="C40" s="105" t="s">
        <v>1622</v>
      </c>
      <c r="D40" s="160">
        <v>0.78400000000000003</v>
      </c>
      <c r="E40" s="160">
        <v>0.158</v>
      </c>
      <c r="F40" s="160">
        <v>1.9E-2</v>
      </c>
      <c r="G40" s="160">
        <v>1.0349999999999999</v>
      </c>
      <c r="H40" s="160">
        <v>0.46300000000000002</v>
      </c>
      <c r="I40" s="160">
        <v>1.2E-2</v>
      </c>
      <c r="J40" s="160">
        <v>0.45900000000000002</v>
      </c>
      <c r="K40" s="160">
        <v>6.14</v>
      </c>
      <c r="L40" s="160">
        <v>7.78</v>
      </c>
      <c r="M40" s="160">
        <v>14.92</v>
      </c>
      <c r="N40" s="160">
        <v>0.224</v>
      </c>
    </row>
    <row r="41" spans="1:14" ht="16.5">
      <c r="A41" s="2" t="str">
        <f t="shared" si="0"/>
        <v>414전체</v>
      </c>
      <c r="B41" s="139">
        <v>414</v>
      </c>
      <c r="C41" s="105" t="s">
        <v>1622</v>
      </c>
      <c r="D41" s="160">
        <v>0.81499999999999995</v>
      </c>
      <c r="E41" s="160">
        <v>0.13100000000000001</v>
      </c>
      <c r="F41" s="160">
        <v>1.4999999999999999E-2</v>
      </c>
      <c r="G41" s="160">
        <v>0.97899999999999998</v>
      </c>
      <c r="H41" s="160">
        <v>0.37</v>
      </c>
      <c r="I41" s="160">
        <v>1.7000000000000001E-2</v>
      </c>
      <c r="J41" s="160">
        <v>0.39500000000000002</v>
      </c>
      <c r="K41" s="160">
        <v>4</v>
      </c>
      <c r="L41" s="160">
        <v>10.27</v>
      </c>
      <c r="M41" s="160">
        <v>12.3</v>
      </c>
      <c r="N41" s="160">
        <v>0.26600000000000001</v>
      </c>
    </row>
    <row r="42" spans="1:14" ht="16.5">
      <c r="A42" s="2" t="str">
        <f t="shared" si="0"/>
        <v>415전체</v>
      </c>
      <c r="B42" s="139">
        <v>415</v>
      </c>
      <c r="C42" s="105" t="s">
        <v>1622</v>
      </c>
      <c r="D42" s="160">
        <v>0.80900000000000005</v>
      </c>
      <c r="E42" s="160">
        <v>0.14899999999999999</v>
      </c>
      <c r="F42" s="160">
        <v>1.6E-2</v>
      </c>
      <c r="G42" s="160">
        <v>1.1659999999999999</v>
      </c>
      <c r="H42" s="160">
        <v>0.439</v>
      </c>
      <c r="I42" s="160">
        <v>1.6E-2</v>
      </c>
      <c r="J42" s="160">
        <v>0.39100000000000001</v>
      </c>
      <c r="K42" s="160">
        <v>7.2</v>
      </c>
      <c r="L42" s="160">
        <v>9.67</v>
      </c>
      <c r="M42" s="160">
        <v>9.4600000000000009</v>
      </c>
      <c r="N42" s="160">
        <v>0.13700000000000001</v>
      </c>
    </row>
    <row r="43" spans="1:14" ht="16.5">
      <c r="A43" s="2" t="str">
        <f t="shared" si="0"/>
        <v>416전체</v>
      </c>
      <c r="B43" s="139">
        <v>416</v>
      </c>
      <c r="C43" s="105" t="s">
        <v>1622</v>
      </c>
      <c r="D43" s="160">
        <v>0.80800000000000005</v>
      </c>
      <c r="E43" s="160">
        <v>0.13500000000000001</v>
      </c>
      <c r="F43" s="160">
        <v>1.6E-2</v>
      </c>
      <c r="G43" s="160">
        <v>1.008</v>
      </c>
      <c r="H43" s="160">
        <v>0.47299999999999998</v>
      </c>
      <c r="I43" s="160">
        <v>0.01</v>
      </c>
      <c r="J43" s="160">
        <v>0.47899999999999998</v>
      </c>
      <c r="K43" s="160">
        <v>7.08</v>
      </c>
      <c r="L43" s="160">
        <v>8.32</v>
      </c>
      <c r="M43" s="160">
        <v>13.6</v>
      </c>
      <c r="N43" s="160">
        <v>0.188</v>
      </c>
    </row>
    <row r="44" spans="1:14" ht="16.5">
      <c r="A44" s="2" t="str">
        <f t="shared" si="0"/>
        <v>419전체</v>
      </c>
      <c r="B44" s="139">
        <v>419</v>
      </c>
      <c r="C44" s="105" t="s">
        <v>1622</v>
      </c>
      <c r="D44" s="160">
        <v>0.86</v>
      </c>
      <c r="E44" s="160">
        <v>8.5000000000000006E-2</v>
      </c>
      <c r="F44" s="160">
        <v>8.9999999999999993E-3</v>
      </c>
      <c r="G44" s="160">
        <v>0.98599999999999999</v>
      </c>
      <c r="H44" s="160">
        <v>0.58499999999999996</v>
      </c>
      <c r="I44" s="160">
        <v>2E-3</v>
      </c>
      <c r="J44" s="160">
        <v>0.59599999999999997</v>
      </c>
      <c r="K44" s="160">
        <v>6.21</v>
      </c>
      <c r="L44" s="160">
        <v>12.21</v>
      </c>
      <c r="M44" s="160">
        <v>14.68</v>
      </c>
      <c r="N44" s="160">
        <v>0.17499999999999999</v>
      </c>
    </row>
    <row r="45" spans="1:14" ht="16.5">
      <c r="A45" s="2" t="str">
        <f t="shared" si="0"/>
        <v>421전체</v>
      </c>
      <c r="B45" s="139">
        <v>421</v>
      </c>
      <c r="C45" s="105" t="s">
        <v>1622</v>
      </c>
      <c r="D45" s="160">
        <v>0.85399999999999998</v>
      </c>
      <c r="E45" s="160">
        <v>7.3999999999999996E-2</v>
      </c>
      <c r="F45" s="160">
        <v>2E-3</v>
      </c>
      <c r="G45" s="160">
        <v>0.53100000000000003</v>
      </c>
      <c r="H45" s="160">
        <v>0.64400000000000002</v>
      </c>
      <c r="I45" s="160">
        <v>3.0000000000000001E-3</v>
      </c>
      <c r="J45" s="160">
        <v>1.22</v>
      </c>
      <c r="K45" s="160">
        <v>6.59</v>
      </c>
      <c r="L45" s="160">
        <v>4.66</v>
      </c>
      <c r="M45" s="160">
        <v>20.61</v>
      </c>
      <c r="N45" s="160">
        <v>0.318</v>
      </c>
    </row>
    <row r="46" spans="1:14" ht="16.5">
      <c r="A46" s="2" t="str">
        <f t="shared" si="0"/>
        <v>422전체</v>
      </c>
      <c r="B46" s="139">
        <v>422</v>
      </c>
      <c r="C46" s="105" t="s">
        <v>1622</v>
      </c>
      <c r="D46" s="160">
        <v>0.48</v>
      </c>
      <c r="E46" s="160">
        <v>0.39</v>
      </c>
      <c r="F46" s="160">
        <v>0.02</v>
      </c>
      <c r="G46" s="160">
        <v>0.97299999999999998</v>
      </c>
      <c r="H46" s="160">
        <v>0.33800000000000002</v>
      </c>
      <c r="I46" s="160">
        <v>2.9000000000000001E-2</v>
      </c>
      <c r="J46" s="160">
        <v>0.377</v>
      </c>
      <c r="K46" s="160">
        <v>8.2100000000000009</v>
      </c>
      <c r="L46" s="160">
        <v>11.39</v>
      </c>
      <c r="M46" s="160">
        <v>18.87</v>
      </c>
      <c r="N46" s="160">
        <v>0.157</v>
      </c>
    </row>
    <row r="47" spans="1:14" ht="16.5">
      <c r="A47" s="2" t="str">
        <f t="shared" si="0"/>
        <v>423전체</v>
      </c>
      <c r="B47" s="139">
        <v>423</v>
      </c>
      <c r="C47" s="105" t="s">
        <v>1622</v>
      </c>
      <c r="D47" s="160">
        <v>0.88400000000000001</v>
      </c>
      <c r="E47" s="160">
        <v>9.9000000000000005E-2</v>
      </c>
      <c r="F47" s="160">
        <v>3.0000000000000001E-3</v>
      </c>
      <c r="G47" s="160">
        <v>0.45400000000000001</v>
      </c>
      <c r="H47" s="160">
        <v>0.27700000000000002</v>
      </c>
      <c r="I47" s="160">
        <v>1.2999999999999999E-2</v>
      </c>
      <c r="J47" s="160">
        <v>0.63700000000000001</v>
      </c>
      <c r="K47" s="160">
        <v>3.91</v>
      </c>
      <c r="L47" s="160">
        <v>4.6500000000000004</v>
      </c>
      <c r="M47" s="160">
        <v>6.31</v>
      </c>
      <c r="N47" s="160">
        <v>0.312</v>
      </c>
    </row>
    <row r="48" spans="1:14" ht="16.5">
      <c r="A48" s="2" t="str">
        <f t="shared" si="0"/>
        <v>429전체</v>
      </c>
      <c r="B48" s="139">
        <v>429</v>
      </c>
      <c r="C48" s="105" t="s">
        <v>1622</v>
      </c>
      <c r="D48" s="160">
        <v>0.84099999999999997</v>
      </c>
      <c r="E48" s="160">
        <v>9.0999999999999998E-2</v>
      </c>
      <c r="F48" s="160">
        <v>5.0000000000000001E-3</v>
      </c>
      <c r="G48" s="160">
        <v>0.90400000000000003</v>
      </c>
      <c r="H48" s="160">
        <v>0.47899999999999998</v>
      </c>
      <c r="I48" s="160">
        <v>3.0000000000000001E-3</v>
      </c>
      <c r="J48" s="160">
        <v>0.53400000000000003</v>
      </c>
      <c r="K48" s="160">
        <v>6.72</v>
      </c>
      <c r="L48" s="160">
        <v>8.5500000000000007</v>
      </c>
      <c r="M48" s="160">
        <v>16.809999999999999</v>
      </c>
      <c r="N48" s="160">
        <v>0.20599999999999999</v>
      </c>
    </row>
    <row r="49" spans="1:14" ht="16.5">
      <c r="A49" s="2" t="str">
        <f t="shared" si="0"/>
        <v>431전체</v>
      </c>
      <c r="B49" s="139">
        <v>431</v>
      </c>
      <c r="C49" s="105" t="s">
        <v>1622</v>
      </c>
      <c r="D49" s="160">
        <v>0.78300000000000003</v>
      </c>
      <c r="E49" s="160">
        <v>0.14000000000000001</v>
      </c>
      <c r="F49" s="160">
        <v>1.4999999999999999E-2</v>
      </c>
      <c r="G49" s="160">
        <v>0.74199999999999999</v>
      </c>
      <c r="H49" s="160">
        <v>0.36199999999999999</v>
      </c>
      <c r="I49" s="160">
        <v>7.0000000000000001E-3</v>
      </c>
      <c r="J49" s="160">
        <v>0.497</v>
      </c>
      <c r="K49" s="160">
        <v>4.3899999999999997</v>
      </c>
      <c r="L49" s="160">
        <v>5.44</v>
      </c>
      <c r="M49" s="160">
        <v>13.5</v>
      </c>
      <c r="N49" s="160">
        <v>0.33700000000000002</v>
      </c>
    </row>
    <row r="50" spans="1:14" ht="16.5">
      <c r="A50" s="2" t="str">
        <f t="shared" si="0"/>
        <v>432전체</v>
      </c>
      <c r="B50" s="139">
        <v>432</v>
      </c>
      <c r="C50" s="105" t="s">
        <v>1622</v>
      </c>
      <c r="D50" s="160">
        <v>0.84599999999999997</v>
      </c>
      <c r="E50" s="160">
        <v>9.7000000000000003E-2</v>
      </c>
      <c r="F50" s="160">
        <v>1.7999999999999999E-2</v>
      </c>
      <c r="G50" s="160">
        <v>0.99</v>
      </c>
      <c r="H50" s="160">
        <v>0.43099999999999999</v>
      </c>
      <c r="I50" s="160">
        <v>1.2E-2</v>
      </c>
      <c r="J50" s="160">
        <v>0.44700000000000001</v>
      </c>
      <c r="K50" s="160">
        <v>5.71</v>
      </c>
      <c r="L50" s="160">
        <v>9.5500000000000007</v>
      </c>
      <c r="M50" s="160">
        <v>10.54</v>
      </c>
      <c r="N50" s="160">
        <v>0.185</v>
      </c>
    </row>
    <row r="51" spans="1:14" ht="16.5">
      <c r="A51" s="2" t="str">
        <f t="shared" si="0"/>
        <v>433전체</v>
      </c>
      <c r="B51" s="139">
        <v>433</v>
      </c>
      <c r="C51" s="105" t="s">
        <v>1622</v>
      </c>
      <c r="D51" s="160">
        <v>0.80300000000000005</v>
      </c>
      <c r="E51" s="160">
        <v>0.15</v>
      </c>
      <c r="F51" s="160">
        <v>1.7000000000000001E-2</v>
      </c>
      <c r="G51" s="160">
        <v>0.93200000000000005</v>
      </c>
      <c r="H51" s="160">
        <v>0.375</v>
      </c>
      <c r="I51" s="160">
        <v>1.4E-2</v>
      </c>
      <c r="J51" s="160">
        <v>0.41799999999999998</v>
      </c>
      <c r="K51" s="160">
        <v>4.75</v>
      </c>
      <c r="L51" s="160">
        <v>5.44</v>
      </c>
      <c r="M51" s="160">
        <v>8.57</v>
      </c>
      <c r="N51" s="160">
        <v>0.27800000000000002</v>
      </c>
    </row>
    <row r="52" spans="1:14" ht="16.5">
      <c r="A52" s="2" t="str">
        <f t="shared" si="0"/>
        <v>439전체</v>
      </c>
      <c r="B52" s="139">
        <v>439</v>
      </c>
      <c r="C52" s="105" t="s">
        <v>1622</v>
      </c>
      <c r="D52" s="160">
        <v>0.76800000000000002</v>
      </c>
      <c r="E52" s="160">
        <v>0.128</v>
      </c>
      <c r="F52" s="160">
        <v>1.7000000000000001E-2</v>
      </c>
      <c r="G52" s="160">
        <v>0.76400000000000001</v>
      </c>
      <c r="H52" s="160">
        <v>0.34200000000000003</v>
      </c>
      <c r="I52" s="160">
        <v>4.2999999999999997E-2</v>
      </c>
      <c r="J52" s="160">
        <v>0.505</v>
      </c>
      <c r="K52" s="160">
        <v>5.5</v>
      </c>
      <c r="L52" s="160">
        <v>6.95</v>
      </c>
      <c r="M52" s="160">
        <v>11.84</v>
      </c>
      <c r="N52" s="160">
        <v>0.24099999999999999</v>
      </c>
    </row>
    <row r="53" spans="1:14" ht="16.5">
      <c r="A53" s="2" t="str">
        <f t="shared" si="0"/>
        <v>441전체</v>
      </c>
      <c r="B53" s="139">
        <v>441</v>
      </c>
      <c r="C53" s="105" t="s">
        <v>1622</v>
      </c>
      <c r="D53" s="160">
        <v>0.23599999999999999</v>
      </c>
      <c r="E53" s="160">
        <v>0.20200000000000001</v>
      </c>
      <c r="F53" s="160">
        <v>4.0000000000000001E-3</v>
      </c>
      <c r="G53" s="160">
        <v>0.123</v>
      </c>
      <c r="H53" s="160">
        <v>2.8000000000000001E-2</v>
      </c>
      <c r="I53" s="160">
        <v>2E-3</v>
      </c>
      <c r="J53" s="160">
        <v>0.24199999999999999</v>
      </c>
      <c r="K53" s="160">
        <v>72.34</v>
      </c>
      <c r="L53" s="160">
        <v>58.99</v>
      </c>
      <c r="M53" s="160">
        <v>213.34</v>
      </c>
      <c r="N53" s="160">
        <v>2.5999999999999999E-2</v>
      </c>
    </row>
    <row r="54" spans="1:14" ht="16.5">
      <c r="A54" s="2" t="str">
        <f t="shared" si="0"/>
        <v>442전체</v>
      </c>
      <c r="B54" s="139">
        <v>442</v>
      </c>
      <c r="C54" s="105" t="s">
        <v>1622</v>
      </c>
      <c r="D54" s="160">
        <v>0.54700000000000004</v>
      </c>
      <c r="E54" s="160">
        <v>0.35299999999999998</v>
      </c>
      <c r="F54" s="160">
        <v>2.7E-2</v>
      </c>
      <c r="G54" s="160">
        <v>0.88100000000000001</v>
      </c>
      <c r="H54" s="160">
        <v>0.158</v>
      </c>
      <c r="I54" s="160">
        <v>8.3000000000000004E-2</v>
      </c>
      <c r="J54" s="160">
        <v>0.27400000000000002</v>
      </c>
      <c r="K54" s="160">
        <v>6.33</v>
      </c>
      <c r="L54" s="160">
        <v>43.55</v>
      </c>
      <c r="M54" s="160">
        <v>16.03</v>
      </c>
      <c r="N54" s="160">
        <v>0.11799999999999999</v>
      </c>
    </row>
    <row r="55" spans="1:14" ht="16.5">
      <c r="A55" s="2" t="str">
        <f t="shared" si="0"/>
        <v>443전체</v>
      </c>
      <c r="B55" s="139">
        <v>443</v>
      </c>
      <c r="C55" s="105" t="s">
        <v>1622</v>
      </c>
      <c r="D55" s="160">
        <v>0.23599999999999999</v>
      </c>
      <c r="E55" s="160">
        <v>0.20200000000000001</v>
      </c>
      <c r="F55" s="160">
        <v>4.0000000000000001E-3</v>
      </c>
      <c r="G55" s="160">
        <v>0.123</v>
      </c>
      <c r="H55" s="160">
        <v>2.8000000000000001E-2</v>
      </c>
      <c r="I55" s="160">
        <v>2E-3</v>
      </c>
      <c r="J55" s="160">
        <v>0.24199999999999999</v>
      </c>
      <c r="K55" s="160">
        <v>72.34</v>
      </c>
      <c r="L55" s="160">
        <v>58.99</v>
      </c>
      <c r="M55" s="160">
        <v>213.34</v>
      </c>
      <c r="N55" s="160">
        <v>2.5999999999999999E-2</v>
      </c>
    </row>
    <row r="56" spans="1:14" ht="16.5">
      <c r="A56" s="2" t="str">
        <f t="shared" si="0"/>
        <v>444전체</v>
      </c>
      <c r="B56" s="139">
        <v>444</v>
      </c>
      <c r="C56" s="105" t="s">
        <v>1622</v>
      </c>
      <c r="D56" s="160">
        <v>0.38700000000000001</v>
      </c>
      <c r="E56" s="160">
        <v>0.48599999999999999</v>
      </c>
      <c r="F56" s="160">
        <v>2.5999999999999999E-2</v>
      </c>
      <c r="G56" s="160">
        <v>0.41299999999999998</v>
      </c>
      <c r="H56" s="160">
        <v>0.186</v>
      </c>
      <c r="I56" s="160">
        <v>8.6999999999999994E-2</v>
      </c>
      <c r="J56" s="160">
        <v>0.66200000000000003</v>
      </c>
      <c r="K56" s="160">
        <v>5.15</v>
      </c>
      <c r="L56" s="160">
        <v>1.29</v>
      </c>
      <c r="M56" s="160">
        <v>37.799999999999997</v>
      </c>
      <c r="N56" s="160">
        <v>0.94</v>
      </c>
    </row>
    <row r="57" spans="1:14" ht="16.5">
      <c r="A57" s="2" t="str">
        <f t="shared" si="0"/>
        <v>445전체</v>
      </c>
      <c r="B57" s="139">
        <v>445</v>
      </c>
      <c r="C57" s="105" t="s">
        <v>1622</v>
      </c>
      <c r="D57" s="160">
        <v>0.65800000000000003</v>
      </c>
      <c r="E57" s="160">
        <v>0.217</v>
      </c>
      <c r="F57" s="160">
        <v>2.8000000000000001E-2</v>
      </c>
      <c r="G57" s="160">
        <v>0.68799999999999994</v>
      </c>
      <c r="H57" s="160">
        <v>0.443</v>
      </c>
      <c r="I57" s="160">
        <v>5.8000000000000003E-2</v>
      </c>
      <c r="J57" s="160">
        <v>0.72799999999999998</v>
      </c>
      <c r="K57" s="160">
        <v>10.53</v>
      </c>
      <c r="L57" s="160">
        <v>27.4</v>
      </c>
      <c r="M57" s="160">
        <v>36.64</v>
      </c>
      <c r="N57" s="160">
        <v>0.104</v>
      </c>
    </row>
    <row r="58" spans="1:14" ht="16.5">
      <c r="A58" s="2" t="str">
        <f t="shared" si="0"/>
        <v>446전체</v>
      </c>
      <c r="B58" s="139">
        <v>446</v>
      </c>
      <c r="C58" s="105" t="s">
        <v>1622</v>
      </c>
      <c r="D58" s="160">
        <v>0.86499999999999999</v>
      </c>
      <c r="E58" s="160">
        <v>9.5000000000000001E-2</v>
      </c>
      <c r="F58" s="160">
        <v>6.0000000000000001E-3</v>
      </c>
      <c r="G58" s="160">
        <v>1.5329999999999999</v>
      </c>
      <c r="H58" s="160">
        <v>0.17699999999999999</v>
      </c>
      <c r="I58" s="160">
        <v>7.0000000000000001E-3</v>
      </c>
      <c r="J58" s="160">
        <v>0.12</v>
      </c>
      <c r="K58" s="160">
        <v>13.84</v>
      </c>
      <c r="L58" s="160">
        <v>13.08</v>
      </c>
      <c r="M58" s="160">
        <v>22.74</v>
      </c>
      <c r="N58" s="160">
        <v>0.105</v>
      </c>
    </row>
    <row r="59" spans="1:14" ht="16.5">
      <c r="A59" s="2" t="str">
        <f t="shared" si="0"/>
        <v>447전체</v>
      </c>
      <c r="B59" s="139">
        <v>447</v>
      </c>
      <c r="C59" s="105" t="s">
        <v>1622</v>
      </c>
      <c r="D59" s="160">
        <v>0.79500000000000004</v>
      </c>
      <c r="E59" s="160">
        <v>0.155</v>
      </c>
      <c r="F59" s="160">
        <v>7.0000000000000001E-3</v>
      </c>
      <c r="G59" s="160">
        <v>1.587</v>
      </c>
      <c r="H59" s="160">
        <v>0.219</v>
      </c>
      <c r="I59" s="160">
        <v>6.0000000000000001E-3</v>
      </c>
      <c r="J59" s="160">
        <v>0.14099999999999999</v>
      </c>
      <c r="K59" s="160">
        <v>16.79</v>
      </c>
      <c r="L59" s="160">
        <v>18.899999999999999</v>
      </c>
      <c r="M59" s="160">
        <v>33.590000000000003</v>
      </c>
      <c r="N59" s="160">
        <v>8.3000000000000004E-2</v>
      </c>
    </row>
    <row r="60" spans="1:14" ht="16.5">
      <c r="A60" s="2" t="str">
        <f t="shared" si="0"/>
        <v>449전체</v>
      </c>
      <c r="B60" s="139">
        <v>449</v>
      </c>
      <c r="C60" s="105" t="s">
        <v>1622</v>
      </c>
      <c r="D60" s="160">
        <v>0.16400000000000001</v>
      </c>
      <c r="E60" s="160">
        <v>0.68899999999999995</v>
      </c>
      <c r="F60" s="160">
        <v>1.6E-2</v>
      </c>
      <c r="G60" s="160">
        <v>0.41199999999999998</v>
      </c>
      <c r="H60" s="160">
        <v>0.64500000000000002</v>
      </c>
      <c r="I60" s="160">
        <v>1.2E-2</v>
      </c>
      <c r="J60" s="160">
        <v>1.5960000000000001</v>
      </c>
      <c r="K60" s="160">
        <v>8.56</v>
      </c>
      <c r="L60" s="160">
        <v>45.57</v>
      </c>
      <c r="M60" s="160">
        <v>128.77000000000001</v>
      </c>
      <c r="N60" s="160">
        <v>0.13100000000000001</v>
      </c>
    </row>
    <row r="61" spans="1:14" ht="16.5">
      <c r="A61" s="2" t="str">
        <f t="shared" si="0"/>
        <v>511전체</v>
      </c>
      <c r="B61" s="139">
        <v>511</v>
      </c>
      <c r="C61" s="105" t="s">
        <v>1622</v>
      </c>
      <c r="D61" s="160">
        <v>0.90400000000000003</v>
      </c>
      <c r="E61" s="160">
        <v>6.0999999999999999E-2</v>
      </c>
      <c r="F61" s="160">
        <v>3.0000000000000001E-3</v>
      </c>
      <c r="G61" s="160">
        <v>0.57699999999999996</v>
      </c>
      <c r="H61" s="160">
        <v>0.32600000000000001</v>
      </c>
      <c r="I61" s="160">
        <v>5.0000000000000001E-3</v>
      </c>
      <c r="J61" s="160">
        <v>0.57399999999999995</v>
      </c>
      <c r="K61" s="160">
        <v>12.29</v>
      </c>
      <c r="L61" s="160">
        <v>5.49</v>
      </c>
      <c r="M61" s="160">
        <v>24.82</v>
      </c>
      <c r="N61" s="160">
        <v>0.223</v>
      </c>
    </row>
    <row r="62" spans="1:14" ht="16.5">
      <c r="A62" s="2" t="str">
        <f t="shared" si="0"/>
        <v>512전체</v>
      </c>
      <c r="B62" s="139">
        <v>512</v>
      </c>
      <c r="C62" s="105" t="s">
        <v>1622</v>
      </c>
      <c r="D62" s="160">
        <v>0.73899999999999999</v>
      </c>
      <c r="E62" s="160">
        <v>8.5999999999999993E-2</v>
      </c>
      <c r="F62" s="160">
        <v>2.8000000000000001E-2</v>
      </c>
      <c r="G62" s="160">
        <v>0.79700000000000004</v>
      </c>
      <c r="H62" s="160">
        <v>0.32900000000000001</v>
      </c>
      <c r="I62" s="160">
        <v>0</v>
      </c>
      <c r="J62" s="160">
        <v>0.41299999999999998</v>
      </c>
      <c r="K62" s="160">
        <v>1.61</v>
      </c>
      <c r="L62" s="160">
        <v>7.03</v>
      </c>
      <c r="M62" s="160">
        <v>3.79</v>
      </c>
      <c r="N62" s="160">
        <v>0.502</v>
      </c>
    </row>
    <row r="63" spans="1:14" ht="16.5">
      <c r="A63" s="2" t="str">
        <f t="shared" si="0"/>
        <v>520전체</v>
      </c>
      <c r="B63" s="139">
        <v>520</v>
      </c>
      <c r="C63" s="105" t="s">
        <v>1622</v>
      </c>
      <c r="D63" s="160">
        <v>0.86</v>
      </c>
      <c r="E63" s="160">
        <v>7.1999999999999995E-2</v>
      </c>
      <c r="F63" s="160">
        <v>3.1E-2</v>
      </c>
      <c r="G63" s="160">
        <v>0.74399999999999999</v>
      </c>
      <c r="H63" s="160">
        <v>0.376</v>
      </c>
      <c r="I63" s="160">
        <v>5.0000000000000001E-3</v>
      </c>
      <c r="J63" s="160">
        <v>0.51200000000000001</v>
      </c>
      <c r="K63" s="160">
        <v>8.02</v>
      </c>
      <c r="L63" s="160">
        <v>2.42</v>
      </c>
      <c r="M63" s="160">
        <v>17.96</v>
      </c>
      <c r="N63" s="160">
        <v>0.48199999999999998</v>
      </c>
    </row>
    <row r="64" spans="1:14" ht="16.5">
      <c r="A64" s="2" t="str">
        <f t="shared" si="0"/>
        <v>611전체</v>
      </c>
      <c r="B64" s="139">
        <v>611</v>
      </c>
      <c r="C64" s="105" t="s">
        <v>1622</v>
      </c>
      <c r="D64" s="160">
        <v>0.81699999999999995</v>
      </c>
      <c r="E64" s="160">
        <v>0.14899999999999999</v>
      </c>
      <c r="F64" s="160">
        <v>5.0000000000000001E-3</v>
      </c>
      <c r="G64" s="160">
        <v>2.3410000000000002</v>
      </c>
      <c r="H64" s="160">
        <v>0.16</v>
      </c>
      <c r="I64" s="160">
        <v>1.6E-2</v>
      </c>
      <c r="J64" s="160">
        <v>7.4999999999999997E-2</v>
      </c>
      <c r="K64" s="160">
        <v>18.09</v>
      </c>
      <c r="L64" s="160">
        <v>4.93</v>
      </c>
      <c r="M64" s="160">
        <v>45.48</v>
      </c>
      <c r="N64" s="160">
        <v>0.23599999999999999</v>
      </c>
    </row>
    <row r="65" spans="1:14" ht="16.5">
      <c r="A65" s="2" t="str">
        <f t="shared" si="0"/>
        <v>612전체</v>
      </c>
      <c r="B65" s="139">
        <v>612</v>
      </c>
      <c r="C65" s="105" t="s">
        <v>1622</v>
      </c>
      <c r="D65" s="160">
        <v>0.80400000000000005</v>
      </c>
      <c r="E65" s="160">
        <v>0.154</v>
      </c>
      <c r="F65" s="160">
        <v>1.6E-2</v>
      </c>
      <c r="G65" s="160">
        <v>1.1930000000000001</v>
      </c>
      <c r="H65" s="160">
        <v>0.41599999999999998</v>
      </c>
      <c r="I65" s="160">
        <v>1.7999999999999999E-2</v>
      </c>
      <c r="J65" s="160">
        <v>0.36399999999999999</v>
      </c>
      <c r="K65" s="160">
        <v>7.27</v>
      </c>
      <c r="L65" s="160">
        <v>9.35</v>
      </c>
      <c r="M65" s="160">
        <v>9.7200000000000006</v>
      </c>
      <c r="N65" s="160">
        <v>0.14199999999999999</v>
      </c>
    </row>
    <row r="66" spans="1:14" ht="16.5">
      <c r="A66" s="2" t="str">
        <f t="shared" si="0"/>
        <v>619전체</v>
      </c>
      <c r="B66" s="139">
        <v>619</v>
      </c>
      <c r="C66" s="105" t="s">
        <v>1622</v>
      </c>
      <c r="D66" s="160">
        <v>0.79600000000000004</v>
      </c>
      <c r="E66" s="160">
        <v>0.12</v>
      </c>
      <c r="F66" s="160">
        <v>8.9999999999999993E-3</v>
      </c>
      <c r="G66" s="160">
        <v>0.997</v>
      </c>
      <c r="H66" s="160">
        <v>0.33500000000000002</v>
      </c>
      <c r="I66" s="160">
        <v>1.7000000000000001E-2</v>
      </c>
      <c r="J66" s="160">
        <v>0.35299999999999998</v>
      </c>
      <c r="K66" s="160">
        <v>9.16</v>
      </c>
      <c r="L66" s="160">
        <v>11.64</v>
      </c>
      <c r="M66" s="160">
        <v>14.13</v>
      </c>
      <c r="N66" s="160">
        <v>0.124</v>
      </c>
    </row>
    <row r="67" spans="1:14" ht="16.5">
      <c r="A67" s="2" t="str">
        <f t="shared" ref="A67:A130" si="1">B67&amp;C67</f>
        <v>621전체</v>
      </c>
      <c r="B67" s="139">
        <v>621</v>
      </c>
      <c r="C67" s="105" t="s">
        <v>1622</v>
      </c>
      <c r="D67" s="160">
        <v>0.92400000000000004</v>
      </c>
      <c r="E67" s="160">
        <v>4.7E-2</v>
      </c>
      <c r="F67" s="160">
        <v>7.0000000000000001E-3</v>
      </c>
      <c r="G67" s="160">
        <v>0.56599999999999995</v>
      </c>
      <c r="H67" s="160">
        <v>0.35</v>
      </c>
      <c r="I67" s="160">
        <v>3.0000000000000001E-3</v>
      </c>
      <c r="J67" s="160">
        <v>0.624</v>
      </c>
      <c r="K67" s="160">
        <v>13.53</v>
      </c>
      <c r="L67" s="160">
        <v>10.11</v>
      </c>
      <c r="M67" s="160">
        <v>11.17</v>
      </c>
      <c r="N67" s="160">
        <v>8.3000000000000004E-2</v>
      </c>
    </row>
    <row r="68" spans="1:14" ht="16.5">
      <c r="A68" s="2" t="str">
        <f t="shared" si="1"/>
        <v>622전체</v>
      </c>
      <c r="B68" s="139">
        <v>622</v>
      </c>
      <c r="C68" s="105" t="s">
        <v>1622</v>
      </c>
      <c r="D68" s="160">
        <v>0.82399999999999995</v>
      </c>
      <c r="E68" s="160">
        <v>0.11</v>
      </c>
      <c r="F68" s="160">
        <v>2.7E-2</v>
      </c>
      <c r="G68" s="160">
        <v>0.94299999999999995</v>
      </c>
      <c r="H68" s="160">
        <v>0.53</v>
      </c>
      <c r="I68" s="160">
        <v>2.1999999999999999E-2</v>
      </c>
      <c r="J68" s="160">
        <v>0.58499999999999996</v>
      </c>
      <c r="K68" s="160">
        <v>5.44</v>
      </c>
      <c r="L68" s="160">
        <v>11.23</v>
      </c>
      <c r="M68" s="160">
        <v>16.64</v>
      </c>
      <c r="N68" s="160">
        <v>0.21299999999999999</v>
      </c>
    </row>
    <row r="69" spans="1:14" ht="16.5">
      <c r="A69" s="2" t="str">
        <f t="shared" si="1"/>
        <v>623전체</v>
      </c>
      <c r="B69" s="139">
        <v>623</v>
      </c>
      <c r="C69" s="105" t="s">
        <v>1622</v>
      </c>
      <c r="D69" s="160">
        <v>0.73099999999999998</v>
      </c>
      <c r="E69" s="160">
        <v>0.16900000000000001</v>
      </c>
      <c r="F69" s="160">
        <v>1.2999999999999999E-2</v>
      </c>
      <c r="G69" s="160">
        <v>0.374</v>
      </c>
      <c r="H69" s="160">
        <v>0.39800000000000002</v>
      </c>
      <c r="I69" s="160">
        <v>2.7E-2</v>
      </c>
      <c r="J69" s="160">
        <v>1.1359999999999999</v>
      </c>
      <c r="K69" s="160">
        <v>3.06</v>
      </c>
      <c r="L69" s="160">
        <v>1.44</v>
      </c>
      <c r="M69" s="160">
        <v>5.88</v>
      </c>
      <c r="N69" s="160">
        <v>0.85</v>
      </c>
    </row>
    <row r="70" spans="1:14" ht="16.5">
      <c r="A70" s="2" t="str">
        <f t="shared" si="1"/>
        <v>624전체</v>
      </c>
      <c r="B70" s="139">
        <v>624</v>
      </c>
      <c r="C70" s="105" t="s">
        <v>1622</v>
      </c>
      <c r="D70" s="160">
        <v>0.86099999999999999</v>
      </c>
      <c r="E70" s="160">
        <v>8.3000000000000004E-2</v>
      </c>
      <c r="F70" s="160">
        <v>1.0999999999999999E-2</v>
      </c>
      <c r="G70" s="160">
        <v>0.71099999999999997</v>
      </c>
      <c r="H70" s="160">
        <v>0.53900000000000003</v>
      </c>
      <c r="I70" s="160">
        <v>5.0000000000000001E-3</v>
      </c>
      <c r="J70" s="160">
        <v>0.76600000000000001</v>
      </c>
      <c r="K70" s="160">
        <v>8.24</v>
      </c>
      <c r="L70" s="160">
        <v>8</v>
      </c>
      <c r="M70" s="160">
        <v>11.33</v>
      </c>
      <c r="N70" s="160">
        <v>0.158</v>
      </c>
    </row>
    <row r="71" spans="1:14" ht="16.5">
      <c r="A71" s="2" t="str">
        <f t="shared" si="1"/>
        <v>625전체</v>
      </c>
      <c r="B71" s="139">
        <v>625</v>
      </c>
      <c r="C71" s="105" t="s">
        <v>1622</v>
      </c>
      <c r="D71" s="160">
        <v>0.82799999999999996</v>
      </c>
      <c r="E71" s="160">
        <v>0.111</v>
      </c>
      <c r="F71" s="160">
        <v>1.4E-2</v>
      </c>
      <c r="G71" s="160">
        <v>0.751</v>
      </c>
      <c r="H71" s="160">
        <v>0.36799999999999999</v>
      </c>
      <c r="I71" s="160">
        <v>7.0000000000000001E-3</v>
      </c>
      <c r="J71" s="160">
        <v>0.499</v>
      </c>
      <c r="K71" s="160">
        <v>6.08</v>
      </c>
      <c r="L71" s="160">
        <v>7.78</v>
      </c>
      <c r="M71" s="160">
        <v>8.68</v>
      </c>
      <c r="N71" s="160">
        <v>0.17799999999999999</v>
      </c>
    </row>
    <row r="72" spans="1:14" ht="16.5">
      <c r="A72" s="2" t="str">
        <f t="shared" si="1"/>
        <v>626전체</v>
      </c>
      <c r="B72" s="139">
        <v>626</v>
      </c>
      <c r="C72" s="105" t="s">
        <v>1622</v>
      </c>
      <c r="D72" s="160">
        <v>0.72599999999999998</v>
      </c>
      <c r="E72" s="160">
        <v>0.16400000000000001</v>
      </c>
      <c r="F72" s="160">
        <v>1.7000000000000001E-2</v>
      </c>
      <c r="G72" s="160">
        <v>0.83799999999999997</v>
      </c>
      <c r="H72" s="160">
        <v>0.28299999999999997</v>
      </c>
      <c r="I72" s="160">
        <v>2.7E-2</v>
      </c>
      <c r="J72" s="160">
        <v>0.37</v>
      </c>
      <c r="K72" s="160">
        <v>4.79</v>
      </c>
      <c r="L72" s="160">
        <v>6.7</v>
      </c>
      <c r="M72" s="160">
        <v>10.53</v>
      </c>
      <c r="N72" s="160">
        <v>0.26300000000000001</v>
      </c>
    </row>
    <row r="73" spans="1:14" ht="16.5">
      <c r="A73" s="2" t="str">
        <f t="shared" si="1"/>
        <v>627전체</v>
      </c>
      <c r="B73" s="139">
        <v>627</v>
      </c>
      <c r="C73" s="105" t="s">
        <v>1622</v>
      </c>
      <c r="D73" s="160">
        <v>0.80800000000000005</v>
      </c>
      <c r="E73" s="160">
        <v>0.122</v>
      </c>
      <c r="F73" s="160">
        <v>1.2999999999999999E-2</v>
      </c>
      <c r="G73" s="160">
        <v>0.84699999999999998</v>
      </c>
      <c r="H73" s="160">
        <v>0.32900000000000001</v>
      </c>
      <c r="I73" s="160">
        <v>2.4E-2</v>
      </c>
      <c r="J73" s="160">
        <v>0.41699999999999998</v>
      </c>
      <c r="K73" s="160">
        <v>5.39</v>
      </c>
      <c r="L73" s="160">
        <v>8.1</v>
      </c>
      <c r="M73" s="160">
        <v>10.19</v>
      </c>
      <c r="N73" s="160">
        <v>0.21099999999999999</v>
      </c>
    </row>
    <row r="74" spans="1:14" ht="16.5">
      <c r="A74" s="2" t="str">
        <f t="shared" si="1"/>
        <v>628전체</v>
      </c>
      <c r="B74" s="139">
        <v>628</v>
      </c>
      <c r="C74" s="105" t="s">
        <v>1622</v>
      </c>
      <c r="D74" s="160">
        <v>0.82199999999999995</v>
      </c>
      <c r="E74" s="160">
        <v>0.114</v>
      </c>
      <c r="F74" s="160">
        <v>8.9999999999999993E-3</v>
      </c>
      <c r="G74" s="160">
        <v>0.85499999999999998</v>
      </c>
      <c r="H74" s="160">
        <v>0.34799999999999998</v>
      </c>
      <c r="I74" s="160">
        <v>4.0000000000000001E-3</v>
      </c>
      <c r="J74" s="160">
        <v>0.41199999999999998</v>
      </c>
      <c r="K74" s="160">
        <v>3.31</v>
      </c>
      <c r="L74" s="160">
        <v>6.9</v>
      </c>
      <c r="M74" s="160">
        <v>14.23</v>
      </c>
      <c r="N74" s="160">
        <v>0.376</v>
      </c>
    </row>
    <row r="75" spans="1:14" ht="16.5">
      <c r="A75" s="2" t="str">
        <f t="shared" si="1"/>
        <v>629전체</v>
      </c>
      <c r="B75" s="139">
        <v>629</v>
      </c>
      <c r="C75" s="105" t="s">
        <v>1622</v>
      </c>
      <c r="D75" s="160">
        <v>0.84599999999999997</v>
      </c>
      <c r="E75" s="160">
        <v>9.7000000000000003E-2</v>
      </c>
      <c r="F75" s="160">
        <v>1.7999999999999999E-2</v>
      </c>
      <c r="G75" s="160">
        <v>0.99</v>
      </c>
      <c r="H75" s="160">
        <v>0.43099999999999999</v>
      </c>
      <c r="I75" s="160">
        <v>1.2E-2</v>
      </c>
      <c r="J75" s="160">
        <v>0.44700000000000001</v>
      </c>
      <c r="K75" s="160">
        <v>5.71</v>
      </c>
      <c r="L75" s="160">
        <v>9.5500000000000007</v>
      </c>
      <c r="M75" s="160">
        <v>10.54</v>
      </c>
      <c r="N75" s="160">
        <v>0.185</v>
      </c>
    </row>
    <row r="76" spans="1:14" ht="16.5">
      <c r="A76" s="2" t="str">
        <f t="shared" si="1"/>
        <v>631전체</v>
      </c>
      <c r="B76" s="139">
        <v>631</v>
      </c>
      <c r="C76" s="105" t="s">
        <v>1622</v>
      </c>
      <c r="D76" s="160">
        <v>0.78300000000000003</v>
      </c>
      <c r="E76" s="160">
        <v>0.159</v>
      </c>
      <c r="F76" s="160">
        <v>7.0000000000000001E-3</v>
      </c>
      <c r="G76" s="160">
        <v>1.7470000000000001</v>
      </c>
      <c r="H76" s="160">
        <v>0.14099999999999999</v>
      </c>
      <c r="I76" s="160">
        <v>1.6E-2</v>
      </c>
      <c r="J76" s="160">
        <v>0.09</v>
      </c>
      <c r="K76" s="160">
        <v>12.52</v>
      </c>
      <c r="L76" s="160">
        <v>26.49</v>
      </c>
      <c r="M76" s="160">
        <v>16.7</v>
      </c>
      <c r="N76" s="160">
        <v>5.8000000000000003E-2</v>
      </c>
    </row>
    <row r="77" spans="1:14" ht="16.5">
      <c r="A77" s="2" t="str">
        <f t="shared" si="1"/>
        <v>632전체</v>
      </c>
      <c r="B77" s="139">
        <v>632</v>
      </c>
      <c r="C77" s="105" t="s">
        <v>1622</v>
      </c>
      <c r="D77" s="160">
        <v>0.84599999999999997</v>
      </c>
      <c r="E77" s="160">
        <v>0.106</v>
      </c>
      <c r="F77" s="160">
        <v>8.0000000000000002E-3</v>
      </c>
      <c r="G77" s="160">
        <v>1.5429999999999999</v>
      </c>
      <c r="H77" s="160">
        <v>0.17199999999999999</v>
      </c>
      <c r="I77" s="160">
        <v>7.0000000000000001E-3</v>
      </c>
      <c r="J77" s="160">
        <v>0.11600000000000001</v>
      </c>
      <c r="K77" s="160">
        <v>12.38</v>
      </c>
      <c r="L77" s="160">
        <v>14.33</v>
      </c>
      <c r="M77" s="160">
        <v>29.73</v>
      </c>
      <c r="N77" s="160">
        <v>0.11700000000000001</v>
      </c>
    </row>
    <row r="78" spans="1:14" ht="16.5">
      <c r="A78" s="2" t="str">
        <f t="shared" si="1"/>
        <v>633전체</v>
      </c>
      <c r="B78" s="139">
        <v>633</v>
      </c>
      <c r="C78" s="105" t="s">
        <v>1622</v>
      </c>
      <c r="D78" s="160">
        <v>0.54700000000000004</v>
      </c>
      <c r="E78" s="160">
        <v>0.35299999999999998</v>
      </c>
      <c r="F78" s="160">
        <v>2.7E-2</v>
      </c>
      <c r="G78" s="160">
        <v>0.88100000000000001</v>
      </c>
      <c r="H78" s="160">
        <v>0.158</v>
      </c>
      <c r="I78" s="160">
        <v>8.3000000000000004E-2</v>
      </c>
      <c r="J78" s="160">
        <v>0.27400000000000002</v>
      </c>
      <c r="K78" s="160">
        <v>6.33</v>
      </c>
      <c r="L78" s="160">
        <v>43.55</v>
      </c>
      <c r="M78" s="160">
        <v>16.03</v>
      </c>
      <c r="N78" s="160">
        <v>0.11799999999999999</v>
      </c>
    </row>
    <row r="79" spans="1:14" ht="16.5">
      <c r="A79" s="2" t="str">
        <f t="shared" si="1"/>
        <v>634전체</v>
      </c>
      <c r="B79" s="139">
        <v>634</v>
      </c>
      <c r="C79" s="105" t="s">
        <v>1622</v>
      </c>
      <c r="D79" s="160">
        <v>0.58599999999999997</v>
      </c>
      <c r="E79" s="160">
        <v>0.33300000000000002</v>
      </c>
      <c r="F79" s="160">
        <v>2.5000000000000001E-2</v>
      </c>
      <c r="G79" s="160">
        <v>0.75700000000000001</v>
      </c>
      <c r="H79" s="160">
        <v>0.20899999999999999</v>
      </c>
      <c r="I79" s="160">
        <v>6.9000000000000006E-2</v>
      </c>
      <c r="J79" s="160">
        <v>0.36599999999999999</v>
      </c>
      <c r="K79" s="160">
        <v>6.08</v>
      </c>
      <c r="L79" s="160">
        <v>3.94</v>
      </c>
      <c r="M79" s="160">
        <v>28</v>
      </c>
      <c r="N79" s="160">
        <v>0.38300000000000001</v>
      </c>
    </row>
    <row r="80" spans="1:14" ht="16.5">
      <c r="A80" s="2" t="str">
        <f t="shared" si="1"/>
        <v>635전체</v>
      </c>
      <c r="B80" s="139">
        <v>635</v>
      </c>
      <c r="C80" s="105" t="s">
        <v>1622</v>
      </c>
      <c r="D80" s="160">
        <v>0.40699999999999997</v>
      </c>
      <c r="E80" s="160">
        <v>0.47799999999999998</v>
      </c>
      <c r="F80" s="160">
        <v>3.4000000000000002E-2</v>
      </c>
      <c r="G80" s="160">
        <v>0.88300000000000001</v>
      </c>
      <c r="H80" s="160">
        <v>0.442</v>
      </c>
      <c r="I80" s="160">
        <v>1.6E-2</v>
      </c>
      <c r="J80" s="160">
        <v>0.51800000000000002</v>
      </c>
      <c r="K80" s="160">
        <v>8.35</v>
      </c>
      <c r="L80" s="160">
        <v>74.88</v>
      </c>
      <c r="M80" s="160">
        <v>62.93</v>
      </c>
      <c r="N80" s="160">
        <v>0.11700000000000001</v>
      </c>
    </row>
    <row r="81" spans="1:14" ht="16.5">
      <c r="A81" s="2" t="str">
        <f t="shared" si="1"/>
        <v>636전체</v>
      </c>
      <c r="B81" s="139">
        <v>636</v>
      </c>
      <c r="C81" s="105" t="s">
        <v>1622</v>
      </c>
      <c r="D81" s="160">
        <v>0.65800000000000003</v>
      </c>
      <c r="E81" s="160">
        <v>0.217</v>
      </c>
      <c r="F81" s="160">
        <v>2.8000000000000001E-2</v>
      </c>
      <c r="G81" s="160">
        <v>0.68799999999999994</v>
      </c>
      <c r="H81" s="160">
        <v>0.443</v>
      </c>
      <c r="I81" s="160">
        <v>5.8000000000000003E-2</v>
      </c>
      <c r="J81" s="160">
        <v>0.72799999999999998</v>
      </c>
      <c r="K81" s="160">
        <v>10.53</v>
      </c>
      <c r="L81" s="160">
        <v>27.4</v>
      </c>
      <c r="M81" s="160">
        <v>36.64</v>
      </c>
      <c r="N81" s="160">
        <v>0.104</v>
      </c>
    </row>
    <row r="82" spans="1:14" ht="16.5">
      <c r="A82" s="2" t="str">
        <f t="shared" si="1"/>
        <v>637전체</v>
      </c>
      <c r="B82" s="139">
        <v>637</v>
      </c>
      <c r="C82" s="105" t="s">
        <v>1622</v>
      </c>
      <c r="D82" s="160">
        <v>0.71399999999999997</v>
      </c>
      <c r="E82" s="160">
        <v>0.222</v>
      </c>
      <c r="F82" s="160">
        <v>0.01</v>
      </c>
      <c r="G82" s="160">
        <v>1.0860000000000001</v>
      </c>
      <c r="H82" s="160">
        <v>0.158</v>
      </c>
      <c r="I82" s="160">
        <v>4.3999999999999997E-2</v>
      </c>
      <c r="J82" s="160">
        <v>0.186</v>
      </c>
      <c r="K82" s="160">
        <v>6.07</v>
      </c>
      <c r="L82" s="160">
        <v>41.8</v>
      </c>
      <c r="M82" s="160">
        <v>12.85</v>
      </c>
      <c r="N82" s="160">
        <v>0.111</v>
      </c>
    </row>
    <row r="83" spans="1:14" ht="16.5">
      <c r="A83" s="2" t="str">
        <f t="shared" si="1"/>
        <v>639전체</v>
      </c>
      <c r="B83" s="139">
        <v>639</v>
      </c>
      <c r="C83" s="105" t="s">
        <v>1622</v>
      </c>
      <c r="D83" s="160">
        <v>0.19700000000000001</v>
      </c>
      <c r="E83" s="160">
        <v>0.67300000000000004</v>
      </c>
      <c r="F83" s="160">
        <v>0.04</v>
      </c>
      <c r="G83" s="160">
        <v>1.119</v>
      </c>
      <c r="H83" s="160">
        <v>0.63</v>
      </c>
      <c r="I83" s="160">
        <v>0</v>
      </c>
      <c r="J83" s="160">
        <v>0.56299999999999994</v>
      </c>
      <c r="K83" s="160">
        <v>89.6</v>
      </c>
      <c r="L83" s="160">
        <v>22.76</v>
      </c>
      <c r="M83" s="160">
        <v>49.35</v>
      </c>
      <c r="N83" s="160">
        <v>3.5000000000000003E-2</v>
      </c>
    </row>
    <row r="84" spans="1:14" ht="16.5">
      <c r="A84" s="2" t="str">
        <f t="shared" si="1"/>
        <v>711전체</v>
      </c>
      <c r="B84" s="139">
        <v>711</v>
      </c>
      <c r="C84" s="105" t="s">
        <v>1622</v>
      </c>
      <c r="D84" s="160">
        <v>0.90400000000000003</v>
      </c>
      <c r="E84" s="160">
        <v>6.7000000000000004E-2</v>
      </c>
      <c r="F84" s="160">
        <v>8.9999999999999993E-3</v>
      </c>
      <c r="G84" s="160">
        <v>1.5189999999999999</v>
      </c>
      <c r="H84" s="160">
        <v>0.36799999999999999</v>
      </c>
      <c r="I84" s="160">
        <v>2E-3</v>
      </c>
      <c r="J84" s="160">
        <v>0.24399999999999999</v>
      </c>
      <c r="K84" s="160">
        <v>9.69</v>
      </c>
      <c r="L84" s="160">
        <v>18.61</v>
      </c>
      <c r="M84" s="160">
        <v>35.42</v>
      </c>
      <c r="N84" s="160">
        <v>0.129</v>
      </c>
    </row>
    <row r="85" spans="1:14" ht="16.5">
      <c r="A85" s="2" t="str">
        <f t="shared" si="1"/>
        <v>712전체</v>
      </c>
      <c r="B85" s="139">
        <v>712</v>
      </c>
      <c r="C85" s="105" t="s">
        <v>1622</v>
      </c>
      <c r="D85" s="160">
        <v>0.88</v>
      </c>
      <c r="E85" s="160">
        <v>8.3000000000000004E-2</v>
      </c>
      <c r="F85" s="160">
        <v>8.9999999999999993E-3</v>
      </c>
      <c r="G85" s="160">
        <v>1.92</v>
      </c>
      <c r="H85" s="160">
        <v>0.41599999999999998</v>
      </c>
      <c r="I85" s="160">
        <v>8.0000000000000002E-3</v>
      </c>
      <c r="J85" s="160">
        <v>0.22</v>
      </c>
      <c r="K85" s="160">
        <v>9.91</v>
      </c>
      <c r="L85" s="160">
        <v>12.77</v>
      </c>
      <c r="M85" s="160">
        <v>28.77</v>
      </c>
      <c r="N85" s="160">
        <v>0.14399999999999999</v>
      </c>
    </row>
    <row r="86" spans="1:14" ht="16.5">
      <c r="A86" s="2" t="str">
        <f t="shared" si="1"/>
        <v>721전체</v>
      </c>
      <c r="B86" s="139">
        <v>721</v>
      </c>
      <c r="C86" s="105" t="s">
        <v>1622</v>
      </c>
      <c r="D86" s="160">
        <v>0.81299999999999994</v>
      </c>
      <c r="E86" s="160">
        <v>0.14299999999999999</v>
      </c>
      <c r="F86" s="160">
        <v>8.9999999999999993E-3</v>
      </c>
      <c r="G86" s="160">
        <v>1.3049999999999999</v>
      </c>
      <c r="H86" s="160">
        <v>0.36399999999999999</v>
      </c>
      <c r="I86" s="160">
        <v>0.01</v>
      </c>
      <c r="J86" s="160">
        <v>0.28699999999999998</v>
      </c>
      <c r="K86" s="160">
        <v>9.4700000000000006</v>
      </c>
      <c r="L86" s="160">
        <v>6.05</v>
      </c>
      <c r="M86" s="160">
        <v>16.190000000000001</v>
      </c>
      <c r="N86" s="160">
        <v>0.20899999999999999</v>
      </c>
    </row>
    <row r="87" spans="1:14" ht="16.5">
      <c r="A87" s="2" t="str">
        <f t="shared" si="1"/>
        <v>722전체</v>
      </c>
      <c r="B87" s="139">
        <v>722</v>
      </c>
      <c r="C87" s="105" t="s">
        <v>1622</v>
      </c>
      <c r="D87" s="160">
        <v>0.83799999999999997</v>
      </c>
      <c r="E87" s="160">
        <v>9.0999999999999998E-2</v>
      </c>
      <c r="F87" s="160">
        <v>0.02</v>
      </c>
      <c r="G87" s="160">
        <v>1.18</v>
      </c>
      <c r="H87" s="160">
        <v>0.42399999999999999</v>
      </c>
      <c r="I87" s="160">
        <v>5.0000000000000001E-3</v>
      </c>
      <c r="J87" s="160">
        <v>0.36299999999999999</v>
      </c>
      <c r="K87" s="160">
        <v>8.32</v>
      </c>
      <c r="L87" s="160">
        <v>5.35</v>
      </c>
      <c r="M87" s="160">
        <v>15.81</v>
      </c>
      <c r="N87" s="160">
        <v>0.24399999999999999</v>
      </c>
    </row>
    <row r="88" spans="1:14" ht="16.5">
      <c r="A88" s="2" t="str">
        <f t="shared" si="1"/>
        <v>730전체</v>
      </c>
      <c r="B88" s="139">
        <v>730</v>
      </c>
      <c r="C88" s="105" t="s">
        <v>1622</v>
      </c>
      <c r="D88" s="160">
        <v>0.81499999999999995</v>
      </c>
      <c r="E88" s="160">
        <v>0.13900000000000001</v>
      </c>
      <c r="F88" s="160">
        <v>1.9E-2</v>
      </c>
      <c r="G88" s="160">
        <v>1.256</v>
      </c>
      <c r="H88" s="160">
        <v>0.46</v>
      </c>
      <c r="I88" s="160">
        <v>2.4E-2</v>
      </c>
      <c r="J88" s="160">
        <v>0.38500000000000001</v>
      </c>
      <c r="K88" s="160">
        <v>8.5399999999999991</v>
      </c>
      <c r="L88" s="160">
        <v>7.97</v>
      </c>
      <c r="M88" s="160">
        <v>18.23</v>
      </c>
      <c r="N88" s="160">
        <v>0.188</v>
      </c>
    </row>
    <row r="89" spans="1:14" ht="16.5">
      <c r="A89" s="2" t="str">
        <f t="shared" si="1"/>
        <v>740전체</v>
      </c>
      <c r="B89" s="139">
        <v>740</v>
      </c>
      <c r="C89" s="105" t="s">
        <v>1622</v>
      </c>
      <c r="D89" s="160">
        <v>0.872</v>
      </c>
      <c r="E89" s="160">
        <v>6.7000000000000004E-2</v>
      </c>
      <c r="F89" s="160">
        <v>1.0999999999999999E-2</v>
      </c>
      <c r="G89" s="160">
        <v>1.022</v>
      </c>
      <c r="H89" s="160">
        <v>0.313</v>
      </c>
      <c r="I89" s="160">
        <v>1.0999999999999999E-2</v>
      </c>
      <c r="J89" s="160">
        <v>0.317</v>
      </c>
      <c r="K89" s="160">
        <v>7.66</v>
      </c>
      <c r="L89" s="160">
        <v>9.18</v>
      </c>
      <c r="M89" s="160">
        <v>18.100000000000001</v>
      </c>
      <c r="N89" s="160">
        <v>0.184</v>
      </c>
    </row>
    <row r="90" spans="1:14" ht="16.5">
      <c r="A90" s="2" t="str">
        <f t="shared" si="1"/>
        <v>750전체</v>
      </c>
      <c r="B90" s="139">
        <v>750</v>
      </c>
      <c r="C90" s="105" t="s">
        <v>1622</v>
      </c>
      <c r="D90" s="160">
        <v>0.70599999999999996</v>
      </c>
      <c r="E90" s="160">
        <v>0.24099999999999999</v>
      </c>
      <c r="F90" s="160">
        <v>1.4E-2</v>
      </c>
      <c r="G90" s="160">
        <v>1.0760000000000001</v>
      </c>
      <c r="H90" s="160">
        <v>0.29199999999999998</v>
      </c>
      <c r="I90" s="160">
        <v>0.01</v>
      </c>
      <c r="J90" s="160">
        <v>0.28000000000000003</v>
      </c>
      <c r="K90" s="160">
        <v>10.97</v>
      </c>
      <c r="L90" s="160">
        <v>13.46</v>
      </c>
      <c r="M90" s="160">
        <v>22.13</v>
      </c>
      <c r="N90" s="160">
        <v>0.12</v>
      </c>
    </row>
    <row r="91" spans="1:14" ht="16.5">
      <c r="A91" s="2" t="str">
        <f t="shared" si="1"/>
        <v>761전체</v>
      </c>
      <c r="B91" s="139">
        <v>761</v>
      </c>
      <c r="C91" s="105" t="s">
        <v>1622</v>
      </c>
      <c r="D91" s="160">
        <v>0.88500000000000001</v>
      </c>
      <c r="E91" s="160">
        <v>7.9000000000000001E-2</v>
      </c>
      <c r="F91" s="160">
        <v>1.4E-2</v>
      </c>
      <c r="G91" s="160">
        <v>1.28</v>
      </c>
      <c r="H91" s="160">
        <v>0.30099999999999999</v>
      </c>
      <c r="I91" s="160">
        <v>0.01</v>
      </c>
      <c r="J91" s="160">
        <v>0.24199999999999999</v>
      </c>
      <c r="K91" s="160">
        <v>10.4</v>
      </c>
      <c r="L91" s="160">
        <v>5.53</v>
      </c>
      <c r="M91" s="160">
        <v>24.79</v>
      </c>
      <c r="N91" s="160">
        <v>0.23699999999999999</v>
      </c>
    </row>
    <row r="92" spans="1:14" ht="16.5">
      <c r="A92" s="2" t="str">
        <f t="shared" si="1"/>
        <v>762전체</v>
      </c>
      <c r="B92" s="139">
        <v>762</v>
      </c>
      <c r="C92" s="105" t="s">
        <v>1622</v>
      </c>
      <c r="D92" s="160">
        <v>0.755</v>
      </c>
      <c r="E92" s="160">
        <v>0.20399999999999999</v>
      </c>
      <c r="F92" s="160">
        <v>7.0000000000000001E-3</v>
      </c>
      <c r="G92" s="160">
        <v>1.081</v>
      </c>
      <c r="H92" s="160">
        <v>0.33900000000000002</v>
      </c>
      <c r="I92" s="160">
        <v>3.6999999999999998E-2</v>
      </c>
      <c r="J92" s="160">
        <v>0.34799999999999998</v>
      </c>
      <c r="K92" s="160">
        <v>9.6</v>
      </c>
      <c r="L92" s="160">
        <v>9.26</v>
      </c>
      <c r="M92" s="160">
        <v>18.87</v>
      </c>
      <c r="N92" s="160">
        <v>0.159</v>
      </c>
    </row>
    <row r="93" spans="1:14" ht="16.5">
      <c r="A93" s="2" t="str">
        <f t="shared" si="1"/>
        <v>770전체</v>
      </c>
      <c r="B93" s="139">
        <v>770</v>
      </c>
      <c r="C93" s="105" t="s">
        <v>1622</v>
      </c>
      <c r="D93" s="160">
        <v>0.84799999999999998</v>
      </c>
      <c r="E93" s="160">
        <v>0.11799999999999999</v>
      </c>
      <c r="F93" s="160">
        <v>8.0000000000000002E-3</v>
      </c>
      <c r="G93" s="160">
        <v>1.121</v>
      </c>
      <c r="H93" s="160">
        <v>0.246</v>
      </c>
      <c r="I93" s="160">
        <v>8.9999999999999993E-3</v>
      </c>
      <c r="J93" s="160">
        <v>0.22700000000000001</v>
      </c>
      <c r="K93" s="160">
        <v>6.77</v>
      </c>
      <c r="L93" s="160">
        <v>7.54</v>
      </c>
      <c r="M93" s="160">
        <v>16.38</v>
      </c>
      <c r="N93" s="160">
        <v>0.219</v>
      </c>
    </row>
    <row r="94" spans="1:14" ht="16.5">
      <c r="A94" s="2" t="str">
        <f t="shared" si="1"/>
        <v>791전체</v>
      </c>
      <c r="B94" s="139">
        <v>791</v>
      </c>
      <c r="C94" s="105" t="s">
        <v>1622</v>
      </c>
      <c r="D94" s="160">
        <v>0.65700000000000003</v>
      </c>
      <c r="E94" s="160">
        <v>0.28699999999999998</v>
      </c>
      <c r="F94" s="160">
        <v>0.02</v>
      </c>
      <c r="G94" s="160">
        <v>0.91600000000000004</v>
      </c>
      <c r="H94" s="160">
        <v>0.51100000000000001</v>
      </c>
      <c r="I94" s="160">
        <v>2.9000000000000001E-2</v>
      </c>
      <c r="J94" s="160">
        <v>0.59</v>
      </c>
      <c r="K94" s="160">
        <v>10.1</v>
      </c>
      <c r="L94" s="160">
        <v>16.54</v>
      </c>
      <c r="M94" s="160">
        <v>16.16</v>
      </c>
      <c r="N94" s="160">
        <v>9.8000000000000004E-2</v>
      </c>
    </row>
    <row r="95" spans="1:14" ht="16.5">
      <c r="A95" s="2" t="str">
        <f t="shared" si="1"/>
        <v>792전체</v>
      </c>
      <c r="B95" s="139">
        <v>792</v>
      </c>
      <c r="C95" s="105" t="s">
        <v>1622</v>
      </c>
      <c r="D95" s="160">
        <v>0.76900000000000002</v>
      </c>
      <c r="E95" s="160">
        <v>0.20100000000000001</v>
      </c>
      <c r="F95" s="160">
        <v>1.4E-2</v>
      </c>
      <c r="G95" s="160">
        <v>0.63300000000000001</v>
      </c>
      <c r="H95" s="160">
        <v>0.30199999999999999</v>
      </c>
      <c r="I95" s="160">
        <v>2.4E-2</v>
      </c>
      <c r="J95" s="160">
        <v>0.51400000000000001</v>
      </c>
      <c r="K95" s="160">
        <v>13.48</v>
      </c>
      <c r="L95" s="160">
        <v>7.4</v>
      </c>
      <c r="M95" s="160">
        <v>9.5299999999999994</v>
      </c>
      <c r="N95" s="160">
        <v>0.105</v>
      </c>
    </row>
    <row r="96" spans="1:14" ht="16.5">
      <c r="A96" s="2" t="str">
        <f t="shared" si="1"/>
        <v>793전체</v>
      </c>
      <c r="B96" s="139">
        <v>793</v>
      </c>
      <c r="C96" s="105" t="s">
        <v>1622</v>
      </c>
      <c r="D96" s="160">
        <v>0.77600000000000002</v>
      </c>
      <c r="E96" s="160">
        <v>0.17199999999999999</v>
      </c>
      <c r="F96" s="160">
        <v>1.2E-2</v>
      </c>
      <c r="G96" s="160">
        <v>0.95099999999999996</v>
      </c>
      <c r="H96" s="160">
        <v>0.39300000000000002</v>
      </c>
      <c r="I96" s="160">
        <v>7.0000000000000001E-3</v>
      </c>
      <c r="J96" s="160">
        <v>0.42</v>
      </c>
      <c r="K96" s="160">
        <v>10.19</v>
      </c>
      <c r="L96" s="160">
        <v>14.22</v>
      </c>
      <c r="M96" s="160">
        <v>9.73</v>
      </c>
      <c r="N96" s="160">
        <v>6.6000000000000003E-2</v>
      </c>
    </row>
    <row r="97" spans="1:14" ht="16.5">
      <c r="A97" s="2" t="str">
        <f t="shared" si="1"/>
        <v>794전체</v>
      </c>
      <c r="B97" s="139">
        <v>794</v>
      </c>
      <c r="C97" s="105" t="s">
        <v>1622</v>
      </c>
      <c r="D97" s="160">
        <v>0.79900000000000004</v>
      </c>
      <c r="E97" s="160">
        <v>0.13400000000000001</v>
      </c>
      <c r="F97" s="160">
        <v>1.4E-2</v>
      </c>
      <c r="G97" s="160">
        <v>1.2030000000000001</v>
      </c>
      <c r="H97" s="160">
        <v>0.44</v>
      </c>
      <c r="I97" s="160">
        <v>2.1000000000000001E-2</v>
      </c>
      <c r="J97" s="160">
        <v>0.38400000000000001</v>
      </c>
      <c r="K97" s="160">
        <v>8.15</v>
      </c>
      <c r="L97" s="160">
        <v>8.3000000000000007</v>
      </c>
      <c r="M97" s="160">
        <v>15.5</v>
      </c>
      <c r="N97" s="160">
        <v>0.17899999999999999</v>
      </c>
    </row>
    <row r="98" spans="1:14" ht="16.5">
      <c r="A98" s="2" t="str">
        <f t="shared" si="1"/>
        <v>795전체</v>
      </c>
      <c r="B98" s="139">
        <v>795</v>
      </c>
      <c r="C98" s="105" t="s">
        <v>1622</v>
      </c>
      <c r="D98" s="160">
        <v>0.626</v>
      </c>
      <c r="E98" s="160">
        <v>0.27100000000000002</v>
      </c>
      <c r="F98" s="160">
        <v>1.4999999999999999E-2</v>
      </c>
      <c r="G98" s="160">
        <v>0.93799999999999994</v>
      </c>
      <c r="H98" s="160">
        <v>0.30599999999999999</v>
      </c>
      <c r="I98" s="160">
        <v>1.2999999999999999E-2</v>
      </c>
      <c r="J98" s="160">
        <v>0.33900000000000002</v>
      </c>
      <c r="K98" s="160">
        <v>8.98</v>
      </c>
      <c r="L98" s="160">
        <v>4.0199999999999996</v>
      </c>
      <c r="M98" s="160">
        <v>16.29</v>
      </c>
      <c r="N98" s="160">
        <v>0.29899999999999999</v>
      </c>
    </row>
    <row r="99" spans="1:14" ht="16.5">
      <c r="A99" s="2" t="str">
        <f t="shared" si="1"/>
        <v>799전체</v>
      </c>
      <c r="B99" s="139">
        <v>799</v>
      </c>
      <c r="C99" s="105" t="s">
        <v>1622</v>
      </c>
      <c r="D99" s="160">
        <v>0.626</v>
      </c>
      <c r="E99" s="160">
        <v>0.27100000000000002</v>
      </c>
      <c r="F99" s="160">
        <v>1.4999999999999999E-2</v>
      </c>
      <c r="G99" s="160">
        <v>0.93799999999999994</v>
      </c>
      <c r="H99" s="160">
        <v>0.30599999999999999</v>
      </c>
      <c r="I99" s="160">
        <v>1.2999999999999999E-2</v>
      </c>
      <c r="J99" s="160">
        <v>0.33900000000000002</v>
      </c>
      <c r="K99" s="160">
        <v>8.98</v>
      </c>
      <c r="L99" s="160">
        <v>4.0199999999999996</v>
      </c>
      <c r="M99" s="160">
        <v>16.29</v>
      </c>
      <c r="N99" s="160">
        <v>0.29899999999999999</v>
      </c>
    </row>
    <row r="100" spans="1:14" ht="16.5">
      <c r="A100" s="2" t="str">
        <f t="shared" si="1"/>
        <v>811전체</v>
      </c>
      <c r="B100" s="139">
        <v>811</v>
      </c>
      <c r="C100" s="105" t="s">
        <v>1622</v>
      </c>
      <c r="D100" s="160">
        <v>0.41399999999999998</v>
      </c>
      <c r="E100" s="160">
        <v>0.34599999999999997</v>
      </c>
      <c r="F100" s="160">
        <v>1.7999999999999999E-2</v>
      </c>
      <c r="G100" s="160">
        <v>0.54100000000000004</v>
      </c>
      <c r="H100" s="160">
        <v>0.27</v>
      </c>
      <c r="I100" s="160">
        <v>0.432</v>
      </c>
      <c r="J100" s="160">
        <v>1.2989999999999999</v>
      </c>
      <c r="K100" s="160">
        <v>5.23</v>
      </c>
      <c r="L100" s="160">
        <v>11.4</v>
      </c>
      <c r="M100" s="160">
        <v>9.11</v>
      </c>
      <c r="N100" s="160">
        <v>0.16900000000000001</v>
      </c>
    </row>
    <row r="101" spans="1:14" ht="16.5">
      <c r="A101" s="2" t="str">
        <f t="shared" si="1"/>
        <v>812전체</v>
      </c>
      <c r="B101" s="139">
        <v>812</v>
      </c>
      <c r="C101" s="105" t="s">
        <v>1622</v>
      </c>
      <c r="D101" s="160">
        <v>0.57799999999999996</v>
      </c>
      <c r="E101" s="160">
        <v>0.34200000000000003</v>
      </c>
      <c r="F101" s="160">
        <v>1.4999999999999999E-2</v>
      </c>
      <c r="G101" s="160">
        <v>0.61199999999999999</v>
      </c>
      <c r="H101" s="160">
        <v>0.49199999999999999</v>
      </c>
      <c r="I101" s="160">
        <v>4.7E-2</v>
      </c>
      <c r="J101" s="160">
        <v>0.88100000000000001</v>
      </c>
      <c r="K101" s="160">
        <v>5.26</v>
      </c>
      <c r="L101" s="160">
        <v>10.76</v>
      </c>
      <c r="M101" s="160">
        <v>18.5</v>
      </c>
      <c r="N101" s="160">
        <v>0.22900000000000001</v>
      </c>
    </row>
    <row r="102" spans="1:14" ht="16.5">
      <c r="A102" s="2" t="str">
        <f t="shared" si="1"/>
        <v>821전체</v>
      </c>
      <c r="B102" s="139">
        <v>821</v>
      </c>
      <c r="C102" s="105" t="s">
        <v>1622</v>
      </c>
      <c r="D102" s="160">
        <v>0.63100000000000001</v>
      </c>
      <c r="E102" s="160">
        <v>0.29299999999999998</v>
      </c>
      <c r="F102" s="160">
        <v>2.4E-2</v>
      </c>
      <c r="G102" s="160">
        <v>0.878</v>
      </c>
      <c r="H102" s="160">
        <v>0.56899999999999995</v>
      </c>
      <c r="I102" s="160">
        <v>1.9E-2</v>
      </c>
      <c r="J102" s="160">
        <v>0.66900000000000004</v>
      </c>
      <c r="K102" s="160">
        <v>10.09</v>
      </c>
      <c r="L102" s="160">
        <v>10.86</v>
      </c>
      <c r="M102" s="160">
        <v>19.73</v>
      </c>
      <c r="N102" s="160">
        <v>0.14099999999999999</v>
      </c>
    </row>
    <row r="103" spans="1:14" ht="16.5">
      <c r="A103" s="2" t="str">
        <f t="shared" si="1"/>
        <v>822전체</v>
      </c>
      <c r="B103" s="139">
        <v>822</v>
      </c>
      <c r="C103" s="105" t="s">
        <v>1622</v>
      </c>
      <c r="D103" s="160">
        <v>0</v>
      </c>
      <c r="E103" s="160">
        <v>0</v>
      </c>
      <c r="F103" s="160">
        <v>0</v>
      </c>
      <c r="G103" s="160">
        <v>0</v>
      </c>
      <c r="H103" s="160">
        <v>0</v>
      </c>
      <c r="I103" s="160">
        <v>0</v>
      </c>
      <c r="J103" s="160">
        <v>0</v>
      </c>
      <c r="K103" s="160">
        <v>0</v>
      </c>
      <c r="L103" s="160">
        <v>0</v>
      </c>
      <c r="M103" s="160">
        <v>0</v>
      </c>
      <c r="N103" s="160">
        <v>0</v>
      </c>
    </row>
    <row r="104" spans="1:14" ht="16.5">
      <c r="A104" s="2" t="str">
        <f t="shared" si="1"/>
        <v>911전체</v>
      </c>
      <c r="B104" s="139">
        <v>911</v>
      </c>
      <c r="C104" s="105" t="s">
        <v>1622</v>
      </c>
      <c r="D104" s="160">
        <v>0.70299999999999996</v>
      </c>
      <c r="E104" s="160">
        <v>0.20100000000000001</v>
      </c>
      <c r="F104" s="160">
        <v>2.1999999999999999E-2</v>
      </c>
      <c r="G104" s="160">
        <v>0.72399999999999998</v>
      </c>
      <c r="H104" s="160">
        <v>0.30599999999999999</v>
      </c>
      <c r="I104" s="160">
        <v>1.7000000000000001E-2</v>
      </c>
      <c r="J104" s="160">
        <v>0.44600000000000001</v>
      </c>
      <c r="K104" s="160">
        <v>7.33</v>
      </c>
      <c r="L104" s="160">
        <v>11.02</v>
      </c>
      <c r="M104" s="160">
        <v>11.75</v>
      </c>
      <c r="N104" s="160">
        <v>0.14199999999999999</v>
      </c>
    </row>
    <row r="105" spans="1:14" ht="16.5">
      <c r="A105" s="2" t="str">
        <f t="shared" si="1"/>
        <v>912전체</v>
      </c>
      <c r="B105" s="139">
        <v>912</v>
      </c>
      <c r="C105" s="105" t="s">
        <v>1622</v>
      </c>
      <c r="D105" s="160">
        <v>0.746</v>
      </c>
      <c r="E105" s="160">
        <v>0.19400000000000001</v>
      </c>
      <c r="F105" s="160">
        <v>8.0000000000000002E-3</v>
      </c>
      <c r="G105" s="160">
        <v>1.28</v>
      </c>
      <c r="H105" s="160">
        <v>0.39400000000000002</v>
      </c>
      <c r="I105" s="160">
        <v>2.1000000000000001E-2</v>
      </c>
      <c r="J105" s="160">
        <v>0.32500000000000001</v>
      </c>
      <c r="K105" s="160">
        <v>8.01</v>
      </c>
      <c r="L105" s="160">
        <v>9.35</v>
      </c>
      <c r="M105" s="160">
        <v>9.82</v>
      </c>
      <c r="N105" s="160">
        <v>0.13</v>
      </c>
    </row>
    <row r="106" spans="1:14" ht="16.5">
      <c r="A106" s="2" t="str">
        <f t="shared" si="1"/>
        <v>913전체</v>
      </c>
      <c r="B106" s="139">
        <v>913</v>
      </c>
      <c r="C106" s="105" t="s">
        <v>1622</v>
      </c>
      <c r="D106" s="160">
        <v>0.83799999999999997</v>
      </c>
      <c r="E106" s="160">
        <v>0.105</v>
      </c>
      <c r="F106" s="160">
        <v>1.7999999999999999E-2</v>
      </c>
      <c r="G106" s="160">
        <v>0.89100000000000001</v>
      </c>
      <c r="H106" s="160">
        <v>0.41599999999999998</v>
      </c>
      <c r="I106" s="160">
        <v>1.7999999999999999E-2</v>
      </c>
      <c r="J106" s="160">
        <v>0.48799999999999999</v>
      </c>
      <c r="K106" s="160">
        <v>5.61</v>
      </c>
      <c r="L106" s="160">
        <v>7.85</v>
      </c>
      <c r="M106" s="160">
        <v>11.16</v>
      </c>
      <c r="N106" s="160">
        <v>0.216</v>
      </c>
    </row>
    <row r="107" spans="1:14" ht="16.5">
      <c r="A107" s="2" t="str">
        <f t="shared" si="1"/>
        <v>914전체</v>
      </c>
      <c r="B107" s="139">
        <v>914</v>
      </c>
      <c r="C107" s="105" t="s">
        <v>1622</v>
      </c>
      <c r="D107" s="160">
        <v>0.73399999999999999</v>
      </c>
      <c r="E107" s="160">
        <v>0.19</v>
      </c>
      <c r="F107" s="160">
        <v>1.9E-2</v>
      </c>
      <c r="G107" s="160">
        <v>1.1240000000000001</v>
      </c>
      <c r="H107" s="160">
        <v>0.437</v>
      </c>
      <c r="I107" s="160">
        <v>1.0999999999999999E-2</v>
      </c>
      <c r="J107" s="160">
        <v>0.39800000000000002</v>
      </c>
      <c r="K107" s="160">
        <v>7.54</v>
      </c>
      <c r="L107" s="160">
        <v>9.23</v>
      </c>
      <c r="M107" s="160">
        <v>13.3</v>
      </c>
      <c r="N107" s="160">
        <v>0.16600000000000001</v>
      </c>
    </row>
    <row r="108" spans="1:14" ht="16.5">
      <c r="A108" s="2" t="str">
        <f t="shared" si="1"/>
        <v>915전체</v>
      </c>
      <c r="B108" s="139">
        <v>915</v>
      </c>
      <c r="C108" s="105" t="s">
        <v>1622</v>
      </c>
      <c r="D108" s="160">
        <v>0.83099999999999996</v>
      </c>
      <c r="E108" s="160">
        <v>0.104</v>
      </c>
      <c r="F108" s="160">
        <v>1.4E-2</v>
      </c>
      <c r="G108" s="160">
        <v>0.88300000000000001</v>
      </c>
      <c r="H108" s="160">
        <v>0.44700000000000001</v>
      </c>
      <c r="I108" s="160">
        <v>2.9000000000000001E-2</v>
      </c>
      <c r="J108" s="160">
        <v>0.53900000000000003</v>
      </c>
      <c r="K108" s="160">
        <v>5.59</v>
      </c>
      <c r="L108" s="160">
        <v>8.9</v>
      </c>
      <c r="M108" s="160">
        <v>11.05</v>
      </c>
      <c r="N108" s="160">
        <v>0.20100000000000001</v>
      </c>
    </row>
    <row r="109" spans="1:14" ht="16.5">
      <c r="A109" s="2" t="str">
        <f t="shared" si="1"/>
        <v>919전체</v>
      </c>
      <c r="B109" s="139">
        <v>919</v>
      </c>
      <c r="C109" s="105" t="s">
        <v>1622</v>
      </c>
      <c r="D109" s="160">
        <v>0.77900000000000003</v>
      </c>
      <c r="E109" s="160">
        <v>0.14799999999999999</v>
      </c>
      <c r="F109" s="160">
        <v>1.4999999999999999E-2</v>
      </c>
      <c r="G109" s="160">
        <v>0.53400000000000003</v>
      </c>
      <c r="H109" s="160">
        <v>0.33700000000000002</v>
      </c>
      <c r="I109" s="160">
        <v>1.0999999999999999E-2</v>
      </c>
      <c r="J109" s="160">
        <v>0.65100000000000002</v>
      </c>
      <c r="K109" s="160">
        <v>5.44</v>
      </c>
      <c r="L109" s="160">
        <v>6.11</v>
      </c>
      <c r="M109" s="160">
        <v>11.65</v>
      </c>
      <c r="N109" s="160">
        <v>0.26200000000000001</v>
      </c>
    </row>
    <row r="110" spans="1:14" ht="16.5">
      <c r="A110" s="2" t="str">
        <f t="shared" si="1"/>
        <v>921전체</v>
      </c>
      <c r="B110" s="139">
        <v>921</v>
      </c>
      <c r="C110" s="105" t="s">
        <v>1622</v>
      </c>
      <c r="D110" s="160">
        <v>0.58599999999999997</v>
      </c>
      <c r="E110" s="160">
        <v>0.33300000000000002</v>
      </c>
      <c r="F110" s="160">
        <v>2.5000000000000001E-2</v>
      </c>
      <c r="G110" s="160">
        <v>0.75700000000000001</v>
      </c>
      <c r="H110" s="160">
        <v>0.20899999999999999</v>
      </c>
      <c r="I110" s="160">
        <v>6.9000000000000006E-2</v>
      </c>
      <c r="J110" s="160">
        <v>0.36599999999999999</v>
      </c>
      <c r="K110" s="160">
        <v>6.08</v>
      </c>
      <c r="L110" s="160">
        <v>3.94</v>
      </c>
      <c r="M110" s="160">
        <v>28</v>
      </c>
      <c r="N110" s="160">
        <v>0.38300000000000001</v>
      </c>
    </row>
    <row r="111" spans="1:14" ht="16.5">
      <c r="A111" s="2" t="str">
        <f t="shared" si="1"/>
        <v>922전체</v>
      </c>
      <c r="B111" s="139">
        <v>922</v>
      </c>
      <c r="C111" s="105" t="s">
        <v>1622</v>
      </c>
      <c r="D111" s="160">
        <v>0.54700000000000004</v>
      </c>
      <c r="E111" s="160">
        <v>0.35299999999999998</v>
      </c>
      <c r="F111" s="160">
        <v>2.7E-2</v>
      </c>
      <c r="G111" s="160">
        <v>0.88100000000000001</v>
      </c>
      <c r="H111" s="160">
        <v>0.158</v>
      </c>
      <c r="I111" s="160">
        <v>8.3000000000000004E-2</v>
      </c>
      <c r="J111" s="160">
        <v>0.27400000000000002</v>
      </c>
      <c r="K111" s="160">
        <v>6.33</v>
      </c>
      <c r="L111" s="160">
        <v>43.55</v>
      </c>
      <c r="M111" s="160">
        <v>16.03</v>
      </c>
      <c r="N111" s="160">
        <v>0.11799999999999999</v>
      </c>
    </row>
    <row r="112" spans="1:14" ht="16.5">
      <c r="A112" s="2" t="str">
        <f t="shared" si="1"/>
        <v>923전체</v>
      </c>
      <c r="B112" s="139">
        <v>923</v>
      </c>
      <c r="C112" s="105" t="s">
        <v>1622</v>
      </c>
      <c r="D112" s="160">
        <v>0.40699999999999997</v>
      </c>
      <c r="E112" s="160">
        <v>0.47799999999999998</v>
      </c>
      <c r="F112" s="160">
        <v>3.4000000000000002E-2</v>
      </c>
      <c r="G112" s="160">
        <v>0.88300000000000001</v>
      </c>
      <c r="H112" s="160">
        <v>0.442</v>
      </c>
      <c r="I112" s="160">
        <v>1.6E-2</v>
      </c>
      <c r="J112" s="160">
        <v>0.51800000000000002</v>
      </c>
      <c r="K112" s="160">
        <v>8.35</v>
      </c>
      <c r="L112" s="160">
        <v>74.88</v>
      </c>
      <c r="M112" s="160">
        <v>62.93</v>
      </c>
      <c r="N112" s="160">
        <v>0.11700000000000001</v>
      </c>
    </row>
    <row r="113" spans="1:14" ht="16.5">
      <c r="A113" s="2" t="str">
        <f t="shared" si="1"/>
        <v>924전체</v>
      </c>
      <c r="B113" s="139">
        <v>924</v>
      </c>
      <c r="C113" s="105" t="s">
        <v>1622</v>
      </c>
      <c r="D113" s="160">
        <v>0.65800000000000003</v>
      </c>
      <c r="E113" s="160">
        <v>0.217</v>
      </c>
      <c r="F113" s="160">
        <v>2.8000000000000001E-2</v>
      </c>
      <c r="G113" s="160">
        <v>0.68799999999999994</v>
      </c>
      <c r="H113" s="160">
        <v>0.443</v>
      </c>
      <c r="I113" s="160">
        <v>5.8000000000000003E-2</v>
      </c>
      <c r="J113" s="160">
        <v>0.72799999999999998</v>
      </c>
      <c r="K113" s="160">
        <v>10.53</v>
      </c>
      <c r="L113" s="160">
        <v>27.4</v>
      </c>
      <c r="M113" s="160">
        <v>36.64</v>
      </c>
      <c r="N113" s="160">
        <v>0.104</v>
      </c>
    </row>
    <row r="114" spans="1:14" ht="16.5">
      <c r="A114" s="2" t="str">
        <f t="shared" si="1"/>
        <v>929전체</v>
      </c>
      <c r="B114" s="139">
        <v>929</v>
      </c>
      <c r="C114" s="105" t="s">
        <v>1622</v>
      </c>
      <c r="D114" s="160">
        <v>0.46400000000000002</v>
      </c>
      <c r="E114" s="160">
        <v>0.38400000000000001</v>
      </c>
      <c r="F114" s="160">
        <v>2.3E-2</v>
      </c>
      <c r="G114" s="160">
        <v>0.76500000000000001</v>
      </c>
      <c r="H114" s="160">
        <v>8.3000000000000004E-2</v>
      </c>
      <c r="I114" s="160">
        <v>1.4E-2</v>
      </c>
      <c r="J114" s="160">
        <v>0.127</v>
      </c>
      <c r="K114" s="160">
        <v>10.07</v>
      </c>
      <c r="L114" s="160">
        <v>47.18</v>
      </c>
      <c r="M114" s="160">
        <v>30.56</v>
      </c>
      <c r="N114" s="160">
        <v>8.7999999999999995E-2</v>
      </c>
    </row>
    <row r="115" spans="1:14" ht="16.5">
      <c r="A115" s="2" t="str">
        <f t="shared" si="1"/>
        <v>111상위25%</v>
      </c>
      <c r="B115" s="139">
        <v>111</v>
      </c>
      <c r="C115" s="105" t="s">
        <v>1623</v>
      </c>
      <c r="D115" s="160">
        <v>0.52500000000000002</v>
      </c>
      <c r="E115" s="160">
        <v>0.23400000000000001</v>
      </c>
      <c r="F115" s="160">
        <v>4.3999999999999997E-2</v>
      </c>
      <c r="G115" s="160">
        <v>0.28699999999999998</v>
      </c>
      <c r="H115" s="160">
        <v>0.67800000000000005</v>
      </c>
      <c r="I115" s="160">
        <v>8.9999999999999993E-3</v>
      </c>
      <c r="J115" s="160">
        <v>2.3919999999999999</v>
      </c>
      <c r="K115" s="160">
        <v>3.8</v>
      </c>
      <c r="L115" s="160">
        <v>8.39</v>
      </c>
      <c r="M115" s="160">
        <v>23.31</v>
      </c>
      <c r="N115" s="160">
        <v>0.33900000000000002</v>
      </c>
    </row>
    <row r="116" spans="1:14" ht="16.5">
      <c r="A116" s="2" t="str">
        <f t="shared" si="1"/>
        <v>112상위25%</v>
      </c>
      <c r="B116" s="139">
        <v>112</v>
      </c>
      <c r="C116" s="105" t="s">
        <v>1623</v>
      </c>
      <c r="D116" s="160">
        <v>0.4</v>
      </c>
      <c r="E116" s="160">
        <v>0.38200000000000001</v>
      </c>
      <c r="F116" s="160">
        <v>0.01</v>
      </c>
      <c r="G116" s="160">
        <v>0.63100000000000001</v>
      </c>
      <c r="H116" s="160">
        <v>0.16600000000000001</v>
      </c>
      <c r="I116" s="160">
        <v>0</v>
      </c>
      <c r="J116" s="160">
        <v>0.26400000000000001</v>
      </c>
      <c r="K116" s="160">
        <v>5.04</v>
      </c>
      <c r="L116" s="160">
        <v>2.23</v>
      </c>
      <c r="M116" s="160">
        <v>26.07</v>
      </c>
      <c r="N116" s="160">
        <v>0.60799999999999998</v>
      </c>
    </row>
    <row r="117" spans="1:14" ht="16.5">
      <c r="A117" s="2" t="str">
        <f t="shared" si="1"/>
        <v>113상위25%</v>
      </c>
      <c r="B117" s="139">
        <v>113</v>
      </c>
      <c r="C117" s="105" t="s">
        <v>1623</v>
      </c>
      <c r="D117" s="160">
        <v>0.55000000000000004</v>
      </c>
      <c r="E117" s="160">
        <v>0.112</v>
      </c>
      <c r="F117" s="160">
        <v>4.8000000000000001E-2</v>
      </c>
      <c r="G117" s="160">
        <v>0.27400000000000002</v>
      </c>
      <c r="H117" s="160">
        <v>0.75</v>
      </c>
      <c r="I117" s="160">
        <v>0</v>
      </c>
      <c r="J117" s="160">
        <v>2.7370000000000001</v>
      </c>
      <c r="K117" s="160">
        <v>3.34</v>
      </c>
      <c r="L117" s="160">
        <v>2.19</v>
      </c>
      <c r="M117" s="160">
        <v>71.27</v>
      </c>
      <c r="N117" s="160">
        <v>0.74299999999999999</v>
      </c>
    </row>
    <row r="118" spans="1:14" ht="16.5">
      <c r="A118" s="2" t="str">
        <f t="shared" si="1"/>
        <v>114상위25%</v>
      </c>
      <c r="B118" s="139">
        <v>114</v>
      </c>
      <c r="C118" s="105" t="s">
        <v>1623</v>
      </c>
      <c r="D118" s="160">
        <v>0.52800000000000002</v>
      </c>
      <c r="E118" s="160">
        <v>0.20499999999999999</v>
      </c>
      <c r="F118" s="160">
        <v>7.3999999999999996E-2</v>
      </c>
      <c r="G118" s="160">
        <v>0.40799999999999997</v>
      </c>
      <c r="H118" s="160">
        <v>0.67</v>
      </c>
      <c r="I118" s="160">
        <v>3.0000000000000001E-3</v>
      </c>
      <c r="J118" s="160">
        <v>1.65</v>
      </c>
      <c r="K118" s="160">
        <v>12.64</v>
      </c>
      <c r="L118" s="160">
        <v>8</v>
      </c>
      <c r="M118" s="160">
        <v>55.76</v>
      </c>
      <c r="N118" s="160">
        <v>0.186</v>
      </c>
    </row>
    <row r="119" spans="1:14" ht="16.5">
      <c r="A119" s="2" t="str">
        <f t="shared" si="1"/>
        <v>115상위25%</v>
      </c>
      <c r="B119" s="139">
        <v>115</v>
      </c>
      <c r="C119" s="105" t="s">
        <v>1623</v>
      </c>
      <c r="D119" s="160">
        <v>0.56599999999999995</v>
      </c>
      <c r="E119" s="160">
        <v>0.17599999999999999</v>
      </c>
      <c r="F119" s="160">
        <v>2.5999999999999999E-2</v>
      </c>
      <c r="G119" s="160">
        <v>0.17299999999999999</v>
      </c>
      <c r="H119" s="160">
        <v>0.72299999999999998</v>
      </c>
      <c r="I119" s="160">
        <v>0</v>
      </c>
      <c r="J119" s="160">
        <v>4.1849999999999996</v>
      </c>
      <c r="K119" s="160">
        <v>2.36</v>
      </c>
      <c r="L119" s="160">
        <v>2.52</v>
      </c>
      <c r="M119" s="160">
        <v>40.090000000000003</v>
      </c>
      <c r="N119" s="160">
        <v>0.79700000000000004</v>
      </c>
    </row>
    <row r="120" spans="1:14" ht="16.5">
      <c r="A120" s="2" t="str">
        <f t="shared" si="1"/>
        <v>119상위25%</v>
      </c>
      <c r="B120" s="139">
        <v>119</v>
      </c>
      <c r="C120" s="105" t="s">
        <v>1623</v>
      </c>
      <c r="D120" s="160">
        <v>5.2999999999999999E-2</v>
      </c>
      <c r="E120" s="160">
        <v>1.2E-2</v>
      </c>
      <c r="F120" s="160">
        <v>1.4E-2</v>
      </c>
      <c r="G120" s="160">
        <v>0.42</v>
      </c>
      <c r="H120" s="160">
        <v>0.94799999999999995</v>
      </c>
      <c r="I120" s="160">
        <v>0</v>
      </c>
      <c r="J120" s="160">
        <v>2.258</v>
      </c>
      <c r="K120" s="160">
        <v>0</v>
      </c>
      <c r="L120" s="160">
        <v>54.68</v>
      </c>
      <c r="M120" s="160">
        <v>271.31</v>
      </c>
      <c r="N120" s="160">
        <v>0</v>
      </c>
    </row>
    <row r="121" spans="1:14" ht="16.5">
      <c r="A121" s="2" t="str">
        <f t="shared" si="1"/>
        <v>121상위25%</v>
      </c>
      <c r="B121" s="139">
        <v>121</v>
      </c>
      <c r="C121" s="105" t="s">
        <v>1623</v>
      </c>
      <c r="D121" s="160">
        <v>0.128</v>
      </c>
      <c r="E121" s="160">
        <v>0.33500000000000002</v>
      </c>
      <c r="F121" s="160">
        <v>4.4999999999999998E-2</v>
      </c>
      <c r="G121" s="160">
        <v>0.313</v>
      </c>
      <c r="H121" s="160">
        <v>0.68799999999999994</v>
      </c>
      <c r="I121" s="160">
        <v>7.0000000000000001E-3</v>
      </c>
      <c r="J121" s="160">
        <v>2.2210000000000001</v>
      </c>
      <c r="K121" s="160">
        <v>19.510000000000002</v>
      </c>
      <c r="L121" s="160">
        <v>6.77</v>
      </c>
      <c r="M121" s="160">
        <v>36.82</v>
      </c>
      <c r="N121" s="160">
        <v>0.17199999999999999</v>
      </c>
    </row>
    <row r="122" spans="1:14" ht="16.5">
      <c r="A122" s="2" t="str">
        <f t="shared" si="1"/>
        <v>122상위25%</v>
      </c>
      <c r="B122" s="139">
        <v>122</v>
      </c>
      <c r="C122" s="105" t="s">
        <v>1623</v>
      </c>
      <c r="D122" s="160">
        <v>0.77400000000000002</v>
      </c>
      <c r="E122" s="160">
        <v>5.8999999999999997E-2</v>
      </c>
      <c r="F122" s="160">
        <v>2.7E-2</v>
      </c>
      <c r="G122" s="160">
        <v>0.67400000000000004</v>
      </c>
      <c r="H122" s="160">
        <v>0.26900000000000002</v>
      </c>
      <c r="I122" s="160">
        <v>5.0000000000000001E-3</v>
      </c>
      <c r="J122" s="160">
        <v>0.40699999999999997</v>
      </c>
      <c r="K122" s="160">
        <v>20.14</v>
      </c>
      <c r="L122" s="160">
        <v>1.08</v>
      </c>
      <c r="M122" s="160">
        <v>50.16</v>
      </c>
      <c r="N122" s="160">
        <v>0.95599999999999996</v>
      </c>
    </row>
    <row r="123" spans="1:14" ht="16.5">
      <c r="A123" s="2" t="str">
        <f t="shared" si="1"/>
        <v>123상위25%</v>
      </c>
      <c r="B123" s="139">
        <v>123</v>
      </c>
      <c r="C123" s="105" t="s">
        <v>1623</v>
      </c>
      <c r="D123" s="160">
        <v>0.67800000000000005</v>
      </c>
      <c r="E123" s="160">
        <v>0.17499999999999999</v>
      </c>
      <c r="F123" s="160">
        <v>5.8999999999999997E-2</v>
      </c>
      <c r="G123" s="160">
        <v>0.50800000000000001</v>
      </c>
      <c r="H123" s="160">
        <v>0.65600000000000003</v>
      </c>
      <c r="I123" s="160">
        <v>6.0000000000000001E-3</v>
      </c>
      <c r="J123" s="160">
        <v>1.3029999999999999</v>
      </c>
      <c r="K123" s="160">
        <v>7.36</v>
      </c>
      <c r="L123" s="160">
        <v>11.93</v>
      </c>
      <c r="M123" s="160">
        <v>10.72</v>
      </c>
      <c r="N123" s="160">
        <v>0.126</v>
      </c>
    </row>
    <row r="124" spans="1:14" ht="16.5">
      <c r="A124" s="2" t="str">
        <f t="shared" si="1"/>
        <v>124상위25%</v>
      </c>
      <c r="B124" s="139">
        <v>124</v>
      </c>
      <c r="C124" s="105" t="s">
        <v>1623</v>
      </c>
      <c r="D124" s="160">
        <v>0.129</v>
      </c>
      <c r="E124" s="160">
        <v>0.25</v>
      </c>
      <c r="F124" s="160">
        <v>3.6999999999999998E-2</v>
      </c>
      <c r="G124" s="160">
        <v>0.19700000000000001</v>
      </c>
      <c r="H124" s="160">
        <v>0.77300000000000002</v>
      </c>
      <c r="I124" s="160">
        <v>5.0000000000000001E-3</v>
      </c>
      <c r="J124" s="160">
        <v>3.9510000000000001</v>
      </c>
      <c r="K124" s="160">
        <v>27.27</v>
      </c>
      <c r="L124" s="160">
        <v>4.24</v>
      </c>
      <c r="M124" s="160">
        <v>30.6</v>
      </c>
      <c r="N124" s="160">
        <v>0.24</v>
      </c>
    </row>
    <row r="125" spans="1:14" ht="16.5">
      <c r="A125" s="2" t="str">
        <f t="shared" si="1"/>
        <v>129상위25%</v>
      </c>
      <c r="B125" s="139">
        <v>129</v>
      </c>
      <c r="C125" s="105" t="s">
        <v>1623</v>
      </c>
      <c r="D125" s="160">
        <v>0.74299999999999999</v>
      </c>
      <c r="E125" s="160">
        <v>6.0999999999999999E-2</v>
      </c>
      <c r="F125" s="160">
        <v>5.7000000000000002E-2</v>
      </c>
      <c r="G125" s="160">
        <v>0.61899999999999999</v>
      </c>
      <c r="H125" s="160">
        <v>0.54600000000000004</v>
      </c>
      <c r="I125" s="160">
        <v>0</v>
      </c>
      <c r="J125" s="160">
        <v>0.88100000000000001</v>
      </c>
      <c r="K125" s="160">
        <v>20.7</v>
      </c>
      <c r="L125" s="160">
        <v>5.74</v>
      </c>
      <c r="M125" s="160">
        <v>18.63</v>
      </c>
      <c r="N125" s="160">
        <v>0.16900000000000001</v>
      </c>
    </row>
    <row r="126" spans="1:14" ht="16.5">
      <c r="A126" s="2" t="str">
        <f t="shared" si="1"/>
        <v>211상위25%</v>
      </c>
      <c r="B126" s="139">
        <v>211</v>
      </c>
      <c r="C126" s="105" t="s">
        <v>1623</v>
      </c>
      <c r="D126" s="160">
        <v>0.70599999999999996</v>
      </c>
      <c r="E126" s="160">
        <v>0.126</v>
      </c>
      <c r="F126" s="160">
        <v>1.6E-2</v>
      </c>
      <c r="G126" s="160">
        <v>0.315</v>
      </c>
      <c r="H126" s="160">
        <v>0.34899999999999998</v>
      </c>
      <c r="I126" s="160">
        <v>3.0000000000000001E-3</v>
      </c>
      <c r="J126" s="160">
        <v>1.1180000000000001</v>
      </c>
      <c r="K126" s="160">
        <v>3.4</v>
      </c>
      <c r="L126" s="160">
        <v>4.84</v>
      </c>
      <c r="M126" s="160">
        <v>29.95</v>
      </c>
      <c r="N126" s="160">
        <v>0.46700000000000003</v>
      </c>
    </row>
    <row r="127" spans="1:14" ht="16.5">
      <c r="A127" s="2" t="str">
        <f t="shared" si="1"/>
        <v>212상위25%</v>
      </c>
      <c r="B127" s="139">
        <v>212</v>
      </c>
      <c r="C127" s="105" t="s">
        <v>1623</v>
      </c>
      <c r="D127" s="160">
        <v>0.38500000000000001</v>
      </c>
      <c r="E127" s="160">
        <v>0.23</v>
      </c>
      <c r="F127" s="160">
        <v>1.2E-2</v>
      </c>
      <c r="G127" s="160">
        <v>0.32300000000000001</v>
      </c>
      <c r="H127" s="160">
        <v>0.127</v>
      </c>
      <c r="I127" s="160">
        <v>4.0000000000000001E-3</v>
      </c>
      <c r="J127" s="160">
        <v>0.40600000000000003</v>
      </c>
      <c r="K127" s="160">
        <v>4.1399999999999997</v>
      </c>
      <c r="L127" s="160">
        <v>3.04</v>
      </c>
      <c r="M127" s="160">
        <v>97.76</v>
      </c>
      <c r="N127" s="160">
        <v>0.56000000000000005</v>
      </c>
    </row>
    <row r="128" spans="1:14" ht="16.5">
      <c r="A128" s="2" t="str">
        <f t="shared" si="1"/>
        <v>213상위25%</v>
      </c>
      <c r="B128" s="139">
        <v>213</v>
      </c>
      <c r="C128" s="105" t="s">
        <v>1623</v>
      </c>
      <c r="D128" s="160">
        <v>0.74399999999999999</v>
      </c>
      <c r="E128" s="160">
        <v>6.6000000000000003E-2</v>
      </c>
      <c r="F128" s="160">
        <v>3.0000000000000001E-3</v>
      </c>
      <c r="G128" s="160">
        <v>0.53100000000000003</v>
      </c>
      <c r="H128" s="160">
        <v>0.20200000000000001</v>
      </c>
      <c r="I128" s="160">
        <v>2E-3</v>
      </c>
      <c r="J128" s="160">
        <v>0.38400000000000001</v>
      </c>
      <c r="K128" s="160">
        <v>5.05</v>
      </c>
      <c r="L128" s="160">
        <v>3.31</v>
      </c>
      <c r="M128" s="160">
        <v>26</v>
      </c>
      <c r="N128" s="160">
        <v>0.46200000000000002</v>
      </c>
    </row>
    <row r="129" spans="1:14" ht="16.5">
      <c r="A129" s="2" t="str">
        <f t="shared" si="1"/>
        <v>214상위25%</v>
      </c>
      <c r="B129" s="139">
        <v>214</v>
      </c>
      <c r="C129" s="105" t="s">
        <v>1623</v>
      </c>
      <c r="D129" s="160">
        <v>0.47199999999999998</v>
      </c>
      <c r="E129" s="160">
        <v>0.311</v>
      </c>
      <c r="F129" s="160">
        <v>0.01</v>
      </c>
      <c r="G129" s="160">
        <v>0.50800000000000001</v>
      </c>
      <c r="H129" s="160">
        <v>0.23200000000000001</v>
      </c>
      <c r="I129" s="160">
        <v>0.08</v>
      </c>
      <c r="J129" s="160">
        <v>0.61399999999999999</v>
      </c>
      <c r="K129" s="160">
        <v>3.93</v>
      </c>
      <c r="L129" s="160">
        <v>5.73</v>
      </c>
      <c r="M129" s="160">
        <v>20.100000000000001</v>
      </c>
      <c r="N129" s="160">
        <v>0.379</v>
      </c>
    </row>
    <row r="130" spans="1:14" ht="16.5">
      <c r="A130" s="2" t="str">
        <f t="shared" si="1"/>
        <v>215상위25%</v>
      </c>
      <c r="B130" s="139">
        <v>215</v>
      </c>
      <c r="C130" s="105" t="s">
        <v>1623</v>
      </c>
      <c r="D130" s="160">
        <v>0.40600000000000003</v>
      </c>
      <c r="E130" s="160">
        <v>0.39400000000000002</v>
      </c>
      <c r="F130" s="160">
        <v>1.2999999999999999E-2</v>
      </c>
      <c r="G130" s="160">
        <v>1.079</v>
      </c>
      <c r="H130" s="160">
        <v>0.26100000000000001</v>
      </c>
      <c r="I130" s="160">
        <v>2.7E-2</v>
      </c>
      <c r="J130" s="160">
        <v>0.26700000000000002</v>
      </c>
      <c r="K130" s="160">
        <v>9.8699999999999992</v>
      </c>
      <c r="L130" s="160">
        <v>12.41</v>
      </c>
      <c r="M130" s="160">
        <v>23.91</v>
      </c>
      <c r="N130" s="160">
        <v>0.14000000000000001</v>
      </c>
    </row>
    <row r="131" spans="1:14" ht="16.5">
      <c r="A131" s="2" t="str">
        <f t="shared" ref="A131:A194" si="2">B131&amp;C131</f>
        <v>219상위25%</v>
      </c>
      <c r="B131" s="139">
        <v>219</v>
      </c>
      <c r="C131" s="105" t="s">
        <v>1623</v>
      </c>
      <c r="D131" s="160">
        <v>0.64700000000000002</v>
      </c>
      <c r="E131" s="160">
        <v>0.14000000000000001</v>
      </c>
      <c r="F131" s="160">
        <v>0.01</v>
      </c>
      <c r="G131" s="160">
        <v>0.56399999999999995</v>
      </c>
      <c r="H131" s="160">
        <v>0.21099999999999999</v>
      </c>
      <c r="I131" s="160">
        <v>5.6000000000000001E-2</v>
      </c>
      <c r="J131" s="160">
        <v>0.47199999999999998</v>
      </c>
      <c r="K131" s="160">
        <v>6.29</v>
      </c>
      <c r="L131" s="160">
        <v>9.4499999999999993</v>
      </c>
      <c r="M131" s="160">
        <v>13.33</v>
      </c>
      <c r="N131" s="160">
        <v>0.19</v>
      </c>
    </row>
    <row r="132" spans="1:14" ht="16.5">
      <c r="A132" s="2" t="str">
        <f t="shared" si="2"/>
        <v>221상위25%</v>
      </c>
      <c r="B132" s="139">
        <v>221</v>
      </c>
      <c r="C132" s="105" t="s">
        <v>1623</v>
      </c>
      <c r="D132" s="160">
        <v>0.75700000000000001</v>
      </c>
      <c r="E132" s="160">
        <v>8.5999999999999993E-2</v>
      </c>
      <c r="F132" s="160">
        <v>8.0000000000000002E-3</v>
      </c>
      <c r="G132" s="160">
        <v>0.99</v>
      </c>
      <c r="H132" s="160">
        <v>0.35399999999999998</v>
      </c>
      <c r="I132" s="160">
        <v>6.0000000000000001E-3</v>
      </c>
      <c r="J132" s="160">
        <v>0.36299999999999999</v>
      </c>
      <c r="K132" s="160">
        <v>6.8</v>
      </c>
      <c r="L132" s="160">
        <v>8.1999999999999993</v>
      </c>
      <c r="M132" s="160">
        <v>14.26</v>
      </c>
      <c r="N132" s="160">
        <v>0.19900000000000001</v>
      </c>
    </row>
    <row r="133" spans="1:14" ht="16.5">
      <c r="A133" s="2" t="str">
        <f t="shared" si="2"/>
        <v>222상위25%</v>
      </c>
      <c r="B133" s="139">
        <v>222</v>
      </c>
      <c r="C133" s="105" t="s">
        <v>1623</v>
      </c>
      <c r="D133" s="160">
        <v>0.53100000000000003</v>
      </c>
      <c r="E133" s="160">
        <v>0.26</v>
      </c>
      <c r="F133" s="160">
        <v>3.7999999999999999E-2</v>
      </c>
      <c r="G133" s="160">
        <v>0.55300000000000005</v>
      </c>
      <c r="H133" s="160">
        <v>0.34300000000000003</v>
      </c>
      <c r="I133" s="160">
        <v>4.3999999999999997E-2</v>
      </c>
      <c r="J133" s="160">
        <v>0.7</v>
      </c>
      <c r="K133" s="160">
        <v>5.27</v>
      </c>
      <c r="L133" s="160">
        <v>5.25</v>
      </c>
      <c r="M133" s="160">
        <v>20.32</v>
      </c>
      <c r="N133" s="160">
        <v>0.33100000000000002</v>
      </c>
    </row>
    <row r="134" spans="1:14" ht="16.5">
      <c r="A134" s="2" t="str">
        <f t="shared" si="2"/>
        <v>223상위25%</v>
      </c>
      <c r="B134" s="139">
        <v>223</v>
      </c>
      <c r="C134" s="105" t="s">
        <v>1623</v>
      </c>
      <c r="D134" s="160">
        <v>0.72899999999999998</v>
      </c>
      <c r="E134" s="160">
        <v>0.11600000000000001</v>
      </c>
      <c r="F134" s="160">
        <v>1.6E-2</v>
      </c>
      <c r="G134" s="160">
        <v>0.78700000000000003</v>
      </c>
      <c r="H134" s="160">
        <v>0.435</v>
      </c>
      <c r="I134" s="160">
        <v>0.03</v>
      </c>
      <c r="J134" s="160">
        <v>0.59099999999999997</v>
      </c>
      <c r="K134" s="160">
        <v>5.91</v>
      </c>
      <c r="L134" s="160">
        <v>12.96</v>
      </c>
      <c r="M134" s="160">
        <v>17.68</v>
      </c>
      <c r="N134" s="160">
        <v>0.19</v>
      </c>
    </row>
    <row r="135" spans="1:14" ht="16.5">
      <c r="A135" s="2" t="str">
        <f t="shared" si="2"/>
        <v>224상위25%</v>
      </c>
      <c r="B135" s="139">
        <v>224</v>
      </c>
      <c r="C135" s="105" t="s">
        <v>1623</v>
      </c>
      <c r="D135" s="160">
        <v>0.70199999999999996</v>
      </c>
      <c r="E135" s="160">
        <v>0.123</v>
      </c>
      <c r="F135" s="160">
        <v>2.5000000000000001E-2</v>
      </c>
      <c r="G135" s="160">
        <v>0.67700000000000005</v>
      </c>
      <c r="H135" s="160">
        <v>0.498</v>
      </c>
      <c r="I135" s="160">
        <v>7.0000000000000001E-3</v>
      </c>
      <c r="J135" s="160">
        <v>0.745</v>
      </c>
      <c r="K135" s="160">
        <v>5.09</v>
      </c>
      <c r="L135" s="160">
        <v>12.05</v>
      </c>
      <c r="M135" s="160">
        <v>15.64</v>
      </c>
      <c r="N135" s="160">
        <v>0.215</v>
      </c>
    </row>
    <row r="136" spans="1:14" ht="16.5">
      <c r="A136" s="2" t="str">
        <f t="shared" si="2"/>
        <v>225상위25%</v>
      </c>
      <c r="B136" s="139">
        <v>225</v>
      </c>
      <c r="C136" s="105" t="s">
        <v>1623</v>
      </c>
      <c r="D136" s="160">
        <v>0.70499999999999996</v>
      </c>
      <c r="E136" s="160">
        <v>0.14099999999999999</v>
      </c>
      <c r="F136" s="160">
        <v>2.1999999999999999E-2</v>
      </c>
      <c r="G136" s="160">
        <v>0.56299999999999994</v>
      </c>
      <c r="H136" s="160">
        <v>0.4</v>
      </c>
      <c r="I136" s="160">
        <v>8.9999999999999993E-3</v>
      </c>
      <c r="J136" s="160">
        <v>0.72599999999999998</v>
      </c>
      <c r="K136" s="160">
        <v>7.57</v>
      </c>
      <c r="L136" s="160">
        <v>6.46</v>
      </c>
      <c r="M136" s="160">
        <v>6.54</v>
      </c>
      <c r="N136" s="160">
        <v>0.13400000000000001</v>
      </c>
    </row>
    <row r="137" spans="1:14" ht="16.5">
      <c r="A137" s="2" t="str">
        <f t="shared" si="2"/>
        <v>226상위25%</v>
      </c>
      <c r="B137" s="139">
        <v>226</v>
      </c>
      <c r="C137" s="105" t="s">
        <v>1623</v>
      </c>
      <c r="D137" s="160">
        <v>0.58699999999999997</v>
      </c>
      <c r="E137" s="160">
        <v>0.17199999999999999</v>
      </c>
      <c r="F137" s="160">
        <v>1.4E-2</v>
      </c>
      <c r="G137" s="160">
        <v>0.624</v>
      </c>
      <c r="H137" s="160">
        <v>0.20899999999999999</v>
      </c>
      <c r="I137" s="160">
        <v>1.6E-2</v>
      </c>
      <c r="J137" s="160">
        <v>0.36099999999999999</v>
      </c>
      <c r="K137" s="160">
        <v>4.26</v>
      </c>
      <c r="L137" s="160">
        <v>5.72</v>
      </c>
      <c r="M137" s="160">
        <v>12.88</v>
      </c>
      <c r="N137" s="160">
        <v>0.33200000000000002</v>
      </c>
    </row>
    <row r="138" spans="1:14" ht="16.5">
      <c r="A138" s="2" t="str">
        <f t="shared" si="2"/>
        <v>227상위25%</v>
      </c>
      <c r="B138" s="139">
        <v>227</v>
      </c>
      <c r="C138" s="105" t="s">
        <v>1623</v>
      </c>
      <c r="D138" s="160">
        <v>0.47199999999999998</v>
      </c>
      <c r="E138" s="160">
        <v>0.311</v>
      </c>
      <c r="F138" s="160">
        <v>0.01</v>
      </c>
      <c r="G138" s="160">
        <v>0.50800000000000001</v>
      </c>
      <c r="H138" s="160">
        <v>0.23200000000000001</v>
      </c>
      <c r="I138" s="160">
        <v>0.08</v>
      </c>
      <c r="J138" s="160">
        <v>0.61399999999999999</v>
      </c>
      <c r="K138" s="160">
        <v>3.93</v>
      </c>
      <c r="L138" s="160">
        <v>5.73</v>
      </c>
      <c r="M138" s="160">
        <v>20.100000000000001</v>
      </c>
      <c r="N138" s="160">
        <v>0.379</v>
      </c>
    </row>
    <row r="139" spans="1:14" ht="16.5">
      <c r="A139" s="2" t="str">
        <f t="shared" si="2"/>
        <v>229상위25%</v>
      </c>
      <c r="B139" s="139">
        <v>229</v>
      </c>
      <c r="C139" s="105" t="s">
        <v>1623</v>
      </c>
      <c r="D139" s="160">
        <v>0.66800000000000004</v>
      </c>
      <c r="E139" s="160">
        <v>0.14399999999999999</v>
      </c>
      <c r="F139" s="160">
        <v>0.02</v>
      </c>
      <c r="G139" s="160">
        <v>0.70499999999999996</v>
      </c>
      <c r="H139" s="160">
        <v>0.42399999999999999</v>
      </c>
      <c r="I139" s="160">
        <v>1.4999999999999999E-2</v>
      </c>
      <c r="J139" s="160">
        <v>0.623</v>
      </c>
      <c r="K139" s="160">
        <v>4.6500000000000004</v>
      </c>
      <c r="L139" s="160">
        <v>10.38</v>
      </c>
      <c r="M139" s="160">
        <v>15.62</v>
      </c>
      <c r="N139" s="160">
        <v>0.247</v>
      </c>
    </row>
    <row r="140" spans="1:14" ht="16.5">
      <c r="A140" s="2" t="str">
        <f t="shared" si="2"/>
        <v>231상위25%</v>
      </c>
      <c r="B140" s="139">
        <v>231</v>
      </c>
      <c r="C140" s="105" t="s">
        <v>1623</v>
      </c>
      <c r="D140" s="160">
        <v>0.60899999999999999</v>
      </c>
      <c r="E140" s="160">
        <v>0.121</v>
      </c>
      <c r="F140" s="160">
        <v>1.7000000000000001E-2</v>
      </c>
      <c r="G140" s="160">
        <v>0.49399999999999999</v>
      </c>
      <c r="H140" s="160">
        <v>0.14799999999999999</v>
      </c>
      <c r="I140" s="160">
        <v>0</v>
      </c>
      <c r="J140" s="160">
        <v>0.3</v>
      </c>
      <c r="K140" s="160">
        <v>0</v>
      </c>
      <c r="L140" s="160">
        <v>1.34</v>
      </c>
      <c r="M140" s="160">
        <v>103.62</v>
      </c>
      <c r="N140" s="160">
        <v>0</v>
      </c>
    </row>
    <row r="141" spans="1:14" ht="16.5">
      <c r="A141" s="2" t="str">
        <f t="shared" si="2"/>
        <v>232상위25%</v>
      </c>
      <c r="B141" s="139">
        <v>232</v>
      </c>
      <c r="C141" s="105" t="s">
        <v>1623</v>
      </c>
      <c r="D141" s="160">
        <v>0.23699999999999999</v>
      </c>
      <c r="E141" s="160">
        <v>0.54100000000000004</v>
      </c>
      <c r="F141" s="160">
        <v>1.9E-2</v>
      </c>
      <c r="G141" s="160">
        <v>0.84699999999999998</v>
      </c>
      <c r="H141" s="160">
        <v>0.23400000000000001</v>
      </c>
      <c r="I141" s="160">
        <v>2.7E-2</v>
      </c>
      <c r="J141" s="160">
        <v>0.308</v>
      </c>
      <c r="K141" s="160">
        <v>7.18</v>
      </c>
      <c r="L141" s="160">
        <v>27.56</v>
      </c>
      <c r="M141" s="160">
        <v>27.37</v>
      </c>
      <c r="N141" s="160">
        <v>0.13900000000000001</v>
      </c>
    </row>
    <row r="142" spans="1:14" ht="16.5">
      <c r="A142" s="2" t="str">
        <f t="shared" si="2"/>
        <v>233상위25%</v>
      </c>
      <c r="B142" s="139">
        <v>233</v>
      </c>
      <c r="C142" s="105" t="s">
        <v>1623</v>
      </c>
      <c r="D142" s="160">
        <v>0.14799999999999999</v>
      </c>
      <c r="E142" s="160">
        <v>0.49099999999999999</v>
      </c>
      <c r="F142" s="160">
        <v>0.04</v>
      </c>
      <c r="G142" s="160">
        <v>0.29199999999999998</v>
      </c>
      <c r="H142" s="160">
        <v>0.41499999999999998</v>
      </c>
      <c r="I142" s="160">
        <v>1.2E-2</v>
      </c>
      <c r="J142" s="160">
        <v>1.4610000000000001</v>
      </c>
      <c r="K142" s="160">
        <v>17.7</v>
      </c>
      <c r="L142" s="160">
        <v>144.32</v>
      </c>
      <c r="M142" s="160">
        <v>239.65</v>
      </c>
      <c r="N142" s="160">
        <v>5.8999999999999997E-2</v>
      </c>
    </row>
    <row r="143" spans="1:14" ht="16.5">
      <c r="A143" s="2" t="str">
        <f t="shared" si="2"/>
        <v>234상위25%</v>
      </c>
      <c r="B143" s="139">
        <v>234</v>
      </c>
      <c r="C143" s="105" t="s">
        <v>1623</v>
      </c>
      <c r="D143" s="160">
        <v>0.19600000000000001</v>
      </c>
      <c r="E143" s="160">
        <v>0.57099999999999995</v>
      </c>
      <c r="F143" s="160">
        <v>5.0999999999999997E-2</v>
      </c>
      <c r="G143" s="160">
        <v>0.73099999999999998</v>
      </c>
      <c r="H143" s="160">
        <v>0.86899999999999999</v>
      </c>
      <c r="I143" s="160">
        <v>0</v>
      </c>
      <c r="J143" s="160">
        <v>1.19</v>
      </c>
      <c r="K143" s="160">
        <v>0</v>
      </c>
      <c r="L143" s="160">
        <v>51.99</v>
      </c>
      <c r="M143" s="160">
        <v>140.25</v>
      </c>
      <c r="N143" s="160">
        <v>0</v>
      </c>
    </row>
    <row r="144" spans="1:14" ht="16.5">
      <c r="A144" s="2" t="str">
        <f t="shared" si="2"/>
        <v>235상위25%</v>
      </c>
      <c r="B144" s="139">
        <v>235</v>
      </c>
      <c r="C144" s="105" t="s">
        <v>1623</v>
      </c>
      <c r="D144" s="160">
        <v>0.55800000000000005</v>
      </c>
      <c r="E144" s="160">
        <v>0.27200000000000002</v>
      </c>
      <c r="F144" s="160">
        <v>1.7999999999999999E-2</v>
      </c>
      <c r="G144" s="160">
        <v>1.1850000000000001</v>
      </c>
      <c r="H144" s="160">
        <v>0.36699999999999999</v>
      </c>
      <c r="I144" s="160">
        <v>1.0999999999999999E-2</v>
      </c>
      <c r="J144" s="160">
        <v>0.31900000000000001</v>
      </c>
      <c r="K144" s="160">
        <v>66.930000000000007</v>
      </c>
      <c r="L144" s="160">
        <v>33.14</v>
      </c>
      <c r="M144" s="160">
        <v>0</v>
      </c>
      <c r="N144" s="160">
        <v>0</v>
      </c>
    </row>
    <row r="145" spans="1:14" ht="16.5">
      <c r="A145" s="2" t="str">
        <f t="shared" si="2"/>
        <v>236상위25%</v>
      </c>
      <c r="B145" s="139">
        <v>236</v>
      </c>
      <c r="C145" s="105" t="s">
        <v>1623</v>
      </c>
      <c r="D145" s="160">
        <v>0.32500000000000001</v>
      </c>
      <c r="E145" s="160">
        <v>0.45200000000000001</v>
      </c>
      <c r="F145" s="160">
        <v>3.5999999999999997E-2</v>
      </c>
      <c r="G145" s="160">
        <v>0.53300000000000003</v>
      </c>
      <c r="H145" s="160">
        <v>0.13900000000000001</v>
      </c>
      <c r="I145" s="160">
        <v>0.109</v>
      </c>
      <c r="J145" s="160">
        <v>0.46500000000000002</v>
      </c>
      <c r="K145" s="160">
        <v>7.33</v>
      </c>
      <c r="L145" s="160">
        <v>88.77</v>
      </c>
      <c r="M145" s="160">
        <v>47.83</v>
      </c>
      <c r="N145" s="160">
        <v>0.127</v>
      </c>
    </row>
    <row r="146" spans="1:14" ht="16.5">
      <c r="A146" s="2" t="str">
        <f t="shared" si="2"/>
        <v>237상위25%</v>
      </c>
      <c r="B146" s="139">
        <v>237</v>
      </c>
      <c r="C146" s="105" t="s">
        <v>1623</v>
      </c>
      <c r="D146" s="160">
        <v>0.504</v>
      </c>
      <c r="E146" s="160">
        <v>0.185</v>
      </c>
      <c r="F146" s="160">
        <v>3.2000000000000001E-2</v>
      </c>
      <c r="G146" s="160">
        <v>0.432</v>
      </c>
      <c r="H146" s="160">
        <v>0.37</v>
      </c>
      <c r="I146" s="160">
        <v>5.1999999999999998E-2</v>
      </c>
      <c r="J146" s="160">
        <v>0.97599999999999998</v>
      </c>
      <c r="K146" s="160">
        <v>9</v>
      </c>
      <c r="L146" s="160">
        <v>127.83</v>
      </c>
      <c r="M146" s="160">
        <v>45.06</v>
      </c>
      <c r="N146" s="160">
        <v>9.7000000000000003E-2</v>
      </c>
    </row>
    <row r="147" spans="1:14" ht="16.5">
      <c r="A147" s="2" t="str">
        <f t="shared" si="2"/>
        <v>239상위25%</v>
      </c>
      <c r="B147" s="139">
        <v>239</v>
      </c>
      <c r="C147" s="105" t="s">
        <v>1623</v>
      </c>
      <c r="D147" s="160">
        <v>0.32400000000000001</v>
      </c>
      <c r="E147" s="160">
        <v>0.42699999999999999</v>
      </c>
      <c r="F147" s="160">
        <v>2.9000000000000001E-2</v>
      </c>
      <c r="G147" s="160">
        <v>0.6</v>
      </c>
      <c r="H147" s="160">
        <v>0.46899999999999997</v>
      </c>
      <c r="I147" s="160">
        <v>8.0000000000000002E-3</v>
      </c>
      <c r="J147" s="160">
        <v>0.79400000000000004</v>
      </c>
      <c r="K147" s="160">
        <v>6.58</v>
      </c>
      <c r="L147" s="160">
        <v>170.63</v>
      </c>
      <c r="M147" s="160">
        <v>74.03</v>
      </c>
      <c r="N147" s="160">
        <v>0.14399999999999999</v>
      </c>
    </row>
    <row r="148" spans="1:14" ht="16.5">
      <c r="A148" s="2" t="str">
        <f t="shared" si="2"/>
        <v>311상위25%</v>
      </c>
      <c r="B148" s="139">
        <v>311</v>
      </c>
      <c r="C148" s="105" t="s">
        <v>1623</v>
      </c>
      <c r="D148" s="160">
        <v>0.59099999999999997</v>
      </c>
      <c r="E148" s="160">
        <v>0.215</v>
      </c>
      <c r="F148" s="160">
        <v>1.0999999999999999E-2</v>
      </c>
      <c r="G148" s="160">
        <v>0.65400000000000003</v>
      </c>
      <c r="H148" s="160">
        <v>0.41199999999999998</v>
      </c>
      <c r="I148" s="160">
        <v>3.1E-2</v>
      </c>
      <c r="J148" s="160">
        <v>0.67800000000000005</v>
      </c>
      <c r="K148" s="160">
        <v>15.04</v>
      </c>
      <c r="L148" s="160">
        <v>14.54</v>
      </c>
      <c r="M148" s="160">
        <v>95.73</v>
      </c>
      <c r="N148" s="160">
        <v>0.125</v>
      </c>
    </row>
    <row r="149" spans="1:14" ht="16.5">
      <c r="A149" s="2" t="str">
        <f t="shared" si="2"/>
        <v>312상위25%</v>
      </c>
      <c r="B149" s="139">
        <v>312</v>
      </c>
      <c r="C149" s="105" t="s">
        <v>1623</v>
      </c>
      <c r="D149" s="160">
        <v>0.65400000000000003</v>
      </c>
      <c r="E149" s="160">
        <v>0.20399999999999999</v>
      </c>
      <c r="F149" s="160">
        <v>3.5999999999999997E-2</v>
      </c>
      <c r="G149" s="160">
        <v>0.222</v>
      </c>
      <c r="H149" s="160">
        <v>0.76300000000000001</v>
      </c>
      <c r="I149" s="160">
        <v>0</v>
      </c>
      <c r="J149" s="160">
        <v>3.4359999999999999</v>
      </c>
      <c r="K149" s="160">
        <v>1.74</v>
      </c>
      <c r="L149" s="160">
        <v>2.93</v>
      </c>
      <c r="M149" s="160">
        <v>17.16</v>
      </c>
      <c r="N149" s="160">
        <v>0.85699999999999998</v>
      </c>
    </row>
    <row r="150" spans="1:14" ht="16.5">
      <c r="A150" s="2" t="str">
        <f t="shared" si="2"/>
        <v>390상위25%</v>
      </c>
      <c r="B150" s="139">
        <v>390</v>
      </c>
      <c r="C150" s="105" t="s">
        <v>1623</v>
      </c>
      <c r="D150" s="160">
        <v>0</v>
      </c>
      <c r="E150" s="160">
        <v>1.4999999999999999E-2</v>
      </c>
      <c r="F150" s="160">
        <v>0</v>
      </c>
      <c r="G150" s="160">
        <v>6.0999999999999999E-2</v>
      </c>
      <c r="H150" s="160">
        <v>0.8</v>
      </c>
      <c r="I150" s="160">
        <v>0</v>
      </c>
      <c r="J150" s="160">
        <v>13.112</v>
      </c>
      <c r="K150" s="160">
        <v>1</v>
      </c>
      <c r="L150" s="160">
        <v>0</v>
      </c>
      <c r="M150" s="160">
        <v>0</v>
      </c>
      <c r="N150" s="160">
        <v>0</v>
      </c>
    </row>
    <row r="151" spans="1:14" ht="16.5">
      <c r="A151" s="2" t="str">
        <f t="shared" si="2"/>
        <v>411상위25%</v>
      </c>
      <c r="B151" s="139">
        <v>411</v>
      </c>
      <c r="C151" s="105" t="s">
        <v>1623</v>
      </c>
      <c r="D151" s="160">
        <v>0.65100000000000002</v>
      </c>
      <c r="E151" s="160">
        <v>0.17899999999999999</v>
      </c>
      <c r="F151" s="160">
        <v>3.4000000000000002E-2</v>
      </c>
      <c r="G151" s="160">
        <v>0.33800000000000002</v>
      </c>
      <c r="H151" s="160">
        <v>0.27200000000000002</v>
      </c>
      <c r="I151" s="160">
        <v>5.0000000000000001E-3</v>
      </c>
      <c r="J151" s="160">
        <v>0.82099999999999995</v>
      </c>
      <c r="K151" s="160">
        <v>5.52</v>
      </c>
      <c r="L151" s="160">
        <v>8.49</v>
      </c>
      <c r="M151" s="160">
        <v>15.88</v>
      </c>
      <c r="N151" s="160">
        <v>0.23599999999999999</v>
      </c>
    </row>
    <row r="152" spans="1:14" ht="16.5">
      <c r="A152" s="2" t="str">
        <f t="shared" si="2"/>
        <v>412상위25%</v>
      </c>
      <c r="B152" s="139">
        <v>412</v>
      </c>
      <c r="C152" s="105" t="s">
        <v>1623</v>
      </c>
      <c r="D152" s="160">
        <v>0.68500000000000005</v>
      </c>
      <c r="E152" s="160">
        <v>0.154</v>
      </c>
      <c r="F152" s="160">
        <v>0.04</v>
      </c>
      <c r="G152" s="160">
        <v>0.77500000000000002</v>
      </c>
      <c r="H152" s="160">
        <v>0.58399999999999996</v>
      </c>
      <c r="I152" s="160">
        <v>6.0000000000000001E-3</v>
      </c>
      <c r="J152" s="160">
        <v>0.76200000000000001</v>
      </c>
      <c r="K152" s="160">
        <v>6.25</v>
      </c>
      <c r="L152" s="160">
        <v>17.79</v>
      </c>
      <c r="M152" s="160">
        <v>16.8</v>
      </c>
      <c r="N152" s="160">
        <v>0.157</v>
      </c>
    </row>
    <row r="153" spans="1:14" ht="16.5">
      <c r="A153" s="2" t="str">
        <f t="shared" si="2"/>
        <v>413상위25%</v>
      </c>
      <c r="B153" s="139">
        <v>413</v>
      </c>
      <c r="C153" s="105" t="s">
        <v>1623</v>
      </c>
      <c r="D153" s="160">
        <v>0.68899999999999995</v>
      </c>
      <c r="E153" s="160">
        <v>0.17199999999999999</v>
      </c>
      <c r="F153" s="160">
        <v>5.0999999999999997E-2</v>
      </c>
      <c r="G153" s="160">
        <v>0.55500000000000005</v>
      </c>
      <c r="H153" s="160">
        <v>0.64800000000000002</v>
      </c>
      <c r="I153" s="160">
        <v>2E-3</v>
      </c>
      <c r="J153" s="160">
        <v>1.1719999999999999</v>
      </c>
      <c r="K153" s="160">
        <v>4.9400000000000004</v>
      </c>
      <c r="L153" s="160">
        <v>9.85</v>
      </c>
      <c r="M153" s="160">
        <v>30.57</v>
      </c>
      <c r="N153" s="160">
        <v>0.27100000000000002</v>
      </c>
    </row>
    <row r="154" spans="1:14" ht="16.5">
      <c r="A154" s="2" t="str">
        <f t="shared" si="2"/>
        <v>414상위25%</v>
      </c>
      <c r="B154" s="139">
        <v>414</v>
      </c>
      <c r="C154" s="105" t="s">
        <v>1623</v>
      </c>
      <c r="D154" s="160">
        <v>0.57099999999999995</v>
      </c>
      <c r="E154" s="160">
        <v>0.22800000000000001</v>
      </c>
      <c r="F154" s="160">
        <v>4.3999999999999997E-2</v>
      </c>
      <c r="G154" s="160">
        <v>0.32900000000000001</v>
      </c>
      <c r="H154" s="160">
        <v>0.58299999999999996</v>
      </c>
      <c r="I154" s="160">
        <v>2E-3</v>
      </c>
      <c r="J154" s="160">
        <v>1.7769999999999999</v>
      </c>
      <c r="K154" s="160">
        <v>1.93</v>
      </c>
      <c r="L154" s="160">
        <v>2.74</v>
      </c>
      <c r="M154" s="160">
        <v>29.09</v>
      </c>
      <c r="N154" s="160">
        <v>0.84899999999999998</v>
      </c>
    </row>
    <row r="155" spans="1:14" ht="16.5">
      <c r="A155" s="2" t="str">
        <f t="shared" si="2"/>
        <v>415상위25%</v>
      </c>
      <c r="B155" s="139">
        <v>415</v>
      </c>
      <c r="C155" s="105" t="s">
        <v>1623</v>
      </c>
      <c r="D155" s="160">
        <v>0.70699999999999996</v>
      </c>
      <c r="E155" s="160">
        <v>0.14399999999999999</v>
      </c>
      <c r="F155" s="160">
        <v>2.4E-2</v>
      </c>
      <c r="G155" s="160">
        <v>0.78500000000000003</v>
      </c>
      <c r="H155" s="160">
        <v>0.622</v>
      </c>
      <c r="I155" s="160">
        <v>6.0000000000000001E-3</v>
      </c>
      <c r="J155" s="160">
        <v>0.80100000000000005</v>
      </c>
      <c r="K155" s="160">
        <v>7.06</v>
      </c>
      <c r="L155" s="160">
        <v>15.29</v>
      </c>
      <c r="M155" s="160">
        <v>16.059999999999999</v>
      </c>
      <c r="N155" s="160">
        <v>0.14499999999999999</v>
      </c>
    </row>
    <row r="156" spans="1:14" ht="16.5">
      <c r="A156" s="2" t="str">
        <f t="shared" si="2"/>
        <v>416상위25%</v>
      </c>
      <c r="B156" s="139">
        <v>416</v>
      </c>
      <c r="C156" s="105" t="s">
        <v>1623</v>
      </c>
      <c r="D156" s="160">
        <v>0.74399999999999999</v>
      </c>
      <c r="E156" s="160">
        <v>0.123</v>
      </c>
      <c r="F156" s="160">
        <v>0.02</v>
      </c>
      <c r="G156" s="160">
        <v>0.81</v>
      </c>
      <c r="H156" s="160">
        <v>0.435</v>
      </c>
      <c r="I156" s="160">
        <v>6.0000000000000001E-3</v>
      </c>
      <c r="J156" s="160">
        <v>0.54500000000000004</v>
      </c>
      <c r="K156" s="160">
        <v>5.98</v>
      </c>
      <c r="L156" s="160">
        <v>10.17</v>
      </c>
      <c r="M156" s="160">
        <v>17.04</v>
      </c>
      <c r="N156" s="160">
        <v>0.20699999999999999</v>
      </c>
    </row>
    <row r="157" spans="1:14" ht="16.5">
      <c r="A157" s="2" t="str">
        <f t="shared" si="2"/>
        <v>419상위25%</v>
      </c>
      <c r="B157" s="139">
        <v>419</v>
      </c>
      <c r="C157" s="105" t="s">
        <v>1623</v>
      </c>
      <c r="D157" s="160">
        <v>0.73099999999999998</v>
      </c>
      <c r="E157" s="160">
        <v>0.125</v>
      </c>
      <c r="F157" s="160">
        <v>1.4999999999999999E-2</v>
      </c>
      <c r="G157" s="160">
        <v>0.57999999999999996</v>
      </c>
      <c r="H157" s="160">
        <v>0.58299999999999996</v>
      </c>
      <c r="I157" s="160">
        <v>2E-3</v>
      </c>
      <c r="J157" s="160">
        <v>1.0089999999999999</v>
      </c>
      <c r="K157" s="160">
        <v>5.55</v>
      </c>
      <c r="L157" s="160">
        <v>12.51</v>
      </c>
      <c r="M157" s="160">
        <v>19.36</v>
      </c>
      <c r="N157" s="160">
        <v>0.20799999999999999</v>
      </c>
    </row>
    <row r="158" spans="1:14" ht="16.5">
      <c r="A158" s="2" t="str">
        <f t="shared" si="2"/>
        <v>421상위25%</v>
      </c>
      <c r="B158" s="139">
        <v>421</v>
      </c>
      <c r="C158" s="105" t="s">
        <v>1623</v>
      </c>
      <c r="D158" s="160">
        <v>0.85499999999999998</v>
      </c>
      <c r="E158" s="160">
        <v>7.1999999999999995E-2</v>
      </c>
      <c r="F158" s="160">
        <v>2E-3</v>
      </c>
      <c r="G158" s="160">
        <v>0.52800000000000002</v>
      </c>
      <c r="H158" s="160">
        <v>0.64700000000000002</v>
      </c>
      <c r="I158" s="160">
        <v>3.0000000000000001E-3</v>
      </c>
      <c r="J158" s="160">
        <v>1.2310000000000001</v>
      </c>
      <c r="K158" s="160">
        <v>6.78</v>
      </c>
      <c r="L158" s="160">
        <v>4.75</v>
      </c>
      <c r="M158" s="160">
        <v>21.21</v>
      </c>
      <c r="N158" s="160">
        <v>0.311</v>
      </c>
    </row>
    <row r="159" spans="1:14" ht="16.5">
      <c r="A159" s="2" t="str">
        <f t="shared" si="2"/>
        <v>422상위25%</v>
      </c>
      <c r="B159" s="139">
        <v>422</v>
      </c>
      <c r="C159" s="105" t="s">
        <v>1623</v>
      </c>
      <c r="D159" s="160">
        <v>0.39700000000000002</v>
      </c>
      <c r="E159" s="160">
        <v>0.40200000000000002</v>
      </c>
      <c r="F159" s="160">
        <v>1.2999999999999999E-2</v>
      </c>
      <c r="G159" s="160">
        <v>1.103</v>
      </c>
      <c r="H159" s="160">
        <v>0.253</v>
      </c>
      <c r="I159" s="160">
        <v>2.8000000000000001E-2</v>
      </c>
      <c r="J159" s="160">
        <v>0.255</v>
      </c>
      <c r="K159" s="160">
        <v>10.119999999999999</v>
      </c>
      <c r="L159" s="160">
        <v>12.72</v>
      </c>
      <c r="M159" s="160">
        <v>24.11</v>
      </c>
      <c r="N159" s="160">
        <v>0.13600000000000001</v>
      </c>
    </row>
    <row r="160" spans="1:14" ht="16.5">
      <c r="A160" s="2" t="str">
        <f t="shared" si="2"/>
        <v>423상위25%</v>
      </c>
      <c r="B160" s="139">
        <v>423</v>
      </c>
      <c r="C160" s="105" t="s">
        <v>1623</v>
      </c>
      <c r="D160" s="160">
        <v>0.41799999999999998</v>
      </c>
      <c r="E160" s="160">
        <v>0.28899999999999998</v>
      </c>
      <c r="F160" s="160">
        <v>2.9000000000000001E-2</v>
      </c>
      <c r="G160" s="160">
        <v>0.27600000000000002</v>
      </c>
      <c r="H160" s="160">
        <v>0.56000000000000005</v>
      </c>
      <c r="I160" s="160">
        <v>0</v>
      </c>
      <c r="J160" s="160">
        <v>2.0289999999999999</v>
      </c>
      <c r="K160" s="160">
        <v>25.42</v>
      </c>
      <c r="L160" s="160">
        <v>8.27</v>
      </c>
      <c r="M160" s="160">
        <v>509.32</v>
      </c>
      <c r="N160" s="160">
        <v>0.158</v>
      </c>
    </row>
    <row r="161" spans="1:14" ht="16.5">
      <c r="A161" s="2" t="str">
        <f t="shared" si="2"/>
        <v>429상위25%</v>
      </c>
      <c r="B161" s="139">
        <v>429</v>
      </c>
      <c r="C161" s="105" t="s">
        <v>1623</v>
      </c>
      <c r="D161" s="160">
        <v>0.77100000000000002</v>
      </c>
      <c r="E161" s="160">
        <v>6.8000000000000005E-2</v>
      </c>
      <c r="F161" s="160">
        <v>4.0000000000000001E-3</v>
      </c>
      <c r="G161" s="160">
        <v>0.93899999999999995</v>
      </c>
      <c r="H161" s="160">
        <v>0.46600000000000003</v>
      </c>
      <c r="I161" s="160">
        <v>3.0000000000000001E-3</v>
      </c>
      <c r="J161" s="160">
        <v>0.5</v>
      </c>
      <c r="K161" s="160">
        <v>7.93</v>
      </c>
      <c r="L161" s="160">
        <v>16.899999999999999</v>
      </c>
      <c r="M161" s="160">
        <v>41.39</v>
      </c>
      <c r="N161" s="160">
        <v>0.161</v>
      </c>
    </row>
    <row r="162" spans="1:14" ht="16.5">
      <c r="A162" s="2" t="str">
        <f t="shared" si="2"/>
        <v>431상위25%</v>
      </c>
      <c r="B162" s="139">
        <v>431</v>
      </c>
      <c r="C162" s="105" t="s">
        <v>1623</v>
      </c>
      <c r="D162" s="160">
        <v>0.69</v>
      </c>
      <c r="E162" s="160">
        <v>0.12</v>
      </c>
      <c r="F162" s="160">
        <v>1.7000000000000001E-2</v>
      </c>
      <c r="G162" s="160">
        <v>0.72899999999999998</v>
      </c>
      <c r="H162" s="160">
        <v>0.42699999999999999</v>
      </c>
      <c r="I162" s="160">
        <v>6.0000000000000001E-3</v>
      </c>
      <c r="J162" s="160">
        <v>0.59299999999999997</v>
      </c>
      <c r="K162" s="160">
        <v>5.94</v>
      </c>
      <c r="L162" s="160">
        <v>9.34</v>
      </c>
      <c r="M162" s="160">
        <v>24.69</v>
      </c>
      <c r="N162" s="160">
        <v>0.23499999999999999</v>
      </c>
    </row>
    <row r="163" spans="1:14" ht="16.5">
      <c r="A163" s="2" t="str">
        <f t="shared" si="2"/>
        <v>432상위25%</v>
      </c>
      <c r="B163" s="139">
        <v>432</v>
      </c>
      <c r="C163" s="105" t="s">
        <v>1623</v>
      </c>
      <c r="D163" s="160">
        <v>0.72399999999999998</v>
      </c>
      <c r="E163" s="160">
        <v>0.115</v>
      </c>
      <c r="F163" s="160">
        <v>2.4E-2</v>
      </c>
      <c r="G163" s="160">
        <v>0.77</v>
      </c>
      <c r="H163" s="160">
        <v>0.51400000000000001</v>
      </c>
      <c r="I163" s="160">
        <v>7.0000000000000001E-3</v>
      </c>
      <c r="J163" s="160">
        <v>0.67700000000000005</v>
      </c>
      <c r="K163" s="160">
        <v>4.6399999999999997</v>
      </c>
      <c r="L163" s="160">
        <v>17.11</v>
      </c>
      <c r="M163" s="160">
        <v>13.28</v>
      </c>
      <c r="N163" s="160">
        <v>0.19900000000000001</v>
      </c>
    </row>
    <row r="164" spans="1:14" ht="16.5">
      <c r="A164" s="2" t="str">
        <f t="shared" si="2"/>
        <v>433상위25%</v>
      </c>
      <c r="B164" s="139">
        <v>433</v>
      </c>
      <c r="C164" s="105" t="s">
        <v>1623</v>
      </c>
      <c r="D164" s="160">
        <v>0.68500000000000005</v>
      </c>
      <c r="E164" s="160">
        <v>0.155</v>
      </c>
      <c r="F164" s="160">
        <v>2.5000000000000001E-2</v>
      </c>
      <c r="G164" s="160">
        <v>0.54900000000000004</v>
      </c>
      <c r="H164" s="160">
        <v>0.40400000000000003</v>
      </c>
      <c r="I164" s="160">
        <v>1.0999999999999999E-2</v>
      </c>
      <c r="J164" s="160">
        <v>0.755</v>
      </c>
      <c r="K164" s="160">
        <v>4.91</v>
      </c>
      <c r="L164" s="160">
        <v>5.3</v>
      </c>
      <c r="M164" s="160">
        <v>7.76</v>
      </c>
      <c r="N164" s="160">
        <v>0.26300000000000001</v>
      </c>
    </row>
    <row r="165" spans="1:14" ht="16.5">
      <c r="A165" s="2" t="str">
        <f t="shared" si="2"/>
        <v>439상위25%</v>
      </c>
      <c r="B165" s="139">
        <v>439</v>
      </c>
      <c r="C165" s="105" t="s">
        <v>1623</v>
      </c>
      <c r="D165" s="160">
        <v>0.70199999999999996</v>
      </c>
      <c r="E165" s="160">
        <v>0.12</v>
      </c>
      <c r="F165" s="160">
        <v>1.7999999999999999E-2</v>
      </c>
      <c r="G165" s="160">
        <v>0.7</v>
      </c>
      <c r="H165" s="160">
        <v>0.36199999999999999</v>
      </c>
      <c r="I165" s="160">
        <v>5.3999999999999999E-2</v>
      </c>
      <c r="J165" s="160">
        <v>0.59499999999999997</v>
      </c>
      <c r="K165" s="160">
        <v>5.95</v>
      </c>
      <c r="L165" s="160">
        <v>6.35</v>
      </c>
      <c r="M165" s="160">
        <v>14.06</v>
      </c>
      <c r="N165" s="160">
        <v>0.254</v>
      </c>
    </row>
    <row r="166" spans="1:14" ht="16.5">
      <c r="A166" s="2" t="str">
        <f t="shared" si="2"/>
        <v>441상위25%</v>
      </c>
      <c r="B166" s="139">
        <v>441</v>
      </c>
      <c r="C166" s="105" t="s">
        <v>1623</v>
      </c>
      <c r="D166" s="160">
        <v>0.32</v>
      </c>
      <c r="E166" s="160">
        <v>0.44900000000000001</v>
      </c>
      <c r="F166" s="160">
        <v>1.2E-2</v>
      </c>
      <c r="G166" s="160">
        <v>0.94099999999999995</v>
      </c>
      <c r="H166" s="160">
        <v>0.17399999999999999</v>
      </c>
      <c r="I166" s="160">
        <v>0</v>
      </c>
      <c r="J166" s="160">
        <v>0.185</v>
      </c>
      <c r="K166" s="160">
        <v>31.47</v>
      </c>
      <c r="L166" s="160">
        <v>77.64</v>
      </c>
      <c r="M166" s="160">
        <v>271.33</v>
      </c>
      <c r="N166" s="160">
        <v>4.1000000000000002E-2</v>
      </c>
    </row>
    <row r="167" spans="1:14" ht="16.5">
      <c r="A167" s="2" t="str">
        <f t="shared" si="2"/>
        <v>442상위25%</v>
      </c>
      <c r="B167" s="139">
        <v>442</v>
      </c>
      <c r="C167" s="105" t="s">
        <v>1623</v>
      </c>
      <c r="D167" s="160">
        <v>0.32500000000000001</v>
      </c>
      <c r="E167" s="160">
        <v>0.45200000000000001</v>
      </c>
      <c r="F167" s="160">
        <v>3.5999999999999997E-2</v>
      </c>
      <c r="G167" s="160">
        <v>0.53300000000000003</v>
      </c>
      <c r="H167" s="160">
        <v>0.13900000000000001</v>
      </c>
      <c r="I167" s="160">
        <v>0.109</v>
      </c>
      <c r="J167" s="160">
        <v>0.46500000000000002</v>
      </c>
      <c r="K167" s="160">
        <v>7.33</v>
      </c>
      <c r="L167" s="160">
        <v>88.77</v>
      </c>
      <c r="M167" s="160">
        <v>47.83</v>
      </c>
      <c r="N167" s="160">
        <v>0.127</v>
      </c>
    </row>
    <row r="168" spans="1:14" ht="16.5">
      <c r="A168" s="2" t="str">
        <f t="shared" si="2"/>
        <v>443상위25%</v>
      </c>
      <c r="B168" s="139">
        <v>443</v>
      </c>
      <c r="C168" s="105" t="s">
        <v>1623</v>
      </c>
      <c r="D168" s="160">
        <v>0.32</v>
      </c>
      <c r="E168" s="160">
        <v>0.44900000000000001</v>
      </c>
      <c r="F168" s="160">
        <v>1.2E-2</v>
      </c>
      <c r="G168" s="160">
        <v>0.94099999999999995</v>
      </c>
      <c r="H168" s="160">
        <v>0.17399999999999999</v>
      </c>
      <c r="I168" s="160">
        <v>0</v>
      </c>
      <c r="J168" s="160">
        <v>0.185</v>
      </c>
      <c r="K168" s="160">
        <v>31.47</v>
      </c>
      <c r="L168" s="160">
        <v>77.64</v>
      </c>
      <c r="M168" s="160">
        <v>271.33</v>
      </c>
      <c r="N168" s="160">
        <v>4.1000000000000002E-2</v>
      </c>
    </row>
    <row r="169" spans="1:14" ht="16.5">
      <c r="A169" s="2" t="str">
        <f t="shared" si="2"/>
        <v>444상위25%</v>
      </c>
      <c r="B169" s="139">
        <v>444</v>
      </c>
      <c r="C169" s="105" t="s">
        <v>1623</v>
      </c>
      <c r="D169" s="160">
        <v>0.35499999999999998</v>
      </c>
      <c r="E169" s="160">
        <v>0.47499999999999998</v>
      </c>
      <c r="F169" s="160">
        <v>2.1000000000000001E-2</v>
      </c>
      <c r="G169" s="160">
        <v>0.33600000000000002</v>
      </c>
      <c r="H169" s="160">
        <v>0.14199999999999999</v>
      </c>
      <c r="I169" s="160">
        <v>0.10100000000000001</v>
      </c>
      <c r="J169" s="160">
        <v>0.72399999999999998</v>
      </c>
      <c r="K169" s="160">
        <v>4.7</v>
      </c>
      <c r="L169" s="160">
        <v>0.86</v>
      </c>
      <c r="M169" s="160">
        <v>43.22</v>
      </c>
      <c r="N169" s="160">
        <v>1.3520000000000001</v>
      </c>
    </row>
    <row r="170" spans="1:14" ht="16.5">
      <c r="A170" s="2" t="str">
        <f t="shared" si="2"/>
        <v>445상위25%</v>
      </c>
      <c r="B170" s="139">
        <v>445</v>
      </c>
      <c r="C170" s="105" t="s">
        <v>1623</v>
      </c>
      <c r="D170" s="160">
        <v>0.504</v>
      </c>
      <c r="E170" s="160">
        <v>0.185</v>
      </c>
      <c r="F170" s="160">
        <v>3.2000000000000001E-2</v>
      </c>
      <c r="G170" s="160">
        <v>0.432</v>
      </c>
      <c r="H170" s="160">
        <v>0.37</v>
      </c>
      <c r="I170" s="160">
        <v>5.1999999999999998E-2</v>
      </c>
      <c r="J170" s="160">
        <v>0.97599999999999998</v>
      </c>
      <c r="K170" s="160">
        <v>9</v>
      </c>
      <c r="L170" s="160">
        <v>127.83</v>
      </c>
      <c r="M170" s="160">
        <v>45.06</v>
      </c>
      <c r="N170" s="160">
        <v>9.7000000000000003E-2</v>
      </c>
    </row>
    <row r="171" spans="1:14" ht="16.5">
      <c r="A171" s="2" t="str">
        <f t="shared" si="2"/>
        <v>446상위25%</v>
      </c>
      <c r="B171" s="139">
        <v>446</v>
      </c>
      <c r="C171" s="105" t="s">
        <v>1623</v>
      </c>
      <c r="D171" s="160">
        <v>0.69199999999999995</v>
      </c>
      <c r="E171" s="160">
        <v>0.158</v>
      </c>
      <c r="F171" s="160">
        <v>1.2E-2</v>
      </c>
      <c r="G171" s="160">
        <v>0.90800000000000003</v>
      </c>
      <c r="H171" s="160">
        <v>0.24299999999999999</v>
      </c>
      <c r="I171" s="160">
        <v>1.4999999999999999E-2</v>
      </c>
      <c r="J171" s="160">
        <v>0.28499999999999998</v>
      </c>
      <c r="K171" s="160">
        <v>22.43</v>
      </c>
      <c r="L171" s="160">
        <v>9.4</v>
      </c>
      <c r="M171" s="160">
        <v>32.380000000000003</v>
      </c>
      <c r="N171" s="160">
        <v>0.12</v>
      </c>
    </row>
    <row r="172" spans="1:14" ht="16.5">
      <c r="A172" s="2" t="str">
        <f t="shared" si="2"/>
        <v>447상위25%</v>
      </c>
      <c r="B172" s="139">
        <v>447</v>
      </c>
      <c r="C172" s="105" t="s">
        <v>1623</v>
      </c>
      <c r="D172" s="160">
        <v>0.374</v>
      </c>
      <c r="E172" s="160">
        <v>0.48599999999999999</v>
      </c>
      <c r="F172" s="160">
        <v>0.02</v>
      </c>
      <c r="G172" s="160">
        <v>1.0489999999999999</v>
      </c>
      <c r="H172" s="160">
        <v>5.7000000000000002E-2</v>
      </c>
      <c r="I172" s="160">
        <v>0</v>
      </c>
      <c r="J172" s="160">
        <v>5.3999999999999999E-2</v>
      </c>
      <c r="K172" s="160">
        <v>16.53</v>
      </c>
      <c r="L172" s="160">
        <v>0</v>
      </c>
      <c r="M172" s="160">
        <v>125.82</v>
      </c>
      <c r="N172" s="160">
        <v>0</v>
      </c>
    </row>
    <row r="173" spans="1:14" ht="16.5">
      <c r="A173" s="2" t="str">
        <f t="shared" si="2"/>
        <v>449상위25%</v>
      </c>
      <c r="B173" s="139">
        <v>449</v>
      </c>
      <c r="C173" s="105" t="s">
        <v>1623</v>
      </c>
      <c r="D173" s="160">
        <v>7.0999999999999994E-2</v>
      </c>
      <c r="E173" s="160">
        <v>0.55600000000000005</v>
      </c>
      <c r="F173" s="160">
        <v>1.4E-2</v>
      </c>
      <c r="G173" s="160">
        <v>1.0329999999999999</v>
      </c>
      <c r="H173" s="160">
        <v>0.16500000000000001</v>
      </c>
      <c r="I173" s="160">
        <v>2.5000000000000001E-2</v>
      </c>
      <c r="J173" s="160">
        <v>0.184</v>
      </c>
      <c r="K173" s="160">
        <v>10.59</v>
      </c>
      <c r="L173" s="160">
        <v>4116.1099999999997</v>
      </c>
      <c r="M173" s="160">
        <v>118.22</v>
      </c>
      <c r="N173" s="160">
        <v>8.5999999999999993E-2</v>
      </c>
    </row>
    <row r="174" spans="1:14" ht="16.5">
      <c r="A174" s="2" t="str">
        <f t="shared" si="2"/>
        <v>511상위25%</v>
      </c>
      <c r="B174" s="139">
        <v>511</v>
      </c>
      <c r="C174" s="105" t="s">
        <v>1623</v>
      </c>
      <c r="D174" s="160">
        <v>0.71099999999999997</v>
      </c>
      <c r="E174" s="160">
        <v>0.114</v>
      </c>
      <c r="F174" s="160">
        <v>1.0999999999999999E-2</v>
      </c>
      <c r="G174" s="160">
        <v>1.1140000000000001</v>
      </c>
      <c r="H174" s="160">
        <v>0.20399999999999999</v>
      </c>
      <c r="I174" s="160">
        <v>3.0000000000000001E-3</v>
      </c>
      <c r="J174" s="160">
        <v>0.186</v>
      </c>
      <c r="K174" s="160">
        <v>13.17</v>
      </c>
      <c r="L174" s="160">
        <v>14.46</v>
      </c>
      <c r="M174" s="160">
        <v>106.52</v>
      </c>
      <c r="N174" s="160">
        <v>0.13600000000000001</v>
      </c>
    </row>
    <row r="175" spans="1:14" ht="16.5">
      <c r="A175" s="2" t="str">
        <f t="shared" si="2"/>
        <v>512상위25%</v>
      </c>
      <c r="B175" s="139">
        <v>512</v>
      </c>
      <c r="C175" s="105" t="s">
        <v>1623</v>
      </c>
      <c r="D175" s="160">
        <v>0</v>
      </c>
      <c r="E175" s="160">
        <v>0</v>
      </c>
      <c r="F175" s="160">
        <v>0</v>
      </c>
      <c r="G175" s="160">
        <v>0</v>
      </c>
      <c r="H175" s="160">
        <v>0</v>
      </c>
      <c r="I175" s="160">
        <v>0</v>
      </c>
      <c r="J175" s="160">
        <v>0</v>
      </c>
      <c r="K175" s="160">
        <v>0</v>
      </c>
      <c r="L175" s="160">
        <v>0</v>
      </c>
      <c r="M175" s="160">
        <v>0</v>
      </c>
      <c r="N175" s="160">
        <v>0</v>
      </c>
    </row>
    <row r="176" spans="1:14" ht="16.5">
      <c r="A176" s="2" t="str">
        <f t="shared" si="2"/>
        <v>520상위25%</v>
      </c>
      <c r="B176" s="139">
        <v>520</v>
      </c>
      <c r="C176" s="105" t="s">
        <v>1623</v>
      </c>
      <c r="D176" s="160">
        <v>0.72099999999999997</v>
      </c>
      <c r="E176" s="160">
        <v>9.4E-2</v>
      </c>
      <c r="F176" s="160">
        <v>3.5000000000000003E-2</v>
      </c>
      <c r="G176" s="160">
        <v>0.46200000000000002</v>
      </c>
      <c r="H176" s="160">
        <v>0.38700000000000001</v>
      </c>
      <c r="I176" s="160">
        <v>0.01</v>
      </c>
      <c r="J176" s="160">
        <v>0.85899999999999999</v>
      </c>
      <c r="K176" s="160">
        <v>3.42</v>
      </c>
      <c r="L176" s="160">
        <v>1.67</v>
      </c>
      <c r="M176" s="160">
        <v>21.28</v>
      </c>
      <c r="N176" s="160">
        <v>0.84499999999999997</v>
      </c>
    </row>
    <row r="177" spans="1:14" ht="16.5">
      <c r="A177" s="2" t="str">
        <f t="shared" si="2"/>
        <v>611상위25%</v>
      </c>
      <c r="B177" s="139">
        <v>611</v>
      </c>
      <c r="C177" s="105" t="s">
        <v>1623</v>
      </c>
      <c r="D177" s="160">
        <v>0.71699999999999997</v>
      </c>
      <c r="E177" s="160">
        <v>0.11600000000000001</v>
      </c>
      <c r="F177" s="160">
        <v>0.01</v>
      </c>
      <c r="G177" s="160">
        <v>0.91700000000000004</v>
      </c>
      <c r="H177" s="160">
        <v>0.155</v>
      </c>
      <c r="I177" s="160">
        <v>4.5999999999999999E-2</v>
      </c>
      <c r="J177" s="160">
        <v>0.219</v>
      </c>
      <c r="K177" s="160">
        <v>9.23</v>
      </c>
      <c r="L177" s="160">
        <v>2.33</v>
      </c>
      <c r="M177" s="160">
        <v>32.08</v>
      </c>
      <c r="N177" s="160">
        <v>0.50600000000000001</v>
      </c>
    </row>
    <row r="178" spans="1:14" ht="16.5">
      <c r="A178" s="2" t="str">
        <f t="shared" si="2"/>
        <v>612상위25%</v>
      </c>
      <c r="B178" s="139">
        <v>612</v>
      </c>
      <c r="C178" s="105" t="s">
        <v>1623</v>
      </c>
      <c r="D178" s="160">
        <v>0.71099999999999997</v>
      </c>
      <c r="E178" s="160">
        <v>0.14899999999999999</v>
      </c>
      <c r="F178" s="160">
        <v>2.5999999999999999E-2</v>
      </c>
      <c r="G178" s="160">
        <v>0.75</v>
      </c>
      <c r="H178" s="160">
        <v>0.63300000000000001</v>
      </c>
      <c r="I178" s="160">
        <v>6.0000000000000001E-3</v>
      </c>
      <c r="J178" s="160">
        <v>0.85199999999999998</v>
      </c>
      <c r="K178" s="160">
        <v>7.28</v>
      </c>
      <c r="L178" s="160">
        <v>13.94</v>
      </c>
      <c r="M178" s="160">
        <v>14.54</v>
      </c>
      <c r="N178" s="160">
        <v>0.14000000000000001</v>
      </c>
    </row>
    <row r="179" spans="1:14" ht="16.5">
      <c r="A179" s="2" t="str">
        <f t="shared" si="2"/>
        <v>619상위25%</v>
      </c>
      <c r="B179" s="139">
        <v>619</v>
      </c>
      <c r="C179" s="105" t="s">
        <v>1623</v>
      </c>
      <c r="D179" s="160">
        <v>0.57399999999999995</v>
      </c>
      <c r="E179" s="160">
        <v>0.246</v>
      </c>
      <c r="F179" s="160">
        <v>8.0000000000000002E-3</v>
      </c>
      <c r="G179" s="160">
        <v>0.88200000000000001</v>
      </c>
      <c r="H179" s="160">
        <v>0.23799999999999999</v>
      </c>
      <c r="I179" s="160">
        <v>1.6E-2</v>
      </c>
      <c r="J179" s="160">
        <v>0.28699999999999998</v>
      </c>
      <c r="K179" s="160">
        <v>8.17</v>
      </c>
      <c r="L179" s="160">
        <v>12.38</v>
      </c>
      <c r="M179" s="160">
        <v>16.57</v>
      </c>
      <c r="N179" s="160">
        <v>0.14299999999999999</v>
      </c>
    </row>
    <row r="180" spans="1:14" ht="16.5">
      <c r="A180" s="2" t="str">
        <f t="shared" si="2"/>
        <v>621상위25%</v>
      </c>
      <c r="B180" s="139">
        <v>621</v>
      </c>
      <c r="C180" s="105" t="s">
        <v>1623</v>
      </c>
      <c r="D180" s="160">
        <v>0.76700000000000002</v>
      </c>
      <c r="E180" s="160">
        <v>8.3000000000000004E-2</v>
      </c>
      <c r="F180" s="160">
        <v>1.0999999999999999E-2</v>
      </c>
      <c r="G180" s="160">
        <v>0.61199999999999999</v>
      </c>
      <c r="H180" s="160">
        <v>0.499</v>
      </c>
      <c r="I180" s="160">
        <v>4.0000000000000001E-3</v>
      </c>
      <c r="J180" s="160">
        <v>0.82099999999999995</v>
      </c>
      <c r="K180" s="160">
        <v>9.3699999999999992</v>
      </c>
      <c r="L180" s="160">
        <v>10.69</v>
      </c>
      <c r="M180" s="160">
        <v>16.64</v>
      </c>
      <c r="N180" s="160">
        <v>0.14000000000000001</v>
      </c>
    </row>
    <row r="181" spans="1:14" ht="16.5">
      <c r="A181" s="2" t="str">
        <f t="shared" si="2"/>
        <v>622상위25%</v>
      </c>
      <c r="B181" s="139">
        <v>622</v>
      </c>
      <c r="C181" s="105" t="s">
        <v>1623</v>
      </c>
      <c r="D181" s="160">
        <v>0.68700000000000006</v>
      </c>
      <c r="E181" s="160">
        <v>0.16200000000000001</v>
      </c>
      <c r="F181" s="160">
        <v>4.2999999999999997E-2</v>
      </c>
      <c r="G181" s="160">
        <v>0.47199999999999998</v>
      </c>
      <c r="H181" s="160">
        <v>0.626</v>
      </c>
      <c r="I181" s="160">
        <v>6.8000000000000005E-2</v>
      </c>
      <c r="J181" s="160">
        <v>1.4710000000000001</v>
      </c>
      <c r="K181" s="160">
        <v>4.6100000000000003</v>
      </c>
      <c r="L181" s="160">
        <v>8.43</v>
      </c>
      <c r="M181" s="160">
        <v>18.18</v>
      </c>
      <c r="N181" s="160">
        <v>0.28000000000000003</v>
      </c>
    </row>
    <row r="182" spans="1:14" ht="16.5">
      <c r="A182" s="2" t="str">
        <f t="shared" si="2"/>
        <v>623상위25%</v>
      </c>
      <c r="B182" s="139">
        <v>623</v>
      </c>
      <c r="C182" s="105" t="s">
        <v>1623</v>
      </c>
      <c r="D182" s="160">
        <v>0.80700000000000005</v>
      </c>
      <c r="E182" s="160">
        <v>8.5000000000000006E-2</v>
      </c>
      <c r="F182" s="160">
        <v>6.0000000000000001E-3</v>
      </c>
      <c r="G182" s="160">
        <v>0.36199999999999999</v>
      </c>
      <c r="H182" s="160">
        <v>0.36099999999999999</v>
      </c>
      <c r="I182" s="160">
        <v>0.02</v>
      </c>
      <c r="J182" s="160">
        <v>1.052</v>
      </c>
      <c r="K182" s="160">
        <v>3.3</v>
      </c>
      <c r="L182" s="160">
        <v>1.29</v>
      </c>
      <c r="M182" s="160">
        <v>5.51</v>
      </c>
      <c r="N182" s="160">
        <v>0.89400000000000002</v>
      </c>
    </row>
    <row r="183" spans="1:14" ht="16.5">
      <c r="A183" s="2" t="str">
        <f t="shared" si="2"/>
        <v>624상위25%</v>
      </c>
      <c r="B183" s="139">
        <v>624</v>
      </c>
      <c r="C183" s="105" t="s">
        <v>1623</v>
      </c>
      <c r="D183" s="160">
        <v>0.748</v>
      </c>
      <c r="E183" s="160">
        <v>9.6000000000000002E-2</v>
      </c>
      <c r="F183" s="160">
        <v>1.0999999999999999E-2</v>
      </c>
      <c r="G183" s="160">
        <v>0.62</v>
      </c>
      <c r="H183" s="160">
        <v>0.47599999999999998</v>
      </c>
      <c r="I183" s="160">
        <v>5.0000000000000001E-3</v>
      </c>
      <c r="J183" s="160">
        <v>0.77600000000000002</v>
      </c>
      <c r="K183" s="160">
        <v>9.77</v>
      </c>
      <c r="L183" s="160">
        <v>9.32</v>
      </c>
      <c r="M183" s="160">
        <v>16.579999999999998</v>
      </c>
      <c r="N183" s="160">
        <v>0.14899999999999999</v>
      </c>
    </row>
    <row r="184" spans="1:14" ht="16.5">
      <c r="A184" s="2" t="str">
        <f t="shared" si="2"/>
        <v>625상위25%</v>
      </c>
      <c r="B184" s="139">
        <v>625</v>
      </c>
      <c r="C184" s="105" t="s">
        <v>1623</v>
      </c>
      <c r="D184" s="160">
        <v>0.70499999999999996</v>
      </c>
      <c r="E184" s="160">
        <v>0.14099999999999999</v>
      </c>
      <c r="F184" s="160">
        <v>0.02</v>
      </c>
      <c r="G184" s="160">
        <v>0.71099999999999997</v>
      </c>
      <c r="H184" s="160">
        <v>0.43</v>
      </c>
      <c r="I184" s="160">
        <v>8.9999999999999993E-3</v>
      </c>
      <c r="J184" s="160">
        <v>0.61699999999999999</v>
      </c>
      <c r="K184" s="160">
        <v>6.3</v>
      </c>
      <c r="L184" s="160">
        <v>9.11</v>
      </c>
      <c r="M184" s="160">
        <v>14.19</v>
      </c>
      <c r="N184" s="160">
        <v>0.19800000000000001</v>
      </c>
    </row>
    <row r="185" spans="1:14" ht="16.5">
      <c r="A185" s="2" t="str">
        <f t="shared" si="2"/>
        <v>626상위25%</v>
      </c>
      <c r="B185" s="139">
        <v>626</v>
      </c>
      <c r="C185" s="105" t="s">
        <v>1623</v>
      </c>
      <c r="D185" s="160">
        <v>0.58699999999999997</v>
      </c>
      <c r="E185" s="160">
        <v>0.17199999999999999</v>
      </c>
      <c r="F185" s="160">
        <v>1.4E-2</v>
      </c>
      <c r="G185" s="160">
        <v>0.624</v>
      </c>
      <c r="H185" s="160">
        <v>0.20899999999999999</v>
      </c>
      <c r="I185" s="160">
        <v>1.6E-2</v>
      </c>
      <c r="J185" s="160">
        <v>0.36099999999999999</v>
      </c>
      <c r="K185" s="160">
        <v>4.26</v>
      </c>
      <c r="L185" s="160">
        <v>5.72</v>
      </c>
      <c r="M185" s="160">
        <v>12.88</v>
      </c>
      <c r="N185" s="160">
        <v>0.33200000000000002</v>
      </c>
    </row>
    <row r="186" spans="1:14" ht="16.5">
      <c r="A186" s="2" t="str">
        <f t="shared" si="2"/>
        <v>627상위25%</v>
      </c>
      <c r="B186" s="139">
        <v>627</v>
      </c>
      <c r="C186" s="105" t="s">
        <v>1623</v>
      </c>
      <c r="D186" s="160">
        <v>0.69</v>
      </c>
      <c r="E186" s="160">
        <v>0.126</v>
      </c>
      <c r="F186" s="160">
        <v>1.4E-2</v>
      </c>
      <c r="G186" s="160">
        <v>0.69599999999999995</v>
      </c>
      <c r="H186" s="160">
        <v>0.29699999999999999</v>
      </c>
      <c r="I186" s="160">
        <v>1.6E-2</v>
      </c>
      <c r="J186" s="160">
        <v>0.45</v>
      </c>
      <c r="K186" s="160">
        <v>5.59</v>
      </c>
      <c r="L186" s="160">
        <v>9.4700000000000006</v>
      </c>
      <c r="M186" s="160">
        <v>13.32</v>
      </c>
      <c r="N186" s="160">
        <v>0.20899999999999999</v>
      </c>
    </row>
    <row r="187" spans="1:14" ht="16.5">
      <c r="A187" s="2" t="str">
        <f t="shared" si="2"/>
        <v>628상위25%</v>
      </c>
      <c r="B187" s="139">
        <v>628</v>
      </c>
      <c r="C187" s="105" t="s">
        <v>1623</v>
      </c>
      <c r="D187" s="160">
        <v>0.77600000000000002</v>
      </c>
      <c r="E187" s="160">
        <v>0.104</v>
      </c>
      <c r="F187" s="160">
        <v>1.0999999999999999E-2</v>
      </c>
      <c r="G187" s="160">
        <v>0.58499999999999996</v>
      </c>
      <c r="H187" s="160">
        <v>0.2</v>
      </c>
      <c r="I187" s="160">
        <v>4.0000000000000001E-3</v>
      </c>
      <c r="J187" s="160">
        <v>0.34899999999999998</v>
      </c>
      <c r="K187" s="160">
        <v>1.85</v>
      </c>
      <c r="L187" s="160">
        <v>5.65</v>
      </c>
      <c r="M187" s="160">
        <v>11.57</v>
      </c>
      <c r="N187" s="160">
        <v>0.63</v>
      </c>
    </row>
    <row r="188" spans="1:14" ht="16.5">
      <c r="A188" s="2" t="str">
        <f t="shared" si="2"/>
        <v>629상위25%</v>
      </c>
      <c r="B188" s="139">
        <v>629</v>
      </c>
      <c r="C188" s="105" t="s">
        <v>1623</v>
      </c>
      <c r="D188" s="160">
        <v>0.72399999999999998</v>
      </c>
      <c r="E188" s="160">
        <v>0.115</v>
      </c>
      <c r="F188" s="160">
        <v>2.4E-2</v>
      </c>
      <c r="G188" s="160">
        <v>0.77</v>
      </c>
      <c r="H188" s="160">
        <v>0.51400000000000001</v>
      </c>
      <c r="I188" s="160">
        <v>7.0000000000000001E-3</v>
      </c>
      <c r="J188" s="160">
        <v>0.67700000000000005</v>
      </c>
      <c r="K188" s="160">
        <v>4.6399999999999997</v>
      </c>
      <c r="L188" s="160">
        <v>17.11</v>
      </c>
      <c r="M188" s="160">
        <v>13.28</v>
      </c>
      <c r="N188" s="160">
        <v>0.19900000000000001</v>
      </c>
    </row>
    <row r="189" spans="1:14" ht="16.5">
      <c r="A189" s="2" t="str">
        <f t="shared" si="2"/>
        <v>631상위25%</v>
      </c>
      <c r="B189" s="139">
        <v>631</v>
      </c>
      <c r="C189" s="105" t="s">
        <v>1623</v>
      </c>
      <c r="D189" s="160">
        <v>0.61799999999999999</v>
      </c>
      <c r="E189" s="160">
        <v>0.19500000000000001</v>
      </c>
      <c r="F189" s="160">
        <v>0.01</v>
      </c>
      <c r="G189" s="160">
        <v>0.90400000000000003</v>
      </c>
      <c r="H189" s="160">
        <v>0.14199999999999999</v>
      </c>
      <c r="I189" s="160">
        <v>2.9000000000000001E-2</v>
      </c>
      <c r="J189" s="160">
        <v>0.189</v>
      </c>
      <c r="K189" s="160">
        <v>12.95</v>
      </c>
      <c r="L189" s="160">
        <v>18.03</v>
      </c>
      <c r="M189" s="160">
        <v>25.35</v>
      </c>
      <c r="N189" s="160">
        <v>9.2999999999999999E-2</v>
      </c>
    </row>
    <row r="190" spans="1:14" ht="16.5">
      <c r="A190" s="2" t="str">
        <f t="shared" si="2"/>
        <v>632상위25%</v>
      </c>
      <c r="B190" s="139">
        <v>632</v>
      </c>
      <c r="C190" s="105" t="s">
        <v>1623</v>
      </c>
      <c r="D190" s="160">
        <v>0.75800000000000001</v>
      </c>
      <c r="E190" s="160">
        <v>0.115</v>
      </c>
      <c r="F190" s="160">
        <v>1.2999999999999999E-2</v>
      </c>
      <c r="G190" s="160">
        <v>1.0940000000000001</v>
      </c>
      <c r="H190" s="160">
        <v>0.25800000000000001</v>
      </c>
      <c r="I190" s="160">
        <v>3.0000000000000001E-3</v>
      </c>
      <c r="J190" s="160">
        <v>0.23799999999999999</v>
      </c>
      <c r="K190" s="160">
        <v>16.61</v>
      </c>
      <c r="L190" s="160">
        <v>21.38</v>
      </c>
      <c r="M190" s="160">
        <v>23.4</v>
      </c>
      <c r="N190" s="160">
        <v>6.4000000000000001E-2</v>
      </c>
    </row>
    <row r="191" spans="1:14" ht="16.5">
      <c r="A191" s="2" t="str">
        <f t="shared" si="2"/>
        <v>633상위25%</v>
      </c>
      <c r="B191" s="139">
        <v>633</v>
      </c>
      <c r="C191" s="105" t="s">
        <v>1623</v>
      </c>
      <c r="D191" s="160">
        <v>0.32500000000000001</v>
      </c>
      <c r="E191" s="160">
        <v>0.45200000000000001</v>
      </c>
      <c r="F191" s="160">
        <v>3.5999999999999997E-2</v>
      </c>
      <c r="G191" s="160">
        <v>0.53300000000000003</v>
      </c>
      <c r="H191" s="160">
        <v>0.13900000000000001</v>
      </c>
      <c r="I191" s="160">
        <v>0.109</v>
      </c>
      <c r="J191" s="160">
        <v>0.46500000000000002</v>
      </c>
      <c r="K191" s="160">
        <v>7.33</v>
      </c>
      <c r="L191" s="160">
        <v>88.77</v>
      </c>
      <c r="M191" s="160">
        <v>47.83</v>
      </c>
      <c r="N191" s="160">
        <v>0.127</v>
      </c>
    </row>
    <row r="192" spans="1:14" ht="16.5">
      <c r="A192" s="2" t="str">
        <f t="shared" si="2"/>
        <v>634상위25%</v>
      </c>
      <c r="B192" s="139">
        <v>634</v>
      </c>
      <c r="C192" s="105" t="s">
        <v>1623</v>
      </c>
      <c r="D192" s="160">
        <v>0.38200000000000001</v>
      </c>
      <c r="E192" s="160">
        <v>0.441</v>
      </c>
      <c r="F192" s="160">
        <v>2.9000000000000001E-2</v>
      </c>
      <c r="G192" s="160">
        <v>0.372</v>
      </c>
      <c r="H192" s="160">
        <v>0.17699999999999999</v>
      </c>
      <c r="I192" s="160">
        <v>9.4E-2</v>
      </c>
      <c r="J192" s="160">
        <v>0.73</v>
      </c>
      <c r="K192" s="160">
        <v>4.87</v>
      </c>
      <c r="L192" s="160">
        <v>1.06</v>
      </c>
      <c r="M192" s="160">
        <v>48.58</v>
      </c>
      <c r="N192" s="160">
        <v>1.127</v>
      </c>
    </row>
    <row r="193" spans="1:14" ht="16.5">
      <c r="A193" s="2" t="str">
        <f t="shared" si="2"/>
        <v>635상위25%</v>
      </c>
      <c r="B193" s="139">
        <v>635</v>
      </c>
      <c r="C193" s="105" t="s">
        <v>1623</v>
      </c>
      <c r="D193" s="160">
        <v>0.32400000000000001</v>
      </c>
      <c r="E193" s="160">
        <v>0.42699999999999999</v>
      </c>
      <c r="F193" s="160">
        <v>2.9000000000000001E-2</v>
      </c>
      <c r="G193" s="160">
        <v>0.6</v>
      </c>
      <c r="H193" s="160">
        <v>0.46899999999999997</v>
      </c>
      <c r="I193" s="160">
        <v>8.0000000000000002E-3</v>
      </c>
      <c r="J193" s="160">
        <v>0.79400000000000004</v>
      </c>
      <c r="K193" s="160">
        <v>6.58</v>
      </c>
      <c r="L193" s="160">
        <v>170.63</v>
      </c>
      <c r="M193" s="160">
        <v>74.03</v>
      </c>
      <c r="N193" s="160">
        <v>0.14399999999999999</v>
      </c>
    </row>
    <row r="194" spans="1:14" ht="16.5">
      <c r="A194" s="2" t="str">
        <f t="shared" si="2"/>
        <v>636상위25%</v>
      </c>
      <c r="B194" s="139">
        <v>636</v>
      </c>
      <c r="C194" s="105" t="s">
        <v>1623</v>
      </c>
      <c r="D194" s="160">
        <v>0.504</v>
      </c>
      <c r="E194" s="160">
        <v>0.185</v>
      </c>
      <c r="F194" s="160">
        <v>3.2000000000000001E-2</v>
      </c>
      <c r="G194" s="160">
        <v>0.432</v>
      </c>
      <c r="H194" s="160">
        <v>0.37</v>
      </c>
      <c r="I194" s="160">
        <v>5.1999999999999998E-2</v>
      </c>
      <c r="J194" s="160">
        <v>0.97599999999999998</v>
      </c>
      <c r="K194" s="160">
        <v>9</v>
      </c>
      <c r="L194" s="160">
        <v>127.83</v>
      </c>
      <c r="M194" s="160">
        <v>45.06</v>
      </c>
      <c r="N194" s="160">
        <v>9.7000000000000003E-2</v>
      </c>
    </row>
    <row r="195" spans="1:14" ht="16.5">
      <c r="A195" s="2" t="str">
        <f t="shared" ref="A195:A258" si="3">B195&amp;C195</f>
        <v>637상위25%</v>
      </c>
      <c r="B195" s="139">
        <v>637</v>
      </c>
      <c r="C195" s="105" t="s">
        <v>1623</v>
      </c>
      <c r="D195" s="160">
        <v>0.23699999999999999</v>
      </c>
      <c r="E195" s="160">
        <v>0.54100000000000004</v>
      </c>
      <c r="F195" s="160">
        <v>1.9E-2</v>
      </c>
      <c r="G195" s="160">
        <v>0.84699999999999998</v>
      </c>
      <c r="H195" s="160">
        <v>0.23400000000000001</v>
      </c>
      <c r="I195" s="160">
        <v>2.7E-2</v>
      </c>
      <c r="J195" s="160">
        <v>0.308</v>
      </c>
      <c r="K195" s="160">
        <v>7.18</v>
      </c>
      <c r="L195" s="160">
        <v>27.56</v>
      </c>
      <c r="M195" s="160">
        <v>27.37</v>
      </c>
      <c r="N195" s="160">
        <v>0.13900000000000001</v>
      </c>
    </row>
    <row r="196" spans="1:14" ht="16.5">
      <c r="A196" s="2" t="str">
        <f t="shared" si="3"/>
        <v>639상위25%</v>
      </c>
      <c r="B196" s="139">
        <v>639</v>
      </c>
      <c r="C196" s="105" t="s">
        <v>1623</v>
      </c>
      <c r="D196" s="160">
        <v>0.19600000000000001</v>
      </c>
      <c r="E196" s="160">
        <v>0.57099999999999995</v>
      </c>
      <c r="F196" s="160">
        <v>5.0999999999999997E-2</v>
      </c>
      <c r="G196" s="160">
        <v>0.73099999999999998</v>
      </c>
      <c r="H196" s="160">
        <v>0.86899999999999999</v>
      </c>
      <c r="I196" s="160">
        <v>0</v>
      </c>
      <c r="J196" s="160">
        <v>1.19</v>
      </c>
      <c r="K196" s="160">
        <v>0</v>
      </c>
      <c r="L196" s="160">
        <v>51.99</v>
      </c>
      <c r="M196" s="160">
        <v>140.25</v>
      </c>
      <c r="N196" s="160">
        <v>0</v>
      </c>
    </row>
    <row r="197" spans="1:14" ht="16.5">
      <c r="A197" s="2" t="str">
        <f t="shared" si="3"/>
        <v>711상위25%</v>
      </c>
      <c r="B197" s="139">
        <v>711</v>
      </c>
      <c r="C197" s="105" t="s">
        <v>1623</v>
      </c>
      <c r="D197" s="160">
        <v>0.72799999999999998</v>
      </c>
      <c r="E197" s="160">
        <v>0.16400000000000001</v>
      </c>
      <c r="F197" s="160">
        <v>2.1999999999999999E-2</v>
      </c>
      <c r="G197" s="160">
        <v>0.72399999999999998</v>
      </c>
      <c r="H197" s="160">
        <v>0.53600000000000003</v>
      </c>
      <c r="I197" s="160">
        <v>3.0000000000000001E-3</v>
      </c>
      <c r="J197" s="160">
        <v>0.74399999999999999</v>
      </c>
      <c r="K197" s="160">
        <v>6.24</v>
      </c>
      <c r="L197" s="160">
        <v>28.89</v>
      </c>
      <c r="M197" s="160">
        <v>54.51</v>
      </c>
      <c r="N197" s="160">
        <v>0.17599999999999999</v>
      </c>
    </row>
    <row r="198" spans="1:14" ht="16.5">
      <c r="A198" s="2" t="str">
        <f t="shared" si="3"/>
        <v>712상위25%</v>
      </c>
      <c r="B198" s="139">
        <v>712</v>
      </c>
      <c r="C198" s="105" t="s">
        <v>1623</v>
      </c>
      <c r="D198" s="160">
        <v>0.83399999999999996</v>
      </c>
      <c r="E198" s="160">
        <v>8.5000000000000006E-2</v>
      </c>
      <c r="F198" s="160">
        <v>1.2999999999999999E-2</v>
      </c>
      <c r="G198" s="160">
        <v>1.3759999999999999</v>
      </c>
      <c r="H198" s="160">
        <v>0.45200000000000001</v>
      </c>
      <c r="I198" s="160">
        <v>7.0000000000000001E-3</v>
      </c>
      <c r="J198" s="160">
        <v>0.33300000000000002</v>
      </c>
      <c r="K198" s="160">
        <v>8.85</v>
      </c>
      <c r="L198" s="160">
        <v>9.34</v>
      </c>
      <c r="M198" s="160">
        <v>29.23</v>
      </c>
      <c r="N198" s="160">
        <v>0.186</v>
      </c>
    </row>
    <row r="199" spans="1:14" ht="16.5">
      <c r="A199" s="2" t="str">
        <f t="shared" si="3"/>
        <v>721상위25%</v>
      </c>
      <c r="B199" s="139">
        <v>721</v>
      </c>
      <c r="C199" s="105" t="s">
        <v>1623</v>
      </c>
      <c r="D199" s="160">
        <v>0.77200000000000002</v>
      </c>
      <c r="E199" s="160">
        <v>0.11799999999999999</v>
      </c>
      <c r="F199" s="160">
        <v>2.1000000000000001E-2</v>
      </c>
      <c r="G199" s="160">
        <v>0.98599999999999999</v>
      </c>
      <c r="H199" s="160">
        <v>0.41</v>
      </c>
      <c r="I199" s="160">
        <v>4.0000000000000001E-3</v>
      </c>
      <c r="J199" s="160">
        <v>0.42</v>
      </c>
      <c r="K199" s="160">
        <v>7.18</v>
      </c>
      <c r="L199" s="160">
        <v>5.6</v>
      </c>
      <c r="M199" s="160">
        <v>22.85</v>
      </c>
      <c r="N199" s="160">
        <v>0.27400000000000002</v>
      </c>
    </row>
    <row r="200" spans="1:14" ht="16.5">
      <c r="A200" s="2" t="str">
        <f t="shared" si="3"/>
        <v>722상위25%</v>
      </c>
      <c r="B200" s="139">
        <v>722</v>
      </c>
      <c r="C200" s="105" t="s">
        <v>1623</v>
      </c>
      <c r="D200" s="160">
        <v>0.749</v>
      </c>
      <c r="E200" s="160">
        <v>9.9000000000000005E-2</v>
      </c>
      <c r="F200" s="160">
        <v>2.1999999999999999E-2</v>
      </c>
      <c r="G200" s="160">
        <v>0.95799999999999996</v>
      </c>
      <c r="H200" s="160">
        <v>0.44900000000000001</v>
      </c>
      <c r="I200" s="160">
        <v>2E-3</v>
      </c>
      <c r="J200" s="160">
        <v>0.47</v>
      </c>
      <c r="K200" s="160">
        <v>7.61</v>
      </c>
      <c r="L200" s="160">
        <v>6.52</v>
      </c>
      <c r="M200" s="160">
        <v>18.97</v>
      </c>
      <c r="N200" s="160">
        <v>0.23200000000000001</v>
      </c>
    </row>
    <row r="201" spans="1:14" ht="16.5">
      <c r="A201" s="2" t="str">
        <f t="shared" si="3"/>
        <v>730상위25%</v>
      </c>
      <c r="B201" s="139">
        <v>730</v>
      </c>
      <c r="C201" s="105" t="s">
        <v>1623</v>
      </c>
      <c r="D201" s="160">
        <v>0.71299999999999997</v>
      </c>
      <c r="E201" s="160">
        <v>0.17299999999999999</v>
      </c>
      <c r="F201" s="160">
        <v>2.5999999999999999E-2</v>
      </c>
      <c r="G201" s="160">
        <v>0.95499999999999996</v>
      </c>
      <c r="H201" s="160">
        <v>0.54400000000000004</v>
      </c>
      <c r="I201" s="160">
        <v>8.9999999999999993E-3</v>
      </c>
      <c r="J201" s="160">
        <v>0.57899999999999996</v>
      </c>
      <c r="K201" s="160">
        <v>8.17</v>
      </c>
      <c r="L201" s="160">
        <v>7.2</v>
      </c>
      <c r="M201" s="160">
        <v>23.67</v>
      </c>
      <c r="N201" s="160">
        <v>0.219</v>
      </c>
    </row>
    <row r="202" spans="1:14" ht="16.5">
      <c r="A202" s="2" t="str">
        <f t="shared" si="3"/>
        <v>740상위25%</v>
      </c>
      <c r="B202" s="139">
        <v>740</v>
      </c>
      <c r="C202" s="105" t="s">
        <v>1623</v>
      </c>
      <c r="D202" s="160">
        <v>0.81899999999999995</v>
      </c>
      <c r="E202" s="160">
        <v>4.1000000000000002E-2</v>
      </c>
      <c r="F202" s="160">
        <v>0.01</v>
      </c>
      <c r="G202" s="160">
        <v>0.85499999999999998</v>
      </c>
      <c r="H202" s="160">
        <v>0.20499999999999999</v>
      </c>
      <c r="I202" s="160">
        <v>1.0999999999999999E-2</v>
      </c>
      <c r="J202" s="160">
        <v>0.252</v>
      </c>
      <c r="K202" s="160">
        <v>10.02</v>
      </c>
      <c r="L202" s="160">
        <v>20.43</v>
      </c>
      <c r="M202" s="160">
        <v>22.48</v>
      </c>
      <c r="N202" s="160">
        <v>0.104</v>
      </c>
    </row>
    <row r="203" spans="1:14" ht="16.5">
      <c r="A203" s="2" t="str">
        <f t="shared" si="3"/>
        <v>750상위25%</v>
      </c>
      <c r="B203" s="139">
        <v>750</v>
      </c>
      <c r="C203" s="105" t="s">
        <v>1623</v>
      </c>
      <c r="D203" s="160">
        <v>0.42299999999999999</v>
      </c>
      <c r="E203" s="160">
        <v>0.47899999999999998</v>
      </c>
      <c r="F203" s="160">
        <v>2.1000000000000001E-2</v>
      </c>
      <c r="G203" s="160">
        <v>0.77300000000000002</v>
      </c>
      <c r="H203" s="160">
        <v>0.23699999999999999</v>
      </c>
      <c r="I203" s="160">
        <v>4.0000000000000001E-3</v>
      </c>
      <c r="J203" s="160">
        <v>0.312</v>
      </c>
      <c r="K203" s="160">
        <v>15.17</v>
      </c>
      <c r="L203" s="160">
        <v>20.100000000000001</v>
      </c>
      <c r="M203" s="160">
        <v>32.79</v>
      </c>
      <c r="N203" s="160">
        <v>8.5000000000000006E-2</v>
      </c>
    </row>
    <row r="204" spans="1:14" ht="16.5">
      <c r="A204" s="2" t="str">
        <f t="shared" si="3"/>
        <v>761상위25%</v>
      </c>
      <c r="B204" s="139">
        <v>761</v>
      </c>
      <c r="C204" s="105" t="s">
        <v>1623</v>
      </c>
      <c r="D204" s="160">
        <v>0.68899999999999995</v>
      </c>
      <c r="E204" s="160">
        <v>0.187</v>
      </c>
      <c r="F204" s="160">
        <v>2.8000000000000001E-2</v>
      </c>
      <c r="G204" s="160">
        <v>1.0429999999999999</v>
      </c>
      <c r="H204" s="160">
        <v>0.48799999999999999</v>
      </c>
      <c r="I204" s="160">
        <v>1.6E-2</v>
      </c>
      <c r="J204" s="160">
        <v>0.48399999999999999</v>
      </c>
      <c r="K204" s="160">
        <v>6.67</v>
      </c>
      <c r="L204" s="160">
        <v>10.23</v>
      </c>
      <c r="M204" s="160">
        <v>16.87</v>
      </c>
      <c r="N204" s="160">
        <v>0.188</v>
      </c>
    </row>
    <row r="205" spans="1:14" ht="16.5">
      <c r="A205" s="2" t="str">
        <f t="shared" si="3"/>
        <v>762상위25%</v>
      </c>
      <c r="B205" s="139">
        <v>762</v>
      </c>
      <c r="C205" s="105" t="s">
        <v>1623</v>
      </c>
      <c r="D205" s="160">
        <v>0.77</v>
      </c>
      <c r="E205" s="160">
        <v>0.12</v>
      </c>
      <c r="F205" s="160">
        <v>1.9E-2</v>
      </c>
      <c r="G205" s="160">
        <v>0.65700000000000003</v>
      </c>
      <c r="H205" s="160">
        <v>0.54200000000000004</v>
      </c>
      <c r="I205" s="160">
        <v>0</v>
      </c>
      <c r="J205" s="160">
        <v>0.82599999999999996</v>
      </c>
      <c r="K205" s="160">
        <v>5.27</v>
      </c>
      <c r="L205" s="160">
        <v>51.82</v>
      </c>
      <c r="M205" s="160">
        <v>16.75</v>
      </c>
      <c r="N205" s="160">
        <v>0.14899999999999999</v>
      </c>
    </row>
    <row r="206" spans="1:14" ht="16.5">
      <c r="A206" s="2" t="str">
        <f t="shared" si="3"/>
        <v>770상위25%</v>
      </c>
      <c r="B206" s="139">
        <v>770</v>
      </c>
      <c r="C206" s="105" t="s">
        <v>1623</v>
      </c>
      <c r="D206" s="160">
        <v>0.70899999999999996</v>
      </c>
      <c r="E206" s="160">
        <v>0.14199999999999999</v>
      </c>
      <c r="F206" s="160">
        <v>1.6E-2</v>
      </c>
      <c r="G206" s="160">
        <v>0.55900000000000005</v>
      </c>
      <c r="H206" s="160">
        <v>0.24299999999999999</v>
      </c>
      <c r="I206" s="160">
        <v>4.0000000000000001E-3</v>
      </c>
      <c r="J206" s="160">
        <v>0.443</v>
      </c>
      <c r="K206" s="160">
        <v>5.43</v>
      </c>
      <c r="L206" s="160">
        <v>9.64</v>
      </c>
      <c r="M206" s="160">
        <v>15.54</v>
      </c>
      <c r="N206" s="160">
        <v>0.224</v>
      </c>
    </row>
    <row r="207" spans="1:14" ht="16.5">
      <c r="A207" s="2" t="str">
        <f t="shared" si="3"/>
        <v>791상위25%</v>
      </c>
      <c r="B207" s="139">
        <v>791</v>
      </c>
      <c r="C207" s="105" t="s">
        <v>1623</v>
      </c>
      <c r="D207" s="160">
        <v>0.59199999999999997</v>
      </c>
      <c r="E207" s="160">
        <v>0.25600000000000001</v>
      </c>
      <c r="F207" s="160">
        <v>1.7999999999999999E-2</v>
      </c>
      <c r="G207" s="160">
        <v>0.68500000000000005</v>
      </c>
      <c r="H207" s="160">
        <v>0.54</v>
      </c>
      <c r="I207" s="160">
        <v>2.1000000000000001E-2</v>
      </c>
      <c r="J207" s="160">
        <v>0.82</v>
      </c>
      <c r="K207" s="160">
        <v>9.58</v>
      </c>
      <c r="L207" s="160">
        <v>16.11</v>
      </c>
      <c r="M207" s="160">
        <v>22.74</v>
      </c>
      <c r="N207" s="160">
        <v>0.123</v>
      </c>
    </row>
    <row r="208" spans="1:14" ht="16.5">
      <c r="A208" s="2" t="str">
        <f t="shared" si="3"/>
        <v>792상위25%</v>
      </c>
      <c r="B208" s="139">
        <v>792</v>
      </c>
      <c r="C208" s="105" t="s">
        <v>1623</v>
      </c>
      <c r="D208" s="160">
        <v>0.72799999999999998</v>
      </c>
      <c r="E208" s="160">
        <v>0.16700000000000001</v>
      </c>
      <c r="F208" s="160">
        <v>2.3E-2</v>
      </c>
      <c r="G208" s="160">
        <v>0.54200000000000004</v>
      </c>
      <c r="H208" s="160">
        <v>0.32200000000000001</v>
      </c>
      <c r="I208" s="160">
        <v>1.6E-2</v>
      </c>
      <c r="J208" s="160">
        <v>0.625</v>
      </c>
      <c r="K208" s="160">
        <v>6.24</v>
      </c>
      <c r="L208" s="160">
        <v>19.18</v>
      </c>
      <c r="M208" s="160">
        <v>62.59</v>
      </c>
      <c r="N208" s="160">
        <v>0.19600000000000001</v>
      </c>
    </row>
    <row r="209" spans="1:14" ht="16.5">
      <c r="A209" s="2" t="str">
        <f t="shared" si="3"/>
        <v>793상위25%</v>
      </c>
      <c r="B209" s="139">
        <v>793</v>
      </c>
      <c r="C209" s="105" t="s">
        <v>1623</v>
      </c>
      <c r="D209" s="160">
        <v>0.73499999999999999</v>
      </c>
      <c r="E209" s="160">
        <v>0.14000000000000001</v>
      </c>
      <c r="F209" s="160">
        <v>2.1000000000000001E-2</v>
      </c>
      <c r="G209" s="160">
        <v>1.1399999999999999</v>
      </c>
      <c r="H209" s="160">
        <v>0.48899999999999999</v>
      </c>
      <c r="I209" s="160">
        <v>7.0000000000000001E-3</v>
      </c>
      <c r="J209" s="160">
        <v>0.435</v>
      </c>
      <c r="K209" s="160">
        <v>9.83</v>
      </c>
      <c r="L209" s="160">
        <v>19.440000000000001</v>
      </c>
      <c r="M209" s="160">
        <v>10.31</v>
      </c>
      <c r="N209" s="160">
        <v>5.6000000000000001E-2</v>
      </c>
    </row>
    <row r="210" spans="1:14" ht="16.5">
      <c r="A210" s="2" t="str">
        <f t="shared" si="3"/>
        <v>794상위25%</v>
      </c>
      <c r="B210" s="139">
        <v>794</v>
      </c>
      <c r="C210" s="105" t="s">
        <v>1623</v>
      </c>
      <c r="D210" s="160">
        <v>0.67600000000000005</v>
      </c>
      <c r="E210" s="160">
        <v>0.14899999999999999</v>
      </c>
      <c r="F210" s="160">
        <v>1.7000000000000001E-2</v>
      </c>
      <c r="G210" s="160">
        <v>0.78300000000000003</v>
      </c>
      <c r="H210" s="160">
        <v>0.38100000000000001</v>
      </c>
      <c r="I210" s="160">
        <v>5.0000000000000001E-3</v>
      </c>
      <c r="J210" s="160">
        <v>0.49199999999999999</v>
      </c>
      <c r="K210" s="160">
        <v>7.23</v>
      </c>
      <c r="L210" s="160">
        <v>6.86</v>
      </c>
      <c r="M210" s="160">
        <v>16.57</v>
      </c>
      <c r="N210" s="160">
        <v>0.224</v>
      </c>
    </row>
    <row r="211" spans="1:14" ht="16.5">
      <c r="A211" s="2" t="str">
        <f t="shared" si="3"/>
        <v>795상위25%</v>
      </c>
      <c r="B211" s="139">
        <v>795</v>
      </c>
      <c r="C211" s="105" t="s">
        <v>1623</v>
      </c>
      <c r="D211" s="160">
        <v>0.51800000000000002</v>
      </c>
      <c r="E211" s="160">
        <v>0.33</v>
      </c>
      <c r="F211" s="160">
        <v>1.2E-2</v>
      </c>
      <c r="G211" s="160">
        <v>0.83099999999999996</v>
      </c>
      <c r="H211" s="160">
        <v>0.22600000000000001</v>
      </c>
      <c r="I211" s="160">
        <v>8.9999999999999993E-3</v>
      </c>
      <c r="J211" s="160">
        <v>0.28199999999999997</v>
      </c>
      <c r="K211" s="160">
        <v>10.59</v>
      </c>
      <c r="L211" s="160">
        <v>3.03</v>
      </c>
      <c r="M211" s="160">
        <v>24.9</v>
      </c>
      <c r="N211" s="160">
        <v>0.38400000000000001</v>
      </c>
    </row>
    <row r="212" spans="1:14" ht="16.5">
      <c r="A212" s="2" t="str">
        <f t="shared" si="3"/>
        <v>799상위25%</v>
      </c>
      <c r="B212" s="139">
        <v>799</v>
      </c>
      <c r="C212" s="105" t="s">
        <v>1623</v>
      </c>
      <c r="D212" s="160">
        <v>0.51800000000000002</v>
      </c>
      <c r="E212" s="160">
        <v>0.33</v>
      </c>
      <c r="F212" s="160">
        <v>1.2E-2</v>
      </c>
      <c r="G212" s="160">
        <v>0.83099999999999996</v>
      </c>
      <c r="H212" s="160">
        <v>0.22600000000000001</v>
      </c>
      <c r="I212" s="160">
        <v>8.9999999999999993E-3</v>
      </c>
      <c r="J212" s="160">
        <v>0.28199999999999997</v>
      </c>
      <c r="K212" s="160">
        <v>10.59</v>
      </c>
      <c r="L212" s="160">
        <v>3.03</v>
      </c>
      <c r="M212" s="160">
        <v>24.9</v>
      </c>
      <c r="N212" s="160">
        <v>0.38400000000000001</v>
      </c>
    </row>
    <row r="213" spans="1:14" ht="16.5">
      <c r="A213" s="2" t="str">
        <f t="shared" si="3"/>
        <v>811상위25%</v>
      </c>
      <c r="B213" s="139">
        <v>811</v>
      </c>
      <c r="C213" s="105" t="s">
        <v>1623</v>
      </c>
      <c r="D213" s="160">
        <v>0.4</v>
      </c>
      <c r="E213" s="160">
        <v>0.33500000000000002</v>
      </c>
      <c r="F213" s="160">
        <v>1.9E-2</v>
      </c>
      <c r="G213" s="160">
        <v>0.504</v>
      </c>
      <c r="H213" s="160">
        <v>0.26400000000000001</v>
      </c>
      <c r="I213" s="160">
        <v>0.47499999999999998</v>
      </c>
      <c r="J213" s="160">
        <v>1.4650000000000001</v>
      </c>
      <c r="K213" s="160">
        <v>5.69</v>
      </c>
      <c r="L213" s="160">
        <v>13.46</v>
      </c>
      <c r="M213" s="160">
        <v>8.35</v>
      </c>
      <c r="N213" s="160">
        <v>0.13</v>
      </c>
    </row>
    <row r="214" spans="1:14" ht="16.5">
      <c r="A214" s="2" t="str">
        <f t="shared" si="3"/>
        <v>812상위25%</v>
      </c>
      <c r="B214" s="139">
        <v>812</v>
      </c>
      <c r="C214" s="105" t="s">
        <v>1623</v>
      </c>
      <c r="D214" s="160">
        <v>0.53400000000000003</v>
      </c>
      <c r="E214" s="160">
        <v>0.29299999999999998</v>
      </c>
      <c r="F214" s="160">
        <v>3.0000000000000001E-3</v>
      </c>
      <c r="G214" s="160">
        <v>0.84199999999999997</v>
      </c>
      <c r="H214" s="160">
        <v>0.182</v>
      </c>
      <c r="I214" s="160">
        <v>0.08</v>
      </c>
      <c r="J214" s="160">
        <v>0.311</v>
      </c>
      <c r="K214" s="160">
        <v>4.37</v>
      </c>
      <c r="L214" s="160">
        <v>8.5</v>
      </c>
      <c r="M214" s="160">
        <v>21.56</v>
      </c>
      <c r="N214" s="160">
        <v>0.3</v>
      </c>
    </row>
    <row r="215" spans="1:14" ht="16.5">
      <c r="A215" s="2" t="str">
        <f t="shared" si="3"/>
        <v>821상위25%</v>
      </c>
      <c r="B215" s="139">
        <v>821</v>
      </c>
      <c r="C215" s="105" t="s">
        <v>1623</v>
      </c>
      <c r="D215" s="160">
        <v>0.58199999999999996</v>
      </c>
      <c r="E215" s="160">
        <v>0.27500000000000002</v>
      </c>
      <c r="F215" s="160">
        <v>2.7E-2</v>
      </c>
      <c r="G215" s="160">
        <v>1.0169999999999999</v>
      </c>
      <c r="H215" s="160">
        <v>0.54700000000000004</v>
      </c>
      <c r="I215" s="160">
        <v>0.01</v>
      </c>
      <c r="J215" s="160">
        <v>0.54700000000000004</v>
      </c>
      <c r="K215" s="160">
        <v>11.97</v>
      </c>
      <c r="L215" s="160">
        <v>16.53</v>
      </c>
      <c r="M215" s="160">
        <v>28.52</v>
      </c>
      <c r="N215" s="160">
        <v>0.109</v>
      </c>
    </row>
    <row r="216" spans="1:14" ht="16.5">
      <c r="A216" s="2" t="str">
        <f t="shared" si="3"/>
        <v>822상위25%</v>
      </c>
      <c r="B216" s="139">
        <v>822</v>
      </c>
      <c r="C216" s="105" t="s">
        <v>1623</v>
      </c>
      <c r="D216" s="160">
        <v>0</v>
      </c>
      <c r="E216" s="160">
        <v>0</v>
      </c>
      <c r="F216" s="160">
        <v>0</v>
      </c>
      <c r="G216" s="160">
        <v>0</v>
      </c>
      <c r="H216" s="160">
        <v>0</v>
      </c>
      <c r="I216" s="160">
        <v>0</v>
      </c>
      <c r="J216" s="160">
        <v>0</v>
      </c>
      <c r="K216" s="160">
        <v>0</v>
      </c>
      <c r="L216" s="160">
        <v>0</v>
      </c>
      <c r="M216" s="160">
        <v>0</v>
      </c>
      <c r="N216" s="160">
        <v>0</v>
      </c>
    </row>
    <row r="217" spans="1:14" ht="16.5">
      <c r="A217" s="2" t="str">
        <f t="shared" si="3"/>
        <v>911상위25%</v>
      </c>
      <c r="B217" s="139">
        <v>911</v>
      </c>
      <c r="C217" s="105" t="s">
        <v>1623</v>
      </c>
      <c r="D217" s="160">
        <v>0.52300000000000002</v>
      </c>
      <c r="E217" s="160">
        <v>0.13900000000000001</v>
      </c>
      <c r="F217" s="160">
        <v>1.7000000000000001E-2</v>
      </c>
      <c r="G217" s="160">
        <v>0.13700000000000001</v>
      </c>
      <c r="H217" s="160">
        <v>9.9000000000000005E-2</v>
      </c>
      <c r="I217" s="160">
        <v>1.6E-2</v>
      </c>
      <c r="J217" s="160">
        <v>0.83899999999999997</v>
      </c>
      <c r="K217" s="160">
        <v>7.37</v>
      </c>
      <c r="L217" s="160">
        <v>12.26</v>
      </c>
      <c r="M217" s="160">
        <v>18.100000000000001</v>
      </c>
      <c r="N217" s="160">
        <v>0.16200000000000001</v>
      </c>
    </row>
    <row r="218" spans="1:14" ht="16.5">
      <c r="A218" s="2" t="str">
        <f t="shared" si="3"/>
        <v>912상위25%</v>
      </c>
      <c r="B218" s="139">
        <v>912</v>
      </c>
      <c r="C218" s="105" t="s">
        <v>1623</v>
      </c>
      <c r="D218" s="160">
        <v>0.61</v>
      </c>
      <c r="E218" s="160">
        <v>0.25</v>
      </c>
      <c r="F218" s="160">
        <v>5.0000000000000001E-3</v>
      </c>
      <c r="G218" s="160">
        <v>1.5369999999999999</v>
      </c>
      <c r="H218" s="160">
        <v>0.22500000000000001</v>
      </c>
      <c r="I218" s="160">
        <v>1.7000000000000001E-2</v>
      </c>
      <c r="J218" s="160">
        <v>0.157</v>
      </c>
      <c r="K218" s="160">
        <v>8.1</v>
      </c>
      <c r="L218" s="160">
        <v>12.54</v>
      </c>
      <c r="M218" s="160">
        <v>19.77</v>
      </c>
      <c r="N218" s="160">
        <v>0.153</v>
      </c>
    </row>
    <row r="219" spans="1:14" ht="16.5">
      <c r="A219" s="2" t="str">
        <f t="shared" si="3"/>
        <v>913상위25%</v>
      </c>
      <c r="B219" s="139">
        <v>913</v>
      </c>
      <c r="C219" s="105" t="s">
        <v>1623</v>
      </c>
      <c r="D219" s="160">
        <v>0.70199999999999996</v>
      </c>
      <c r="E219" s="160">
        <v>0.123</v>
      </c>
      <c r="F219" s="160">
        <v>2.5000000000000001E-2</v>
      </c>
      <c r="G219" s="160">
        <v>0.67700000000000005</v>
      </c>
      <c r="H219" s="160">
        <v>0.498</v>
      </c>
      <c r="I219" s="160">
        <v>7.0000000000000001E-3</v>
      </c>
      <c r="J219" s="160">
        <v>0.745</v>
      </c>
      <c r="K219" s="160">
        <v>5.09</v>
      </c>
      <c r="L219" s="160">
        <v>12.05</v>
      </c>
      <c r="M219" s="160">
        <v>15.64</v>
      </c>
      <c r="N219" s="160">
        <v>0.215</v>
      </c>
    </row>
    <row r="220" spans="1:14" ht="16.5">
      <c r="A220" s="2" t="str">
        <f t="shared" si="3"/>
        <v>914상위25%</v>
      </c>
      <c r="B220" s="139">
        <v>914</v>
      </c>
      <c r="C220" s="105" t="s">
        <v>1623</v>
      </c>
      <c r="D220" s="160">
        <v>0.66300000000000003</v>
      </c>
      <c r="E220" s="160">
        <v>0.19900000000000001</v>
      </c>
      <c r="F220" s="160">
        <v>3.3000000000000002E-2</v>
      </c>
      <c r="G220" s="160">
        <v>1.0760000000000001</v>
      </c>
      <c r="H220" s="160">
        <v>0.36499999999999999</v>
      </c>
      <c r="I220" s="160">
        <v>5.0000000000000001E-3</v>
      </c>
      <c r="J220" s="160">
        <v>0.34399999999999997</v>
      </c>
      <c r="K220" s="160">
        <v>9.36</v>
      </c>
      <c r="L220" s="160">
        <v>10.24</v>
      </c>
      <c r="M220" s="160">
        <v>14.17</v>
      </c>
      <c r="N220" s="160">
        <v>0.13400000000000001</v>
      </c>
    </row>
    <row r="221" spans="1:14" ht="16.5">
      <c r="A221" s="2" t="str">
        <f t="shared" si="3"/>
        <v>915상위25%</v>
      </c>
      <c r="B221" s="139">
        <v>915</v>
      </c>
      <c r="C221" s="105" t="s">
        <v>1623</v>
      </c>
      <c r="D221" s="160">
        <v>0.73599999999999999</v>
      </c>
      <c r="E221" s="160">
        <v>0.12</v>
      </c>
      <c r="F221" s="160">
        <v>1.6E-2</v>
      </c>
      <c r="G221" s="160">
        <v>0.754</v>
      </c>
      <c r="H221" s="160">
        <v>0.48</v>
      </c>
      <c r="I221" s="160">
        <v>4.9000000000000002E-2</v>
      </c>
      <c r="J221" s="160">
        <v>0.70199999999999996</v>
      </c>
      <c r="K221" s="160">
        <v>6.04</v>
      </c>
      <c r="L221" s="160">
        <v>11.65</v>
      </c>
      <c r="M221" s="160">
        <v>17.760000000000002</v>
      </c>
      <c r="N221" s="160">
        <v>0.19500000000000001</v>
      </c>
    </row>
    <row r="222" spans="1:14" ht="16.5">
      <c r="A222" s="2" t="str">
        <f t="shared" si="3"/>
        <v>919상위25%</v>
      </c>
      <c r="B222" s="139">
        <v>919</v>
      </c>
      <c r="C222" s="105" t="s">
        <v>1623</v>
      </c>
      <c r="D222" s="160">
        <v>0.65400000000000003</v>
      </c>
      <c r="E222" s="160">
        <v>0.187</v>
      </c>
      <c r="F222" s="160">
        <v>1.7000000000000001E-2</v>
      </c>
      <c r="G222" s="160">
        <v>0.217</v>
      </c>
      <c r="H222" s="160">
        <v>0.29499999999999998</v>
      </c>
      <c r="I222" s="160">
        <v>7.0000000000000001E-3</v>
      </c>
      <c r="J222" s="160">
        <v>1.3939999999999999</v>
      </c>
      <c r="K222" s="160">
        <v>4.63</v>
      </c>
      <c r="L222" s="160">
        <v>3.14</v>
      </c>
      <c r="M222" s="160">
        <v>25.97</v>
      </c>
      <c r="N222" s="160">
        <v>0.496</v>
      </c>
    </row>
    <row r="223" spans="1:14" ht="16.5">
      <c r="A223" s="2" t="str">
        <f t="shared" si="3"/>
        <v>921상위25%</v>
      </c>
      <c r="B223" s="139">
        <v>921</v>
      </c>
      <c r="C223" s="105" t="s">
        <v>1623</v>
      </c>
      <c r="D223" s="160">
        <v>0.38200000000000001</v>
      </c>
      <c r="E223" s="160">
        <v>0.441</v>
      </c>
      <c r="F223" s="160">
        <v>2.9000000000000001E-2</v>
      </c>
      <c r="G223" s="160">
        <v>0.372</v>
      </c>
      <c r="H223" s="160">
        <v>0.17699999999999999</v>
      </c>
      <c r="I223" s="160">
        <v>9.4E-2</v>
      </c>
      <c r="J223" s="160">
        <v>0.73</v>
      </c>
      <c r="K223" s="160">
        <v>4.87</v>
      </c>
      <c r="L223" s="160">
        <v>1.06</v>
      </c>
      <c r="M223" s="160">
        <v>48.58</v>
      </c>
      <c r="N223" s="160">
        <v>1.127</v>
      </c>
    </row>
    <row r="224" spans="1:14" ht="16.5">
      <c r="A224" s="2" t="str">
        <f t="shared" si="3"/>
        <v>922상위25%</v>
      </c>
      <c r="B224" s="139">
        <v>922</v>
      </c>
      <c r="C224" s="105" t="s">
        <v>1623</v>
      </c>
      <c r="D224" s="160">
        <v>0.32500000000000001</v>
      </c>
      <c r="E224" s="160">
        <v>0.45200000000000001</v>
      </c>
      <c r="F224" s="160">
        <v>3.5999999999999997E-2</v>
      </c>
      <c r="G224" s="160">
        <v>0.53300000000000003</v>
      </c>
      <c r="H224" s="160">
        <v>0.13900000000000001</v>
      </c>
      <c r="I224" s="160">
        <v>0.109</v>
      </c>
      <c r="J224" s="160">
        <v>0.46500000000000002</v>
      </c>
      <c r="K224" s="160">
        <v>7.33</v>
      </c>
      <c r="L224" s="160">
        <v>88.77</v>
      </c>
      <c r="M224" s="160">
        <v>47.83</v>
      </c>
      <c r="N224" s="160">
        <v>0.127</v>
      </c>
    </row>
    <row r="225" spans="1:14" ht="16.5">
      <c r="A225" s="2" t="str">
        <f t="shared" si="3"/>
        <v>923상위25%</v>
      </c>
      <c r="B225" s="139">
        <v>923</v>
      </c>
      <c r="C225" s="105" t="s">
        <v>1623</v>
      </c>
      <c r="D225" s="160">
        <v>0.32400000000000001</v>
      </c>
      <c r="E225" s="160">
        <v>0.42699999999999999</v>
      </c>
      <c r="F225" s="160">
        <v>2.9000000000000001E-2</v>
      </c>
      <c r="G225" s="160">
        <v>0.6</v>
      </c>
      <c r="H225" s="160">
        <v>0.46899999999999997</v>
      </c>
      <c r="I225" s="160">
        <v>8.0000000000000002E-3</v>
      </c>
      <c r="J225" s="160">
        <v>0.79400000000000004</v>
      </c>
      <c r="K225" s="160">
        <v>6.58</v>
      </c>
      <c r="L225" s="160">
        <v>170.63</v>
      </c>
      <c r="M225" s="160">
        <v>74.03</v>
      </c>
      <c r="N225" s="160">
        <v>0.14399999999999999</v>
      </c>
    </row>
    <row r="226" spans="1:14" ht="16.5">
      <c r="A226" s="2" t="str">
        <f t="shared" si="3"/>
        <v>924상위25%</v>
      </c>
      <c r="B226" s="139">
        <v>924</v>
      </c>
      <c r="C226" s="105" t="s">
        <v>1623</v>
      </c>
      <c r="D226" s="160">
        <v>0.504</v>
      </c>
      <c r="E226" s="160">
        <v>0.185</v>
      </c>
      <c r="F226" s="160">
        <v>3.2000000000000001E-2</v>
      </c>
      <c r="G226" s="160">
        <v>0.432</v>
      </c>
      <c r="H226" s="160">
        <v>0.37</v>
      </c>
      <c r="I226" s="160">
        <v>5.1999999999999998E-2</v>
      </c>
      <c r="J226" s="160">
        <v>0.97599999999999998</v>
      </c>
      <c r="K226" s="160">
        <v>9</v>
      </c>
      <c r="L226" s="160">
        <v>127.83</v>
      </c>
      <c r="M226" s="160">
        <v>45.06</v>
      </c>
      <c r="N226" s="160">
        <v>9.7000000000000003E-2</v>
      </c>
    </row>
    <row r="227" spans="1:14" ht="16.5">
      <c r="A227" s="2" t="str">
        <f t="shared" si="3"/>
        <v>929상위25%</v>
      </c>
      <c r="B227" s="139">
        <v>929</v>
      </c>
      <c r="C227" s="105" t="s">
        <v>1623</v>
      </c>
      <c r="D227" s="160">
        <v>0.14399999999999999</v>
      </c>
      <c r="E227" s="160">
        <v>0.33600000000000002</v>
      </c>
      <c r="F227" s="160">
        <v>2.3E-2</v>
      </c>
      <c r="G227" s="160">
        <v>0.307</v>
      </c>
      <c r="H227" s="160">
        <v>0.02</v>
      </c>
      <c r="I227" s="160">
        <v>1.6E-2</v>
      </c>
      <c r="J227" s="160">
        <v>0.11600000000000001</v>
      </c>
      <c r="K227" s="160">
        <v>21.01</v>
      </c>
      <c r="L227" s="160">
        <v>200.21</v>
      </c>
      <c r="M227" s="160">
        <v>380.86</v>
      </c>
      <c r="N227" s="160">
        <v>0.05</v>
      </c>
    </row>
    <row r="228" spans="1:14" ht="16.5">
      <c r="A228" s="2" t="str">
        <f t="shared" si="3"/>
        <v>111하위25%</v>
      </c>
      <c r="B228" s="139">
        <v>111</v>
      </c>
      <c r="C228" s="105" t="s">
        <v>1624</v>
      </c>
      <c r="D228" s="160">
        <v>0.85799999999999998</v>
      </c>
      <c r="E228" s="160">
        <v>0.127</v>
      </c>
      <c r="F228" s="160">
        <v>1.6E-2</v>
      </c>
      <c r="G228" s="160">
        <v>1.532</v>
      </c>
      <c r="H228" s="160">
        <v>0.44800000000000001</v>
      </c>
      <c r="I228" s="160">
        <v>6.0000000000000001E-3</v>
      </c>
      <c r="J228" s="160">
        <v>0.29599999999999999</v>
      </c>
      <c r="K228" s="160">
        <v>11.6</v>
      </c>
      <c r="L228" s="160">
        <v>8.43</v>
      </c>
      <c r="M228" s="160">
        <v>27.28</v>
      </c>
      <c r="N228" s="160">
        <v>0.16800000000000001</v>
      </c>
    </row>
    <row r="229" spans="1:14" ht="16.5">
      <c r="A229" s="2" t="str">
        <f t="shared" si="3"/>
        <v>112하위25%</v>
      </c>
      <c r="B229" s="139">
        <v>112</v>
      </c>
      <c r="C229" s="105" t="s">
        <v>1624</v>
      </c>
      <c r="D229" s="160">
        <v>0.55500000000000005</v>
      </c>
      <c r="E229" s="160">
        <v>0.41799999999999998</v>
      </c>
      <c r="F229" s="160">
        <v>1.2999999999999999E-2</v>
      </c>
      <c r="G229" s="160">
        <v>0.35599999999999998</v>
      </c>
      <c r="H229" s="160">
        <v>0.23</v>
      </c>
      <c r="I229" s="160">
        <v>7.0000000000000001E-3</v>
      </c>
      <c r="J229" s="160">
        <v>0.66500000000000004</v>
      </c>
      <c r="K229" s="160">
        <v>1.89</v>
      </c>
      <c r="L229" s="160">
        <v>1.54</v>
      </c>
      <c r="M229" s="160">
        <v>9.1199999999999992</v>
      </c>
      <c r="N229" s="160">
        <v>1.0680000000000001</v>
      </c>
    </row>
    <row r="230" spans="1:14" ht="16.5">
      <c r="A230" s="2" t="str">
        <f t="shared" si="3"/>
        <v>113하위25%</v>
      </c>
      <c r="B230" s="139">
        <v>113</v>
      </c>
      <c r="C230" s="105" t="s">
        <v>1624</v>
      </c>
      <c r="D230" s="160">
        <v>0.77300000000000002</v>
      </c>
      <c r="E230" s="160">
        <v>0.216</v>
      </c>
      <c r="F230" s="160">
        <v>2.4E-2</v>
      </c>
      <c r="G230" s="160">
        <v>1.3420000000000001</v>
      </c>
      <c r="H230" s="160">
        <v>0.61099999999999999</v>
      </c>
      <c r="I230" s="160">
        <v>5.0000000000000001E-3</v>
      </c>
      <c r="J230" s="160">
        <v>0.45900000000000002</v>
      </c>
      <c r="K230" s="160">
        <v>9.92</v>
      </c>
      <c r="L230" s="160">
        <v>16.600000000000001</v>
      </c>
      <c r="M230" s="160">
        <v>22.17</v>
      </c>
      <c r="N230" s="160">
        <v>0.11600000000000001</v>
      </c>
    </row>
    <row r="231" spans="1:14" ht="16.5">
      <c r="A231" s="2" t="str">
        <f t="shared" si="3"/>
        <v>114하위25%</v>
      </c>
      <c r="B231" s="139">
        <v>114</v>
      </c>
      <c r="C231" s="105" t="s">
        <v>1624</v>
      </c>
      <c r="D231" s="160">
        <v>0.82799999999999996</v>
      </c>
      <c r="E231" s="160">
        <v>0.14399999999999999</v>
      </c>
      <c r="F231" s="160">
        <v>2.5000000000000001E-2</v>
      </c>
      <c r="G231" s="160">
        <v>1.234</v>
      </c>
      <c r="H231" s="160">
        <v>0.45300000000000001</v>
      </c>
      <c r="I231" s="160">
        <v>4.0000000000000001E-3</v>
      </c>
      <c r="J231" s="160">
        <v>0.371</v>
      </c>
      <c r="K231" s="160">
        <v>6.6</v>
      </c>
      <c r="L231" s="160">
        <v>8.52</v>
      </c>
      <c r="M231" s="160">
        <v>17.28</v>
      </c>
      <c r="N231" s="160">
        <v>0.21099999999999999</v>
      </c>
    </row>
    <row r="232" spans="1:14" ht="16.5">
      <c r="A232" s="2" t="str">
        <f t="shared" si="3"/>
        <v>115하위25%</v>
      </c>
      <c r="B232" s="139">
        <v>115</v>
      </c>
      <c r="C232" s="105" t="s">
        <v>1624</v>
      </c>
      <c r="D232" s="160">
        <v>0.91600000000000004</v>
      </c>
      <c r="E232" s="160">
        <v>6.6000000000000003E-2</v>
      </c>
      <c r="F232" s="160">
        <v>1E-3</v>
      </c>
      <c r="G232" s="160">
        <v>0.98499999999999999</v>
      </c>
      <c r="H232" s="160">
        <v>0.28799999999999998</v>
      </c>
      <c r="I232" s="160">
        <v>7.0000000000000001E-3</v>
      </c>
      <c r="J232" s="160">
        <v>0.29899999999999999</v>
      </c>
      <c r="K232" s="160">
        <v>6.93</v>
      </c>
      <c r="L232" s="160">
        <v>5.98</v>
      </c>
      <c r="M232" s="160">
        <v>8.02</v>
      </c>
      <c r="N232" s="160">
        <v>0.187</v>
      </c>
    </row>
    <row r="233" spans="1:14" ht="16.5">
      <c r="A233" s="2" t="str">
        <f t="shared" si="3"/>
        <v>119하위25%</v>
      </c>
      <c r="B233" s="139">
        <v>119</v>
      </c>
      <c r="C233" s="105" t="s">
        <v>1624</v>
      </c>
      <c r="D233" s="160">
        <v>0.82499999999999996</v>
      </c>
      <c r="E233" s="160">
        <v>0.16700000000000001</v>
      </c>
      <c r="F233" s="160">
        <v>2E-3</v>
      </c>
      <c r="G233" s="160">
        <v>1.0009999999999999</v>
      </c>
      <c r="H233" s="160">
        <v>0.48099999999999998</v>
      </c>
      <c r="I233" s="160">
        <v>6.0000000000000001E-3</v>
      </c>
      <c r="J233" s="160">
        <v>0.48599999999999999</v>
      </c>
      <c r="K233" s="160">
        <v>36.07</v>
      </c>
      <c r="L233" s="160">
        <v>4.4000000000000004</v>
      </c>
      <c r="M233" s="160">
        <v>27.64</v>
      </c>
      <c r="N233" s="160">
        <v>0.219</v>
      </c>
    </row>
    <row r="234" spans="1:14" ht="16.5">
      <c r="A234" s="2" t="str">
        <f t="shared" si="3"/>
        <v>121하위25%</v>
      </c>
      <c r="B234" s="139">
        <v>121</v>
      </c>
      <c r="C234" s="105" t="s">
        <v>1624</v>
      </c>
      <c r="D234" s="160">
        <v>0.88</v>
      </c>
      <c r="E234" s="160">
        <v>0.105</v>
      </c>
      <c r="F234" s="160">
        <v>3.0000000000000001E-3</v>
      </c>
      <c r="G234" s="160">
        <v>2.016</v>
      </c>
      <c r="H234" s="160">
        <v>0.47099999999999997</v>
      </c>
      <c r="I234" s="160">
        <v>3.0000000000000001E-3</v>
      </c>
      <c r="J234" s="160">
        <v>0.23499999999999999</v>
      </c>
      <c r="K234" s="160">
        <v>8.1</v>
      </c>
      <c r="L234" s="160">
        <v>17.21</v>
      </c>
      <c r="M234" s="160">
        <v>14.27</v>
      </c>
      <c r="N234" s="160">
        <v>0.112</v>
      </c>
    </row>
    <row r="235" spans="1:14" ht="16.5">
      <c r="A235" s="2" t="str">
        <f t="shared" si="3"/>
        <v>122하위25%</v>
      </c>
      <c r="B235" s="139">
        <v>122</v>
      </c>
      <c r="C235" s="105" t="s">
        <v>1624</v>
      </c>
      <c r="D235" s="160">
        <v>0.91</v>
      </c>
      <c r="E235" s="160">
        <v>5.6000000000000001E-2</v>
      </c>
      <c r="F235" s="160">
        <v>1.7999999999999999E-2</v>
      </c>
      <c r="G235" s="160">
        <v>1.41</v>
      </c>
      <c r="H235" s="160">
        <v>0.30399999999999999</v>
      </c>
      <c r="I235" s="160">
        <v>0</v>
      </c>
      <c r="J235" s="160">
        <v>0.215</v>
      </c>
      <c r="K235" s="160">
        <v>7.89</v>
      </c>
      <c r="L235" s="160">
        <v>5.1100000000000003</v>
      </c>
      <c r="M235" s="160">
        <v>21.61</v>
      </c>
      <c r="N235" s="160">
        <v>0.27600000000000002</v>
      </c>
    </row>
    <row r="236" spans="1:14" ht="16.5">
      <c r="A236" s="2" t="str">
        <f t="shared" si="3"/>
        <v>123하위25%</v>
      </c>
      <c r="B236" s="139">
        <v>123</v>
      </c>
      <c r="C236" s="105" t="s">
        <v>1624</v>
      </c>
      <c r="D236" s="160">
        <v>0.90800000000000003</v>
      </c>
      <c r="E236" s="160">
        <v>7.5999999999999998E-2</v>
      </c>
      <c r="F236" s="160">
        <v>5.5E-2</v>
      </c>
      <c r="G236" s="160">
        <v>0.96199999999999997</v>
      </c>
      <c r="H236" s="160">
        <v>0.48199999999999998</v>
      </c>
      <c r="I236" s="160">
        <v>8.0000000000000002E-3</v>
      </c>
      <c r="J236" s="160">
        <v>0.51</v>
      </c>
      <c r="K236" s="160">
        <v>6.84</v>
      </c>
      <c r="L236" s="160">
        <v>14.83</v>
      </c>
      <c r="M236" s="160">
        <v>11.84</v>
      </c>
      <c r="N236" s="160">
        <v>0.129</v>
      </c>
    </row>
    <row r="237" spans="1:14" ht="16.5">
      <c r="A237" s="2" t="str">
        <f t="shared" si="3"/>
        <v>124하위25%</v>
      </c>
      <c r="B237" s="139">
        <v>124</v>
      </c>
      <c r="C237" s="105" t="s">
        <v>1624</v>
      </c>
      <c r="D237" s="160">
        <v>0.84599999999999997</v>
      </c>
      <c r="E237" s="160">
        <v>0.13900000000000001</v>
      </c>
      <c r="F237" s="160">
        <v>1.4E-2</v>
      </c>
      <c r="G237" s="160">
        <v>1.6519999999999999</v>
      </c>
      <c r="H237" s="160">
        <v>0.41599999999999998</v>
      </c>
      <c r="I237" s="160">
        <v>2E-3</v>
      </c>
      <c r="J237" s="160">
        <v>0.253</v>
      </c>
      <c r="K237" s="160">
        <v>8.67</v>
      </c>
      <c r="L237" s="160">
        <v>13.48</v>
      </c>
      <c r="M237" s="160">
        <v>14.62</v>
      </c>
      <c r="N237" s="160">
        <v>0.121</v>
      </c>
    </row>
    <row r="238" spans="1:14" ht="16.5">
      <c r="A238" s="2" t="str">
        <f t="shared" si="3"/>
        <v>129하위25%</v>
      </c>
      <c r="B238" s="139">
        <v>129</v>
      </c>
      <c r="C238" s="105" t="s">
        <v>1624</v>
      </c>
      <c r="D238" s="160">
        <v>0.91800000000000004</v>
      </c>
      <c r="E238" s="160">
        <v>6.5000000000000002E-2</v>
      </c>
      <c r="F238" s="160">
        <v>5.7000000000000002E-2</v>
      </c>
      <c r="G238" s="160">
        <v>0.70799999999999996</v>
      </c>
      <c r="H238" s="160">
        <v>0.501</v>
      </c>
      <c r="I238" s="160">
        <v>1E-3</v>
      </c>
      <c r="J238" s="160">
        <v>0.70899999999999996</v>
      </c>
      <c r="K238" s="160">
        <v>18.43</v>
      </c>
      <c r="L238" s="160">
        <v>4.1399999999999997</v>
      </c>
      <c r="M238" s="160">
        <v>21.31</v>
      </c>
      <c r="N238" s="160">
        <v>0.249</v>
      </c>
    </row>
    <row r="239" spans="1:14" ht="16.5">
      <c r="A239" s="2" t="str">
        <f t="shared" si="3"/>
        <v>211하위25%</v>
      </c>
      <c r="B239" s="139">
        <v>211</v>
      </c>
      <c r="C239" s="105" t="s">
        <v>1624</v>
      </c>
      <c r="D239" s="160">
        <v>0.88500000000000001</v>
      </c>
      <c r="E239" s="160">
        <v>9.7000000000000003E-2</v>
      </c>
      <c r="F239" s="160">
        <v>6.0000000000000001E-3</v>
      </c>
      <c r="G239" s="160">
        <v>0.84799999999999998</v>
      </c>
      <c r="H239" s="160">
        <v>0.39700000000000002</v>
      </c>
      <c r="I239" s="160">
        <v>4.0000000000000001E-3</v>
      </c>
      <c r="J239" s="160">
        <v>0.47299999999999998</v>
      </c>
      <c r="K239" s="160">
        <v>5.84</v>
      </c>
      <c r="L239" s="160">
        <v>3.6</v>
      </c>
      <c r="M239" s="160">
        <v>14.83</v>
      </c>
      <c r="N239" s="160">
        <v>0.38200000000000001</v>
      </c>
    </row>
    <row r="240" spans="1:14" ht="16.5">
      <c r="A240" s="2" t="str">
        <f t="shared" si="3"/>
        <v>212하위25%</v>
      </c>
      <c r="B240" s="139">
        <v>212</v>
      </c>
      <c r="C240" s="105" t="s">
        <v>1624</v>
      </c>
      <c r="D240" s="160">
        <v>0.89100000000000001</v>
      </c>
      <c r="E240" s="160">
        <v>8.4000000000000005E-2</v>
      </c>
      <c r="F240" s="160">
        <v>2E-3</v>
      </c>
      <c r="G240" s="160">
        <v>0.34699999999999998</v>
      </c>
      <c r="H240" s="160">
        <v>0.74</v>
      </c>
      <c r="I240" s="160">
        <v>6.0000000000000001E-3</v>
      </c>
      <c r="J240" s="160">
        <v>2.145</v>
      </c>
      <c r="K240" s="160">
        <v>0</v>
      </c>
      <c r="L240" s="160">
        <v>11.13</v>
      </c>
      <c r="M240" s="160">
        <v>0</v>
      </c>
      <c r="N240" s="160">
        <v>0</v>
      </c>
    </row>
    <row r="241" spans="1:14" ht="16.5">
      <c r="A241" s="2" t="str">
        <f t="shared" si="3"/>
        <v>213하위25%</v>
      </c>
      <c r="B241" s="139">
        <v>213</v>
      </c>
      <c r="C241" s="105" t="s">
        <v>1624</v>
      </c>
      <c r="D241" s="160">
        <v>0.872</v>
      </c>
      <c r="E241" s="160">
        <v>0.10199999999999999</v>
      </c>
      <c r="F241" s="160">
        <v>8.9999999999999993E-3</v>
      </c>
      <c r="G241" s="160">
        <v>1.41</v>
      </c>
      <c r="H241" s="160">
        <v>0.245</v>
      </c>
      <c r="I241" s="160">
        <v>1.0999999999999999E-2</v>
      </c>
      <c r="J241" s="160">
        <v>0.18099999999999999</v>
      </c>
      <c r="K241" s="160">
        <v>8.8699999999999992</v>
      </c>
      <c r="L241" s="160">
        <v>5.31</v>
      </c>
      <c r="M241" s="160">
        <v>15.78</v>
      </c>
      <c r="N241" s="160">
        <v>0.23799999999999999</v>
      </c>
    </row>
    <row r="242" spans="1:14" ht="16.5">
      <c r="A242" s="2" t="str">
        <f t="shared" si="3"/>
        <v>214하위25%</v>
      </c>
      <c r="B242" s="139">
        <v>214</v>
      </c>
      <c r="C242" s="105" t="s">
        <v>1624</v>
      </c>
      <c r="D242" s="160">
        <v>0.68600000000000005</v>
      </c>
      <c r="E242" s="160">
        <v>0.28799999999999998</v>
      </c>
      <c r="F242" s="160">
        <v>8.0000000000000002E-3</v>
      </c>
      <c r="G242" s="160">
        <v>0.80800000000000005</v>
      </c>
      <c r="H242" s="160">
        <v>0.27200000000000002</v>
      </c>
      <c r="I242" s="160">
        <v>3.2000000000000001E-2</v>
      </c>
      <c r="J242" s="160">
        <v>0.377</v>
      </c>
      <c r="K242" s="160">
        <v>4.0999999999999996</v>
      </c>
      <c r="L242" s="160">
        <v>5.31</v>
      </c>
      <c r="M242" s="160">
        <v>8.9700000000000006</v>
      </c>
      <c r="N242" s="160">
        <v>0.32</v>
      </c>
    </row>
    <row r="243" spans="1:14" ht="16.5">
      <c r="A243" s="2" t="str">
        <f t="shared" si="3"/>
        <v>215하위25%</v>
      </c>
      <c r="B243" s="139">
        <v>215</v>
      </c>
      <c r="C243" s="105" t="s">
        <v>1624</v>
      </c>
      <c r="D243" s="160">
        <v>0.69099999999999995</v>
      </c>
      <c r="E243" s="160">
        <v>0.29099999999999998</v>
      </c>
      <c r="F243" s="160">
        <v>1.7999999999999999E-2</v>
      </c>
      <c r="G243" s="160">
        <v>1.0189999999999999</v>
      </c>
      <c r="H243" s="160">
        <v>0.38</v>
      </c>
      <c r="I243" s="160">
        <v>1.7000000000000001E-2</v>
      </c>
      <c r="J243" s="160">
        <v>0.39</v>
      </c>
      <c r="K243" s="160">
        <v>6.91</v>
      </c>
      <c r="L243" s="160">
        <v>7.71</v>
      </c>
      <c r="M243" s="160">
        <v>12.95</v>
      </c>
      <c r="N243" s="160">
        <v>0.19700000000000001</v>
      </c>
    </row>
    <row r="244" spans="1:14" ht="16.5">
      <c r="A244" s="2" t="str">
        <f t="shared" si="3"/>
        <v>219하위25%</v>
      </c>
      <c r="B244" s="139">
        <v>219</v>
      </c>
      <c r="C244" s="105" t="s">
        <v>1624</v>
      </c>
      <c r="D244" s="160">
        <v>0.86899999999999999</v>
      </c>
      <c r="E244" s="160">
        <v>0.112</v>
      </c>
      <c r="F244" s="160">
        <v>1.2999999999999999E-2</v>
      </c>
      <c r="G244" s="160">
        <v>1.1970000000000001</v>
      </c>
      <c r="H244" s="160">
        <v>0.41799999999999998</v>
      </c>
      <c r="I244" s="160">
        <v>1.9E-2</v>
      </c>
      <c r="J244" s="160">
        <v>0.36499999999999999</v>
      </c>
      <c r="K244" s="160">
        <v>6.16</v>
      </c>
      <c r="L244" s="160">
        <v>9.84</v>
      </c>
      <c r="M244" s="160">
        <v>12.43</v>
      </c>
      <c r="N244" s="160">
        <v>0.184</v>
      </c>
    </row>
    <row r="245" spans="1:14" ht="16.5">
      <c r="A245" s="2" t="str">
        <f t="shared" si="3"/>
        <v>221하위25%</v>
      </c>
      <c r="B245" s="139">
        <v>221</v>
      </c>
      <c r="C245" s="105" t="s">
        <v>1624</v>
      </c>
      <c r="D245" s="160">
        <v>0.83799999999999997</v>
      </c>
      <c r="E245" s="160">
        <v>0.13700000000000001</v>
      </c>
      <c r="F245" s="160">
        <v>0.01</v>
      </c>
      <c r="G245" s="160">
        <v>0.88500000000000001</v>
      </c>
      <c r="H245" s="160">
        <v>0.38800000000000001</v>
      </c>
      <c r="I245" s="160">
        <v>5.7000000000000002E-2</v>
      </c>
      <c r="J245" s="160">
        <v>0.503</v>
      </c>
      <c r="K245" s="160">
        <v>5.74</v>
      </c>
      <c r="L245" s="160">
        <v>8.57</v>
      </c>
      <c r="M245" s="160">
        <v>12.47</v>
      </c>
      <c r="N245" s="160">
        <v>0.21099999999999999</v>
      </c>
    </row>
    <row r="246" spans="1:14" ht="16.5">
      <c r="A246" s="2" t="str">
        <f t="shared" si="3"/>
        <v>222하위25%</v>
      </c>
      <c r="B246" s="139">
        <v>222</v>
      </c>
      <c r="C246" s="105" t="s">
        <v>1624</v>
      </c>
      <c r="D246" s="160">
        <v>0.82699999999999996</v>
      </c>
      <c r="E246" s="160">
        <v>0.15</v>
      </c>
      <c r="F246" s="160">
        <v>1.4E-2</v>
      </c>
      <c r="G246" s="160">
        <v>1.0229999999999999</v>
      </c>
      <c r="H246" s="160">
        <v>0.374</v>
      </c>
      <c r="I246" s="160">
        <v>1.4999999999999999E-2</v>
      </c>
      <c r="J246" s="160">
        <v>0.38100000000000001</v>
      </c>
      <c r="K246" s="160">
        <v>9.93</v>
      </c>
      <c r="L246" s="160">
        <v>3.57</v>
      </c>
      <c r="M246" s="160">
        <v>10.48</v>
      </c>
      <c r="N246" s="160">
        <v>0.28499999999999998</v>
      </c>
    </row>
    <row r="247" spans="1:14" ht="16.5">
      <c r="A247" s="2" t="str">
        <f t="shared" si="3"/>
        <v>223하위25%</v>
      </c>
      <c r="B247" s="139">
        <v>223</v>
      </c>
      <c r="C247" s="105" t="s">
        <v>1624</v>
      </c>
      <c r="D247" s="160">
        <v>0.86199999999999999</v>
      </c>
      <c r="E247" s="160">
        <v>0.11899999999999999</v>
      </c>
      <c r="F247" s="160">
        <v>1.7999999999999999E-2</v>
      </c>
      <c r="G247" s="160">
        <v>1.2210000000000001</v>
      </c>
      <c r="H247" s="160">
        <v>0.433</v>
      </c>
      <c r="I247" s="160">
        <v>1.0999999999999999E-2</v>
      </c>
      <c r="J247" s="160">
        <v>0.36299999999999999</v>
      </c>
      <c r="K247" s="160">
        <v>6.28</v>
      </c>
      <c r="L247" s="160">
        <v>11.55</v>
      </c>
      <c r="M247" s="160">
        <v>11.06</v>
      </c>
      <c r="N247" s="160">
        <v>0.155</v>
      </c>
    </row>
    <row r="248" spans="1:14" ht="16.5">
      <c r="A248" s="2" t="str">
        <f t="shared" si="3"/>
        <v>224하위25%</v>
      </c>
      <c r="B248" s="139">
        <v>224</v>
      </c>
      <c r="C248" s="105" t="s">
        <v>1624</v>
      </c>
      <c r="D248" s="160">
        <v>0.88400000000000001</v>
      </c>
      <c r="E248" s="160">
        <v>9.4E-2</v>
      </c>
      <c r="F248" s="160">
        <v>1.7999999999999999E-2</v>
      </c>
      <c r="G248" s="160">
        <v>1.0409999999999999</v>
      </c>
      <c r="H248" s="160">
        <v>0.41</v>
      </c>
      <c r="I248" s="160">
        <v>1.4E-2</v>
      </c>
      <c r="J248" s="160">
        <v>0.40799999999999997</v>
      </c>
      <c r="K248" s="160">
        <v>6.44</v>
      </c>
      <c r="L248" s="160">
        <v>8.25</v>
      </c>
      <c r="M248" s="160">
        <v>10.33</v>
      </c>
      <c r="N248" s="160">
        <v>0.18</v>
      </c>
    </row>
    <row r="249" spans="1:14" ht="16.5">
      <c r="A249" s="2" t="str">
        <f t="shared" si="3"/>
        <v>225하위25%</v>
      </c>
      <c r="B249" s="139">
        <v>225</v>
      </c>
      <c r="C249" s="105" t="s">
        <v>1624</v>
      </c>
      <c r="D249" s="160">
        <v>0.82599999999999996</v>
      </c>
      <c r="E249" s="160">
        <v>0.15</v>
      </c>
      <c r="F249" s="160">
        <v>0.01</v>
      </c>
      <c r="G249" s="160">
        <v>1.0489999999999999</v>
      </c>
      <c r="H249" s="160">
        <v>0.34</v>
      </c>
      <c r="I249" s="160">
        <v>8.9999999999999993E-3</v>
      </c>
      <c r="J249" s="160">
        <v>0.33400000000000002</v>
      </c>
      <c r="K249" s="160">
        <v>4.51</v>
      </c>
      <c r="L249" s="160">
        <v>4.9800000000000004</v>
      </c>
      <c r="M249" s="160">
        <v>7.44</v>
      </c>
      <c r="N249" s="160">
        <v>0.28799999999999998</v>
      </c>
    </row>
    <row r="250" spans="1:14" ht="16.5">
      <c r="A250" s="2" t="str">
        <f t="shared" si="3"/>
        <v>226하위25%</v>
      </c>
      <c r="B250" s="139">
        <v>226</v>
      </c>
      <c r="C250" s="105" t="s">
        <v>1624</v>
      </c>
      <c r="D250" s="160">
        <v>0.82399999999999995</v>
      </c>
      <c r="E250" s="160">
        <v>0.152</v>
      </c>
      <c r="F250" s="160">
        <v>2.1000000000000001E-2</v>
      </c>
      <c r="G250" s="160">
        <v>1.1000000000000001</v>
      </c>
      <c r="H250" s="160">
        <v>0.30099999999999999</v>
      </c>
      <c r="I250" s="160">
        <v>5.8000000000000003E-2</v>
      </c>
      <c r="J250" s="160">
        <v>0.32700000000000001</v>
      </c>
      <c r="K250" s="160">
        <v>5.12</v>
      </c>
      <c r="L250" s="160">
        <v>7.09</v>
      </c>
      <c r="M250" s="160">
        <v>9.84</v>
      </c>
      <c r="N250" s="160">
        <v>0.23499999999999999</v>
      </c>
    </row>
    <row r="251" spans="1:14" ht="16.5">
      <c r="A251" s="2" t="str">
        <f t="shared" si="3"/>
        <v>227하위25%</v>
      </c>
      <c r="B251" s="139">
        <v>227</v>
      </c>
      <c r="C251" s="105" t="s">
        <v>1624</v>
      </c>
      <c r="D251" s="160">
        <v>0.68600000000000005</v>
      </c>
      <c r="E251" s="160">
        <v>0.28799999999999998</v>
      </c>
      <c r="F251" s="160">
        <v>8.0000000000000002E-3</v>
      </c>
      <c r="G251" s="160">
        <v>0.80800000000000005</v>
      </c>
      <c r="H251" s="160">
        <v>0.27200000000000002</v>
      </c>
      <c r="I251" s="160">
        <v>3.2000000000000001E-2</v>
      </c>
      <c r="J251" s="160">
        <v>0.377</v>
      </c>
      <c r="K251" s="160">
        <v>4.0999999999999996</v>
      </c>
      <c r="L251" s="160">
        <v>5.31</v>
      </c>
      <c r="M251" s="160">
        <v>8.9700000000000006</v>
      </c>
      <c r="N251" s="160">
        <v>0.32</v>
      </c>
    </row>
    <row r="252" spans="1:14" ht="16.5">
      <c r="A252" s="2" t="str">
        <f t="shared" si="3"/>
        <v>229하위25%</v>
      </c>
      <c r="B252" s="139">
        <v>229</v>
      </c>
      <c r="C252" s="105" t="s">
        <v>1624</v>
      </c>
      <c r="D252" s="160">
        <v>0.86</v>
      </c>
      <c r="E252" s="160">
        <v>0.121</v>
      </c>
      <c r="F252" s="160">
        <v>1.2999999999999999E-2</v>
      </c>
      <c r="G252" s="160">
        <v>1.3520000000000001</v>
      </c>
      <c r="H252" s="160">
        <v>0.35399999999999998</v>
      </c>
      <c r="I252" s="160">
        <v>1.7000000000000001E-2</v>
      </c>
      <c r="J252" s="160">
        <v>0.27400000000000002</v>
      </c>
      <c r="K252" s="160">
        <v>6.89</v>
      </c>
      <c r="L252" s="160">
        <v>8.24</v>
      </c>
      <c r="M252" s="160">
        <v>9.4700000000000006</v>
      </c>
      <c r="N252" s="160">
        <v>0.161</v>
      </c>
    </row>
    <row r="253" spans="1:14" ht="16.5">
      <c r="A253" s="2" t="str">
        <f t="shared" si="3"/>
        <v>231하위25%</v>
      </c>
      <c r="B253" s="139">
        <v>231</v>
      </c>
      <c r="C253" s="105" t="s">
        <v>1624</v>
      </c>
      <c r="D253" s="160">
        <v>0.81200000000000006</v>
      </c>
      <c r="E253" s="160">
        <v>0.16500000000000001</v>
      </c>
      <c r="F253" s="160">
        <v>3.3000000000000002E-2</v>
      </c>
      <c r="G253" s="160">
        <v>1.089</v>
      </c>
      <c r="H253" s="160">
        <v>0.73099999999999998</v>
      </c>
      <c r="I253" s="160">
        <v>0</v>
      </c>
      <c r="J253" s="160">
        <v>0.67100000000000004</v>
      </c>
      <c r="K253" s="160">
        <v>84</v>
      </c>
      <c r="L253" s="160">
        <v>5.4</v>
      </c>
      <c r="M253" s="160">
        <v>34.97</v>
      </c>
      <c r="N253" s="160">
        <v>0.16900000000000001</v>
      </c>
    </row>
    <row r="254" spans="1:14" ht="16.5">
      <c r="A254" s="2" t="str">
        <f t="shared" si="3"/>
        <v>232하위25%</v>
      </c>
      <c r="B254" s="139">
        <v>232</v>
      </c>
      <c r="C254" s="105" t="s">
        <v>1624</v>
      </c>
      <c r="D254" s="160">
        <v>0.64700000000000002</v>
      </c>
      <c r="E254" s="160">
        <v>0.33200000000000002</v>
      </c>
      <c r="F254" s="160">
        <v>1.0999999999999999E-2</v>
      </c>
      <c r="G254" s="160">
        <v>1.4279999999999999</v>
      </c>
      <c r="H254" s="160">
        <v>0.222</v>
      </c>
      <c r="I254" s="160">
        <v>3.1E-2</v>
      </c>
      <c r="J254" s="160">
        <v>0.17699999999999999</v>
      </c>
      <c r="K254" s="160">
        <v>6.24</v>
      </c>
      <c r="L254" s="160">
        <v>32.200000000000003</v>
      </c>
      <c r="M254" s="160">
        <v>29.68</v>
      </c>
      <c r="N254" s="160">
        <v>0.158</v>
      </c>
    </row>
    <row r="255" spans="1:14" ht="16.5">
      <c r="A255" s="2" t="str">
        <f t="shared" si="3"/>
        <v>233하위25%</v>
      </c>
      <c r="B255" s="139">
        <v>233</v>
      </c>
      <c r="C255" s="105" t="s">
        <v>1624</v>
      </c>
      <c r="D255" s="160">
        <v>0.45300000000000001</v>
      </c>
      <c r="E255" s="160">
        <v>0.53900000000000003</v>
      </c>
      <c r="F255" s="160">
        <v>8.0000000000000002E-3</v>
      </c>
      <c r="G255" s="160">
        <v>3.0089999999999999</v>
      </c>
      <c r="H255" s="160">
        <v>0.152</v>
      </c>
      <c r="I255" s="160">
        <v>0.01</v>
      </c>
      <c r="J255" s="160">
        <v>5.3999999999999999E-2</v>
      </c>
      <c r="K255" s="160">
        <v>12.91</v>
      </c>
      <c r="L255" s="160">
        <v>73.52</v>
      </c>
      <c r="M255" s="160">
        <v>51.76</v>
      </c>
      <c r="N255" s="160">
        <v>7.1999999999999995E-2</v>
      </c>
    </row>
    <row r="256" spans="1:14" ht="16.5">
      <c r="A256" s="2" t="str">
        <f t="shared" si="3"/>
        <v>234하위25%</v>
      </c>
      <c r="B256" s="139">
        <v>234</v>
      </c>
      <c r="C256" s="105" t="s">
        <v>1624</v>
      </c>
      <c r="D256" s="160">
        <v>0.253</v>
      </c>
      <c r="E256" s="160">
        <v>0.71799999999999997</v>
      </c>
      <c r="F256" s="160">
        <v>3.2000000000000001E-2</v>
      </c>
      <c r="G256" s="160">
        <v>2.0649999999999999</v>
      </c>
      <c r="H256" s="160">
        <v>0.33100000000000002</v>
      </c>
      <c r="I256" s="160">
        <v>1E-3</v>
      </c>
      <c r="J256" s="160">
        <v>0.161</v>
      </c>
      <c r="K256" s="160">
        <v>54.53</v>
      </c>
      <c r="L256" s="160">
        <v>10.98</v>
      </c>
      <c r="M256" s="160">
        <v>23.6</v>
      </c>
      <c r="N256" s="160">
        <v>6.7000000000000004E-2</v>
      </c>
    </row>
    <row r="257" spans="1:14" ht="16.5">
      <c r="A257" s="2" t="str">
        <f t="shared" si="3"/>
        <v>235하위25%</v>
      </c>
      <c r="B257" s="139">
        <v>235</v>
      </c>
      <c r="C257" s="105" t="s">
        <v>1624</v>
      </c>
      <c r="D257" s="160">
        <v>0.751</v>
      </c>
      <c r="E257" s="160">
        <v>0.219</v>
      </c>
      <c r="F257" s="160">
        <v>5.0999999999999997E-2</v>
      </c>
      <c r="G257" s="160">
        <v>1.107</v>
      </c>
      <c r="H257" s="160">
        <v>0.35399999999999998</v>
      </c>
      <c r="I257" s="160">
        <v>2.9000000000000001E-2</v>
      </c>
      <c r="J257" s="160">
        <v>0.34599999999999997</v>
      </c>
      <c r="K257" s="160">
        <v>14.65</v>
      </c>
      <c r="L257" s="160">
        <v>8.3800000000000008</v>
      </c>
      <c r="M257" s="160">
        <v>65.28</v>
      </c>
      <c r="N257" s="160">
        <v>0.17199999999999999</v>
      </c>
    </row>
    <row r="258" spans="1:14" ht="16.5">
      <c r="A258" s="2" t="str">
        <f t="shared" si="3"/>
        <v>236하위25%</v>
      </c>
      <c r="B258" s="139">
        <v>236</v>
      </c>
      <c r="C258" s="105" t="s">
        <v>1624</v>
      </c>
      <c r="D258" s="160">
        <v>0.68899999999999995</v>
      </c>
      <c r="E258" s="160">
        <v>0.29499999999999998</v>
      </c>
      <c r="F258" s="160">
        <v>1.2999999999999999E-2</v>
      </c>
      <c r="G258" s="160">
        <v>1.6739999999999999</v>
      </c>
      <c r="H258" s="160">
        <v>0.124</v>
      </c>
      <c r="I258" s="160">
        <v>6.2E-2</v>
      </c>
      <c r="J258" s="160">
        <v>0.111</v>
      </c>
      <c r="K258" s="160">
        <v>6.45</v>
      </c>
      <c r="L258" s="160">
        <v>27.58</v>
      </c>
      <c r="M258" s="160">
        <v>10.72</v>
      </c>
      <c r="N258" s="160">
        <v>9.8000000000000004E-2</v>
      </c>
    </row>
    <row r="259" spans="1:14" ht="16.5">
      <c r="A259" s="2" t="str">
        <f t="shared" ref="A259:A322" si="4">B259&amp;C259</f>
        <v>237하위25%</v>
      </c>
      <c r="B259" s="139">
        <v>237</v>
      </c>
      <c r="C259" s="105" t="s">
        <v>1624</v>
      </c>
      <c r="D259" s="160">
        <v>0.80800000000000005</v>
      </c>
      <c r="E259" s="160">
        <v>0.17299999999999999</v>
      </c>
      <c r="F259" s="160">
        <v>1.4999999999999999E-2</v>
      </c>
      <c r="G259" s="160">
        <v>1.006</v>
      </c>
      <c r="H259" s="160">
        <v>0.53100000000000003</v>
      </c>
      <c r="I259" s="160">
        <v>0.105</v>
      </c>
      <c r="J259" s="160">
        <v>0.63200000000000001</v>
      </c>
      <c r="K259" s="160">
        <v>16.48</v>
      </c>
      <c r="L259" s="160">
        <v>22.54</v>
      </c>
      <c r="M259" s="160">
        <v>35.369999999999997</v>
      </c>
      <c r="N259" s="160">
        <v>7.6999999999999999E-2</v>
      </c>
    </row>
    <row r="260" spans="1:14" ht="16.5">
      <c r="A260" s="2" t="str">
        <f t="shared" si="4"/>
        <v>239하위25%</v>
      </c>
      <c r="B260" s="139">
        <v>239</v>
      </c>
      <c r="C260" s="105" t="s">
        <v>1624</v>
      </c>
      <c r="D260" s="160">
        <v>0.56599999999999995</v>
      </c>
      <c r="E260" s="160">
        <v>0.41299999999999998</v>
      </c>
      <c r="F260" s="160">
        <v>2.9000000000000001E-2</v>
      </c>
      <c r="G260" s="160">
        <v>0.95099999999999996</v>
      </c>
      <c r="H260" s="160">
        <v>0.33900000000000002</v>
      </c>
      <c r="I260" s="160">
        <v>3.5000000000000003E-2</v>
      </c>
      <c r="J260" s="160">
        <v>0.39300000000000002</v>
      </c>
      <c r="K260" s="160">
        <v>7.19</v>
      </c>
      <c r="L260" s="160">
        <v>81.55</v>
      </c>
      <c r="M260" s="160">
        <v>40.92</v>
      </c>
      <c r="N260" s="160">
        <v>0.127</v>
      </c>
    </row>
    <row r="261" spans="1:14" ht="16.5">
      <c r="A261" s="2" t="str">
        <f t="shared" si="4"/>
        <v>311하위25%</v>
      </c>
      <c r="B261" s="139">
        <v>311</v>
      </c>
      <c r="C261" s="105" t="s">
        <v>1624</v>
      </c>
      <c r="D261" s="160">
        <v>0.318</v>
      </c>
      <c r="E261" s="160">
        <v>0.14399999999999999</v>
      </c>
      <c r="F261" s="160">
        <v>2E-3</v>
      </c>
      <c r="G261" s="160">
        <v>0.222</v>
      </c>
      <c r="H261" s="160">
        <v>7.6999999999999999E-2</v>
      </c>
      <c r="I261" s="160">
        <v>1E-3</v>
      </c>
      <c r="J261" s="160">
        <v>0.35199999999999998</v>
      </c>
      <c r="K261" s="160">
        <v>44.55</v>
      </c>
      <c r="L261" s="160">
        <v>40.97</v>
      </c>
      <c r="M261" s="160">
        <v>284.08999999999997</v>
      </c>
      <c r="N261" s="160">
        <v>4.2999999999999997E-2</v>
      </c>
    </row>
    <row r="262" spans="1:14" ht="16.5">
      <c r="A262" s="2" t="str">
        <f t="shared" si="4"/>
        <v>312하위25%</v>
      </c>
      <c r="B262" s="139">
        <v>312</v>
      </c>
      <c r="C262" s="105" t="s">
        <v>1624</v>
      </c>
      <c r="D262" s="160">
        <v>0.68500000000000005</v>
      </c>
      <c r="E262" s="160">
        <v>0.29499999999999998</v>
      </c>
      <c r="F262" s="160">
        <v>2.5000000000000001E-2</v>
      </c>
      <c r="G262" s="160">
        <v>0.76800000000000002</v>
      </c>
      <c r="H262" s="160">
        <v>0.73799999999999999</v>
      </c>
      <c r="I262" s="160">
        <v>0</v>
      </c>
      <c r="J262" s="160">
        <v>0.96099999999999997</v>
      </c>
      <c r="K262" s="160">
        <v>9.0299999999999994</v>
      </c>
      <c r="L262" s="160">
        <v>29.76</v>
      </c>
      <c r="M262" s="160">
        <v>11.76</v>
      </c>
      <c r="N262" s="160">
        <v>5.8999999999999997E-2</v>
      </c>
    </row>
    <row r="263" spans="1:14" ht="16.5">
      <c r="A263" s="2" t="str">
        <f t="shared" si="4"/>
        <v>390하위25%</v>
      </c>
      <c r="B263" s="139">
        <v>390</v>
      </c>
      <c r="C263" s="105" t="s">
        <v>1624</v>
      </c>
      <c r="D263" s="160">
        <v>0.75900000000000001</v>
      </c>
      <c r="E263" s="160">
        <v>0.216</v>
      </c>
      <c r="F263" s="160">
        <v>4.0000000000000001E-3</v>
      </c>
      <c r="G263" s="160">
        <v>1.048</v>
      </c>
      <c r="H263" s="160">
        <v>1.2E-2</v>
      </c>
      <c r="I263" s="160">
        <v>0</v>
      </c>
      <c r="J263" s="160">
        <v>1.0999999999999999E-2</v>
      </c>
      <c r="K263" s="160">
        <v>0</v>
      </c>
      <c r="L263" s="160">
        <v>0</v>
      </c>
      <c r="M263" s="160">
        <v>0</v>
      </c>
      <c r="N263" s="160">
        <v>0</v>
      </c>
    </row>
    <row r="264" spans="1:14" ht="16.5">
      <c r="A264" s="2" t="str">
        <f t="shared" si="4"/>
        <v>411하위25%</v>
      </c>
      <c r="B264" s="139">
        <v>411</v>
      </c>
      <c r="C264" s="105" t="s">
        <v>1624</v>
      </c>
      <c r="D264" s="160">
        <v>0.89200000000000002</v>
      </c>
      <c r="E264" s="160">
        <v>8.7999999999999995E-2</v>
      </c>
      <c r="F264" s="160">
        <v>1.4999999999999999E-2</v>
      </c>
      <c r="G264" s="160">
        <v>1.304</v>
      </c>
      <c r="H264" s="160">
        <v>0.34100000000000003</v>
      </c>
      <c r="I264" s="160">
        <v>6.0000000000000001E-3</v>
      </c>
      <c r="J264" s="160">
        <v>0.26600000000000001</v>
      </c>
      <c r="K264" s="160">
        <v>7.4</v>
      </c>
      <c r="L264" s="160">
        <v>5.41</v>
      </c>
      <c r="M264" s="160">
        <v>8.98</v>
      </c>
      <c r="N264" s="160">
        <v>0.20899999999999999</v>
      </c>
    </row>
    <row r="265" spans="1:14" ht="16.5">
      <c r="A265" s="2" t="str">
        <f t="shared" si="4"/>
        <v>412하위25%</v>
      </c>
      <c r="B265" s="139">
        <v>412</v>
      </c>
      <c r="C265" s="105" t="s">
        <v>1624</v>
      </c>
      <c r="D265" s="160">
        <v>0.89200000000000002</v>
      </c>
      <c r="E265" s="160">
        <v>8.3000000000000004E-2</v>
      </c>
      <c r="F265" s="160">
        <v>8.9999999999999993E-3</v>
      </c>
      <c r="G265" s="160">
        <v>0.80300000000000005</v>
      </c>
      <c r="H265" s="160">
        <v>0.42699999999999999</v>
      </c>
      <c r="I265" s="160">
        <v>7.0000000000000001E-3</v>
      </c>
      <c r="J265" s="160">
        <v>0.54</v>
      </c>
      <c r="K265" s="160">
        <v>4.3099999999999996</v>
      </c>
      <c r="L265" s="160">
        <v>8.57</v>
      </c>
      <c r="M265" s="160">
        <v>7.99</v>
      </c>
      <c r="N265" s="160">
        <v>0.224</v>
      </c>
    </row>
    <row r="266" spans="1:14" ht="16.5">
      <c r="A266" s="2" t="str">
        <f t="shared" si="4"/>
        <v>413하위25%</v>
      </c>
      <c r="B266" s="139">
        <v>413</v>
      </c>
      <c r="C266" s="105" t="s">
        <v>1624</v>
      </c>
      <c r="D266" s="160">
        <v>0.78500000000000003</v>
      </c>
      <c r="E266" s="160">
        <v>0.19</v>
      </c>
      <c r="F266" s="160">
        <v>0.01</v>
      </c>
      <c r="G266" s="160">
        <v>1.2270000000000001</v>
      </c>
      <c r="H266" s="160">
        <v>0.35499999999999998</v>
      </c>
      <c r="I266" s="160">
        <v>0.01</v>
      </c>
      <c r="J266" s="160">
        <v>0.29699999999999999</v>
      </c>
      <c r="K266" s="160">
        <v>5.67</v>
      </c>
      <c r="L266" s="160">
        <v>6.2</v>
      </c>
      <c r="M266" s="160">
        <v>17.010000000000002</v>
      </c>
      <c r="N266" s="160">
        <v>0.27900000000000003</v>
      </c>
    </row>
    <row r="267" spans="1:14" ht="16.5">
      <c r="A267" s="2" t="str">
        <f t="shared" si="4"/>
        <v>414하위25%</v>
      </c>
      <c r="B267" s="139">
        <v>414</v>
      </c>
      <c r="C267" s="105" t="s">
        <v>1624</v>
      </c>
      <c r="D267" s="160">
        <v>0.90500000000000003</v>
      </c>
      <c r="E267" s="160">
        <v>6.8000000000000005E-2</v>
      </c>
      <c r="F267" s="160">
        <v>1.2E-2</v>
      </c>
      <c r="G267" s="160">
        <v>1.3620000000000001</v>
      </c>
      <c r="H267" s="160">
        <v>0.33700000000000002</v>
      </c>
      <c r="I267" s="160">
        <v>2.5000000000000001E-2</v>
      </c>
      <c r="J267" s="160">
        <v>0.26600000000000001</v>
      </c>
      <c r="K267" s="160">
        <v>6.25</v>
      </c>
      <c r="L267" s="160">
        <v>14.68</v>
      </c>
      <c r="M267" s="160">
        <v>10.119999999999999</v>
      </c>
      <c r="N267" s="160">
        <v>0.129</v>
      </c>
    </row>
    <row r="268" spans="1:14" ht="16.5">
      <c r="A268" s="2" t="str">
        <f t="shared" si="4"/>
        <v>415하위25%</v>
      </c>
      <c r="B268" s="139">
        <v>415</v>
      </c>
      <c r="C268" s="105" t="s">
        <v>1624</v>
      </c>
      <c r="D268" s="160">
        <v>0.82599999999999996</v>
      </c>
      <c r="E268" s="160">
        <v>0.153</v>
      </c>
      <c r="F268" s="160">
        <v>1.4999999999999999E-2</v>
      </c>
      <c r="G268" s="160">
        <v>1.333</v>
      </c>
      <c r="H268" s="160">
        <v>0.45300000000000001</v>
      </c>
      <c r="I268" s="160">
        <v>0.02</v>
      </c>
      <c r="J268" s="160">
        <v>0.35499999999999998</v>
      </c>
      <c r="K268" s="160">
        <v>6.37</v>
      </c>
      <c r="L268" s="160">
        <v>9.1300000000000008</v>
      </c>
      <c r="M268" s="160">
        <v>7.89</v>
      </c>
      <c r="N268" s="160">
        <v>0.14000000000000001</v>
      </c>
    </row>
    <row r="269" spans="1:14" ht="16.5">
      <c r="A269" s="2" t="str">
        <f t="shared" si="4"/>
        <v>416하위25%</v>
      </c>
      <c r="B269" s="139">
        <v>416</v>
      </c>
      <c r="C269" s="105" t="s">
        <v>1624</v>
      </c>
      <c r="D269" s="160">
        <v>0.85299999999999998</v>
      </c>
      <c r="E269" s="160">
        <v>0.127</v>
      </c>
      <c r="F269" s="160">
        <v>1.9E-2</v>
      </c>
      <c r="G269" s="160">
        <v>1.119</v>
      </c>
      <c r="H269" s="160">
        <v>0.49099999999999999</v>
      </c>
      <c r="I269" s="160">
        <v>8.0000000000000002E-3</v>
      </c>
      <c r="J269" s="160">
        <v>0.44600000000000001</v>
      </c>
      <c r="K269" s="160">
        <v>7.42</v>
      </c>
      <c r="L269" s="160">
        <v>7.83</v>
      </c>
      <c r="M269" s="160">
        <v>10.39</v>
      </c>
      <c r="N269" s="160">
        <v>0.16600000000000001</v>
      </c>
    </row>
    <row r="270" spans="1:14" ht="16.5">
      <c r="A270" s="2" t="str">
        <f t="shared" si="4"/>
        <v>419하위25%</v>
      </c>
      <c r="B270" s="139">
        <v>419</v>
      </c>
      <c r="C270" s="105" t="s">
        <v>1624</v>
      </c>
      <c r="D270" s="160">
        <v>0.88200000000000001</v>
      </c>
      <c r="E270" s="160">
        <v>9.6000000000000002E-2</v>
      </c>
      <c r="F270" s="160">
        <v>8.0000000000000002E-3</v>
      </c>
      <c r="G270" s="160">
        <v>1.165</v>
      </c>
      <c r="H270" s="160">
        <v>0.443</v>
      </c>
      <c r="I270" s="160">
        <v>3.0000000000000001E-3</v>
      </c>
      <c r="J270" s="160">
        <v>0.38200000000000001</v>
      </c>
      <c r="K270" s="160">
        <v>6.71</v>
      </c>
      <c r="L270" s="160">
        <v>7.08</v>
      </c>
      <c r="M270" s="160">
        <v>19.170000000000002</v>
      </c>
      <c r="N270" s="160">
        <v>0.23799999999999999</v>
      </c>
    </row>
    <row r="271" spans="1:14" ht="16.5">
      <c r="A271" s="2" t="str">
        <f t="shared" si="4"/>
        <v>421하위25%</v>
      </c>
      <c r="B271" s="139">
        <v>421</v>
      </c>
      <c r="C271" s="105" t="s">
        <v>1624</v>
      </c>
      <c r="D271" s="160">
        <v>0.83499999999999996</v>
      </c>
      <c r="E271" s="160">
        <v>0.14199999999999999</v>
      </c>
      <c r="F271" s="160">
        <v>6.0000000000000001E-3</v>
      </c>
      <c r="G271" s="160">
        <v>1.518</v>
      </c>
      <c r="H271" s="160">
        <v>0.53500000000000003</v>
      </c>
      <c r="I271" s="160">
        <v>0</v>
      </c>
      <c r="J271" s="160">
        <v>0.35299999999999998</v>
      </c>
      <c r="K271" s="160">
        <v>15.33</v>
      </c>
      <c r="L271" s="160">
        <v>6.25</v>
      </c>
      <c r="M271" s="160">
        <v>11.77</v>
      </c>
      <c r="N271" s="160">
        <v>0.14000000000000001</v>
      </c>
    </row>
    <row r="272" spans="1:14" ht="16.5">
      <c r="A272" s="2" t="str">
        <f t="shared" si="4"/>
        <v>422하위25%</v>
      </c>
      <c r="B272" s="139">
        <v>422</v>
      </c>
      <c r="C272" s="105" t="s">
        <v>1624</v>
      </c>
      <c r="D272" s="160">
        <v>0.66900000000000004</v>
      </c>
      <c r="E272" s="160">
        <v>0.316</v>
      </c>
      <c r="F272" s="160">
        <v>1.6E-2</v>
      </c>
      <c r="G272" s="160">
        <v>1.0669999999999999</v>
      </c>
      <c r="H272" s="160">
        <v>0.373</v>
      </c>
      <c r="I272" s="160">
        <v>1.7999999999999999E-2</v>
      </c>
      <c r="J272" s="160">
        <v>0.36599999999999999</v>
      </c>
      <c r="K272" s="160">
        <v>6.74</v>
      </c>
      <c r="L272" s="160">
        <v>7.35</v>
      </c>
      <c r="M272" s="160">
        <v>12.47</v>
      </c>
      <c r="N272" s="160">
        <v>0.20399999999999999</v>
      </c>
    </row>
    <row r="273" spans="1:14" ht="16.5">
      <c r="A273" s="2" t="str">
        <f t="shared" si="4"/>
        <v>423하위25%</v>
      </c>
      <c r="B273" s="139">
        <v>423</v>
      </c>
      <c r="C273" s="105" t="s">
        <v>1624</v>
      </c>
      <c r="D273" s="160">
        <v>0.9</v>
      </c>
      <c r="E273" s="160">
        <v>9.4E-2</v>
      </c>
      <c r="F273" s="160">
        <v>2E-3</v>
      </c>
      <c r="G273" s="160">
        <v>0.46600000000000003</v>
      </c>
      <c r="H273" s="160">
        <v>0.252</v>
      </c>
      <c r="I273" s="160">
        <v>1.4E-2</v>
      </c>
      <c r="J273" s="160">
        <v>0.57099999999999995</v>
      </c>
      <c r="K273" s="160">
        <v>3.75</v>
      </c>
      <c r="L273" s="160">
        <v>4.7699999999999996</v>
      </c>
      <c r="M273" s="160">
        <v>6.04</v>
      </c>
      <c r="N273" s="160">
        <v>0.31</v>
      </c>
    </row>
    <row r="274" spans="1:14" ht="16.5">
      <c r="A274" s="2" t="str">
        <f t="shared" si="4"/>
        <v>429하위25%</v>
      </c>
      <c r="B274" s="139">
        <v>429</v>
      </c>
      <c r="C274" s="105" t="s">
        <v>1624</v>
      </c>
      <c r="D274" s="160">
        <v>0.88800000000000001</v>
      </c>
      <c r="E274" s="160">
        <v>9.5000000000000001E-2</v>
      </c>
      <c r="F274" s="160">
        <v>4.0000000000000001E-3</v>
      </c>
      <c r="G274" s="160">
        <v>0.77500000000000002</v>
      </c>
      <c r="H274" s="160">
        <v>0.38700000000000001</v>
      </c>
      <c r="I274" s="160">
        <v>3.0000000000000001E-3</v>
      </c>
      <c r="J274" s="160">
        <v>0.502</v>
      </c>
      <c r="K274" s="160">
        <v>6.34</v>
      </c>
      <c r="L274" s="160">
        <v>7.99</v>
      </c>
      <c r="M274" s="160">
        <v>15.14</v>
      </c>
      <c r="N274" s="160">
        <v>0.217</v>
      </c>
    </row>
    <row r="275" spans="1:14" ht="16.5">
      <c r="A275" s="2" t="str">
        <f t="shared" si="4"/>
        <v>431하위25%</v>
      </c>
      <c r="B275" s="139">
        <v>431</v>
      </c>
      <c r="C275" s="105" t="s">
        <v>1624</v>
      </c>
      <c r="D275" s="160">
        <v>0.85299999999999998</v>
      </c>
      <c r="E275" s="160">
        <v>0.124</v>
      </c>
      <c r="F275" s="160">
        <v>1.7000000000000001E-2</v>
      </c>
      <c r="G275" s="160">
        <v>0.91900000000000004</v>
      </c>
      <c r="H275" s="160">
        <v>0.33300000000000002</v>
      </c>
      <c r="I275" s="160">
        <v>1.2E-2</v>
      </c>
      <c r="J275" s="160">
        <v>0.375</v>
      </c>
      <c r="K275" s="160">
        <v>5.88</v>
      </c>
      <c r="L275" s="160">
        <v>7.17</v>
      </c>
      <c r="M275" s="160">
        <v>15.5</v>
      </c>
      <c r="N275" s="160">
        <v>0.245</v>
      </c>
    </row>
    <row r="276" spans="1:14" ht="16.5">
      <c r="A276" s="2" t="str">
        <f t="shared" si="4"/>
        <v>432하위25%</v>
      </c>
      <c r="B276" s="139">
        <v>432</v>
      </c>
      <c r="C276" s="105" t="s">
        <v>1624</v>
      </c>
      <c r="D276" s="160">
        <v>0.88800000000000001</v>
      </c>
      <c r="E276" s="160">
        <v>0.09</v>
      </c>
      <c r="F276" s="160">
        <v>1.4999999999999999E-2</v>
      </c>
      <c r="G276" s="160">
        <v>1.179</v>
      </c>
      <c r="H276" s="160">
        <v>0.41699999999999998</v>
      </c>
      <c r="I276" s="160">
        <v>1.2E-2</v>
      </c>
      <c r="J276" s="160">
        <v>0.36299999999999999</v>
      </c>
      <c r="K276" s="160">
        <v>6.02</v>
      </c>
      <c r="L276" s="160">
        <v>9.4600000000000009</v>
      </c>
      <c r="M276" s="160">
        <v>9.7899999999999991</v>
      </c>
      <c r="N276" s="160">
        <v>0.16900000000000001</v>
      </c>
    </row>
    <row r="277" spans="1:14" ht="16.5">
      <c r="A277" s="2" t="str">
        <f t="shared" si="4"/>
        <v>433하위25%</v>
      </c>
      <c r="B277" s="139">
        <v>433</v>
      </c>
      <c r="C277" s="105" t="s">
        <v>1624</v>
      </c>
      <c r="D277" s="160">
        <v>0.82499999999999996</v>
      </c>
      <c r="E277" s="160">
        <v>0.152</v>
      </c>
      <c r="F277" s="160">
        <v>1.2999999999999999E-2</v>
      </c>
      <c r="G277" s="160">
        <v>1.087</v>
      </c>
      <c r="H277" s="160">
        <v>0.33600000000000002</v>
      </c>
      <c r="I277" s="160">
        <v>1.0999999999999999E-2</v>
      </c>
      <c r="J277" s="160">
        <v>0.32</v>
      </c>
      <c r="K277" s="160">
        <v>4.54</v>
      </c>
      <c r="L277" s="160">
        <v>5.41</v>
      </c>
      <c r="M277" s="160">
        <v>7.99</v>
      </c>
      <c r="N277" s="160">
        <v>0.28000000000000003</v>
      </c>
    </row>
    <row r="278" spans="1:14" ht="16.5">
      <c r="A278" s="2" t="str">
        <f t="shared" si="4"/>
        <v>439하위25%</v>
      </c>
      <c r="B278" s="139">
        <v>439</v>
      </c>
      <c r="C278" s="105" t="s">
        <v>1624</v>
      </c>
      <c r="D278" s="160">
        <v>0.83699999999999997</v>
      </c>
      <c r="E278" s="160">
        <v>0.14199999999999999</v>
      </c>
      <c r="F278" s="160">
        <v>1.2E-2</v>
      </c>
      <c r="G278" s="160">
        <v>0.86</v>
      </c>
      <c r="H278" s="160">
        <v>0.25700000000000001</v>
      </c>
      <c r="I278" s="160">
        <v>3.6999999999999998E-2</v>
      </c>
      <c r="J278" s="160">
        <v>0.34200000000000003</v>
      </c>
      <c r="K278" s="160">
        <v>4.16</v>
      </c>
      <c r="L278" s="160">
        <v>9.27</v>
      </c>
      <c r="M278" s="160">
        <v>8.42</v>
      </c>
      <c r="N278" s="160">
        <v>0.23</v>
      </c>
    </row>
    <row r="279" spans="1:14" ht="16.5">
      <c r="A279" s="2" t="str">
        <f t="shared" si="4"/>
        <v>441하위25%</v>
      </c>
      <c r="B279" s="139">
        <v>441</v>
      </c>
      <c r="C279" s="105" t="s">
        <v>1624</v>
      </c>
      <c r="D279" s="160">
        <v>0.52100000000000002</v>
      </c>
      <c r="E279" s="160">
        <v>0.28399999999999997</v>
      </c>
      <c r="F279" s="160">
        <v>8.0000000000000002E-3</v>
      </c>
      <c r="G279" s="160">
        <v>0.23799999999999999</v>
      </c>
      <c r="H279" s="160">
        <v>5.2999999999999999E-2</v>
      </c>
      <c r="I279" s="160">
        <v>2E-3</v>
      </c>
      <c r="J279" s="160">
        <v>0.23</v>
      </c>
      <c r="K279" s="160">
        <v>76.59</v>
      </c>
      <c r="L279" s="160">
        <v>36.659999999999997</v>
      </c>
      <c r="M279" s="160">
        <v>148.66999999999999</v>
      </c>
      <c r="N279" s="160">
        <v>3.4000000000000002E-2</v>
      </c>
    </row>
    <row r="280" spans="1:14" ht="16.5">
      <c r="A280" s="2" t="str">
        <f t="shared" si="4"/>
        <v>442하위25%</v>
      </c>
      <c r="B280" s="139">
        <v>442</v>
      </c>
      <c r="C280" s="105" t="s">
        <v>1624</v>
      </c>
      <c r="D280" s="160">
        <v>0.68899999999999995</v>
      </c>
      <c r="E280" s="160">
        <v>0.29499999999999998</v>
      </c>
      <c r="F280" s="160">
        <v>1.2999999999999999E-2</v>
      </c>
      <c r="G280" s="160">
        <v>1.6739999999999999</v>
      </c>
      <c r="H280" s="160">
        <v>0.124</v>
      </c>
      <c r="I280" s="160">
        <v>6.2E-2</v>
      </c>
      <c r="J280" s="160">
        <v>0.111</v>
      </c>
      <c r="K280" s="160">
        <v>6.45</v>
      </c>
      <c r="L280" s="160">
        <v>27.58</v>
      </c>
      <c r="M280" s="160">
        <v>10.72</v>
      </c>
      <c r="N280" s="160">
        <v>9.8000000000000004E-2</v>
      </c>
    </row>
    <row r="281" spans="1:14" ht="16.5">
      <c r="A281" s="2" t="str">
        <f t="shared" si="4"/>
        <v>443하위25%</v>
      </c>
      <c r="B281" s="139">
        <v>443</v>
      </c>
      <c r="C281" s="105" t="s">
        <v>1624</v>
      </c>
      <c r="D281" s="160">
        <v>0.52100000000000002</v>
      </c>
      <c r="E281" s="160">
        <v>0.28399999999999997</v>
      </c>
      <c r="F281" s="160">
        <v>8.0000000000000002E-3</v>
      </c>
      <c r="G281" s="160">
        <v>0.23799999999999999</v>
      </c>
      <c r="H281" s="160">
        <v>5.2999999999999999E-2</v>
      </c>
      <c r="I281" s="160">
        <v>2E-3</v>
      </c>
      <c r="J281" s="160">
        <v>0.23</v>
      </c>
      <c r="K281" s="160">
        <v>76.59</v>
      </c>
      <c r="L281" s="160">
        <v>36.659999999999997</v>
      </c>
      <c r="M281" s="160">
        <v>148.66999999999999</v>
      </c>
      <c r="N281" s="160">
        <v>3.4000000000000002E-2</v>
      </c>
    </row>
    <row r="282" spans="1:14" ht="16.5">
      <c r="A282" s="2" t="str">
        <f t="shared" si="4"/>
        <v>444하위25%</v>
      </c>
      <c r="B282" s="139">
        <v>444</v>
      </c>
      <c r="C282" s="105" t="s">
        <v>1624</v>
      </c>
      <c r="D282" s="160">
        <v>0.52500000000000002</v>
      </c>
      <c r="E282" s="160">
        <v>0.46300000000000002</v>
      </c>
      <c r="F282" s="160">
        <v>2.3E-2</v>
      </c>
      <c r="G282" s="160">
        <v>0.61699999999999999</v>
      </c>
      <c r="H282" s="160">
        <v>0.30499999999999999</v>
      </c>
      <c r="I282" s="160">
        <v>2.1999999999999999E-2</v>
      </c>
      <c r="J282" s="160">
        <v>0.52900000000000003</v>
      </c>
      <c r="K282" s="160">
        <v>8.24</v>
      </c>
      <c r="L282" s="160">
        <v>4.9400000000000004</v>
      </c>
      <c r="M282" s="160">
        <v>35.880000000000003</v>
      </c>
      <c r="N282" s="160">
        <v>0.29599999999999999</v>
      </c>
    </row>
    <row r="283" spans="1:14" ht="16.5">
      <c r="A283" s="2" t="str">
        <f t="shared" si="4"/>
        <v>445하위25%</v>
      </c>
      <c r="B283" s="139">
        <v>445</v>
      </c>
      <c r="C283" s="105" t="s">
        <v>1624</v>
      </c>
      <c r="D283" s="160">
        <v>0.80800000000000005</v>
      </c>
      <c r="E283" s="160">
        <v>0.17299999999999999</v>
      </c>
      <c r="F283" s="160">
        <v>1.4999999999999999E-2</v>
      </c>
      <c r="G283" s="160">
        <v>1.006</v>
      </c>
      <c r="H283" s="160">
        <v>0.53100000000000003</v>
      </c>
      <c r="I283" s="160">
        <v>0.105</v>
      </c>
      <c r="J283" s="160">
        <v>0.63200000000000001</v>
      </c>
      <c r="K283" s="160">
        <v>16.48</v>
      </c>
      <c r="L283" s="160">
        <v>22.54</v>
      </c>
      <c r="M283" s="160">
        <v>35.369999999999997</v>
      </c>
      <c r="N283" s="160">
        <v>7.6999999999999999E-2</v>
      </c>
    </row>
    <row r="284" spans="1:14" ht="16.5">
      <c r="A284" s="2" t="str">
        <f t="shared" si="4"/>
        <v>446하위25%</v>
      </c>
      <c r="B284" s="139">
        <v>446</v>
      </c>
      <c r="C284" s="105" t="s">
        <v>1624</v>
      </c>
      <c r="D284" s="160">
        <v>0.91600000000000004</v>
      </c>
      <c r="E284" s="160">
        <v>7.0999999999999994E-2</v>
      </c>
      <c r="F284" s="160">
        <v>3.0000000000000001E-3</v>
      </c>
      <c r="G284" s="160">
        <v>1.917</v>
      </c>
      <c r="H284" s="160">
        <v>8.8999999999999996E-2</v>
      </c>
      <c r="I284" s="160">
        <v>4.0000000000000001E-3</v>
      </c>
      <c r="J284" s="160">
        <v>4.9000000000000002E-2</v>
      </c>
      <c r="K284" s="160">
        <v>10.33</v>
      </c>
      <c r="L284" s="160">
        <v>15.47</v>
      </c>
      <c r="M284" s="160">
        <v>21.39</v>
      </c>
      <c r="N284" s="160">
        <v>0.115</v>
      </c>
    </row>
    <row r="285" spans="1:14" ht="16.5">
      <c r="A285" s="2" t="str">
        <f t="shared" si="4"/>
        <v>447하위25%</v>
      </c>
      <c r="B285" s="139">
        <v>447</v>
      </c>
      <c r="C285" s="105" t="s">
        <v>1624</v>
      </c>
      <c r="D285" s="160">
        <v>0.85899999999999999</v>
      </c>
      <c r="E285" s="160">
        <v>0.111</v>
      </c>
      <c r="F285" s="160">
        <v>8.9999999999999993E-3</v>
      </c>
      <c r="G285" s="160">
        <v>1.681</v>
      </c>
      <c r="H285" s="160">
        <v>0.158</v>
      </c>
      <c r="I285" s="160">
        <v>1.0999999999999999E-2</v>
      </c>
      <c r="J285" s="160">
        <v>0.1</v>
      </c>
      <c r="K285" s="160">
        <v>11.9</v>
      </c>
      <c r="L285" s="160">
        <v>17.309999999999999</v>
      </c>
      <c r="M285" s="160">
        <v>19.07</v>
      </c>
      <c r="N285" s="160">
        <v>8.8999999999999996E-2</v>
      </c>
    </row>
    <row r="286" spans="1:14" ht="16.5">
      <c r="A286" s="2" t="str">
        <f t="shared" si="4"/>
        <v>449하위25%</v>
      </c>
      <c r="B286" s="139">
        <v>449</v>
      </c>
      <c r="C286" s="105" t="s">
        <v>1624</v>
      </c>
      <c r="D286" s="160">
        <v>0.27200000000000002</v>
      </c>
      <c r="E286" s="160">
        <v>0.69499999999999995</v>
      </c>
      <c r="F286" s="160">
        <v>1.7999999999999999E-2</v>
      </c>
      <c r="G286" s="160">
        <v>0.84</v>
      </c>
      <c r="H286" s="160">
        <v>0.23499999999999999</v>
      </c>
      <c r="I286" s="160">
        <v>2E-3</v>
      </c>
      <c r="J286" s="160">
        <v>0.28199999999999997</v>
      </c>
      <c r="K286" s="160">
        <v>6.94</v>
      </c>
      <c r="L286" s="160">
        <v>203.74</v>
      </c>
      <c r="M286" s="160">
        <v>57.67</v>
      </c>
      <c r="N286" s="160">
        <v>0.13200000000000001</v>
      </c>
    </row>
    <row r="287" spans="1:14" ht="16.5">
      <c r="A287" s="2" t="str">
        <f t="shared" si="4"/>
        <v>511하위25%</v>
      </c>
      <c r="B287" s="139">
        <v>511</v>
      </c>
      <c r="C287" s="105" t="s">
        <v>1624</v>
      </c>
      <c r="D287" s="160">
        <v>0.91300000000000003</v>
      </c>
      <c r="E287" s="160">
        <v>6.7000000000000004E-2</v>
      </c>
      <c r="F287" s="160">
        <v>1E-3</v>
      </c>
      <c r="G287" s="160">
        <v>0.50700000000000001</v>
      </c>
      <c r="H287" s="160">
        <v>0.33500000000000002</v>
      </c>
      <c r="I287" s="160">
        <v>5.0000000000000001E-3</v>
      </c>
      <c r="J287" s="160">
        <v>0.67200000000000004</v>
      </c>
      <c r="K287" s="160">
        <v>12.86</v>
      </c>
      <c r="L287" s="160">
        <v>5.13</v>
      </c>
      <c r="M287" s="160">
        <v>21.26</v>
      </c>
      <c r="N287" s="160">
        <v>0.22600000000000001</v>
      </c>
    </row>
    <row r="288" spans="1:14" ht="16.5">
      <c r="A288" s="2" t="str">
        <f t="shared" si="4"/>
        <v>512하위25%</v>
      </c>
      <c r="B288" s="139">
        <v>512</v>
      </c>
      <c r="C288" s="105" t="s">
        <v>1624</v>
      </c>
      <c r="D288" s="160">
        <v>0</v>
      </c>
      <c r="E288" s="160">
        <v>0</v>
      </c>
      <c r="F288" s="160">
        <v>0</v>
      </c>
      <c r="G288" s="160">
        <v>0</v>
      </c>
      <c r="H288" s="160">
        <v>0</v>
      </c>
      <c r="I288" s="160">
        <v>0</v>
      </c>
      <c r="J288" s="160">
        <v>0</v>
      </c>
      <c r="K288" s="160">
        <v>0</v>
      </c>
      <c r="L288" s="160">
        <v>0</v>
      </c>
      <c r="M288" s="160">
        <v>0</v>
      </c>
      <c r="N288" s="160">
        <v>0</v>
      </c>
    </row>
    <row r="289" spans="1:14" ht="16.5">
      <c r="A289" s="2" t="str">
        <f t="shared" si="4"/>
        <v>520하위25%</v>
      </c>
      <c r="B289" s="139">
        <v>520</v>
      </c>
      <c r="C289" s="105" t="s">
        <v>1624</v>
      </c>
      <c r="D289" s="160">
        <v>0.92</v>
      </c>
      <c r="E289" s="160">
        <v>5.6000000000000001E-2</v>
      </c>
      <c r="F289" s="160">
        <v>1.7999999999999999E-2</v>
      </c>
      <c r="G289" s="160">
        <v>1.1419999999999999</v>
      </c>
      <c r="H289" s="160">
        <v>0.40100000000000002</v>
      </c>
      <c r="I289" s="160">
        <v>2E-3</v>
      </c>
      <c r="J289" s="160">
        <v>0.35199999999999998</v>
      </c>
      <c r="K289" s="160">
        <v>14.04</v>
      </c>
      <c r="L289" s="160">
        <v>3.98</v>
      </c>
      <c r="M289" s="160">
        <v>16.16</v>
      </c>
      <c r="N289" s="160">
        <v>0.26100000000000001</v>
      </c>
    </row>
    <row r="290" spans="1:14" ht="16.5">
      <c r="A290" s="2" t="str">
        <f t="shared" si="4"/>
        <v>611하위25%</v>
      </c>
      <c r="B290" s="139">
        <v>611</v>
      </c>
      <c r="C290" s="105" t="s">
        <v>1624</v>
      </c>
      <c r="D290" s="160">
        <v>0.92900000000000005</v>
      </c>
      <c r="E290" s="160">
        <v>6.6000000000000003E-2</v>
      </c>
      <c r="F290" s="160">
        <v>3.0000000000000001E-3</v>
      </c>
      <c r="G290" s="160">
        <v>5.4210000000000003</v>
      </c>
      <c r="H290" s="160">
        <v>0.214</v>
      </c>
      <c r="I290" s="160">
        <v>8.9999999999999993E-3</v>
      </c>
      <c r="J290" s="160">
        <v>4.1000000000000002E-2</v>
      </c>
      <c r="K290" s="160">
        <v>29.31</v>
      </c>
      <c r="L290" s="160">
        <v>17.309999999999999</v>
      </c>
      <c r="M290" s="160">
        <v>77.77</v>
      </c>
      <c r="N290" s="160">
        <v>7.9000000000000001E-2</v>
      </c>
    </row>
    <row r="291" spans="1:14" ht="16.5">
      <c r="A291" s="2" t="str">
        <f t="shared" si="4"/>
        <v>612하위25%</v>
      </c>
      <c r="B291" s="139">
        <v>612</v>
      </c>
      <c r="C291" s="105" t="s">
        <v>1624</v>
      </c>
      <c r="D291" s="160">
        <v>0.82199999999999995</v>
      </c>
      <c r="E291" s="160">
        <v>0.157</v>
      </c>
      <c r="F291" s="160">
        <v>1.6E-2</v>
      </c>
      <c r="G291" s="160">
        <v>1.4239999999999999</v>
      </c>
      <c r="H291" s="160">
        <v>0.42</v>
      </c>
      <c r="I291" s="160">
        <v>2.4E-2</v>
      </c>
      <c r="J291" s="160">
        <v>0.311</v>
      </c>
      <c r="K291" s="160">
        <v>6.39</v>
      </c>
      <c r="L291" s="160">
        <v>9.0299999999999994</v>
      </c>
      <c r="M291" s="160">
        <v>7.92</v>
      </c>
      <c r="N291" s="160">
        <v>0.14099999999999999</v>
      </c>
    </row>
    <row r="292" spans="1:14" ht="16.5">
      <c r="A292" s="2" t="str">
        <f t="shared" si="4"/>
        <v>619하위25%</v>
      </c>
      <c r="B292" s="139">
        <v>619</v>
      </c>
      <c r="C292" s="105" t="s">
        <v>1624</v>
      </c>
      <c r="D292" s="160">
        <v>0.88400000000000001</v>
      </c>
      <c r="E292" s="160">
        <v>0.09</v>
      </c>
      <c r="F292" s="160">
        <v>6.0000000000000001E-3</v>
      </c>
      <c r="G292" s="160">
        <v>1.3540000000000001</v>
      </c>
      <c r="H292" s="160">
        <v>0.35899999999999999</v>
      </c>
      <c r="I292" s="160">
        <v>8.5999999999999993E-2</v>
      </c>
      <c r="J292" s="160">
        <v>0.32900000000000001</v>
      </c>
      <c r="K292" s="160">
        <v>8.99</v>
      </c>
      <c r="L292" s="160">
        <v>13.76</v>
      </c>
      <c r="M292" s="160">
        <v>14.49</v>
      </c>
      <c r="N292" s="160">
        <v>0.115</v>
      </c>
    </row>
    <row r="293" spans="1:14" ht="16.5">
      <c r="A293" s="2" t="str">
        <f t="shared" si="4"/>
        <v>621하위25%</v>
      </c>
      <c r="B293" s="139">
        <v>621</v>
      </c>
      <c r="C293" s="105" t="s">
        <v>1624</v>
      </c>
      <c r="D293" s="160">
        <v>0.93400000000000005</v>
      </c>
      <c r="E293" s="160">
        <v>5.0999999999999997E-2</v>
      </c>
      <c r="F293" s="160">
        <v>0.01</v>
      </c>
      <c r="G293" s="160">
        <v>0.49299999999999999</v>
      </c>
      <c r="H293" s="160">
        <v>0.32</v>
      </c>
      <c r="I293" s="160">
        <v>3.0000000000000001E-3</v>
      </c>
      <c r="J293" s="160">
        <v>0.65600000000000003</v>
      </c>
      <c r="K293" s="160">
        <v>10.52</v>
      </c>
      <c r="L293" s="160">
        <v>13.18</v>
      </c>
      <c r="M293" s="160">
        <v>9.73</v>
      </c>
      <c r="N293" s="160">
        <v>6.8000000000000005E-2</v>
      </c>
    </row>
    <row r="294" spans="1:14" ht="16.5">
      <c r="A294" s="2" t="str">
        <f t="shared" si="4"/>
        <v>622하위25%</v>
      </c>
      <c r="B294" s="139">
        <v>622</v>
      </c>
      <c r="C294" s="105" t="s">
        <v>1624</v>
      </c>
      <c r="D294" s="160">
        <v>0.877</v>
      </c>
      <c r="E294" s="160">
        <v>9.7000000000000003E-2</v>
      </c>
      <c r="F294" s="160">
        <v>2.1000000000000001E-2</v>
      </c>
      <c r="G294" s="160">
        <v>1.349</v>
      </c>
      <c r="H294" s="160">
        <v>0.48299999999999998</v>
      </c>
      <c r="I294" s="160">
        <v>0</v>
      </c>
      <c r="J294" s="160">
        <v>0.35899999999999999</v>
      </c>
      <c r="K294" s="160">
        <v>6.17</v>
      </c>
      <c r="L294" s="160">
        <v>16.2</v>
      </c>
      <c r="M294" s="160">
        <v>16.37</v>
      </c>
      <c r="N294" s="160">
        <v>0.16300000000000001</v>
      </c>
    </row>
    <row r="295" spans="1:14" ht="16.5">
      <c r="A295" s="2" t="str">
        <f t="shared" si="4"/>
        <v>623하위25%</v>
      </c>
      <c r="B295" s="139">
        <v>623</v>
      </c>
      <c r="C295" s="105" t="s">
        <v>1624</v>
      </c>
      <c r="D295" s="160">
        <v>0.80600000000000005</v>
      </c>
      <c r="E295" s="160">
        <v>0.154</v>
      </c>
      <c r="F295" s="160">
        <v>2.5000000000000001E-2</v>
      </c>
      <c r="G295" s="160">
        <v>0.41899999999999998</v>
      </c>
      <c r="H295" s="160">
        <v>0.37</v>
      </c>
      <c r="I295" s="160">
        <v>0</v>
      </c>
      <c r="J295" s="160">
        <v>0.88400000000000001</v>
      </c>
      <c r="K295" s="160">
        <v>56.49</v>
      </c>
      <c r="L295" s="160">
        <v>2.11</v>
      </c>
      <c r="M295" s="160">
        <v>1</v>
      </c>
      <c r="N295" s="160">
        <v>0.50600000000000001</v>
      </c>
    </row>
    <row r="296" spans="1:14" ht="16.5">
      <c r="A296" s="2" t="str">
        <f t="shared" si="4"/>
        <v>624하위25%</v>
      </c>
      <c r="B296" s="139">
        <v>624</v>
      </c>
      <c r="C296" s="105" t="s">
        <v>1624</v>
      </c>
      <c r="D296" s="160">
        <v>0.90200000000000002</v>
      </c>
      <c r="E296" s="160">
        <v>7.8E-2</v>
      </c>
      <c r="F296" s="160">
        <v>8.9999999999999993E-3</v>
      </c>
      <c r="G296" s="160">
        <v>0.88500000000000001</v>
      </c>
      <c r="H296" s="160">
        <v>0.53600000000000003</v>
      </c>
      <c r="I296" s="160">
        <v>5.0000000000000001E-3</v>
      </c>
      <c r="J296" s="160">
        <v>0.61199999999999999</v>
      </c>
      <c r="K296" s="160">
        <v>8.1999999999999993</v>
      </c>
      <c r="L296" s="160">
        <v>7.93</v>
      </c>
      <c r="M296" s="160">
        <v>10.42</v>
      </c>
      <c r="N296" s="160">
        <v>0.152</v>
      </c>
    </row>
    <row r="297" spans="1:14" ht="16.5">
      <c r="A297" s="2" t="str">
        <f t="shared" si="4"/>
        <v>625하위25%</v>
      </c>
      <c r="B297" s="139">
        <v>625</v>
      </c>
      <c r="C297" s="105" t="s">
        <v>1624</v>
      </c>
      <c r="D297" s="160">
        <v>0.86099999999999999</v>
      </c>
      <c r="E297" s="160">
        <v>0.12</v>
      </c>
      <c r="F297" s="160">
        <v>1.2999999999999999E-2</v>
      </c>
      <c r="G297" s="160">
        <v>0.94299999999999995</v>
      </c>
      <c r="H297" s="160">
        <v>0.438</v>
      </c>
      <c r="I297" s="160">
        <v>7.0000000000000001E-3</v>
      </c>
      <c r="J297" s="160">
        <v>0.47199999999999998</v>
      </c>
      <c r="K297" s="160">
        <v>5.71</v>
      </c>
      <c r="L297" s="160">
        <v>15.17</v>
      </c>
      <c r="M297" s="160">
        <v>6.92</v>
      </c>
      <c r="N297" s="160">
        <v>9.6000000000000002E-2</v>
      </c>
    </row>
    <row r="298" spans="1:14" ht="16.5">
      <c r="A298" s="2" t="str">
        <f t="shared" si="4"/>
        <v>626하위25%</v>
      </c>
      <c r="B298" s="139">
        <v>626</v>
      </c>
      <c r="C298" s="105" t="s">
        <v>1624</v>
      </c>
      <c r="D298" s="160">
        <v>0.82399999999999995</v>
      </c>
      <c r="E298" s="160">
        <v>0.152</v>
      </c>
      <c r="F298" s="160">
        <v>2.1000000000000001E-2</v>
      </c>
      <c r="G298" s="160">
        <v>1.1000000000000001</v>
      </c>
      <c r="H298" s="160">
        <v>0.30099999999999999</v>
      </c>
      <c r="I298" s="160">
        <v>5.8000000000000003E-2</v>
      </c>
      <c r="J298" s="160">
        <v>0.32700000000000001</v>
      </c>
      <c r="K298" s="160">
        <v>5.12</v>
      </c>
      <c r="L298" s="160">
        <v>7.09</v>
      </c>
      <c r="M298" s="160">
        <v>9.84</v>
      </c>
      <c r="N298" s="160">
        <v>0.23499999999999999</v>
      </c>
    </row>
    <row r="299" spans="1:14" ht="16.5">
      <c r="A299" s="2" t="str">
        <f t="shared" si="4"/>
        <v>627하위25%</v>
      </c>
      <c r="B299" s="139">
        <v>627</v>
      </c>
      <c r="C299" s="105" t="s">
        <v>1624</v>
      </c>
      <c r="D299" s="160">
        <v>0.86299999999999999</v>
      </c>
      <c r="E299" s="160">
        <v>0.114</v>
      </c>
      <c r="F299" s="160">
        <v>1.2E-2</v>
      </c>
      <c r="G299" s="160">
        <v>0.91600000000000004</v>
      </c>
      <c r="H299" s="160">
        <v>0.309</v>
      </c>
      <c r="I299" s="160">
        <v>2.9000000000000001E-2</v>
      </c>
      <c r="J299" s="160">
        <v>0.36799999999999999</v>
      </c>
      <c r="K299" s="160">
        <v>5.33</v>
      </c>
      <c r="L299" s="160">
        <v>8.0399999999999991</v>
      </c>
      <c r="M299" s="160">
        <v>9.0299999999999994</v>
      </c>
      <c r="N299" s="160">
        <v>0.20100000000000001</v>
      </c>
    </row>
    <row r="300" spans="1:14" ht="16.5">
      <c r="A300" s="2" t="str">
        <f t="shared" si="4"/>
        <v>628하위25%</v>
      </c>
      <c r="B300" s="139">
        <v>628</v>
      </c>
      <c r="C300" s="105" t="s">
        <v>1624</v>
      </c>
      <c r="D300" s="160">
        <v>0.85399999999999998</v>
      </c>
      <c r="E300" s="160">
        <v>0.11899999999999999</v>
      </c>
      <c r="F300" s="160">
        <v>3.0000000000000001E-3</v>
      </c>
      <c r="G300" s="160">
        <v>1.085</v>
      </c>
      <c r="H300" s="160">
        <v>0.48499999999999999</v>
      </c>
      <c r="I300" s="160">
        <v>1E-3</v>
      </c>
      <c r="J300" s="160">
        <v>0.44800000000000001</v>
      </c>
      <c r="K300" s="160">
        <v>5.07</v>
      </c>
      <c r="L300" s="160">
        <v>7.19</v>
      </c>
      <c r="M300" s="160">
        <v>19.48</v>
      </c>
      <c r="N300" s="160">
        <v>0.28499999999999998</v>
      </c>
    </row>
    <row r="301" spans="1:14" ht="16.5">
      <c r="A301" s="2" t="str">
        <f t="shared" si="4"/>
        <v>629하위25%</v>
      </c>
      <c r="B301" s="139">
        <v>629</v>
      </c>
      <c r="C301" s="105" t="s">
        <v>1624</v>
      </c>
      <c r="D301" s="160">
        <v>0.88800000000000001</v>
      </c>
      <c r="E301" s="160">
        <v>0.09</v>
      </c>
      <c r="F301" s="160">
        <v>1.4999999999999999E-2</v>
      </c>
      <c r="G301" s="160">
        <v>1.179</v>
      </c>
      <c r="H301" s="160">
        <v>0.41699999999999998</v>
      </c>
      <c r="I301" s="160">
        <v>1.2E-2</v>
      </c>
      <c r="J301" s="160">
        <v>0.36299999999999999</v>
      </c>
      <c r="K301" s="160">
        <v>6.02</v>
      </c>
      <c r="L301" s="160">
        <v>9.4600000000000009</v>
      </c>
      <c r="M301" s="160">
        <v>9.7899999999999991</v>
      </c>
      <c r="N301" s="160">
        <v>0.16900000000000001</v>
      </c>
    </row>
    <row r="302" spans="1:14" ht="16.5">
      <c r="A302" s="2" t="str">
        <f t="shared" si="4"/>
        <v>631하위25%</v>
      </c>
      <c r="B302" s="139">
        <v>631</v>
      </c>
      <c r="C302" s="105" t="s">
        <v>1624</v>
      </c>
      <c r="D302" s="160">
        <v>0.76300000000000001</v>
      </c>
      <c r="E302" s="160">
        <v>0.22600000000000001</v>
      </c>
      <c r="F302" s="160">
        <v>8.9999999999999993E-3</v>
      </c>
      <c r="G302" s="160">
        <v>2.3620000000000001</v>
      </c>
      <c r="H302" s="160">
        <v>0.14699999999999999</v>
      </c>
      <c r="I302" s="160">
        <v>1.0999999999999999E-2</v>
      </c>
      <c r="J302" s="160">
        <v>6.7000000000000004E-2</v>
      </c>
      <c r="K302" s="160">
        <v>13.66</v>
      </c>
      <c r="L302" s="160">
        <v>31.92</v>
      </c>
      <c r="M302" s="160">
        <v>17.489999999999998</v>
      </c>
      <c r="N302" s="160">
        <v>4.7E-2</v>
      </c>
    </row>
    <row r="303" spans="1:14" ht="16.5">
      <c r="A303" s="2" t="str">
        <f t="shared" si="4"/>
        <v>632하위25%</v>
      </c>
      <c r="B303" s="139">
        <v>632</v>
      </c>
      <c r="C303" s="105" t="s">
        <v>1624</v>
      </c>
      <c r="D303" s="160">
        <v>0.89800000000000002</v>
      </c>
      <c r="E303" s="160">
        <v>8.6999999999999994E-2</v>
      </c>
      <c r="F303" s="160">
        <v>3.0000000000000001E-3</v>
      </c>
      <c r="G303" s="160">
        <v>2.0449999999999999</v>
      </c>
      <c r="H303" s="160">
        <v>8.1000000000000003E-2</v>
      </c>
      <c r="I303" s="160">
        <v>2E-3</v>
      </c>
      <c r="J303" s="160">
        <v>0.04</v>
      </c>
      <c r="K303" s="160">
        <v>9.94</v>
      </c>
      <c r="L303" s="160">
        <v>17.16</v>
      </c>
      <c r="M303" s="160">
        <v>34.159999999999997</v>
      </c>
      <c r="N303" s="160">
        <v>0.13</v>
      </c>
    </row>
    <row r="304" spans="1:14" ht="16.5">
      <c r="A304" s="2" t="str">
        <f t="shared" si="4"/>
        <v>633하위25%</v>
      </c>
      <c r="B304" s="139">
        <v>633</v>
      </c>
      <c r="C304" s="105" t="s">
        <v>1624</v>
      </c>
      <c r="D304" s="160">
        <v>0.68899999999999995</v>
      </c>
      <c r="E304" s="160">
        <v>0.29499999999999998</v>
      </c>
      <c r="F304" s="160">
        <v>1.2999999999999999E-2</v>
      </c>
      <c r="G304" s="160">
        <v>1.6739999999999999</v>
      </c>
      <c r="H304" s="160">
        <v>0.124</v>
      </c>
      <c r="I304" s="160">
        <v>6.2E-2</v>
      </c>
      <c r="J304" s="160">
        <v>0.111</v>
      </c>
      <c r="K304" s="160">
        <v>6.45</v>
      </c>
      <c r="L304" s="160">
        <v>27.58</v>
      </c>
      <c r="M304" s="160">
        <v>10.72</v>
      </c>
      <c r="N304" s="160">
        <v>9.8000000000000004E-2</v>
      </c>
    </row>
    <row r="305" spans="1:14" ht="16.5">
      <c r="A305" s="2" t="str">
        <f t="shared" si="4"/>
        <v>634하위25%</v>
      </c>
      <c r="B305" s="139">
        <v>634</v>
      </c>
      <c r="C305" s="105" t="s">
        <v>1624</v>
      </c>
      <c r="D305" s="160">
        <v>0.85599999999999998</v>
      </c>
      <c r="E305" s="160">
        <v>0.13</v>
      </c>
      <c r="F305" s="160">
        <v>8.9999999999999993E-3</v>
      </c>
      <c r="G305" s="160">
        <v>1.627</v>
      </c>
      <c r="H305" s="160">
        <v>0.16400000000000001</v>
      </c>
      <c r="I305" s="160">
        <v>7.6999999999999999E-2</v>
      </c>
      <c r="J305" s="160">
        <v>0.14799999999999999</v>
      </c>
      <c r="K305" s="160">
        <v>6.58</v>
      </c>
      <c r="L305" s="160">
        <v>32.46</v>
      </c>
      <c r="M305" s="160">
        <v>16.87</v>
      </c>
      <c r="N305" s="160">
        <v>0.124</v>
      </c>
    </row>
    <row r="306" spans="1:14" ht="16.5">
      <c r="A306" s="2" t="str">
        <f t="shared" si="4"/>
        <v>635하위25%</v>
      </c>
      <c r="B306" s="139">
        <v>635</v>
      </c>
      <c r="C306" s="105" t="s">
        <v>1624</v>
      </c>
      <c r="D306" s="160">
        <v>0.56599999999999995</v>
      </c>
      <c r="E306" s="160">
        <v>0.41299999999999998</v>
      </c>
      <c r="F306" s="160">
        <v>2.9000000000000001E-2</v>
      </c>
      <c r="G306" s="160">
        <v>0.95099999999999996</v>
      </c>
      <c r="H306" s="160">
        <v>0.33900000000000002</v>
      </c>
      <c r="I306" s="160">
        <v>3.5000000000000003E-2</v>
      </c>
      <c r="J306" s="160">
        <v>0.39300000000000002</v>
      </c>
      <c r="K306" s="160">
        <v>7.19</v>
      </c>
      <c r="L306" s="160">
        <v>81.55</v>
      </c>
      <c r="M306" s="160">
        <v>40.92</v>
      </c>
      <c r="N306" s="160">
        <v>0.127</v>
      </c>
    </row>
    <row r="307" spans="1:14" ht="16.5">
      <c r="A307" s="2" t="str">
        <f t="shared" si="4"/>
        <v>636하위25%</v>
      </c>
      <c r="B307" s="139">
        <v>636</v>
      </c>
      <c r="C307" s="105" t="s">
        <v>1624</v>
      </c>
      <c r="D307" s="160">
        <v>0.80800000000000005</v>
      </c>
      <c r="E307" s="160">
        <v>0.17299999999999999</v>
      </c>
      <c r="F307" s="160">
        <v>1.4999999999999999E-2</v>
      </c>
      <c r="G307" s="160">
        <v>1.006</v>
      </c>
      <c r="H307" s="160">
        <v>0.53100000000000003</v>
      </c>
      <c r="I307" s="160">
        <v>0.105</v>
      </c>
      <c r="J307" s="160">
        <v>0.63200000000000001</v>
      </c>
      <c r="K307" s="160">
        <v>16.48</v>
      </c>
      <c r="L307" s="160">
        <v>22.54</v>
      </c>
      <c r="M307" s="160">
        <v>35.369999999999997</v>
      </c>
      <c r="N307" s="160">
        <v>7.6999999999999999E-2</v>
      </c>
    </row>
    <row r="308" spans="1:14" ht="16.5">
      <c r="A308" s="2" t="str">
        <f t="shared" si="4"/>
        <v>637하위25%</v>
      </c>
      <c r="B308" s="139">
        <v>637</v>
      </c>
      <c r="C308" s="105" t="s">
        <v>1624</v>
      </c>
      <c r="D308" s="160">
        <v>0.64700000000000002</v>
      </c>
      <c r="E308" s="160">
        <v>0.33200000000000002</v>
      </c>
      <c r="F308" s="160">
        <v>1.0999999999999999E-2</v>
      </c>
      <c r="G308" s="160">
        <v>1.4279999999999999</v>
      </c>
      <c r="H308" s="160">
        <v>0.222</v>
      </c>
      <c r="I308" s="160">
        <v>3.1E-2</v>
      </c>
      <c r="J308" s="160">
        <v>0.17699999999999999</v>
      </c>
      <c r="K308" s="160">
        <v>6.24</v>
      </c>
      <c r="L308" s="160">
        <v>32.200000000000003</v>
      </c>
      <c r="M308" s="160">
        <v>29.68</v>
      </c>
      <c r="N308" s="160">
        <v>0.158</v>
      </c>
    </row>
    <row r="309" spans="1:14" ht="16.5">
      <c r="A309" s="2" t="str">
        <f t="shared" si="4"/>
        <v>639하위25%</v>
      </c>
      <c r="B309" s="139">
        <v>639</v>
      </c>
      <c r="C309" s="105" t="s">
        <v>1624</v>
      </c>
      <c r="D309" s="160">
        <v>0.253</v>
      </c>
      <c r="E309" s="160">
        <v>0.71799999999999997</v>
      </c>
      <c r="F309" s="160">
        <v>3.2000000000000001E-2</v>
      </c>
      <c r="G309" s="160">
        <v>2.0649999999999999</v>
      </c>
      <c r="H309" s="160">
        <v>0.33100000000000002</v>
      </c>
      <c r="I309" s="160">
        <v>1E-3</v>
      </c>
      <c r="J309" s="160">
        <v>0.161</v>
      </c>
      <c r="K309" s="160">
        <v>54.53</v>
      </c>
      <c r="L309" s="160">
        <v>10.98</v>
      </c>
      <c r="M309" s="160">
        <v>23.6</v>
      </c>
      <c r="N309" s="160">
        <v>6.7000000000000004E-2</v>
      </c>
    </row>
    <row r="310" spans="1:14" ht="16.5">
      <c r="A310" s="2" t="str">
        <f t="shared" si="4"/>
        <v>711하위25%</v>
      </c>
      <c r="B310" s="139">
        <v>711</v>
      </c>
      <c r="C310" s="105" t="s">
        <v>1624</v>
      </c>
      <c r="D310" s="160">
        <v>0.93899999999999995</v>
      </c>
      <c r="E310" s="160">
        <v>5.1999999999999998E-2</v>
      </c>
      <c r="F310" s="160">
        <v>5.0000000000000001E-3</v>
      </c>
      <c r="G310" s="160">
        <v>2.5840000000000001</v>
      </c>
      <c r="H310" s="160">
        <v>0.376</v>
      </c>
      <c r="I310" s="160">
        <v>3.0000000000000001E-3</v>
      </c>
      <c r="J310" s="160">
        <v>0.14699999999999999</v>
      </c>
      <c r="K310" s="160">
        <v>11.2</v>
      </c>
      <c r="L310" s="160">
        <v>24.17</v>
      </c>
      <c r="M310" s="160">
        <v>31.85</v>
      </c>
      <c r="N310" s="160">
        <v>9.9000000000000005E-2</v>
      </c>
    </row>
    <row r="311" spans="1:14" ht="16.5">
      <c r="A311" s="2" t="str">
        <f t="shared" si="4"/>
        <v>712하위25%</v>
      </c>
      <c r="B311" s="139">
        <v>712</v>
      </c>
      <c r="C311" s="105" t="s">
        <v>1624</v>
      </c>
      <c r="D311" s="160">
        <v>0.91</v>
      </c>
      <c r="E311" s="160">
        <v>7.6999999999999999E-2</v>
      </c>
      <c r="F311" s="160">
        <v>6.0000000000000001E-3</v>
      </c>
      <c r="G311" s="160">
        <v>2.5219999999999998</v>
      </c>
      <c r="H311" s="160">
        <v>0.40100000000000002</v>
      </c>
      <c r="I311" s="160">
        <v>6.0000000000000001E-3</v>
      </c>
      <c r="J311" s="160">
        <v>0.161</v>
      </c>
      <c r="K311" s="160">
        <v>12.2</v>
      </c>
      <c r="L311" s="160">
        <v>16.579999999999998</v>
      </c>
      <c r="M311" s="160">
        <v>31.23</v>
      </c>
      <c r="N311" s="160">
        <v>0.11</v>
      </c>
    </row>
    <row r="312" spans="1:14" ht="16.5">
      <c r="A312" s="2" t="str">
        <f t="shared" si="4"/>
        <v>721하위25%</v>
      </c>
      <c r="B312" s="139">
        <v>721</v>
      </c>
      <c r="C312" s="105" t="s">
        <v>1624</v>
      </c>
      <c r="D312" s="160">
        <v>0.90200000000000002</v>
      </c>
      <c r="E312" s="160">
        <v>7.8E-2</v>
      </c>
      <c r="F312" s="160">
        <v>8.0000000000000002E-3</v>
      </c>
      <c r="G312" s="160">
        <v>1.3939999999999999</v>
      </c>
      <c r="H312" s="160">
        <v>0.34200000000000003</v>
      </c>
      <c r="I312" s="160">
        <v>5.0000000000000001E-3</v>
      </c>
      <c r="J312" s="160">
        <v>0.249</v>
      </c>
      <c r="K312" s="160">
        <v>9.48</v>
      </c>
      <c r="L312" s="160">
        <v>6.77</v>
      </c>
      <c r="M312" s="160">
        <v>16.47</v>
      </c>
      <c r="N312" s="160">
        <v>0.193</v>
      </c>
    </row>
    <row r="313" spans="1:14" ht="16.5">
      <c r="A313" s="2" t="str">
        <f t="shared" si="4"/>
        <v>722하위25%</v>
      </c>
      <c r="B313" s="139">
        <v>722</v>
      </c>
      <c r="C313" s="105" t="s">
        <v>1624</v>
      </c>
      <c r="D313" s="160">
        <v>0.872</v>
      </c>
      <c r="E313" s="160">
        <v>0.10100000000000001</v>
      </c>
      <c r="F313" s="160">
        <v>1.7999999999999999E-2</v>
      </c>
      <c r="G313" s="160">
        <v>1.327</v>
      </c>
      <c r="H313" s="160">
        <v>0.41699999999999998</v>
      </c>
      <c r="I313" s="160">
        <v>7.0000000000000001E-3</v>
      </c>
      <c r="J313" s="160">
        <v>0.32</v>
      </c>
      <c r="K313" s="160">
        <v>8.83</v>
      </c>
      <c r="L313" s="160">
        <v>5.37</v>
      </c>
      <c r="M313" s="160">
        <v>12.08</v>
      </c>
      <c r="N313" s="160">
        <v>0.217</v>
      </c>
    </row>
    <row r="314" spans="1:14" ht="16.5">
      <c r="A314" s="2" t="str">
        <f t="shared" si="4"/>
        <v>730하위25%</v>
      </c>
      <c r="B314" s="139">
        <v>730</v>
      </c>
      <c r="C314" s="105" t="s">
        <v>1624</v>
      </c>
      <c r="D314" s="160">
        <v>0.83899999999999997</v>
      </c>
      <c r="E314" s="160">
        <v>0.14599999999999999</v>
      </c>
      <c r="F314" s="160">
        <v>1.7000000000000001E-2</v>
      </c>
      <c r="G314" s="160">
        <v>1.4830000000000001</v>
      </c>
      <c r="H314" s="160">
        <v>0.40500000000000003</v>
      </c>
      <c r="I314" s="160">
        <v>5.6000000000000001E-2</v>
      </c>
      <c r="J314" s="160">
        <v>0.311</v>
      </c>
      <c r="K314" s="160">
        <v>10.71</v>
      </c>
      <c r="L314" s="160">
        <v>9.2200000000000006</v>
      </c>
      <c r="M314" s="160">
        <v>21.2</v>
      </c>
      <c r="N314" s="160">
        <v>0.155</v>
      </c>
    </row>
    <row r="315" spans="1:14" ht="16.5">
      <c r="A315" s="2" t="str">
        <f t="shared" si="4"/>
        <v>740하위25%</v>
      </c>
      <c r="B315" s="139">
        <v>740</v>
      </c>
      <c r="C315" s="105" t="s">
        <v>1624</v>
      </c>
      <c r="D315" s="160">
        <v>0.9</v>
      </c>
      <c r="E315" s="160">
        <v>8.2000000000000003E-2</v>
      </c>
      <c r="F315" s="160">
        <v>0.01</v>
      </c>
      <c r="G315" s="160">
        <v>1.0580000000000001</v>
      </c>
      <c r="H315" s="160">
        <v>0.40300000000000002</v>
      </c>
      <c r="I315" s="160">
        <v>2E-3</v>
      </c>
      <c r="J315" s="160">
        <v>0.38300000000000001</v>
      </c>
      <c r="K315" s="160">
        <v>7.54</v>
      </c>
      <c r="L315" s="160">
        <v>7.75</v>
      </c>
      <c r="M315" s="160">
        <v>15.4</v>
      </c>
      <c r="N315" s="160">
        <v>0.19700000000000001</v>
      </c>
    </row>
    <row r="316" spans="1:14" ht="16.5">
      <c r="A316" s="2" t="str">
        <f t="shared" si="4"/>
        <v>750하위25%</v>
      </c>
      <c r="B316" s="139">
        <v>750</v>
      </c>
      <c r="C316" s="105" t="s">
        <v>1624</v>
      </c>
      <c r="D316" s="160">
        <v>0.84099999999999997</v>
      </c>
      <c r="E316" s="160">
        <v>0.13200000000000001</v>
      </c>
      <c r="F316" s="160">
        <v>1.2E-2</v>
      </c>
      <c r="G316" s="160">
        <v>1.391</v>
      </c>
      <c r="H316" s="160">
        <v>0.44800000000000001</v>
      </c>
      <c r="I316" s="160">
        <v>3.1E-2</v>
      </c>
      <c r="J316" s="160">
        <v>0.34499999999999997</v>
      </c>
      <c r="K316" s="160">
        <v>9.3800000000000008</v>
      </c>
      <c r="L316" s="160">
        <v>8.1300000000000008</v>
      </c>
      <c r="M316" s="160">
        <v>21.28</v>
      </c>
      <c r="N316" s="160">
        <v>0.183</v>
      </c>
    </row>
    <row r="317" spans="1:14" ht="16.5">
      <c r="A317" s="2" t="str">
        <f t="shared" si="4"/>
        <v>761하위25%</v>
      </c>
      <c r="B317" s="139">
        <v>761</v>
      </c>
      <c r="C317" s="105" t="s">
        <v>1624</v>
      </c>
      <c r="D317" s="160">
        <v>0.92200000000000004</v>
      </c>
      <c r="E317" s="160">
        <v>6.6000000000000003E-2</v>
      </c>
      <c r="F317" s="160">
        <v>1.0999999999999999E-2</v>
      </c>
      <c r="G317" s="160">
        <v>1.72</v>
      </c>
      <c r="H317" s="160">
        <v>0.28100000000000003</v>
      </c>
      <c r="I317" s="160">
        <v>8.9999999999999993E-3</v>
      </c>
      <c r="J317" s="160">
        <v>0.16900000000000001</v>
      </c>
      <c r="K317" s="160">
        <v>13.02</v>
      </c>
      <c r="L317" s="160">
        <v>4.96</v>
      </c>
      <c r="M317" s="160">
        <v>19.2</v>
      </c>
      <c r="N317" s="160">
        <v>0.22600000000000001</v>
      </c>
    </row>
    <row r="318" spans="1:14" ht="16.5">
      <c r="A318" s="2" t="str">
        <f t="shared" si="4"/>
        <v>762하위25%</v>
      </c>
      <c r="B318" s="139">
        <v>762</v>
      </c>
      <c r="C318" s="105" t="s">
        <v>1624</v>
      </c>
      <c r="D318" s="160">
        <v>0.86699999999999999</v>
      </c>
      <c r="E318" s="160">
        <v>0.11700000000000001</v>
      </c>
      <c r="F318" s="160">
        <v>2.8000000000000001E-2</v>
      </c>
      <c r="G318" s="160">
        <v>1.1759999999999999</v>
      </c>
      <c r="H318" s="160">
        <v>0.377</v>
      </c>
      <c r="I318" s="160">
        <v>3.5999999999999997E-2</v>
      </c>
      <c r="J318" s="160">
        <v>0.35099999999999998</v>
      </c>
      <c r="K318" s="160">
        <v>5.15</v>
      </c>
      <c r="L318" s="160">
        <v>9.34</v>
      </c>
      <c r="M318" s="160">
        <v>9.4700000000000006</v>
      </c>
      <c r="N318" s="160">
        <v>0.19600000000000001</v>
      </c>
    </row>
    <row r="319" spans="1:14" ht="16.5">
      <c r="A319" s="2" t="str">
        <f t="shared" si="4"/>
        <v>770하위25%</v>
      </c>
      <c r="B319" s="139">
        <v>770</v>
      </c>
      <c r="C319" s="105" t="s">
        <v>1624</v>
      </c>
      <c r="D319" s="160">
        <v>0.84399999999999997</v>
      </c>
      <c r="E319" s="160">
        <v>0.14099999999999999</v>
      </c>
      <c r="F319" s="160">
        <v>5.0000000000000001E-3</v>
      </c>
      <c r="G319" s="160">
        <v>1.238</v>
      </c>
      <c r="H319" s="160">
        <v>0.24</v>
      </c>
      <c r="I319" s="160">
        <v>5.0000000000000001E-3</v>
      </c>
      <c r="J319" s="160">
        <v>0.19800000000000001</v>
      </c>
      <c r="K319" s="160">
        <v>6.49</v>
      </c>
      <c r="L319" s="160">
        <v>7.99</v>
      </c>
      <c r="M319" s="160">
        <v>16.309999999999999</v>
      </c>
      <c r="N319" s="160">
        <v>0.218</v>
      </c>
    </row>
    <row r="320" spans="1:14" ht="16.5">
      <c r="A320" s="2" t="str">
        <f t="shared" si="4"/>
        <v>791하위25%</v>
      </c>
      <c r="B320" s="139">
        <v>791</v>
      </c>
      <c r="C320" s="105" t="s">
        <v>1624</v>
      </c>
      <c r="D320" s="160">
        <v>0.78100000000000003</v>
      </c>
      <c r="E320" s="160">
        <v>0.19800000000000001</v>
      </c>
      <c r="F320" s="160">
        <v>1.4999999999999999E-2</v>
      </c>
      <c r="G320" s="160">
        <v>1.093</v>
      </c>
      <c r="H320" s="160">
        <v>0.58499999999999996</v>
      </c>
      <c r="I320" s="160">
        <v>9.5000000000000001E-2</v>
      </c>
      <c r="J320" s="160">
        <v>0.623</v>
      </c>
      <c r="K320" s="160">
        <v>9.0399999999999991</v>
      </c>
      <c r="L320" s="160">
        <v>15.68</v>
      </c>
      <c r="M320" s="160">
        <v>11.17</v>
      </c>
      <c r="N320" s="160">
        <v>8.5000000000000006E-2</v>
      </c>
    </row>
    <row r="321" spans="1:14" ht="16.5">
      <c r="A321" s="2" t="str">
        <f t="shared" si="4"/>
        <v>792하위25%</v>
      </c>
      <c r="B321" s="139">
        <v>792</v>
      </c>
      <c r="C321" s="105" t="s">
        <v>1624</v>
      </c>
      <c r="D321" s="160">
        <v>0.82899999999999996</v>
      </c>
      <c r="E321" s="160">
        <v>0.157</v>
      </c>
      <c r="F321" s="160">
        <v>5.0000000000000001E-3</v>
      </c>
      <c r="G321" s="160">
        <v>0.85199999999999998</v>
      </c>
      <c r="H321" s="160">
        <v>0.41299999999999998</v>
      </c>
      <c r="I321" s="160">
        <v>6.0000000000000001E-3</v>
      </c>
      <c r="J321" s="160">
        <v>0.49199999999999999</v>
      </c>
      <c r="K321" s="160">
        <v>9.92</v>
      </c>
      <c r="L321" s="160">
        <v>7.2</v>
      </c>
      <c r="M321" s="160">
        <v>20.48</v>
      </c>
      <c r="N321" s="160">
        <v>0.191</v>
      </c>
    </row>
    <row r="322" spans="1:14" ht="16.5">
      <c r="A322" s="2" t="str">
        <f t="shared" si="4"/>
        <v>793하위25%</v>
      </c>
      <c r="B322" s="139">
        <v>793</v>
      </c>
      <c r="C322" s="105" t="s">
        <v>1624</v>
      </c>
      <c r="D322" s="160">
        <v>0.74199999999999999</v>
      </c>
      <c r="E322" s="160">
        <v>0.23200000000000001</v>
      </c>
      <c r="F322" s="160">
        <v>1.9E-2</v>
      </c>
      <c r="G322" s="160">
        <v>0.79800000000000004</v>
      </c>
      <c r="H322" s="160">
        <v>0.36499999999999999</v>
      </c>
      <c r="I322" s="160">
        <v>8.0000000000000002E-3</v>
      </c>
      <c r="J322" s="160">
        <v>0.46700000000000003</v>
      </c>
      <c r="K322" s="160">
        <v>11.58</v>
      </c>
      <c r="L322" s="160">
        <v>12.86</v>
      </c>
      <c r="M322" s="160">
        <v>8.7100000000000009</v>
      </c>
      <c r="N322" s="160">
        <v>4.9000000000000002E-2</v>
      </c>
    </row>
    <row r="323" spans="1:14" ht="16.5">
      <c r="A323" s="2" t="str">
        <f t="shared" ref="A323:A340" si="5">B323&amp;C323</f>
        <v>794하위25%</v>
      </c>
      <c r="B323" s="139">
        <v>794</v>
      </c>
      <c r="C323" s="105" t="s">
        <v>1624</v>
      </c>
      <c r="D323" s="160">
        <v>0.86499999999999999</v>
      </c>
      <c r="E323" s="160">
        <v>0.11</v>
      </c>
      <c r="F323" s="160">
        <v>1.2E-2</v>
      </c>
      <c r="G323" s="160">
        <v>1.6679999999999999</v>
      </c>
      <c r="H323" s="160">
        <v>0.44500000000000001</v>
      </c>
      <c r="I323" s="160">
        <v>4.4999999999999998E-2</v>
      </c>
      <c r="J323" s="160">
        <v>0.29299999999999998</v>
      </c>
      <c r="K323" s="160">
        <v>9.93</v>
      </c>
      <c r="L323" s="160">
        <v>9.6</v>
      </c>
      <c r="M323" s="160">
        <v>15.61</v>
      </c>
      <c r="N323" s="160">
        <v>0.14099999999999999</v>
      </c>
    </row>
    <row r="324" spans="1:14" ht="16.5">
      <c r="A324" s="2" t="str">
        <f t="shared" si="5"/>
        <v>795하위25%</v>
      </c>
      <c r="B324" s="139">
        <v>795</v>
      </c>
      <c r="C324" s="105" t="s">
        <v>1624</v>
      </c>
      <c r="D324" s="160">
        <v>0.79600000000000004</v>
      </c>
      <c r="E324" s="160">
        <v>0.182</v>
      </c>
      <c r="F324" s="160">
        <v>1.6E-2</v>
      </c>
      <c r="G324" s="160">
        <v>1.1639999999999999</v>
      </c>
      <c r="H324" s="160">
        <v>0.41099999999999998</v>
      </c>
      <c r="I324" s="160">
        <v>1.2E-2</v>
      </c>
      <c r="J324" s="160">
        <v>0.36299999999999999</v>
      </c>
      <c r="K324" s="160">
        <v>7.38</v>
      </c>
      <c r="L324" s="160">
        <v>5.48</v>
      </c>
      <c r="M324" s="160">
        <v>8.98</v>
      </c>
      <c r="N324" s="160">
        <v>0.20699999999999999</v>
      </c>
    </row>
    <row r="325" spans="1:14" ht="16.5">
      <c r="A325" s="2" t="str">
        <f t="shared" si="5"/>
        <v>799하위25%</v>
      </c>
      <c r="B325" s="139">
        <v>799</v>
      </c>
      <c r="C325" s="105" t="s">
        <v>1624</v>
      </c>
      <c r="D325" s="160">
        <v>0.79600000000000004</v>
      </c>
      <c r="E325" s="160">
        <v>0.182</v>
      </c>
      <c r="F325" s="160">
        <v>1.6E-2</v>
      </c>
      <c r="G325" s="160">
        <v>1.1639999999999999</v>
      </c>
      <c r="H325" s="160">
        <v>0.41099999999999998</v>
      </c>
      <c r="I325" s="160">
        <v>1.2E-2</v>
      </c>
      <c r="J325" s="160">
        <v>0.36299999999999999</v>
      </c>
      <c r="K325" s="160">
        <v>7.38</v>
      </c>
      <c r="L325" s="160">
        <v>5.48</v>
      </c>
      <c r="M325" s="160">
        <v>8.98</v>
      </c>
      <c r="N325" s="160">
        <v>0.20699999999999999</v>
      </c>
    </row>
    <row r="326" spans="1:14" ht="16.5">
      <c r="A326" s="2" t="str">
        <f t="shared" si="5"/>
        <v>811하위25%</v>
      </c>
      <c r="B326" s="139">
        <v>811</v>
      </c>
      <c r="C326" s="105" t="s">
        <v>1624</v>
      </c>
      <c r="D326" s="160">
        <v>0.66900000000000004</v>
      </c>
      <c r="E326" s="160">
        <v>0.32200000000000001</v>
      </c>
      <c r="F326" s="160">
        <v>4.1000000000000002E-2</v>
      </c>
      <c r="G326" s="160">
        <v>0.501</v>
      </c>
      <c r="H326" s="160">
        <v>0.52500000000000002</v>
      </c>
      <c r="I326" s="160">
        <v>1.9E-2</v>
      </c>
      <c r="J326" s="160">
        <v>1.087</v>
      </c>
      <c r="K326" s="160">
        <v>11.94</v>
      </c>
      <c r="L326" s="160">
        <v>5.17</v>
      </c>
      <c r="M326" s="160">
        <v>18.32</v>
      </c>
      <c r="N326" s="160">
        <v>0.223</v>
      </c>
    </row>
    <row r="327" spans="1:14" ht="16.5">
      <c r="A327" s="2" t="str">
        <f t="shared" si="5"/>
        <v>812하위25%</v>
      </c>
      <c r="B327" s="139">
        <v>812</v>
      </c>
      <c r="C327" s="105" t="s">
        <v>1624</v>
      </c>
      <c r="D327" s="160">
        <v>0.58499999999999996</v>
      </c>
      <c r="E327" s="160">
        <v>0.371</v>
      </c>
      <c r="F327" s="160">
        <v>1.7000000000000001E-2</v>
      </c>
      <c r="G327" s="160">
        <v>0.58599999999999997</v>
      </c>
      <c r="H327" s="160">
        <v>0.61799999999999999</v>
      </c>
      <c r="I327" s="160">
        <v>4.9000000000000002E-2</v>
      </c>
      <c r="J327" s="160">
        <v>1.137</v>
      </c>
      <c r="K327" s="160">
        <v>5.37</v>
      </c>
      <c r="L327" s="160">
        <v>11.67</v>
      </c>
      <c r="M327" s="160">
        <v>17.41</v>
      </c>
      <c r="N327" s="160">
        <v>0.215</v>
      </c>
    </row>
    <row r="328" spans="1:14" ht="16.5">
      <c r="A328" s="2" t="str">
        <f t="shared" si="5"/>
        <v>821하위25%</v>
      </c>
      <c r="B328" s="139">
        <v>821</v>
      </c>
      <c r="C328" s="105" t="s">
        <v>1624</v>
      </c>
      <c r="D328" s="160">
        <v>0.71499999999999997</v>
      </c>
      <c r="E328" s="160">
        <v>0.25900000000000001</v>
      </c>
      <c r="F328" s="160">
        <v>0.02</v>
      </c>
      <c r="G328" s="160">
        <v>0.998</v>
      </c>
      <c r="H328" s="160">
        <v>0.629</v>
      </c>
      <c r="I328" s="160">
        <v>2.1999999999999999E-2</v>
      </c>
      <c r="J328" s="160">
        <v>0.65300000000000002</v>
      </c>
      <c r="K328" s="160">
        <v>9.5299999999999994</v>
      </c>
      <c r="L328" s="160">
        <v>9.93</v>
      </c>
      <c r="M328" s="160">
        <v>12.69</v>
      </c>
      <c r="N328" s="160">
        <v>0.127</v>
      </c>
    </row>
    <row r="329" spans="1:14" ht="16.5">
      <c r="A329" s="2" t="str">
        <f t="shared" si="5"/>
        <v>822하위25%</v>
      </c>
      <c r="B329" s="139">
        <v>822</v>
      </c>
      <c r="C329" s="105" t="s">
        <v>1624</v>
      </c>
      <c r="D329" s="160">
        <v>0</v>
      </c>
      <c r="E329" s="160">
        <v>0</v>
      </c>
      <c r="F329" s="160">
        <v>0</v>
      </c>
      <c r="G329" s="160">
        <v>0</v>
      </c>
      <c r="H329" s="160">
        <v>0</v>
      </c>
      <c r="I329" s="160">
        <v>0</v>
      </c>
      <c r="J329" s="160">
        <v>0</v>
      </c>
      <c r="K329" s="160">
        <v>0</v>
      </c>
      <c r="L329" s="160">
        <v>0</v>
      </c>
      <c r="M329" s="160">
        <v>0</v>
      </c>
      <c r="N329" s="160">
        <v>0</v>
      </c>
    </row>
    <row r="330" spans="1:14" ht="16.5">
      <c r="A330" s="2" t="str">
        <f t="shared" si="5"/>
        <v>911하위25%</v>
      </c>
      <c r="B330" s="139">
        <v>911</v>
      </c>
      <c r="C330" s="105" t="s">
        <v>1624</v>
      </c>
      <c r="D330" s="160">
        <v>0.81399999999999995</v>
      </c>
      <c r="E330" s="160">
        <v>0.16200000000000001</v>
      </c>
      <c r="F330" s="160">
        <v>1.4E-2</v>
      </c>
      <c r="G330" s="160">
        <v>1.228</v>
      </c>
      <c r="H330" s="160">
        <v>0.40200000000000002</v>
      </c>
      <c r="I330" s="160">
        <v>2.3E-2</v>
      </c>
      <c r="J330" s="160">
        <v>0.34599999999999997</v>
      </c>
      <c r="K330" s="160">
        <v>8.9600000000000009</v>
      </c>
      <c r="L330" s="160">
        <v>5.65</v>
      </c>
      <c r="M330" s="160">
        <v>14.66</v>
      </c>
      <c r="N330" s="160">
        <v>0.22</v>
      </c>
    </row>
    <row r="331" spans="1:14" ht="16.5">
      <c r="A331" s="2" t="str">
        <f t="shared" si="5"/>
        <v>912하위25%</v>
      </c>
      <c r="B331" s="139">
        <v>912</v>
      </c>
      <c r="C331" s="105" t="s">
        <v>1624</v>
      </c>
      <c r="D331" s="160">
        <v>0.82199999999999995</v>
      </c>
      <c r="E331" s="160">
        <v>0.159</v>
      </c>
      <c r="F331" s="160">
        <v>7.0000000000000001E-3</v>
      </c>
      <c r="G331" s="160">
        <v>1.2989999999999999</v>
      </c>
      <c r="H331" s="160">
        <v>0.46100000000000002</v>
      </c>
      <c r="I331" s="160">
        <v>1.2E-2</v>
      </c>
      <c r="J331" s="160">
        <v>0.36499999999999999</v>
      </c>
      <c r="K331" s="160">
        <v>8.23</v>
      </c>
      <c r="L331" s="160">
        <v>8.9</v>
      </c>
      <c r="M331" s="160">
        <v>7.18</v>
      </c>
      <c r="N331" s="160">
        <v>9.5000000000000001E-2</v>
      </c>
    </row>
    <row r="332" spans="1:14" ht="16.5">
      <c r="A332" s="2" t="str">
        <f t="shared" si="5"/>
        <v>913하위25%</v>
      </c>
      <c r="B332" s="139">
        <v>913</v>
      </c>
      <c r="C332" s="105" t="s">
        <v>1624</v>
      </c>
      <c r="D332" s="160">
        <v>0.88400000000000001</v>
      </c>
      <c r="E332" s="160">
        <v>9.4E-2</v>
      </c>
      <c r="F332" s="160">
        <v>1.7999999999999999E-2</v>
      </c>
      <c r="G332" s="160">
        <v>1.0409999999999999</v>
      </c>
      <c r="H332" s="160">
        <v>0.41</v>
      </c>
      <c r="I332" s="160">
        <v>1.4E-2</v>
      </c>
      <c r="J332" s="160">
        <v>0.40799999999999997</v>
      </c>
      <c r="K332" s="160">
        <v>6.44</v>
      </c>
      <c r="L332" s="160">
        <v>8.25</v>
      </c>
      <c r="M332" s="160">
        <v>10.33</v>
      </c>
      <c r="N332" s="160">
        <v>0.18</v>
      </c>
    </row>
    <row r="333" spans="1:14" ht="16.5">
      <c r="A333" s="2" t="str">
        <f t="shared" si="5"/>
        <v>914하위25%</v>
      </c>
      <c r="B333" s="139">
        <v>914</v>
      </c>
      <c r="C333" s="105" t="s">
        <v>1624</v>
      </c>
      <c r="D333" s="160">
        <v>0.81499999999999995</v>
      </c>
      <c r="E333" s="160">
        <v>0.16300000000000001</v>
      </c>
      <c r="F333" s="160">
        <v>1.4999999999999999E-2</v>
      </c>
      <c r="G333" s="160">
        <v>1.1499999999999999</v>
      </c>
      <c r="H333" s="160">
        <v>0.48399999999999999</v>
      </c>
      <c r="I333" s="160">
        <v>8.0000000000000002E-3</v>
      </c>
      <c r="J333" s="160">
        <v>0.42799999999999999</v>
      </c>
      <c r="K333" s="160">
        <v>7.33</v>
      </c>
      <c r="L333" s="160">
        <v>9.7100000000000009</v>
      </c>
      <c r="M333" s="160">
        <v>12.05</v>
      </c>
      <c r="N333" s="160">
        <v>0.157</v>
      </c>
    </row>
    <row r="334" spans="1:14" ht="16.5">
      <c r="A334" s="2" t="str">
        <f t="shared" si="5"/>
        <v>915하위25%</v>
      </c>
      <c r="B334" s="139">
        <v>915</v>
      </c>
      <c r="C334" s="105" t="s">
        <v>1624</v>
      </c>
      <c r="D334" s="160">
        <v>0.878</v>
      </c>
      <c r="E334" s="160">
        <v>0.1</v>
      </c>
      <c r="F334" s="160">
        <v>1.6E-2</v>
      </c>
      <c r="G334" s="160">
        <v>1.073</v>
      </c>
      <c r="H334" s="160">
        <v>0.41699999999999998</v>
      </c>
      <c r="I334" s="160">
        <v>7.0000000000000001E-3</v>
      </c>
      <c r="J334" s="160">
        <v>0.39500000000000002</v>
      </c>
      <c r="K334" s="160">
        <v>6.37</v>
      </c>
      <c r="L334" s="160">
        <v>10.69</v>
      </c>
      <c r="M334" s="160">
        <v>10.36</v>
      </c>
      <c r="N334" s="160">
        <v>0.154</v>
      </c>
    </row>
    <row r="335" spans="1:14" ht="16.5">
      <c r="A335" s="2" t="str">
        <f t="shared" si="5"/>
        <v>919하위25%</v>
      </c>
      <c r="B335" s="139">
        <v>919</v>
      </c>
      <c r="C335" s="105" t="s">
        <v>1624</v>
      </c>
      <c r="D335" s="160">
        <v>0.876</v>
      </c>
      <c r="E335" s="160">
        <v>0.106</v>
      </c>
      <c r="F335" s="160">
        <v>1.0999999999999999E-2</v>
      </c>
      <c r="G335" s="160">
        <v>1.2809999999999999</v>
      </c>
      <c r="H335" s="160">
        <v>0.36699999999999999</v>
      </c>
      <c r="I335" s="160">
        <v>8.9999999999999993E-3</v>
      </c>
      <c r="J335" s="160">
        <v>0.29399999999999998</v>
      </c>
      <c r="K335" s="160">
        <v>6.75</v>
      </c>
      <c r="L335" s="160">
        <v>11.38</v>
      </c>
      <c r="M335" s="160">
        <v>8.1999999999999993</v>
      </c>
      <c r="N335" s="160">
        <v>0.114</v>
      </c>
    </row>
    <row r="336" spans="1:14" ht="16.5">
      <c r="A336" s="2" t="str">
        <f t="shared" si="5"/>
        <v>921하위25%</v>
      </c>
      <c r="B336" s="139">
        <v>921</v>
      </c>
      <c r="C336" s="105" t="s">
        <v>1624</v>
      </c>
      <c r="D336" s="160">
        <v>0.85599999999999998</v>
      </c>
      <c r="E336" s="160">
        <v>0.13</v>
      </c>
      <c r="F336" s="160">
        <v>8.9999999999999993E-3</v>
      </c>
      <c r="G336" s="160">
        <v>1.627</v>
      </c>
      <c r="H336" s="160">
        <v>0.16400000000000001</v>
      </c>
      <c r="I336" s="160">
        <v>7.6999999999999999E-2</v>
      </c>
      <c r="J336" s="160">
        <v>0.14799999999999999</v>
      </c>
      <c r="K336" s="160">
        <v>6.58</v>
      </c>
      <c r="L336" s="160">
        <v>32.46</v>
      </c>
      <c r="M336" s="160">
        <v>16.87</v>
      </c>
      <c r="N336" s="160">
        <v>0.124</v>
      </c>
    </row>
    <row r="337" spans="1:14" ht="16.5">
      <c r="A337" s="2" t="str">
        <f t="shared" si="5"/>
        <v>922하위25%</v>
      </c>
      <c r="B337" s="139">
        <v>922</v>
      </c>
      <c r="C337" s="105" t="s">
        <v>1624</v>
      </c>
      <c r="D337" s="160">
        <v>0.68899999999999995</v>
      </c>
      <c r="E337" s="160">
        <v>0.29499999999999998</v>
      </c>
      <c r="F337" s="160">
        <v>1.2999999999999999E-2</v>
      </c>
      <c r="G337" s="160">
        <v>1.6739999999999999</v>
      </c>
      <c r="H337" s="160">
        <v>0.124</v>
      </c>
      <c r="I337" s="160">
        <v>6.2E-2</v>
      </c>
      <c r="J337" s="160">
        <v>0.111</v>
      </c>
      <c r="K337" s="160">
        <v>6.45</v>
      </c>
      <c r="L337" s="160">
        <v>27.58</v>
      </c>
      <c r="M337" s="160">
        <v>10.72</v>
      </c>
      <c r="N337" s="160">
        <v>9.8000000000000004E-2</v>
      </c>
    </row>
    <row r="338" spans="1:14" ht="16.5">
      <c r="A338" s="2" t="str">
        <f t="shared" si="5"/>
        <v>923하위25%</v>
      </c>
      <c r="B338" s="139">
        <v>923</v>
      </c>
      <c r="C338" s="105" t="s">
        <v>1624</v>
      </c>
      <c r="D338" s="160">
        <v>0.56599999999999995</v>
      </c>
      <c r="E338" s="160">
        <v>0.41299999999999998</v>
      </c>
      <c r="F338" s="160">
        <v>2.9000000000000001E-2</v>
      </c>
      <c r="G338" s="160">
        <v>0.95099999999999996</v>
      </c>
      <c r="H338" s="160">
        <v>0.33900000000000002</v>
      </c>
      <c r="I338" s="160">
        <v>3.5000000000000003E-2</v>
      </c>
      <c r="J338" s="160">
        <v>0.39300000000000002</v>
      </c>
      <c r="K338" s="160">
        <v>7.19</v>
      </c>
      <c r="L338" s="160">
        <v>81.55</v>
      </c>
      <c r="M338" s="160">
        <v>40.92</v>
      </c>
      <c r="N338" s="160">
        <v>0.127</v>
      </c>
    </row>
    <row r="339" spans="1:14" ht="16.5">
      <c r="A339" s="2" t="str">
        <f t="shared" si="5"/>
        <v>924하위25%</v>
      </c>
      <c r="B339" s="139">
        <v>924</v>
      </c>
      <c r="C339" s="105" t="s">
        <v>1624</v>
      </c>
      <c r="D339" s="160">
        <v>0.80800000000000005</v>
      </c>
      <c r="E339" s="160">
        <v>0.17299999999999999</v>
      </c>
      <c r="F339" s="160">
        <v>1.4999999999999999E-2</v>
      </c>
      <c r="G339" s="160">
        <v>1.006</v>
      </c>
      <c r="H339" s="160">
        <v>0.53100000000000003</v>
      </c>
      <c r="I339" s="160">
        <v>0.105</v>
      </c>
      <c r="J339" s="160">
        <v>0.63200000000000001</v>
      </c>
      <c r="K339" s="160">
        <v>16.48</v>
      </c>
      <c r="L339" s="160">
        <v>22.54</v>
      </c>
      <c r="M339" s="160">
        <v>35.369999999999997</v>
      </c>
      <c r="N339" s="160">
        <v>7.6999999999999999E-2</v>
      </c>
    </row>
    <row r="340" spans="1:14" ht="16.5">
      <c r="A340" s="2" t="str">
        <f t="shared" si="5"/>
        <v>929하위25%</v>
      </c>
      <c r="B340" s="139">
        <v>929</v>
      </c>
      <c r="C340" s="105" t="s">
        <v>1624</v>
      </c>
      <c r="D340" s="160">
        <v>0.625</v>
      </c>
      <c r="E340" s="160">
        <v>0.36599999999999999</v>
      </c>
      <c r="F340" s="160">
        <v>1.0999999999999999E-2</v>
      </c>
      <c r="G340" s="160">
        <v>2.7970000000000002</v>
      </c>
      <c r="H340" s="160">
        <v>0.16900000000000001</v>
      </c>
      <c r="I340" s="160">
        <v>8.0000000000000002E-3</v>
      </c>
      <c r="J340" s="160">
        <v>6.3E-2</v>
      </c>
      <c r="K340" s="160">
        <v>12.77</v>
      </c>
      <c r="L340" s="160">
        <v>54.3</v>
      </c>
      <c r="M340" s="160">
        <v>34.42</v>
      </c>
      <c r="N340" s="160">
        <v>6.8000000000000005E-2</v>
      </c>
    </row>
  </sheetData>
  <phoneticPr fontId="11"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tabColor theme="1"/>
  </sheetPr>
  <dimension ref="B2:J325"/>
  <sheetViews>
    <sheetView workbookViewId="0">
      <selection activeCell="D17" sqref="D17"/>
    </sheetView>
  </sheetViews>
  <sheetFormatPr defaultRowHeight="13.5"/>
  <cols>
    <col min="2" max="2" width="12.5546875" customWidth="1"/>
    <col min="7" max="7" width="32.5546875" customWidth="1"/>
    <col min="9" max="10" width="8.88671875" style="339"/>
  </cols>
  <sheetData>
    <row r="2" spans="2:10">
      <c r="B2" s="1400" t="s">
        <v>2336</v>
      </c>
      <c r="C2" s="1400"/>
      <c r="D2" s="1400"/>
      <c r="E2" s="1400"/>
      <c r="F2" s="1400"/>
      <c r="G2" s="1400"/>
      <c r="H2" s="1400"/>
      <c r="I2" s="1400"/>
      <c r="J2" s="1400"/>
    </row>
    <row r="3" spans="2:10">
      <c r="I3" s="339" t="s">
        <v>2337</v>
      </c>
    </row>
    <row r="4" spans="2:10">
      <c r="B4" s="176" t="s">
        <v>2338</v>
      </c>
      <c r="C4" s="176" t="s">
        <v>2339</v>
      </c>
      <c r="D4" s="176" t="s">
        <v>1454</v>
      </c>
      <c r="E4" s="176" t="s">
        <v>2340</v>
      </c>
      <c r="F4" s="176"/>
      <c r="G4" s="176" t="s">
        <v>2341</v>
      </c>
      <c r="H4" s="176" t="s">
        <v>2342</v>
      </c>
      <c r="I4" s="340" t="s">
        <v>2340</v>
      </c>
      <c r="J4" s="340"/>
    </row>
    <row r="5" spans="2:10">
      <c r="B5" s="176"/>
      <c r="C5" s="176"/>
      <c r="D5" s="176"/>
      <c r="E5" s="176" t="s">
        <v>1141</v>
      </c>
      <c r="F5" s="176" t="s">
        <v>2259</v>
      </c>
      <c r="G5" s="176"/>
      <c r="H5" s="176"/>
      <c r="I5" s="340" t="s">
        <v>1141</v>
      </c>
      <c r="J5" s="340" t="s">
        <v>2259</v>
      </c>
    </row>
    <row r="6" spans="2:10">
      <c r="B6" s="176" t="s">
        <v>2343</v>
      </c>
      <c r="C6" s="176">
        <v>1</v>
      </c>
      <c r="D6" s="176"/>
      <c r="E6" s="176">
        <v>8.67</v>
      </c>
      <c r="F6" s="176">
        <v>6.48</v>
      </c>
      <c r="G6" s="176" t="s">
        <v>2344</v>
      </c>
      <c r="H6" s="176" t="s">
        <v>2345</v>
      </c>
      <c r="I6" s="340">
        <v>8.67</v>
      </c>
      <c r="J6" s="340">
        <v>6.48</v>
      </c>
    </row>
    <row r="7" spans="2:10">
      <c r="B7" s="176"/>
      <c r="C7" s="176"/>
      <c r="D7" s="176"/>
      <c r="E7" s="176">
        <v>1.87</v>
      </c>
      <c r="F7" s="176">
        <v>1.73</v>
      </c>
      <c r="G7" s="176"/>
      <c r="H7" s="176" t="s">
        <v>2346</v>
      </c>
      <c r="I7" s="340">
        <v>1.87</v>
      </c>
      <c r="J7" s="340">
        <v>1.73</v>
      </c>
    </row>
    <row r="8" spans="2:10">
      <c r="B8" s="176"/>
      <c r="C8" s="176"/>
      <c r="D8" s="176"/>
      <c r="E8" s="176">
        <v>0.48</v>
      </c>
      <c r="F8" s="176">
        <v>0.5</v>
      </c>
      <c r="G8" s="176"/>
      <c r="H8" s="176" t="s">
        <v>2347</v>
      </c>
      <c r="I8" s="340">
        <v>0.48</v>
      </c>
      <c r="J8" s="340">
        <v>0.5</v>
      </c>
    </row>
    <row r="9" spans="2:10">
      <c r="B9" s="176"/>
      <c r="C9" s="176"/>
      <c r="D9" s="178">
        <v>11</v>
      </c>
      <c r="E9" s="178">
        <v>3.23</v>
      </c>
      <c r="F9" s="178">
        <v>1.73</v>
      </c>
      <c r="G9" s="178"/>
      <c r="H9" s="178" t="s">
        <v>1622</v>
      </c>
      <c r="I9" s="341">
        <v>3.23</v>
      </c>
      <c r="J9" s="341">
        <v>1.73</v>
      </c>
    </row>
    <row r="10" spans="2:10">
      <c r="B10" s="176"/>
      <c r="C10" s="176"/>
      <c r="D10" s="176"/>
      <c r="E10" s="176">
        <v>7.02</v>
      </c>
      <c r="F10" s="176">
        <v>5.94</v>
      </c>
      <c r="G10" s="176" t="s">
        <v>2</v>
      </c>
      <c r="H10" s="176" t="s">
        <v>2345</v>
      </c>
      <c r="I10" s="340">
        <v>7.02</v>
      </c>
      <c r="J10" s="340">
        <v>5.94</v>
      </c>
    </row>
    <row r="11" spans="2:10">
      <c r="B11" s="176"/>
      <c r="C11" s="176"/>
      <c r="D11" s="176"/>
      <c r="E11" s="176">
        <v>2.2999999999999998</v>
      </c>
      <c r="F11" s="176">
        <v>2.15</v>
      </c>
      <c r="G11" s="176"/>
      <c r="H11" s="176" t="s">
        <v>2346</v>
      </c>
      <c r="I11" s="340">
        <v>2.2999999999999998</v>
      </c>
      <c r="J11" s="340">
        <v>2.15</v>
      </c>
    </row>
    <row r="12" spans="2:10">
      <c r="B12" s="176"/>
      <c r="C12" s="176"/>
      <c r="D12" s="176"/>
      <c r="E12" s="176">
        <v>0.67</v>
      </c>
      <c r="F12" s="176">
        <v>0.69</v>
      </c>
      <c r="G12" s="176"/>
      <c r="H12" s="176" t="s">
        <v>2347</v>
      </c>
      <c r="I12" s="340">
        <v>0.67</v>
      </c>
      <c r="J12" s="340">
        <v>0.69</v>
      </c>
    </row>
    <row r="13" spans="2:10">
      <c r="B13" s="176"/>
      <c r="C13" s="176"/>
      <c r="D13" s="178">
        <v>12</v>
      </c>
      <c r="E13" s="178">
        <v>3.07</v>
      </c>
      <c r="F13" s="178">
        <v>2.15</v>
      </c>
      <c r="G13" s="178"/>
      <c r="H13" s="178" t="s">
        <v>1622</v>
      </c>
      <c r="I13" s="341">
        <v>3.07</v>
      </c>
      <c r="J13" s="341">
        <v>2.15</v>
      </c>
    </row>
    <row r="14" spans="2:10">
      <c r="B14" s="176"/>
      <c r="C14" s="176"/>
      <c r="D14" s="176"/>
      <c r="E14" s="176">
        <v>7.98</v>
      </c>
      <c r="F14" s="176">
        <v>5.48</v>
      </c>
      <c r="G14" s="176" t="s">
        <v>2348</v>
      </c>
      <c r="H14" s="176" t="s">
        <v>2345</v>
      </c>
      <c r="I14" s="340">
        <v>7.98</v>
      </c>
      <c r="J14" s="340">
        <v>5.48</v>
      </c>
    </row>
    <row r="15" spans="2:10">
      <c r="B15" s="176"/>
      <c r="C15" s="176"/>
      <c r="D15" s="176"/>
      <c r="E15" s="176">
        <v>1.32</v>
      </c>
      <c r="F15" s="176">
        <v>1.36</v>
      </c>
      <c r="G15" s="176"/>
      <c r="H15" s="176" t="s">
        <v>2346</v>
      </c>
      <c r="I15" s="340">
        <v>1.32</v>
      </c>
      <c r="J15" s="340">
        <v>1.36</v>
      </c>
    </row>
    <row r="16" spans="2:10">
      <c r="B16" s="176"/>
      <c r="C16" s="176"/>
      <c r="D16" s="176"/>
      <c r="E16" s="176">
        <v>0.46</v>
      </c>
      <c r="F16" s="176">
        <v>0.49</v>
      </c>
      <c r="G16" s="176"/>
      <c r="H16" s="176" t="s">
        <v>2347</v>
      </c>
      <c r="I16" s="340">
        <v>0.46</v>
      </c>
      <c r="J16" s="340">
        <v>0.49</v>
      </c>
    </row>
    <row r="17" spans="2:10">
      <c r="B17" s="176"/>
      <c r="C17" s="176"/>
      <c r="D17" s="178">
        <v>14</v>
      </c>
      <c r="E17" s="178">
        <v>2.73</v>
      </c>
      <c r="F17" s="178">
        <v>1.36</v>
      </c>
      <c r="G17" s="178"/>
      <c r="H17" s="178" t="s">
        <v>1622</v>
      </c>
      <c r="I17" s="341">
        <v>2.73</v>
      </c>
      <c r="J17" s="341">
        <v>1.36</v>
      </c>
    </row>
    <row r="18" spans="2:10">
      <c r="B18" s="176"/>
      <c r="C18" s="176">
        <v>2</v>
      </c>
      <c r="D18" s="176"/>
      <c r="E18" s="176">
        <v>5.67</v>
      </c>
      <c r="F18" s="176">
        <v>4.8499999999999996</v>
      </c>
      <c r="G18" s="176" t="s">
        <v>2349</v>
      </c>
      <c r="H18" s="176" t="s">
        <v>2345</v>
      </c>
      <c r="I18" s="340">
        <v>5.67</v>
      </c>
      <c r="J18" s="340">
        <v>4.8499999999999996</v>
      </c>
    </row>
    <row r="19" spans="2:10">
      <c r="B19" s="176"/>
      <c r="C19" s="176"/>
      <c r="D19" s="176"/>
      <c r="E19" s="176">
        <v>1.8</v>
      </c>
      <c r="F19" s="176">
        <v>1.65</v>
      </c>
      <c r="G19" s="176"/>
      <c r="H19" s="176" t="s">
        <v>2346</v>
      </c>
      <c r="I19" s="340">
        <v>1.8</v>
      </c>
      <c r="J19" s="340">
        <v>1.65</v>
      </c>
    </row>
    <row r="20" spans="2:10">
      <c r="B20" s="176"/>
      <c r="C20" s="176"/>
      <c r="D20" s="176"/>
      <c r="E20" s="176">
        <v>0.52</v>
      </c>
      <c r="F20" s="176">
        <v>0.56000000000000005</v>
      </c>
      <c r="G20" s="176"/>
      <c r="H20" s="176" t="s">
        <v>2347</v>
      </c>
      <c r="I20" s="340">
        <v>0.52</v>
      </c>
      <c r="J20" s="340">
        <v>0.56000000000000005</v>
      </c>
    </row>
    <row r="21" spans="2:10">
      <c r="B21" s="176"/>
      <c r="C21" s="176"/>
      <c r="D21" s="178">
        <v>20</v>
      </c>
      <c r="E21" s="178">
        <v>2.4500000000000002</v>
      </c>
      <c r="F21" s="178">
        <v>1.65</v>
      </c>
      <c r="G21" s="178"/>
      <c r="H21" s="178" t="s">
        <v>1622</v>
      </c>
      <c r="I21" s="341">
        <v>2.4500000000000002</v>
      </c>
      <c r="J21" s="341">
        <v>1.65</v>
      </c>
    </row>
    <row r="22" spans="2:10">
      <c r="B22" s="176"/>
      <c r="C22" s="176">
        <v>3</v>
      </c>
      <c r="D22" s="176"/>
      <c r="E22" s="176">
        <v>4.87</v>
      </c>
      <c r="F22" s="176">
        <v>4.28</v>
      </c>
      <c r="G22" s="176" t="s">
        <v>2350</v>
      </c>
      <c r="H22" s="176" t="s">
        <v>2345</v>
      </c>
      <c r="I22" s="340">
        <v>4.87</v>
      </c>
      <c r="J22" s="340">
        <v>4.28</v>
      </c>
    </row>
    <row r="23" spans="2:10">
      <c r="B23" s="176"/>
      <c r="C23" s="176"/>
      <c r="D23" s="176"/>
      <c r="E23" s="176">
        <v>1.75</v>
      </c>
      <c r="F23" s="176">
        <v>1.7</v>
      </c>
      <c r="G23" s="176"/>
      <c r="H23" s="176" t="s">
        <v>2346</v>
      </c>
      <c r="I23" s="340">
        <v>1.75</v>
      </c>
      <c r="J23" s="340">
        <v>1.7</v>
      </c>
    </row>
    <row r="24" spans="2:10">
      <c r="B24" s="176"/>
      <c r="C24" s="176"/>
      <c r="D24" s="176"/>
      <c r="E24" s="176">
        <v>0.59</v>
      </c>
      <c r="F24" s="176">
        <v>0.67</v>
      </c>
      <c r="G24" s="176"/>
      <c r="H24" s="176" t="s">
        <v>2347</v>
      </c>
      <c r="I24" s="340">
        <v>0.59</v>
      </c>
      <c r="J24" s="340">
        <v>0.67</v>
      </c>
    </row>
    <row r="25" spans="2:10">
      <c r="B25" s="176"/>
      <c r="C25" s="176"/>
      <c r="D25" s="178">
        <v>31</v>
      </c>
      <c r="E25" s="178">
        <v>2.23</v>
      </c>
      <c r="F25" s="178">
        <v>1.7</v>
      </c>
      <c r="G25" s="178"/>
      <c r="H25" s="178" t="s">
        <v>1622</v>
      </c>
      <c r="I25" s="341">
        <v>2.23</v>
      </c>
      <c r="J25" s="341">
        <v>1.7</v>
      </c>
    </row>
    <row r="26" spans="2:10">
      <c r="B26" s="176"/>
      <c r="C26" s="176"/>
      <c r="D26" s="176"/>
      <c r="E26" s="176">
        <v>5.42</v>
      </c>
      <c r="F26" s="176">
        <v>4.3099999999999996</v>
      </c>
      <c r="G26" s="176" t="s">
        <v>2351</v>
      </c>
      <c r="H26" s="176" t="s">
        <v>2345</v>
      </c>
      <c r="I26" s="340">
        <v>5.42</v>
      </c>
      <c r="J26" s="340">
        <v>4.3099999999999996</v>
      </c>
    </row>
    <row r="27" spans="2:10">
      <c r="B27" s="176"/>
      <c r="C27" s="176"/>
      <c r="D27" s="176"/>
      <c r="E27" s="176">
        <v>1.79</v>
      </c>
      <c r="F27" s="176">
        <v>1.72</v>
      </c>
      <c r="G27" s="176"/>
      <c r="H27" s="176" t="s">
        <v>2346</v>
      </c>
      <c r="I27" s="340">
        <v>1.79</v>
      </c>
      <c r="J27" s="340">
        <v>1.72</v>
      </c>
    </row>
    <row r="28" spans="2:10">
      <c r="B28" s="176"/>
      <c r="C28" s="176"/>
      <c r="D28" s="176"/>
      <c r="E28" s="176">
        <v>0.7</v>
      </c>
      <c r="F28" s="176">
        <v>0.73</v>
      </c>
      <c r="G28" s="176"/>
      <c r="H28" s="176" t="s">
        <v>2347</v>
      </c>
      <c r="I28" s="340">
        <v>0.7</v>
      </c>
      <c r="J28" s="340">
        <v>0.73</v>
      </c>
    </row>
    <row r="29" spans="2:10">
      <c r="B29" s="176"/>
      <c r="C29" s="176"/>
      <c r="D29" s="178">
        <v>32</v>
      </c>
      <c r="E29" s="178">
        <v>2.44</v>
      </c>
      <c r="F29" s="178">
        <v>1.73</v>
      </c>
      <c r="G29" s="178"/>
      <c r="H29" s="178" t="s">
        <v>1622</v>
      </c>
      <c r="I29" s="341">
        <v>2.44</v>
      </c>
      <c r="J29" s="341">
        <v>1.73</v>
      </c>
    </row>
    <row r="30" spans="2:10">
      <c r="B30" s="176" t="s">
        <v>2352</v>
      </c>
      <c r="C30" s="176">
        <v>7</v>
      </c>
      <c r="D30" s="176"/>
      <c r="E30" s="176">
        <v>16.66</v>
      </c>
      <c r="F30" s="176">
        <v>16.66</v>
      </c>
      <c r="G30" s="176" t="s">
        <v>2353</v>
      </c>
      <c r="H30" s="176" t="s">
        <v>2345</v>
      </c>
      <c r="I30" s="340">
        <v>16.66</v>
      </c>
      <c r="J30" s="340">
        <v>16.66</v>
      </c>
    </row>
    <row r="31" spans="2:10">
      <c r="B31" s="176"/>
      <c r="C31" s="176"/>
      <c r="D31" s="176"/>
      <c r="E31" s="176">
        <v>2.64</v>
      </c>
      <c r="F31" s="176">
        <v>2.64</v>
      </c>
      <c r="G31" s="176"/>
      <c r="H31" s="176" t="s">
        <v>2346</v>
      </c>
      <c r="I31" s="340">
        <v>2.64</v>
      </c>
      <c r="J31" s="340">
        <v>2.64</v>
      </c>
    </row>
    <row r="32" spans="2:10">
      <c r="B32" s="176"/>
      <c r="C32" s="176"/>
      <c r="D32" s="176"/>
      <c r="E32" s="176">
        <v>1.43</v>
      </c>
      <c r="F32" s="176">
        <v>1.43</v>
      </c>
      <c r="G32" s="176"/>
      <c r="H32" s="176" t="s">
        <v>2347</v>
      </c>
      <c r="I32" s="340">
        <v>1.43</v>
      </c>
      <c r="J32" s="340">
        <v>1.43</v>
      </c>
    </row>
    <row r="33" spans="2:10">
      <c r="B33" s="176"/>
      <c r="C33" s="176"/>
      <c r="D33" s="178">
        <v>72</v>
      </c>
      <c r="E33" s="178">
        <v>5.84</v>
      </c>
      <c r="F33" s="178">
        <v>2.64</v>
      </c>
      <c r="G33" s="178"/>
      <c r="H33" s="178" t="s">
        <v>1622</v>
      </c>
      <c r="I33" s="341">
        <v>5.84</v>
      </c>
      <c r="J33" s="341">
        <v>2.64</v>
      </c>
    </row>
    <row r="34" spans="2:10">
      <c r="B34" s="176" t="s">
        <v>2354</v>
      </c>
      <c r="C34" s="176">
        <v>10</v>
      </c>
      <c r="D34" s="176"/>
      <c r="E34" s="176">
        <v>2.46</v>
      </c>
      <c r="F34" s="176">
        <v>2.0099999999999998</v>
      </c>
      <c r="G34" s="176" t="s">
        <v>2355</v>
      </c>
      <c r="H34" s="176" t="s">
        <v>2345</v>
      </c>
      <c r="I34" s="340">
        <v>2.46</v>
      </c>
      <c r="J34" s="340">
        <v>2.0099999999999998</v>
      </c>
    </row>
    <row r="35" spans="2:10">
      <c r="B35" s="176"/>
      <c r="C35" s="176"/>
      <c r="D35" s="176"/>
      <c r="E35" s="176">
        <v>0.95</v>
      </c>
      <c r="F35" s="176">
        <v>0.92</v>
      </c>
      <c r="G35" s="176"/>
      <c r="H35" s="176" t="s">
        <v>2346</v>
      </c>
      <c r="I35" s="340">
        <v>0.95</v>
      </c>
      <c r="J35" s="340">
        <v>0.92</v>
      </c>
    </row>
    <row r="36" spans="2:10">
      <c r="B36" s="176"/>
      <c r="C36" s="176"/>
      <c r="D36" s="176"/>
      <c r="E36" s="176">
        <v>0.34</v>
      </c>
      <c r="F36" s="176">
        <v>0.36</v>
      </c>
      <c r="G36" s="176"/>
      <c r="H36" s="176" t="s">
        <v>2347</v>
      </c>
      <c r="I36" s="340">
        <v>0.34</v>
      </c>
      <c r="J36" s="340">
        <v>0.36</v>
      </c>
    </row>
    <row r="37" spans="2:10">
      <c r="B37" s="176"/>
      <c r="C37" s="176"/>
      <c r="D37" s="178">
        <v>101</v>
      </c>
      <c r="E37" s="178">
        <v>1.18</v>
      </c>
      <c r="F37" s="178">
        <v>0.92</v>
      </c>
      <c r="G37" s="178"/>
      <c r="H37" s="178" t="s">
        <v>1622</v>
      </c>
      <c r="I37" s="341">
        <v>1.18</v>
      </c>
      <c r="J37" s="341">
        <v>0.92</v>
      </c>
    </row>
    <row r="38" spans="2:10">
      <c r="B38" s="176"/>
      <c r="C38" s="176"/>
      <c r="D38" s="176"/>
      <c r="E38" s="176">
        <v>3.03</v>
      </c>
      <c r="F38" s="176">
        <v>2.38</v>
      </c>
      <c r="G38" s="176" t="s">
        <v>2356</v>
      </c>
      <c r="H38" s="176" t="s">
        <v>2345</v>
      </c>
      <c r="I38" s="340">
        <v>3.03</v>
      </c>
      <c r="J38" s="340">
        <v>2.38</v>
      </c>
    </row>
    <row r="39" spans="2:10">
      <c r="B39" s="176"/>
      <c r="C39" s="176"/>
      <c r="D39" s="176"/>
      <c r="E39" s="176">
        <v>1.34</v>
      </c>
      <c r="F39" s="176">
        <v>1.3</v>
      </c>
      <c r="G39" s="176"/>
      <c r="H39" s="176" t="s">
        <v>2346</v>
      </c>
      <c r="I39" s="340">
        <v>1.34</v>
      </c>
      <c r="J39" s="340">
        <v>1.3</v>
      </c>
    </row>
    <row r="40" spans="2:10">
      <c r="B40" s="176"/>
      <c r="C40" s="176"/>
      <c r="D40" s="176"/>
      <c r="E40" s="176">
        <v>0.56999999999999995</v>
      </c>
      <c r="F40" s="176">
        <v>0.59</v>
      </c>
      <c r="G40" s="176"/>
      <c r="H40" s="176" t="s">
        <v>2347</v>
      </c>
      <c r="I40" s="340">
        <v>0.56999999999999995</v>
      </c>
      <c r="J40" s="340">
        <v>0.59</v>
      </c>
    </row>
    <row r="41" spans="2:10">
      <c r="B41" s="176"/>
      <c r="C41" s="176"/>
      <c r="D41" s="178">
        <v>102</v>
      </c>
      <c r="E41" s="178">
        <v>1.57</v>
      </c>
      <c r="F41" s="178">
        <v>1.31</v>
      </c>
      <c r="G41" s="178"/>
      <c r="H41" s="178" t="s">
        <v>1622</v>
      </c>
      <c r="I41" s="341">
        <v>1.57</v>
      </c>
      <c r="J41" s="341">
        <v>1.31</v>
      </c>
    </row>
    <row r="42" spans="2:10">
      <c r="B42" s="176"/>
      <c r="C42" s="176"/>
      <c r="D42" s="176"/>
      <c r="E42" s="176">
        <v>3.68</v>
      </c>
      <c r="F42" s="176">
        <v>2.71</v>
      </c>
      <c r="G42" s="176" t="s">
        <v>1275</v>
      </c>
      <c r="H42" s="176" t="s">
        <v>2345</v>
      </c>
      <c r="I42" s="340">
        <v>3.68</v>
      </c>
      <c r="J42" s="340">
        <v>2.71</v>
      </c>
    </row>
    <row r="43" spans="2:10">
      <c r="B43" s="176"/>
      <c r="C43" s="176"/>
      <c r="D43" s="176"/>
      <c r="E43" s="176">
        <v>1.27</v>
      </c>
      <c r="F43" s="176">
        <v>1.24</v>
      </c>
      <c r="G43" s="176"/>
      <c r="H43" s="176" t="s">
        <v>2346</v>
      </c>
      <c r="I43" s="340">
        <v>1.27</v>
      </c>
      <c r="J43" s="340">
        <v>1.24</v>
      </c>
    </row>
    <row r="44" spans="2:10">
      <c r="B44" s="176"/>
      <c r="C44" s="176"/>
      <c r="D44" s="176"/>
      <c r="E44" s="176">
        <v>0.48</v>
      </c>
      <c r="F44" s="176">
        <v>0.53</v>
      </c>
      <c r="G44" s="176"/>
      <c r="H44" s="176" t="s">
        <v>2347</v>
      </c>
      <c r="I44" s="340">
        <v>0.48</v>
      </c>
      <c r="J44" s="340">
        <v>0.53</v>
      </c>
    </row>
    <row r="45" spans="2:10">
      <c r="B45" s="176"/>
      <c r="C45" s="176"/>
      <c r="D45" s="178">
        <v>103</v>
      </c>
      <c r="E45" s="178">
        <v>1.67</v>
      </c>
      <c r="F45" s="178">
        <v>1.24</v>
      </c>
      <c r="G45" s="178"/>
      <c r="H45" s="178" t="s">
        <v>1622</v>
      </c>
      <c r="I45" s="341">
        <v>1.67</v>
      </c>
      <c r="J45" s="341">
        <v>1.24</v>
      </c>
    </row>
    <row r="46" spans="2:10">
      <c r="B46" s="176"/>
      <c r="C46" s="176"/>
      <c r="D46" s="176"/>
      <c r="E46" s="176">
        <v>3.88</v>
      </c>
      <c r="F46" s="176">
        <v>2.66</v>
      </c>
      <c r="G46" s="176" t="s">
        <v>1276</v>
      </c>
      <c r="H46" s="176" t="s">
        <v>2345</v>
      </c>
      <c r="I46" s="340">
        <v>3.88</v>
      </c>
      <c r="J46" s="340">
        <v>2.66</v>
      </c>
    </row>
    <row r="47" spans="2:10">
      <c r="B47" s="176"/>
      <c r="C47" s="176"/>
      <c r="D47" s="176"/>
      <c r="E47" s="176">
        <v>1.4</v>
      </c>
      <c r="F47" s="176">
        <v>1.3</v>
      </c>
      <c r="G47" s="176"/>
      <c r="H47" s="176" t="s">
        <v>2346</v>
      </c>
      <c r="I47" s="340">
        <v>1.4</v>
      </c>
      <c r="J47" s="340">
        <v>1.3</v>
      </c>
    </row>
    <row r="48" spans="2:10">
      <c r="B48" s="176"/>
      <c r="C48" s="176"/>
      <c r="D48" s="176"/>
      <c r="E48" s="176">
        <v>0.47</v>
      </c>
      <c r="F48" s="176">
        <v>0.51</v>
      </c>
      <c r="G48" s="176"/>
      <c r="H48" s="176" t="s">
        <v>2347</v>
      </c>
      <c r="I48" s="340">
        <v>0.47</v>
      </c>
      <c r="J48" s="340">
        <v>0.51</v>
      </c>
    </row>
    <row r="49" spans="2:10">
      <c r="B49" s="176"/>
      <c r="C49" s="176"/>
      <c r="D49" s="178">
        <v>104</v>
      </c>
      <c r="E49" s="178">
        <v>1.79</v>
      </c>
      <c r="F49" s="178">
        <v>1.3</v>
      </c>
      <c r="G49" s="178"/>
      <c r="H49" s="178" t="s">
        <v>1622</v>
      </c>
      <c r="I49" s="341">
        <v>1.79</v>
      </c>
      <c r="J49" s="341">
        <v>1.3</v>
      </c>
    </row>
    <row r="50" spans="2:10">
      <c r="B50" s="176"/>
      <c r="C50" s="176"/>
      <c r="D50" s="176"/>
      <c r="E50" s="176">
        <v>3.08</v>
      </c>
      <c r="F50" s="176">
        <v>2.71</v>
      </c>
      <c r="G50" s="176" t="s">
        <v>1277</v>
      </c>
      <c r="H50" s="176" t="s">
        <v>2345</v>
      </c>
      <c r="I50" s="340">
        <v>3.08</v>
      </c>
      <c r="J50" s="340">
        <v>2.71</v>
      </c>
    </row>
    <row r="51" spans="2:10">
      <c r="B51" s="176"/>
      <c r="C51" s="176"/>
      <c r="D51" s="176"/>
      <c r="E51" s="176">
        <v>1.21</v>
      </c>
      <c r="F51" s="176">
        <v>1.22</v>
      </c>
      <c r="G51" s="176"/>
      <c r="H51" s="176" t="s">
        <v>2346</v>
      </c>
      <c r="I51" s="340">
        <v>1.21</v>
      </c>
      <c r="J51" s="340">
        <v>1.22</v>
      </c>
    </row>
    <row r="52" spans="2:10">
      <c r="B52" s="176"/>
      <c r="C52" s="176"/>
      <c r="D52" s="176"/>
      <c r="E52" s="176">
        <v>0.5</v>
      </c>
      <c r="F52" s="176">
        <v>0.57999999999999996</v>
      </c>
      <c r="G52" s="176"/>
      <c r="H52" s="176" t="s">
        <v>2347</v>
      </c>
      <c r="I52" s="340">
        <v>0.5</v>
      </c>
      <c r="J52" s="340">
        <v>0.57999999999999996</v>
      </c>
    </row>
    <row r="53" spans="2:10">
      <c r="B53" s="176"/>
      <c r="C53" s="176"/>
      <c r="D53" s="178">
        <v>105</v>
      </c>
      <c r="E53" s="178">
        <v>1.52</v>
      </c>
      <c r="F53" s="178">
        <v>1.23</v>
      </c>
      <c r="G53" s="178"/>
      <c r="H53" s="178" t="s">
        <v>1622</v>
      </c>
      <c r="I53" s="341">
        <v>1.52</v>
      </c>
      <c r="J53" s="341">
        <v>1.23</v>
      </c>
    </row>
    <row r="54" spans="2:10">
      <c r="B54" s="176"/>
      <c r="C54" s="176"/>
      <c r="D54" s="176"/>
      <c r="E54" s="176">
        <v>3.9</v>
      </c>
      <c r="F54" s="176">
        <v>2.6</v>
      </c>
      <c r="G54" s="176" t="s">
        <v>2357</v>
      </c>
      <c r="H54" s="176" t="s">
        <v>2345</v>
      </c>
      <c r="I54" s="340">
        <v>3.9</v>
      </c>
      <c r="J54" s="340">
        <v>2.6</v>
      </c>
    </row>
    <row r="55" spans="2:10">
      <c r="B55" s="176"/>
      <c r="C55" s="176"/>
      <c r="D55" s="176"/>
      <c r="E55" s="176">
        <v>1</v>
      </c>
      <c r="F55" s="176">
        <v>0.89</v>
      </c>
      <c r="G55" s="176"/>
      <c r="H55" s="176" t="s">
        <v>2346</v>
      </c>
      <c r="I55" s="340">
        <v>1</v>
      </c>
      <c r="J55" s="340">
        <v>0.89</v>
      </c>
    </row>
    <row r="56" spans="2:10">
      <c r="B56" s="176"/>
      <c r="C56" s="176"/>
      <c r="D56" s="176"/>
      <c r="E56" s="176">
        <v>0.37</v>
      </c>
      <c r="F56" s="176">
        <v>0.41</v>
      </c>
      <c r="G56" s="176"/>
      <c r="H56" s="176" t="s">
        <v>2347</v>
      </c>
      <c r="I56" s="340">
        <v>0.37</v>
      </c>
      <c r="J56" s="340">
        <v>0.41</v>
      </c>
    </row>
    <row r="57" spans="2:10">
      <c r="B57" s="176"/>
      <c r="C57" s="176"/>
      <c r="D57" s="178">
        <v>106</v>
      </c>
      <c r="E57" s="178">
        <v>1.57</v>
      </c>
      <c r="F57" s="178">
        <v>0.9</v>
      </c>
      <c r="G57" s="178"/>
      <c r="H57" s="178" t="s">
        <v>1622</v>
      </c>
      <c r="I57" s="341">
        <v>1.57</v>
      </c>
      <c r="J57" s="341">
        <v>0.9</v>
      </c>
    </row>
    <row r="58" spans="2:10">
      <c r="B58" s="176"/>
      <c r="C58" s="176"/>
      <c r="D58" s="176"/>
      <c r="E58" s="176">
        <v>4.21</v>
      </c>
      <c r="F58" s="176">
        <v>3.6</v>
      </c>
      <c r="G58" s="176" t="s">
        <v>2358</v>
      </c>
      <c r="H58" s="176" t="s">
        <v>2345</v>
      </c>
      <c r="I58" s="340">
        <v>4.21</v>
      </c>
      <c r="J58" s="340">
        <v>3.6</v>
      </c>
    </row>
    <row r="59" spans="2:10">
      <c r="B59" s="176"/>
      <c r="C59" s="176"/>
      <c r="D59" s="176"/>
      <c r="E59" s="176">
        <v>1.63</v>
      </c>
      <c r="F59" s="176">
        <v>1.56</v>
      </c>
      <c r="G59" s="176"/>
      <c r="H59" s="176" t="s">
        <v>2346</v>
      </c>
      <c r="I59" s="340">
        <v>1.63</v>
      </c>
      <c r="J59" s="340">
        <v>1.56</v>
      </c>
    </row>
    <row r="60" spans="2:10">
      <c r="B60" s="176"/>
      <c r="C60" s="176"/>
      <c r="D60" s="176"/>
      <c r="E60" s="176">
        <v>0.6</v>
      </c>
      <c r="F60" s="176">
        <v>0.65</v>
      </c>
      <c r="G60" s="176"/>
      <c r="H60" s="176" t="s">
        <v>2347</v>
      </c>
      <c r="I60" s="340">
        <v>0.6</v>
      </c>
      <c r="J60" s="340">
        <v>0.65</v>
      </c>
    </row>
    <row r="61" spans="2:10">
      <c r="B61" s="176"/>
      <c r="C61" s="176"/>
      <c r="D61" s="178">
        <v>107</v>
      </c>
      <c r="E61" s="178">
        <v>2.02</v>
      </c>
      <c r="F61" s="178">
        <v>1.56</v>
      </c>
      <c r="G61" s="178"/>
      <c r="H61" s="178" t="s">
        <v>1622</v>
      </c>
      <c r="I61" s="341">
        <v>2.02</v>
      </c>
      <c r="J61" s="341">
        <v>1.56</v>
      </c>
    </row>
    <row r="62" spans="2:10">
      <c r="B62" s="176"/>
      <c r="C62" s="176"/>
      <c r="D62" s="176"/>
      <c r="E62" s="176">
        <v>4.76</v>
      </c>
      <c r="F62" s="176">
        <v>3.59</v>
      </c>
      <c r="G62" s="176" t="s">
        <v>1280</v>
      </c>
      <c r="H62" s="176" t="s">
        <v>2345</v>
      </c>
      <c r="I62" s="340">
        <v>4.76</v>
      </c>
      <c r="J62" s="340">
        <v>3.59</v>
      </c>
    </row>
    <row r="63" spans="2:10">
      <c r="B63" s="176"/>
      <c r="C63" s="176"/>
      <c r="D63" s="176"/>
      <c r="E63" s="176">
        <v>1.37</v>
      </c>
      <c r="F63" s="176">
        <v>1.22</v>
      </c>
      <c r="G63" s="176"/>
      <c r="H63" s="176" t="s">
        <v>2346</v>
      </c>
      <c r="I63" s="340">
        <v>1.37</v>
      </c>
      <c r="J63" s="340">
        <v>1.22</v>
      </c>
    </row>
    <row r="64" spans="2:10">
      <c r="B64" s="176"/>
      <c r="C64" s="176"/>
      <c r="D64" s="176"/>
      <c r="E64" s="176">
        <v>0.41</v>
      </c>
      <c r="F64" s="176">
        <v>0.4</v>
      </c>
      <c r="G64" s="176"/>
      <c r="H64" s="176" t="s">
        <v>2347</v>
      </c>
      <c r="I64" s="340">
        <v>0.41</v>
      </c>
      <c r="J64" s="340">
        <v>0.4</v>
      </c>
    </row>
    <row r="65" spans="2:10">
      <c r="B65" s="176"/>
      <c r="C65" s="176"/>
      <c r="D65" s="178">
        <v>108</v>
      </c>
      <c r="E65" s="178">
        <v>1.98</v>
      </c>
      <c r="F65" s="178">
        <v>1.23</v>
      </c>
      <c r="G65" s="178"/>
      <c r="H65" s="178" t="s">
        <v>1622</v>
      </c>
      <c r="I65" s="341">
        <v>1.98</v>
      </c>
      <c r="J65" s="341">
        <v>1.23</v>
      </c>
    </row>
    <row r="66" spans="2:10">
      <c r="B66" s="176" t="s">
        <v>2354</v>
      </c>
      <c r="C66" s="176">
        <v>11</v>
      </c>
      <c r="D66" s="176"/>
      <c r="E66" s="176">
        <v>5.43</v>
      </c>
      <c r="F66" s="176">
        <v>4.8499999999999996</v>
      </c>
      <c r="G66" s="176" t="s">
        <v>2359</v>
      </c>
      <c r="H66" s="176" t="s">
        <v>2345</v>
      </c>
      <c r="I66" s="340">
        <v>5.43</v>
      </c>
      <c r="J66" s="340">
        <v>4.8499999999999996</v>
      </c>
    </row>
    <row r="67" spans="2:10">
      <c r="B67" s="176"/>
      <c r="C67" s="176"/>
      <c r="D67" s="176"/>
      <c r="E67" s="176">
        <v>2.31</v>
      </c>
      <c r="F67" s="176">
        <v>2.2599999999999998</v>
      </c>
      <c r="G67" s="176"/>
      <c r="H67" s="176" t="s">
        <v>2346</v>
      </c>
      <c r="I67" s="340">
        <v>2.31</v>
      </c>
      <c r="J67" s="340">
        <v>2.2599999999999998</v>
      </c>
    </row>
    <row r="68" spans="2:10">
      <c r="B68" s="176"/>
      <c r="C68" s="176"/>
      <c r="D68" s="176"/>
      <c r="E68" s="176">
        <v>0.63</v>
      </c>
      <c r="F68" s="176">
        <v>0.64</v>
      </c>
      <c r="G68" s="176"/>
      <c r="H68" s="176" t="s">
        <v>2347</v>
      </c>
      <c r="I68" s="340">
        <v>0.63</v>
      </c>
      <c r="J68" s="340">
        <v>0.64</v>
      </c>
    </row>
    <row r="69" spans="2:10">
      <c r="B69" s="176"/>
      <c r="C69" s="176"/>
      <c r="D69" s="178">
        <v>111</v>
      </c>
      <c r="E69" s="178">
        <v>2.69</v>
      </c>
      <c r="F69" s="178">
        <v>2.2799999999999998</v>
      </c>
      <c r="G69" s="178"/>
      <c r="H69" s="178" t="s">
        <v>1622</v>
      </c>
      <c r="I69" s="341">
        <v>2.69</v>
      </c>
      <c r="J69" s="341">
        <v>2.2799999999999998</v>
      </c>
    </row>
    <row r="70" spans="2:10">
      <c r="B70" s="176"/>
      <c r="C70" s="176"/>
      <c r="D70" s="176"/>
      <c r="E70" s="176">
        <v>3.15</v>
      </c>
      <c r="F70" s="176">
        <v>2.84</v>
      </c>
      <c r="G70" s="176" t="s">
        <v>2360</v>
      </c>
      <c r="H70" s="176" t="s">
        <v>2345</v>
      </c>
      <c r="I70" s="340">
        <v>3.15</v>
      </c>
      <c r="J70" s="340">
        <v>2.84</v>
      </c>
    </row>
    <row r="71" spans="2:10">
      <c r="B71" s="176"/>
      <c r="C71" s="176"/>
      <c r="D71" s="176"/>
      <c r="E71" s="176">
        <v>1.53</v>
      </c>
      <c r="F71" s="176">
        <v>1.56</v>
      </c>
      <c r="G71" s="176"/>
      <c r="H71" s="176" t="s">
        <v>2346</v>
      </c>
      <c r="I71" s="340">
        <v>1.53</v>
      </c>
      <c r="J71" s="340">
        <v>1.56</v>
      </c>
    </row>
    <row r="72" spans="2:10">
      <c r="B72" s="176"/>
      <c r="C72" s="176"/>
      <c r="D72" s="176"/>
      <c r="E72" s="176">
        <v>0.68</v>
      </c>
      <c r="F72" s="176">
        <v>0.72</v>
      </c>
      <c r="G72" s="176"/>
      <c r="H72" s="176" t="s">
        <v>2347</v>
      </c>
      <c r="I72" s="340">
        <v>0.68</v>
      </c>
      <c r="J72" s="340">
        <v>0.72</v>
      </c>
    </row>
    <row r="73" spans="2:10">
      <c r="B73" s="176"/>
      <c r="C73" s="176"/>
      <c r="D73" s="178">
        <v>112</v>
      </c>
      <c r="E73" s="178">
        <v>1.72</v>
      </c>
      <c r="F73" s="178">
        <v>1.56</v>
      </c>
      <c r="G73" s="178"/>
      <c r="H73" s="178" t="s">
        <v>1622</v>
      </c>
      <c r="I73" s="341">
        <v>1.72</v>
      </c>
      <c r="J73" s="341">
        <v>1.56</v>
      </c>
    </row>
    <row r="74" spans="2:10">
      <c r="B74" s="176"/>
      <c r="C74" s="176">
        <v>12</v>
      </c>
      <c r="D74" s="176">
        <v>120</v>
      </c>
      <c r="E74" s="176">
        <v>9.86</v>
      </c>
      <c r="F74" s="176">
        <v>9.86</v>
      </c>
      <c r="G74" s="176" t="s">
        <v>1206</v>
      </c>
      <c r="H74" s="176" t="s">
        <v>2345</v>
      </c>
      <c r="I74" s="340">
        <v>9.86</v>
      </c>
      <c r="J74" s="340">
        <v>9.86</v>
      </c>
    </row>
    <row r="75" spans="2:10">
      <c r="B75" s="176"/>
      <c r="C75" s="176"/>
      <c r="D75" s="176"/>
      <c r="E75" s="176">
        <v>2.09</v>
      </c>
      <c r="F75" s="176">
        <v>2.09</v>
      </c>
      <c r="G75" s="176"/>
      <c r="H75" s="176" t="s">
        <v>2346</v>
      </c>
      <c r="I75" s="340">
        <v>2.09</v>
      </c>
      <c r="J75" s="340">
        <v>2.09</v>
      </c>
    </row>
    <row r="76" spans="2:10">
      <c r="B76" s="176"/>
      <c r="C76" s="176"/>
      <c r="D76" s="176"/>
      <c r="E76" s="176">
        <v>0.63</v>
      </c>
      <c r="F76" s="176">
        <v>0.63</v>
      </c>
      <c r="G76" s="176"/>
      <c r="H76" s="176" t="s">
        <v>2347</v>
      </c>
      <c r="I76" s="340">
        <v>0.63</v>
      </c>
      <c r="J76" s="340">
        <v>0.63</v>
      </c>
    </row>
    <row r="77" spans="2:10">
      <c r="B77" s="176"/>
      <c r="C77" s="176"/>
      <c r="D77" s="176"/>
      <c r="E77" s="176">
        <v>3.67</v>
      </c>
      <c r="F77" s="176">
        <v>2.09</v>
      </c>
      <c r="G77" s="176"/>
      <c r="H77" s="176" t="s">
        <v>1622</v>
      </c>
      <c r="I77" s="340">
        <v>3.67</v>
      </c>
      <c r="J77" s="340">
        <v>2.09</v>
      </c>
    </row>
    <row r="78" spans="2:10">
      <c r="B78" s="176"/>
      <c r="C78" s="176">
        <v>13</v>
      </c>
      <c r="D78" s="176">
        <v>131</v>
      </c>
      <c r="E78" s="176">
        <v>3.73</v>
      </c>
      <c r="F78" s="176">
        <v>3.32</v>
      </c>
      <c r="G78" s="176" t="s">
        <v>1308</v>
      </c>
      <c r="H78" s="176" t="s">
        <v>2345</v>
      </c>
      <c r="I78" s="340">
        <v>3.73</v>
      </c>
      <c r="J78" s="340">
        <v>3.32</v>
      </c>
    </row>
    <row r="79" spans="2:10">
      <c r="B79" s="176"/>
      <c r="C79" s="176"/>
      <c r="D79" s="176"/>
      <c r="E79" s="176">
        <v>1.49</v>
      </c>
      <c r="F79" s="176">
        <v>1.44</v>
      </c>
      <c r="G79" s="176"/>
      <c r="H79" s="176" t="s">
        <v>2346</v>
      </c>
      <c r="I79" s="340">
        <v>1.49</v>
      </c>
      <c r="J79" s="340">
        <v>1.44</v>
      </c>
    </row>
    <row r="80" spans="2:10">
      <c r="B80" s="176"/>
      <c r="C80" s="176"/>
      <c r="D80" s="176"/>
      <c r="E80" s="176">
        <v>0.52</v>
      </c>
      <c r="F80" s="176">
        <v>0.56999999999999995</v>
      </c>
      <c r="G80" s="176"/>
      <c r="H80" s="176" t="s">
        <v>2347</v>
      </c>
      <c r="I80" s="340">
        <v>0.52</v>
      </c>
      <c r="J80" s="340">
        <v>0.56999999999999995</v>
      </c>
    </row>
    <row r="81" spans="2:10">
      <c r="B81" s="176"/>
      <c r="C81" s="176"/>
      <c r="D81" s="176"/>
      <c r="E81" s="176">
        <v>1.81</v>
      </c>
      <c r="F81" s="176">
        <v>1.45</v>
      </c>
      <c r="G81" s="176"/>
      <c r="H81" s="176" t="s">
        <v>1622</v>
      </c>
      <c r="I81" s="340">
        <v>1.81</v>
      </c>
      <c r="J81" s="340">
        <v>1.45</v>
      </c>
    </row>
    <row r="82" spans="2:10">
      <c r="B82" s="176"/>
      <c r="C82" s="176"/>
      <c r="D82" s="176">
        <v>132</v>
      </c>
      <c r="E82" s="176">
        <v>4.32</v>
      </c>
      <c r="F82" s="176">
        <v>3.54</v>
      </c>
      <c r="G82" s="176" t="s">
        <v>2361</v>
      </c>
      <c r="H82" s="176" t="s">
        <v>2345</v>
      </c>
      <c r="I82" s="340">
        <v>4.32</v>
      </c>
      <c r="J82" s="340">
        <v>3.54</v>
      </c>
    </row>
    <row r="83" spans="2:10">
      <c r="B83" s="176"/>
      <c r="C83" s="176"/>
      <c r="D83" s="176"/>
      <c r="E83" s="176">
        <v>1.46</v>
      </c>
      <c r="F83" s="176">
        <v>1.45</v>
      </c>
      <c r="G83" s="176"/>
      <c r="H83" s="176" t="s">
        <v>2346</v>
      </c>
      <c r="I83" s="340">
        <v>1.46</v>
      </c>
      <c r="J83" s="340">
        <v>1.45</v>
      </c>
    </row>
    <row r="84" spans="2:10">
      <c r="B84" s="176"/>
      <c r="C84" s="176"/>
      <c r="D84" s="176"/>
      <c r="E84" s="176">
        <v>0.51</v>
      </c>
      <c r="F84" s="176">
        <v>0.56999999999999995</v>
      </c>
      <c r="G84" s="176"/>
      <c r="H84" s="176" t="s">
        <v>2347</v>
      </c>
      <c r="I84" s="340">
        <v>0.51</v>
      </c>
      <c r="J84" s="340">
        <v>0.56999999999999995</v>
      </c>
    </row>
    <row r="85" spans="2:10">
      <c r="B85" s="176"/>
      <c r="C85" s="176"/>
      <c r="D85" s="176"/>
      <c r="E85" s="176">
        <v>1.94</v>
      </c>
      <c r="F85" s="176">
        <v>1.45</v>
      </c>
      <c r="G85" s="176"/>
      <c r="H85" s="176" t="s">
        <v>1622</v>
      </c>
      <c r="I85" s="340">
        <v>1.94</v>
      </c>
      <c r="J85" s="340">
        <v>1.45</v>
      </c>
    </row>
    <row r="86" spans="2:10">
      <c r="B86" s="176"/>
      <c r="C86" s="176"/>
      <c r="D86" s="176">
        <v>139</v>
      </c>
      <c r="E86" s="176">
        <v>3.33</v>
      </c>
      <c r="F86" s="176">
        <v>2.67</v>
      </c>
      <c r="G86" s="176" t="s">
        <v>2362</v>
      </c>
      <c r="H86" s="176" t="s">
        <v>2345</v>
      </c>
      <c r="I86" s="340">
        <v>3.33</v>
      </c>
      <c r="J86" s="340">
        <v>2.67</v>
      </c>
    </row>
    <row r="87" spans="2:10">
      <c r="B87" s="176"/>
      <c r="C87" s="176"/>
      <c r="D87" s="176"/>
      <c r="E87" s="176">
        <v>1.67</v>
      </c>
      <c r="F87" s="176">
        <v>1.61</v>
      </c>
      <c r="G87" s="176"/>
      <c r="H87" s="176" t="s">
        <v>2346</v>
      </c>
      <c r="I87" s="340">
        <v>1.67</v>
      </c>
      <c r="J87" s="340">
        <v>1.61</v>
      </c>
    </row>
    <row r="88" spans="2:10">
      <c r="B88" s="176"/>
      <c r="C88" s="176"/>
      <c r="D88" s="176"/>
      <c r="E88" s="176">
        <v>0.74</v>
      </c>
      <c r="F88" s="176">
        <v>0.81</v>
      </c>
      <c r="G88" s="176"/>
      <c r="H88" s="176" t="s">
        <v>2347</v>
      </c>
      <c r="I88" s="340">
        <v>0.74</v>
      </c>
      <c r="J88" s="340">
        <v>0.81</v>
      </c>
    </row>
    <row r="89" spans="2:10">
      <c r="B89" s="176"/>
      <c r="C89" s="176"/>
      <c r="D89" s="176"/>
      <c r="E89" s="176">
        <v>1.85</v>
      </c>
      <c r="F89" s="176">
        <v>1.61</v>
      </c>
      <c r="G89" s="176"/>
      <c r="H89" s="176" t="s">
        <v>1622</v>
      </c>
      <c r="I89" s="340">
        <v>1.85</v>
      </c>
      <c r="J89" s="340">
        <v>1.61</v>
      </c>
    </row>
    <row r="90" spans="2:10">
      <c r="B90" s="176"/>
      <c r="C90" s="176">
        <v>14</v>
      </c>
      <c r="D90" s="176">
        <v>142</v>
      </c>
      <c r="E90" s="176">
        <v>2.3199999999999998</v>
      </c>
      <c r="F90" s="176">
        <v>2.0699999999999998</v>
      </c>
      <c r="G90" s="176" t="s">
        <v>2308</v>
      </c>
      <c r="H90" s="176" t="s">
        <v>2345</v>
      </c>
      <c r="I90" s="340">
        <v>2.3199999999999998</v>
      </c>
      <c r="J90" s="340">
        <v>2.0699999999999998</v>
      </c>
    </row>
    <row r="91" spans="2:10">
      <c r="B91" s="176"/>
      <c r="C91" s="176"/>
      <c r="D91" s="176"/>
      <c r="E91" s="176">
        <v>1.38</v>
      </c>
      <c r="F91" s="176">
        <v>1.46</v>
      </c>
      <c r="G91" s="176"/>
      <c r="H91" s="176" t="s">
        <v>2346</v>
      </c>
      <c r="I91" s="340">
        <v>1.38</v>
      </c>
      <c r="J91" s="340">
        <v>1.46</v>
      </c>
    </row>
    <row r="92" spans="2:10">
      <c r="B92" s="176"/>
      <c r="C92" s="176"/>
      <c r="D92" s="176"/>
      <c r="E92" s="176">
        <v>0.51</v>
      </c>
      <c r="F92" s="176">
        <v>0.62</v>
      </c>
      <c r="G92" s="176"/>
      <c r="H92" s="176" t="s">
        <v>2347</v>
      </c>
      <c r="I92" s="340">
        <v>0.51</v>
      </c>
      <c r="J92" s="340">
        <v>0.62</v>
      </c>
    </row>
    <row r="93" spans="2:10">
      <c r="B93" s="176"/>
      <c r="C93" s="176"/>
      <c r="D93" s="176"/>
      <c r="E93" s="176">
        <v>1.42</v>
      </c>
      <c r="F93" s="176">
        <v>1.47</v>
      </c>
      <c r="G93" s="176"/>
      <c r="H93" s="176" t="s">
        <v>1622</v>
      </c>
      <c r="I93" s="340">
        <v>1.42</v>
      </c>
      <c r="J93" s="340">
        <v>1.47</v>
      </c>
    </row>
    <row r="94" spans="2:10">
      <c r="B94" s="176"/>
      <c r="C94" s="176">
        <v>15</v>
      </c>
      <c r="D94" s="176">
        <v>151</v>
      </c>
      <c r="E94" s="176">
        <v>4.29</v>
      </c>
      <c r="F94" s="176">
        <v>3.59</v>
      </c>
      <c r="G94" s="176" t="s">
        <v>2363</v>
      </c>
      <c r="H94" s="176" t="s">
        <v>2345</v>
      </c>
      <c r="I94" s="340">
        <v>4.29</v>
      </c>
      <c r="J94" s="340">
        <v>3.59</v>
      </c>
    </row>
    <row r="95" spans="2:10">
      <c r="B95" s="176"/>
      <c r="C95" s="176"/>
      <c r="D95" s="176"/>
      <c r="E95" s="176">
        <v>1.68</v>
      </c>
      <c r="F95" s="176">
        <v>1.7</v>
      </c>
      <c r="G95" s="176"/>
      <c r="H95" s="176" t="s">
        <v>2346</v>
      </c>
      <c r="I95" s="340">
        <v>1.68</v>
      </c>
      <c r="J95" s="340">
        <v>1.7</v>
      </c>
    </row>
    <row r="96" spans="2:10">
      <c r="B96" s="176"/>
      <c r="C96" s="176"/>
      <c r="D96" s="176"/>
      <c r="E96" s="176">
        <v>0.67</v>
      </c>
      <c r="F96" s="176">
        <v>0.65</v>
      </c>
      <c r="G96" s="176"/>
      <c r="H96" s="176" t="s">
        <v>2347</v>
      </c>
      <c r="I96" s="340">
        <v>0.67</v>
      </c>
      <c r="J96" s="340">
        <v>0.65</v>
      </c>
    </row>
    <row r="97" spans="2:10">
      <c r="B97" s="176"/>
      <c r="C97" s="176"/>
      <c r="D97" s="176"/>
      <c r="E97" s="176">
        <v>2.1</v>
      </c>
      <c r="F97" s="176">
        <v>1.7</v>
      </c>
      <c r="G97" s="176"/>
      <c r="H97" s="176" t="s">
        <v>1622</v>
      </c>
      <c r="I97" s="340">
        <v>2.1</v>
      </c>
      <c r="J97" s="340">
        <v>1.7</v>
      </c>
    </row>
    <row r="98" spans="2:10">
      <c r="B98" s="176" t="s">
        <v>2354</v>
      </c>
      <c r="C98" s="176">
        <v>16</v>
      </c>
      <c r="D98" s="176">
        <v>161</v>
      </c>
      <c r="E98" s="176">
        <v>4.26</v>
      </c>
      <c r="F98" s="176">
        <v>3.36</v>
      </c>
      <c r="G98" s="176" t="s">
        <v>1227</v>
      </c>
      <c r="H98" s="176" t="s">
        <v>2345</v>
      </c>
      <c r="I98" s="340">
        <v>4.26</v>
      </c>
      <c r="J98" s="340">
        <v>3.36</v>
      </c>
    </row>
    <row r="99" spans="2:10">
      <c r="B99" s="176"/>
      <c r="C99" s="176"/>
      <c r="D99" s="176"/>
      <c r="E99" s="176">
        <v>1.54</v>
      </c>
      <c r="F99" s="176">
        <v>1.51</v>
      </c>
      <c r="G99" s="176"/>
      <c r="H99" s="176" t="s">
        <v>2346</v>
      </c>
      <c r="I99" s="340">
        <v>1.54</v>
      </c>
      <c r="J99" s="340">
        <v>1.51</v>
      </c>
    </row>
    <row r="100" spans="2:10">
      <c r="B100" s="176"/>
      <c r="C100" s="176"/>
      <c r="D100" s="176"/>
      <c r="E100" s="176">
        <v>0.6</v>
      </c>
      <c r="F100" s="176">
        <v>0.66</v>
      </c>
      <c r="G100" s="176"/>
      <c r="H100" s="176" t="s">
        <v>2347</v>
      </c>
      <c r="I100" s="340">
        <v>0.6</v>
      </c>
      <c r="J100" s="340">
        <v>0.66</v>
      </c>
    </row>
    <row r="101" spans="2:10">
      <c r="B101" s="176"/>
      <c r="C101" s="176"/>
      <c r="D101" s="176"/>
      <c r="E101" s="176">
        <v>1.98</v>
      </c>
      <c r="F101" s="176">
        <v>1.51</v>
      </c>
      <c r="G101" s="176"/>
      <c r="H101" s="176" t="s">
        <v>1622</v>
      </c>
      <c r="I101" s="340">
        <v>1.98</v>
      </c>
      <c r="J101" s="340">
        <v>1.51</v>
      </c>
    </row>
    <row r="102" spans="2:10">
      <c r="B102" s="176"/>
      <c r="C102" s="176"/>
      <c r="D102" s="176">
        <v>162</v>
      </c>
      <c r="E102" s="176">
        <v>4.59</v>
      </c>
      <c r="F102" s="176">
        <v>3.81</v>
      </c>
      <c r="G102" s="176" t="s">
        <v>2364</v>
      </c>
      <c r="H102" s="176" t="s">
        <v>2345</v>
      </c>
      <c r="I102" s="340">
        <v>4.59</v>
      </c>
      <c r="J102" s="340">
        <v>3.81</v>
      </c>
    </row>
    <row r="103" spans="2:10">
      <c r="B103" s="176"/>
      <c r="C103" s="176"/>
      <c r="D103" s="176"/>
      <c r="E103" s="176">
        <v>1.61</v>
      </c>
      <c r="F103" s="176">
        <v>1.51</v>
      </c>
      <c r="G103" s="176"/>
      <c r="H103" s="176" t="s">
        <v>2346</v>
      </c>
      <c r="I103" s="340">
        <v>1.61</v>
      </c>
      <c r="J103" s="340">
        <v>1.51</v>
      </c>
    </row>
    <row r="104" spans="2:10">
      <c r="B104" s="176"/>
      <c r="C104" s="176"/>
      <c r="D104" s="176"/>
      <c r="E104" s="176">
        <v>0.62</v>
      </c>
      <c r="F104" s="176">
        <v>0.68</v>
      </c>
      <c r="G104" s="176"/>
      <c r="H104" s="176" t="s">
        <v>2347</v>
      </c>
      <c r="I104" s="340">
        <v>0.62</v>
      </c>
      <c r="J104" s="340">
        <v>0.68</v>
      </c>
    </row>
    <row r="105" spans="2:10">
      <c r="B105" s="176"/>
      <c r="C105" s="176"/>
      <c r="D105" s="176"/>
      <c r="E105" s="176">
        <v>2.11</v>
      </c>
      <c r="F105" s="176">
        <v>1.51</v>
      </c>
      <c r="G105" s="176"/>
      <c r="H105" s="176" t="s">
        <v>1622</v>
      </c>
      <c r="I105" s="340">
        <v>2.11</v>
      </c>
      <c r="J105" s="340">
        <v>1.51</v>
      </c>
    </row>
    <row r="106" spans="2:10">
      <c r="B106" s="176"/>
      <c r="C106" s="176"/>
      <c r="D106" s="176">
        <v>163</v>
      </c>
      <c r="E106" s="176">
        <v>6.21</v>
      </c>
      <c r="F106" s="176">
        <v>4.49</v>
      </c>
      <c r="G106" s="176" t="s">
        <v>1231</v>
      </c>
      <c r="H106" s="176" t="s">
        <v>2345</v>
      </c>
      <c r="I106" s="340">
        <v>6.21</v>
      </c>
      <c r="J106" s="340">
        <v>4.49</v>
      </c>
    </row>
    <row r="107" spans="2:10">
      <c r="B107" s="176"/>
      <c r="C107" s="176"/>
      <c r="D107" s="176"/>
      <c r="E107" s="176">
        <v>1.87</v>
      </c>
      <c r="F107" s="176">
        <v>1.95</v>
      </c>
      <c r="G107" s="176"/>
      <c r="H107" s="176" t="s">
        <v>2346</v>
      </c>
      <c r="I107" s="340">
        <v>1.87</v>
      </c>
      <c r="J107" s="340">
        <v>1.95</v>
      </c>
    </row>
    <row r="108" spans="2:10">
      <c r="B108" s="176"/>
      <c r="C108" s="176"/>
      <c r="D108" s="176"/>
      <c r="E108" s="176">
        <v>0.54</v>
      </c>
      <c r="F108" s="176">
        <v>0.57999999999999996</v>
      </c>
      <c r="G108" s="176"/>
      <c r="H108" s="176" t="s">
        <v>2347</v>
      </c>
      <c r="I108" s="340">
        <v>0.54</v>
      </c>
      <c r="J108" s="340">
        <v>0.57999999999999996</v>
      </c>
    </row>
    <row r="109" spans="2:10">
      <c r="B109" s="176"/>
      <c r="C109" s="176"/>
      <c r="D109" s="176"/>
      <c r="E109" s="176">
        <v>2.72</v>
      </c>
      <c r="F109" s="176">
        <v>1.96</v>
      </c>
      <c r="G109" s="176"/>
      <c r="H109" s="176" t="s">
        <v>1622</v>
      </c>
      <c r="I109" s="340">
        <v>2.72</v>
      </c>
      <c r="J109" s="340">
        <v>1.96</v>
      </c>
    </row>
    <row r="110" spans="2:10">
      <c r="B110" s="176"/>
      <c r="C110" s="176">
        <v>17</v>
      </c>
      <c r="D110" s="176">
        <v>171</v>
      </c>
      <c r="E110" s="176">
        <v>3.77</v>
      </c>
      <c r="F110" s="176">
        <v>3.45</v>
      </c>
      <c r="G110" s="176" t="s">
        <v>2365</v>
      </c>
      <c r="H110" s="176" t="s">
        <v>2345</v>
      </c>
      <c r="I110" s="340">
        <v>3.77</v>
      </c>
      <c r="J110" s="340">
        <v>3.45</v>
      </c>
    </row>
    <row r="111" spans="2:10">
      <c r="B111" s="176"/>
      <c r="C111" s="176"/>
      <c r="D111" s="176"/>
      <c r="E111" s="176">
        <v>1.57</v>
      </c>
      <c r="F111" s="176">
        <v>1.55</v>
      </c>
      <c r="G111" s="176"/>
      <c r="H111" s="176" t="s">
        <v>2346</v>
      </c>
      <c r="I111" s="340">
        <v>1.57</v>
      </c>
      <c r="J111" s="340">
        <v>1.55</v>
      </c>
    </row>
    <row r="112" spans="2:10">
      <c r="B112" s="176"/>
      <c r="C112" s="176"/>
      <c r="D112" s="176"/>
      <c r="E112" s="176">
        <v>0.54</v>
      </c>
      <c r="F112" s="176">
        <v>0.54</v>
      </c>
      <c r="G112" s="176"/>
      <c r="H112" s="176" t="s">
        <v>2347</v>
      </c>
      <c r="I112" s="340">
        <v>0.54</v>
      </c>
      <c r="J112" s="340">
        <v>0.54</v>
      </c>
    </row>
    <row r="113" spans="2:10">
      <c r="B113" s="176"/>
      <c r="C113" s="176"/>
      <c r="D113" s="176"/>
      <c r="E113" s="176">
        <v>1.86</v>
      </c>
      <c r="F113" s="176">
        <v>1.55</v>
      </c>
      <c r="G113" s="176"/>
      <c r="H113" s="176" t="s">
        <v>1622</v>
      </c>
      <c r="I113" s="340">
        <v>1.86</v>
      </c>
      <c r="J113" s="340">
        <v>1.55</v>
      </c>
    </row>
    <row r="114" spans="2:10">
      <c r="B114" s="176"/>
      <c r="C114" s="176"/>
      <c r="D114" s="176">
        <v>172</v>
      </c>
      <c r="E114" s="176">
        <v>2.95</v>
      </c>
      <c r="F114" s="176">
        <v>2.67</v>
      </c>
      <c r="G114" s="176" t="s">
        <v>2366</v>
      </c>
      <c r="H114" s="176" t="s">
        <v>2345</v>
      </c>
      <c r="I114" s="340">
        <v>2.95</v>
      </c>
      <c r="J114" s="340">
        <v>2.67</v>
      </c>
    </row>
    <row r="115" spans="2:10">
      <c r="B115" s="176"/>
      <c r="C115" s="176"/>
      <c r="D115" s="176"/>
      <c r="E115" s="176">
        <v>1.35</v>
      </c>
      <c r="F115" s="176">
        <v>1.23</v>
      </c>
      <c r="G115" s="176"/>
      <c r="H115" s="176" t="s">
        <v>2346</v>
      </c>
      <c r="I115" s="340">
        <v>1.35</v>
      </c>
      <c r="J115" s="340">
        <v>1.23</v>
      </c>
    </row>
    <row r="116" spans="2:10">
      <c r="B116" s="176"/>
      <c r="C116" s="176"/>
      <c r="D116" s="176"/>
      <c r="E116" s="176">
        <v>0.62</v>
      </c>
      <c r="F116" s="176">
        <v>0.62</v>
      </c>
      <c r="G116" s="176"/>
      <c r="H116" s="176" t="s">
        <v>2347</v>
      </c>
      <c r="I116" s="340">
        <v>0.62</v>
      </c>
      <c r="J116" s="340">
        <v>0.62</v>
      </c>
    </row>
    <row r="117" spans="2:10">
      <c r="B117" s="176"/>
      <c r="C117" s="176"/>
      <c r="D117" s="176"/>
      <c r="E117" s="176">
        <v>1.56</v>
      </c>
      <c r="F117" s="176">
        <v>1.23</v>
      </c>
      <c r="G117" s="176"/>
      <c r="H117" s="176" t="s">
        <v>1622</v>
      </c>
      <c r="I117" s="340">
        <v>1.56</v>
      </c>
      <c r="J117" s="340">
        <v>1.23</v>
      </c>
    </row>
    <row r="118" spans="2:10">
      <c r="B118" s="176"/>
      <c r="C118" s="176"/>
      <c r="D118" s="176">
        <v>179</v>
      </c>
      <c r="E118" s="176">
        <v>2.89</v>
      </c>
      <c r="F118" s="176">
        <v>2.6</v>
      </c>
      <c r="G118" s="176" t="s">
        <v>2367</v>
      </c>
      <c r="H118" s="176" t="s">
        <v>2345</v>
      </c>
      <c r="I118" s="340">
        <v>2.89</v>
      </c>
      <c r="J118" s="340">
        <v>2.6</v>
      </c>
    </row>
    <row r="119" spans="2:10">
      <c r="B119" s="176"/>
      <c r="C119" s="176"/>
      <c r="D119" s="176"/>
      <c r="E119" s="176">
        <v>1.45</v>
      </c>
      <c r="F119" s="176">
        <v>1.44</v>
      </c>
      <c r="G119" s="176"/>
      <c r="H119" s="176" t="s">
        <v>2346</v>
      </c>
      <c r="I119" s="340">
        <v>1.45</v>
      </c>
      <c r="J119" s="340">
        <v>1.44</v>
      </c>
    </row>
    <row r="120" spans="2:10">
      <c r="B120" s="176"/>
      <c r="C120" s="176"/>
      <c r="D120" s="176"/>
      <c r="E120" s="176">
        <v>0.53</v>
      </c>
      <c r="F120" s="176">
        <v>0.59</v>
      </c>
      <c r="G120" s="176"/>
      <c r="H120" s="176" t="s">
        <v>2347</v>
      </c>
      <c r="I120" s="340">
        <v>0.53</v>
      </c>
      <c r="J120" s="340">
        <v>0.59</v>
      </c>
    </row>
    <row r="121" spans="2:10">
      <c r="B121" s="176"/>
      <c r="C121" s="176"/>
      <c r="D121" s="176"/>
      <c r="E121" s="176">
        <v>1.58</v>
      </c>
      <c r="F121" s="176">
        <v>1.44</v>
      </c>
      <c r="G121" s="176"/>
      <c r="H121" s="176" t="s">
        <v>1622</v>
      </c>
      <c r="I121" s="340">
        <v>1.58</v>
      </c>
      <c r="J121" s="340">
        <v>1.44</v>
      </c>
    </row>
    <row r="122" spans="2:10">
      <c r="B122" s="176" t="s">
        <v>2354</v>
      </c>
      <c r="C122" s="176">
        <v>20</v>
      </c>
      <c r="D122" s="176">
        <v>201</v>
      </c>
      <c r="E122" s="176">
        <v>5.18</v>
      </c>
      <c r="F122" s="176">
        <v>4.42</v>
      </c>
      <c r="G122" s="176" t="s">
        <v>2368</v>
      </c>
      <c r="H122" s="176" t="s">
        <v>2345</v>
      </c>
      <c r="I122" s="340">
        <v>5.18</v>
      </c>
      <c r="J122" s="340">
        <v>4.42</v>
      </c>
    </row>
    <row r="123" spans="2:10">
      <c r="B123" s="176"/>
      <c r="C123" s="176"/>
      <c r="D123" s="176"/>
      <c r="E123" s="176">
        <v>1.82</v>
      </c>
      <c r="F123" s="176">
        <v>1.83</v>
      </c>
      <c r="G123" s="176"/>
      <c r="H123" s="176" t="s">
        <v>2346</v>
      </c>
      <c r="I123" s="340">
        <v>1.82</v>
      </c>
      <c r="J123" s="340">
        <v>1.83</v>
      </c>
    </row>
    <row r="124" spans="2:10">
      <c r="B124" s="176"/>
      <c r="C124" s="176"/>
      <c r="D124" s="176"/>
      <c r="E124" s="176">
        <v>0.57999999999999996</v>
      </c>
      <c r="F124" s="176">
        <v>0.57999999999999996</v>
      </c>
      <c r="G124" s="176"/>
      <c r="H124" s="176" t="s">
        <v>2347</v>
      </c>
      <c r="I124" s="340">
        <v>0.57999999999999996</v>
      </c>
      <c r="J124" s="340">
        <v>0.57999999999999996</v>
      </c>
    </row>
    <row r="125" spans="2:10">
      <c r="B125" s="176"/>
      <c r="C125" s="176"/>
      <c r="D125" s="176"/>
      <c r="E125" s="176">
        <v>2.35</v>
      </c>
      <c r="F125" s="176">
        <v>1.83</v>
      </c>
      <c r="G125" s="176"/>
      <c r="H125" s="176" t="s">
        <v>1622</v>
      </c>
      <c r="I125" s="340">
        <v>2.35</v>
      </c>
      <c r="J125" s="340">
        <v>1.83</v>
      </c>
    </row>
    <row r="126" spans="2:10">
      <c r="B126" s="176"/>
      <c r="C126" s="176"/>
      <c r="D126" s="176">
        <v>202</v>
      </c>
      <c r="E126" s="176">
        <v>4.12</v>
      </c>
      <c r="F126" s="176">
        <v>3.29</v>
      </c>
      <c r="G126" s="176" t="s">
        <v>2369</v>
      </c>
      <c r="H126" s="176" t="s">
        <v>2345</v>
      </c>
      <c r="I126" s="340">
        <v>4.12</v>
      </c>
      <c r="J126" s="340">
        <v>3.29</v>
      </c>
    </row>
    <row r="127" spans="2:10">
      <c r="B127" s="176"/>
      <c r="C127" s="176"/>
      <c r="D127" s="176"/>
      <c r="E127" s="176">
        <v>1.64</v>
      </c>
      <c r="F127" s="176">
        <v>1.6</v>
      </c>
      <c r="G127" s="176"/>
      <c r="H127" s="176" t="s">
        <v>2346</v>
      </c>
      <c r="I127" s="340">
        <v>1.64</v>
      </c>
      <c r="J127" s="340">
        <v>1.6</v>
      </c>
    </row>
    <row r="128" spans="2:10">
      <c r="B128" s="176"/>
      <c r="C128" s="176"/>
      <c r="D128" s="176"/>
      <c r="E128" s="176">
        <v>0.63</v>
      </c>
      <c r="F128" s="176">
        <v>0.65</v>
      </c>
      <c r="G128" s="176"/>
      <c r="H128" s="176" t="s">
        <v>2347</v>
      </c>
      <c r="I128" s="340">
        <v>0.63</v>
      </c>
      <c r="J128" s="340">
        <v>0.65</v>
      </c>
    </row>
    <row r="129" spans="2:10">
      <c r="B129" s="176"/>
      <c r="C129" s="176"/>
      <c r="D129" s="176"/>
      <c r="E129" s="176">
        <v>2.0099999999999998</v>
      </c>
      <c r="F129" s="176">
        <v>1.6</v>
      </c>
      <c r="G129" s="176"/>
      <c r="H129" s="176" t="s">
        <v>1622</v>
      </c>
      <c r="I129" s="340">
        <v>2.0099999999999998</v>
      </c>
      <c r="J129" s="340">
        <v>1.6</v>
      </c>
    </row>
    <row r="130" spans="2:10">
      <c r="B130" s="176"/>
      <c r="C130" s="176"/>
      <c r="D130" s="176">
        <v>203</v>
      </c>
      <c r="E130" s="176">
        <v>5.74</v>
      </c>
      <c r="F130" s="176">
        <v>5.01</v>
      </c>
      <c r="G130" s="176" t="s">
        <v>2370</v>
      </c>
      <c r="H130" s="176" t="s">
        <v>2345</v>
      </c>
      <c r="I130" s="340">
        <v>5.74</v>
      </c>
      <c r="J130" s="340">
        <v>5.01</v>
      </c>
    </row>
    <row r="131" spans="2:10">
      <c r="B131" s="176"/>
      <c r="C131" s="176"/>
      <c r="D131" s="176"/>
      <c r="E131" s="176">
        <v>2.09</v>
      </c>
      <c r="F131" s="176">
        <v>1.96</v>
      </c>
      <c r="G131" s="176"/>
      <c r="H131" s="176" t="s">
        <v>2346</v>
      </c>
      <c r="I131" s="340">
        <v>2.09</v>
      </c>
      <c r="J131" s="340">
        <v>1.96</v>
      </c>
    </row>
    <row r="132" spans="2:10">
      <c r="B132" s="176"/>
      <c r="C132" s="176"/>
      <c r="D132" s="176"/>
      <c r="E132" s="176">
        <v>0.79</v>
      </c>
      <c r="F132" s="176">
        <v>0.79</v>
      </c>
      <c r="G132" s="176"/>
      <c r="H132" s="176" t="s">
        <v>2347</v>
      </c>
      <c r="I132" s="340">
        <v>0.79</v>
      </c>
      <c r="J132" s="340">
        <v>0.79</v>
      </c>
    </row>
    <row r="133" spans="2:10">
      <c r="B133" s="176"/>
      <c r="C133" s="176"/>
      <c r="D133" s="176"/>
      <c r="E133" s="176">
        <v>2.68</v>
      </c>
      <c r="F133" s="176">
        <v>1.97</v>
      </c>
      <c r="G133" s="176"/>
      <c r="H133" s="176" t="s">
        <v>1622</v>
      </c>
      <c r="I133" s="340">
        <v>2.68</v>
      </c>
      <c r="J133" s="340">
        <v>1.97</v>
      </c>
    </row>
    <row r="134" spans="2:10">
      <c r="B134" s="176"/>
      <c r="C134" s="176"/>
      <c r="D134" s="176">
        <v>204</v>
      </c>
      <c r="E134" s="176">
        <v>5.08</v>
      </c>
      <c r="F134" s="176">
        <v>4.21</v>
      </c>
      <c r="G134" s="176" t="s">
        <v>2371</v>
      </c>
      <c r="H134" s="176" t="s">
        <v>2345</v>
      </c>
      <c r="I134" s="340">
        <v>5.08</v>
      </c>
      <c r="J134" s="340">
        <v>4.21</v>
      </c>
    </row>
    <row r="135" spans="2:10">
      <c r="B135" s="176"/>
      <c r="C135" s="176"/>
      <c r="D135" s="176"/>
      <c r="E135" s="176">
        <v>1.83</v>
      </c>
      <c r="F135" s="176">
        <v>1.77</v>
      </c>
      <c r="G135" s="176"/>
      <c r="H135" s="176" t="s">
        <v>2346</v>
      </c>
      <c r="I135" s="340">
        <v>1.83</v>
      </c>
      <c r="J135" s="340">
        <v>1.77</v>
      </c>
    </row>
    <row r="136" spans="2:10">
      <c r="B136" s="176"/>
      <c r="C136" s="176"/>
      <c r="D136" s="176"/>
      <c r="E136" s="176">
        <v>0.61</v>
      </c>
      <c r="F136" s="176">
        <v>0.66</v>
      </c>
      <c r="G136" s="176"/>
      <c r="H136" s="176" t="s">
        <v>2347</v>
      </c>
      <c r="I136" s="340">
        <v>0.61</v>
      </c>
      <c r="J136" s="340">
        <v>0.66</v>
      </c>
    </row>
    <row r="137" spans="2:10">
      <c r="B137" s="176"/>
      <c r="C137" s="176"/>
      <c r="D137" s="176"/>
      <c r="E137" s="176">
        <v>2.34</v>
      </c>
      <c r="F137" s="176">
        <v>1.77</v>
      </c>
      <c r="G137" s="176"/>
      <c r="H137" s="176" t="s">
        <v>1622</v>
      </c>
      <c r="I137" s="340">
        <v>2.34</v>
      </c>
      <c r="J137" s="340">
        <v>1.77</v>
      </c>
    </row>
    <row r="138" spans="2:10">
      <c r="B138" s="176"/>
      <c r="C138" s="176">
        <v>21</v>
      </c>
      <c r="D138" s="176">
        <v>211</v>
      </c>
      <c r="E138" s="176">
        <v>6.91</v>
      </c>
      <c r="F138" s="176">
        <v>6.06</v>
      </c>
      <c r="G138" s="176" t="s">
        <v>2372</v>
      </c>
      <c r="H138" s="176" t="s">
        <v>2345</v>
      </c>
      <c r="I138" s="340">
        <v>6.91</v>
      </c>
      <c r="J138" s="340">
        <v>6.06</v>
      </c>
    </row>
    <row r="139" spans="2:10">
      <c r="B139" s="176"/>
      <c r="C139" s="176"/>
      <c r="D139" s="176"/>
      <c r="E139" s="176">
        <v>2.27</v>
      </c>
      <c r="F139" s="176">
        <v>2</v>
      </c>
      <c r="G139" s="176"/>
      <c r="H139" s="176" t="s">
        <v>2346</v>
      </c>
      <c r="I139" s="340">
        <v>2.27</v>
      </c>
      <c r="J139" s="340">
        <v>2</v>
      </c>
    </row>
    <row r="140" spans="2:10">
      <c r="B140" s="176"/>
      <c r="C140" s="176"/>
      <c r="D140" s="176"/>
      <c r="E140" s="176">
        <v>0.8</v>
      </c>
      <c r="F140" s="176">
        <v>0.92</v>
      </c>
      <c r="G140" s="176"/>
      <c r="H140" s="176" t="s">
        <v>2347</v>
      </c>
      <c r="I140" s="340">
        <v>0.8</v>
      </c>
      <c r="J140" s="340">
        <v>0.92</v>
      </c>
    </row>
    <row r="141" spans="2:10">
      <c r="B141" s="176"/>
      <c r="C141" s="176"/>
      <c r="D141" s="176"/>
      <c r="E141" s="176">
        <v>3.05</v>
      </c>
      <c r="F141" s="176">
        <v>2</v>
      </c>
      <c r="G141" s="176"/>
      <c r="H141" s="176" t="s">
        <v>1622</v>
      </c>
      <c r="I141" s="340">
        <v>3.05</v>
      </c>
      <c r="J141" s="340">
        <v>2</v>
      </c>
    </row>
    <row r="142" spans="2:10">
      <c r="B142" s="176"/>
      <c r="C142" s="176"/>
      <c r="D142" s="176">
        <v>212</v>
      </c>
      <c r="E142" s="176">
        <v>5.25</v>
      </c>
      <c r="F142" s="176">
        <v>4.3899999999999997</v>
      </c>
      <c r="G142" s="176" t="s">
        <v>2373</v>
      </c>
      <c r="H142" s="176" t="s">
        <v>2345</v>
      </c>
      <c r="I142" s="340">
        <v>5.25</v>
      </c>
      <c r="J142" s="340">
        <v>4.3899999999999997</v>
      </c>
    </row>
    <row r="143" spans="2:10">
      <c r="B143" s="176"/>
      <c r="C143" s="176"/>
      <c r="D143" s="176"/>
      <c r="E143" s="176">
        <v>1.81</v>
      </c>
      <c r="F143" s="176">
        <v>1.72</v>
      </c>
      <c r="G143" s="176"/>
      <c r="H143" s="176" t="s">
        <v>2346</v>
      </c>
      <c r="I143" s="340">
        <v>1.81</v>
      </c>
      <c r="J143" s="340">
        <v>1.72</v>
      </c>
    </row>
    <row r="144" spans="2:10">
      <c r="B144" s="176"/>
      <c r="C144" s="176"/>
      <c r="D144" s="176"/>
      <c r="E144" s="176">
        <v>0.61</v>
      </c>
      <c r="F144" s="176">
        <v>0.62</v>
      </c>
      <c r="G144" s="176"/>
      <c r="H144" s="176" t="s">
        <v>2347</v>
      </c>
      <c r="I144" s="340">
        <v>0.61</v>
      </c>
      <c r="J144" s="340">
        <v>0.62</v>
      </c>
    </row>
    <row r="145" spans="2:10">
      <c r="B145" s="176"/>
      <c r="C145" s="176"/>
      <c r="D145" s="176"/>
      <c r="E145" s="176">
        <v>2.38</v>
      </c>
      <c r="F145" s="176">
        <v>1.73</v>
      </c>
      <c r="G145" s="176"/>
      <c r="H145" s="176" t="s">
        <v>1622</v>
      </c>
      <c r="I145" s="340">
        <v>2.38</v>
      </c>
      <c r="J145" s="340">
        <v>1.73</v>
      </c>
    </row>
    <row r="146" spans="2:10">
      <c r="B146" s="176"/>
      <c r="C146" s="176"/>
      <c r="D146" s="176">
        <v>213</v>
      </c>
      <c r="E146" s="176">
        <v>5.82</v>
      </c>
      <c r="F146" s="176">
        <v>5.88</v>
      </c>
      <c r="G146" s="176" t="s">
        <v>2374</v>
      </c>
      <c r="H146" s="176" t="s">
        <v>2345</v>
      </c>
      <c r="I146" s="340">
        <v>5.82</v>
      </c>
      <c r="J146" s="340">
        <v>5.88</v>
      </c>
    </row>
    <row r="147" spans="2:10">
      <c r="B147" s="176"/>
      <c r="C147" s="176"/>
      <c r="D147" s="176"/>
      <c r="E147" s="176">
        <v>2.09</v>
      </c>
      <c r="F147" s="176">
        <v>2.04</v>
      </c>
      <c r="G147" s="176"/>
      <c r="H147" s="176" t="s">
        <v>2346</v>
      </c>
      <c r="I147" s="340">
        <v>2.09</v>
      </c>
      <c r="J147" s="340">
        <v>2.04</v>
      </c>
    </row>
    <row r="148" spans="2:10">
      <c r="B148" s="176"/>
      <c r="C148" s="176"/>
      <c r="D148" s="176"/>
      <c r="E148" s="176">
        <v>0.6</v>
      </c>
      <c r="F148" s="176">
        <v>0.68</v>
      </c>
      <c r="G148" s="176"/>
      <c r="H148" s="176" t="s">
        <v>2347</v>
      </c>
      <c r="I148" s="340">
        <v>0.6</v>
      </c>
      <c r="J148" s="340">
        <v>0.68</v>
      </c>
    </row>
    <row r="149" spans="2:10">
      <c r="B149" s="176"/>
      <c r="C149" s="176"/>
      <c r="D149" s="176"/>
      <c r="E149" s="176">
        <v>2.64</v>
      </c>
      <c r="F149" s="176">
        <v>2.04</v>
      </c>
      <c r="G149" s="176"/>
      <c r="H149" s="176" t="s">
        <v>1622</v>
      </c>
      <c r="I149" s="340">
        <v>2.64</v>
      </c>
      <c r="J149" s="340">
        <v>2.04</v>
      </c>
    </row>
    <row r="150" spans="2:10">
      <c r="B150" s="176"/>
      <c r="C150" s="176">
        <v>22</v>
      </c>
      <c r="D150" s="176">
        <v>221</v>
      </c>
      <c r="E150" s="176">
        <v>3.91</v>
      </c>
      <c r="F150" s="176">
        <v>3.3</v>
      </c>
      <c r="G150" s="176" t="s">
        <v>2375</v>
      </c>
      <c r="H150" s="176" t="s">
        <v>2345</v>
      </c>
      <c r="I150" s="340">
        <v>3.91</v>
      </c>
      <c r="J150" s="340">
        <v>3.3</v>
      </c>
    </row>
    <row r="151" spans="2:10">
      <c r="B151" s="176"/>
      <c r="C151" s="176"/>
      <c r="D151" s="176"/>
      <c r="E151" s="176">
        <v>1.56</v>
      </c>
      <c r="F151" s="176">
        <v>1.48</v>
      </c>
      <c r="G151" s="176"/>
      <c r="H151" s="176" t="s">
        <v>2346</v>
      </c>
      <c r="I151" s="340">
        <v>1.56</v>
      </c>
      <c r="J151" s="340">
        <v>1.48</v>
      </c>
    </row>
    <row r="152" spans="2:10">
      <c r="B152" s="176"/>
      <c r="C152" s="176"/>
      <c r="D152" s="176"/>
      <c r="E152" s="176">
        <v>0.68</v>
      </c>
      <c r="F152" s="176">
        <v>0.71</v>
      </c>
      <c r="G152" s="176"/>
      <c r="H152" s="176" t="s">
        <v>2347</v>
      </c>
      <c r="I152" s="340">
        <v>0.68</v>
      </c>
      <c r="J152" s="340">
        <v>0.71</v>
      </c>
    </row>
    <row r="153" spans="2:10">
      <c r="B153" s="176"/>
      <c r="C153" s="176"/>
      <c r="D153" s="176"/>
      <c r="E153" s="176">
        <v>1.97</v>
      </c>
      <c r="F153" s="176">
        <v>1.48</v>
      </c>
      <c r="G153" s="176"/>
      <c r="H153" s="176" t="s">
        <v>1622</v>
      </c>
      <c r="I153" s="340">
        <v>1.97</v>
      </c>
      <c r="J153" s="340">
        <v>1.48</v>
      </c>
    </row>
    <row r="154" spans="2:10">
      <c r="B154" s="176"/>
      <c r="C154" s="176"/>
      <c r="D154" s="176">
        <v>222</v>
      </c>
      <c r="E154" s="176">
        <v>4.2300000000000004</v>
      </c>
      <c r="F154" s="176">
        <v>3.49</v>
      </c>
      <c r="G154" s="176" t="s">
        <v>1326</v>
      </c>
      <c r="H154" s="176" t="s">
        <v>2345</v>
      </c>
      <c r="I154" s="340">
        <v>4.2300000000000004</v>
      </c>
      <c r="J154" s="340">
        <v>3.49</v>
      </c>
    </row>
    <row r="155" spans="2:10">
      <c r="B155" s="176"/>
      <c r="C155" s="176"/>
      <c r="D155" s="176"/>
      <c r="E155" s="176">
        <v>1.65</v>
      </c>
      <c r="F155" s="176">
        <v>1.59</v>
      </c>
      <c r="G155" s="176"/>
      <c r="H155" s="176" t="s">
        <v>2346</v>
      </c>
      <c r="I155" s="340">
        <v>1.65</v>
      </c>
      <c r="J155" s="340">
        <v>1.59</v>
      </c>
    </row>
    <row r="156" spans="2:10">
      <c r="B156" s="176"/>
      <c r="C156" s="176"/>
      <c r="D156" s="176"/>
      <c r="E156" s="176">
        <v>0.61</v>
      </c>
      <c r="F156" s="176">
        <v>0.64</v>
      </c>
      <c r="G156" s="176"/>
      <c r="H156" s="176" t="s">
        <v>2347</v>
      </c>
      <c r="I156" s="340">
        <v>0.61</v>
      </c>
      <c r="J156" s="340">
        <v>0.64</v>
      </c>
    </row>
    <row r="157" spans="2:10">
      <c r="B157" s="176"/>
      <c r="C157" s="176"/>
      <c r="D157" s="176"/>
      <c r="E157" s="176">
        <v>2.0299999999999998</v>
      </c>
      <c r="F157" s="176">
        <v>1.59</v>
      </c>
      <c r="G157" s="176"/>
      <c r="H157" s="176" t="s">
        <v>1622</v>
      </c>
      <c r="I157" s="340">
        <v>2.0299999999999998</v>
      </c>
      <c r="J157" s="340">
        <v>1.59</v>
      </c>
    </row>
    <row r="158" spans="2:10">
      <c r="B158" s="176" t="s">
        <v>2354</v>
      </c>
      <c r="C158" s="176">
        <v>23</v>
      </c>
      <c r="D158" s="176">
        <v>231</v>
      </c>
      <c r="E158" s="176">
        <v>4.03</v>
      </c>
      <c r="F158" s="176">
        <v>3.63</v>
      </c>
      <c r="G158" s="176" t="s">
        <v>2376</v>
      </c>
      <c r="H158" s="176" t="s">
        <v>2345</v>
      </c>
      <c r="I158" s="340">
        <v>4.03</v>
      </c>
      <c r="J158" s="340">
        <v>3.63</v>
      </c>
    </row>
    <row r="159" spans="2:10">
      <c r="B159" s="176"/>
      <c r="C159" s="176"/>
      <c r="D159" s="176"/>
      <c r="E159" s="176">
        <v>1.89</v>
      </c>
      <c r="F159" s="176">
        <v>1.94</v>
      </c>
      <c r="G159" s="176"/>
      <c r="H159" s="176" t="s">
        <v>2346</v>
      </c>
      <c r="I159" s="340">
        <v>1.89</v>
      </c>
      <c r="J159" s="340">
        <v>1.94</v>
      </c>
    </row>
    <row r="160" spans="2:10">
      <c r="B160" s="176"/>
      <c r="C160" s="176"/>
      <c r="D160" s="176"/>
      <c r="E160" s="176">
        <v>0.79</v>
      </c>
      <c r="F160" s="176">
        <v>0.82</v>
      </c>
      <c r="G160" s="176"/>
      <c r="H160" s="176" t="s">
        <v>2347</v>
      </c>
      <c r="I160" s="340">
        <v>0.79</v>
      </c>
      <c r="J160" s="340">
        <v>0.82</v>
      </c>
    </row>
    <row r="161" spans="2:10">
      <c r="B161" s="176"/>
      <c r="C161" s="176"/>
      <c r="D161" s="176"/>
      <c r="E161" s="176">
        <v>2.17</v>
      </c>
      <c r="F161" s="176">
        <v>1.97</v>
      </c>
      <c r="G161" s="176"/>
      <c r="H161" s="176" t="s">
        <v>1622</v>
      </c>
      <c r="I161" s="340">
        <v>2.17</v>
      </c>
      <c r="J161" s="340">
        <v>1.97</v>
      </c>
    </row>
    <row r="162" spans="2:10">
      <c r="B162" s="176"/>
      <c r="C162" s="176"/>
      <c r="D162" s="176">
        <v>232</v>
      </c>
      <c r="E162" s="176">
        <v>4.4400000000000004</v>
      </c>
      <c r="F162" s="176">
        <v>3.85</v>
      </c>
      <c r="G162" s="176" t="s">
        <v>2377</v>
      </c>
      <c r="H162" s="176" t="s">
        <v>2345</v>
      </c>
      <c r="I162" s="340">
        <v>4.4400000000000004</v>
      </c>
      <c r="J162" s="340">
        <v>3.85</v>
      </c>
    </row>
    <row r="163" spans="2:10">
      <c r="B163" s="176"/>
      <c r="C163" s="176"/>
      <c r="D163" s="176"/>
      <c r="E163" s="176">
        <v>1.68</v>
      </c>
      <c r="F163" s="176">
        <v>1.6</v>
      </c>
      <c r="G163" s="176"/>
      <c r="H163" s="176" t="s">
        <v>2346</v>
      </c>
      <c r="I163" s="340">
        <v>1.68</v>
      </c>
      <c r="J163" s="340">
        <v>1.6</v>
      </c>
    </row>
    <row r="164" spans="2:10">
      <c r="B164" s="176"/>
      <c r="C164" s="176"/>
      <c r="D164" s="176"/>
      <c r="E164" s="176">
        <v>0.64</v>
      </c>
      <c r="F164" s="176">
        <v>0.65</v>
      </c>
      <c r="G164" s="176"/>
      <c r="H164" s="176" t="s">
        <v>2347</v>
      </c>
      <c r="I164" s="340">
        <v>0.64</v>
      </c>
      <c r="J164" s="340">
        <v>0.65</v>
      </c>
    </row>
    <row r="165" spans="2:10">
      <c r="B165" s="176"/>
      <c r="C165" s="176"/>
      <c r="D165" s="176"/>
      <c r="E165" s="176">
        <v>2.12</v>
      </c>
      <c r="F165" s="176">
        <v>1.62</v>
      </c>
      <c r="G165" s="176"/>
      <c r="H165" s="176" t="s">
        <v>1622</v>
      </c>
      <c r="I165" s="340">
        <v>2.12</v>
      </c>
      <c r="J165" s="340">
        <v>1.62</v>
      </c>
    </row>
    <row r="166" spans="2:10">
      <c r="B166" s="176"/>
      <c r="C166" s="176"/>
      <c r="D166" s="176">
        <v>233</v>
      </c>
      <c r="E166" s="176">
        <v>4.54</v>
      </c>
      <c r="F166" s="176">
        <v>3.82</v>
      </c>
      <c r="G166" s="176" t="s">
        <v>2378</v>
      </c>
      <c r="H166" s="176" t="s">
        <v>2345</v>
      </c>
      <c r="I166" s="340">
        <v>4.54</v>
      </c>
      <c r="J166" s="340">
        <v>3.82</v>
      </c>
    </row>
    <row r="167" spans="2:10">
      <c r="B167" s="176"/>
      <c r="C167" s="176"/>
      <c r="D167" s="176"/>
      <c r="E167" s="176">
        <v>1.65</v>
      </c>
      <c r="F167" s="176">
        <v>1.59</v>
      </c>
      <c r="G167" s="176"/>
      <c r="H167" s="176" t="s">
        <v>2346</v>
      </c>
      <c r="I167" s="340">
        <v>1.65</v>
      </c>
      <c r="J167" s="340">
        <v>1.59</v>
      </c>
    </row>
    <row r="168" spans="2:10">
      <c r="B168" s="176"/>
      <c r="C168" s="176"/>
      <c r="D168" s="176"/>
      <c r="E168" s="176">
        <v>0.5</v>
      </c>
      <c r="F168" s="176">
        <v>0.53</v>
      </c>
      <c r="G168" s="176"/>
      <c r="H168" s="176" t="s">
        <v>2347</v>
      </c>
      <c r="I168" s="340">
        <v>0.5</v>
      </c>
      <c r="J168" s="340">
        <v>0.53</v>
      </c>
    </row>
    <row r="169" spans="2:10">
      <c r="B169" s="176"/>
      <c r="C169" s="176"/>
      <c r="D169" s="176"/>
      <c r="E169" s="176">
        <v>2.09</v>
      </c>
      <c r="F169" s="176">
        <v>1.59</v>
      </c>
      <c r="G169" s="176"/>
      <c r="H169" s="176" t="s">
        <v>1622</v>
      </c>
      <c r="I169" s="340">
        <v>2.09</v>
      </c>
      <c r="J169" s="340">
        <v>1.59</v>
      </c>
    </row>
    <row r="170" spans="2:10">
      <c r="B170" s="176"/>
      <c r="C170" s="176">
        <v>25</v>
      </c>
      <c r="D170" s="176">
        <v>251</v>
      </c>
      <c r="E170" s="176">
        <v>4.5999999999999996</v>
      </c>
      <c r="F170" s="176">
        <v>3.67</v>
      </c>
      <c r="G170" s="176" t="s">
        <v>2379</v>
      </c>
      <c r="H170" s="176" t="s">
        <v>2345</v>
      </c>
      <c r="I170" s="340">
        <v>4.5999999999999996</v>
      </c>
      <c r="J170" s="340">
        <v>3.67</v>
      </c>
    </row>
    <row r="171" spans="2:10">
      <c r="B171" s="176"/>
      <c r="C171" s="176"/>
      <c r="D171" s="176"/>
      <c r="E171" s="176">
        <v>1.7</v>
      </c>
      <c r="F171" s="176">
        <v>1.64</v>
      </c>
      <c r="G171" s="176"/>
      <c r="H171" s="176" t="s">
        <v>2346</v>
      </c>
      <c r="I171" s="340">
        <v>1.7</v>
      </c>
      <c r="J171" s="340">
        <v>1.64</v>
      </c>
    </row>
    <row r="172" spans="2:10">
      <c r="B172" s="176"/>
      <c r="C172" s="176"/>
      <c r="D172" s="176"/>
      <c r="E172" s="176">
        <v>0.61</v>
      </c>
      <c r="F172" s="176">
        <v>0.64</v>
      </c>
      <c r="G172" s="176"/>
      <c r="H172" s="176" t="s">
        <v>2347</v>
      </c>
      <c r="I172" s="340">
        <v>0.61</v>
      </c>
      <c r="J172" s="340">
        <v>0.64</v>
      </c>
    </row>
    <row r="173" spans="2:10">
      <c r="B173" s="176"/>
      <c r="C173" s="176"/>
      <c r="D173" s="176"/>
      <c r="E173" s="176">
        <v>2.15</v>
      </c>
      <c r="F173" s="176">
        <v>1.64</v>
      </c>
      <c r="G173" s="176"/>
      <c r="H173" s="176" t="s">
        <v>1622</v>
      </c>
      <c r="I173" s="340">
        <v>2.15</v>
      </c>
      <c r="J173" s="340">
        <v>1.64</v>
      </c>
    </row>
    <row r="174" spans="2:10">
      <c r="B174" s="176"/>
      <c r="C174" s="176"/>
      <c r="D174" s="176">
        <v>252</v>
      </c>
      <c r="E174" s="176">
        <v>4.2699999999999996</v>
      </c>
      <c r="F174" s="176">
        <v>3.92</v>
      </c>
      <c r="G174" s="176" t="s">
        <v>2380</v>
      </c>
      <c r="H174" s="176" t="s">
        <v>2345</v>
      </c>
      <c r="I174" s="340">
        <v>4.2699999999999996</v>
      </c>
      <c r="J174" s="340">
        <v>3.92</v>
      </c>
    </row>
    <row r="175" spans="2:10">
      <c r="B175" s="176"/>
      <c r="C175" s="176"/>
      <c r="D175" s="176"/>
      <c r="E175" s="176">
        <v>1.75</v>
      </c>
      <c r="F175" s="176">
        <v>1.64</v>
      </c>
      <c r="G175" s="176"/>
      <c r="H175" s="176" t="s">
        <v>2346</v>
      </c>
      <c r="I175" s="340">
        <v>1.75</v>
      </c>
      <c r="J175" s="340">
        <v>1.64</v>
      </c>
    </row>
    <row r="176" spans="2:10">
      <c r="B176" s="176"/>
      <c r="C176" s="176"/>
      <c r="D176" s="176"/>
      <c r="E176" s="176">
        <v>0.67</v>
      </c>
      <c r="F176" s="176">
        <v>0.77</v>
      </c>
      <c r="G176" s="176"/>
      <c r="H176" s="176" t="s">
        <v>2347</v>
      </c>
      <c r="I176" s="340">
        <v>0.67</v>
      </c>
      <c r="J176" s="340">
        <v>0.77</v>
      </c>
    </row>
    <row r="177" spans="2:10">
      <c r="B177" s="176"/>
      <c r="C177" s="176"/>
      <c r="D177" s="176"/>
      <c r="E177" s="176">
        <v>2.16</v>
      </c>
      <c r="F177" s="176">
        <v>1.67</v>
      </c>
      <c r="G177" s="176"/>
      <c r="H177" s="176" t="s">
        <v>1622</v>
      </c>
      <c r="I177" s="340">
        <v>2.16</v>
      </c>
      <c r="J177" s="340">
        <v>1.67</v>
      </c>
    </row>
    <row r="178" spans="2:10">
      <c r="B178" s="176"/>
      <c r="C178" s="176"/>
      <c r="D178" s="176">
        <v>259</v>
      </c>
      <c r="E178" s="176">
        <v>4.8899999999999997</v>
      </c>
      <c r="F178" s="176">
        <v>4.1900000000000004</v>
      </c>
      <c r="G178" s="176" t="s">
        <v>2381</v>
      </c>
      <c r="H178" s="176" t="s">
        <v>2345</v>
      </c>
      <c r="I178" s="340">
        <v>4.8899999999999997</v>
      </c>
      <c r="J178" s="340">
        <v>4.1900000000000004</v>
      </c>
    </row>
    <row r="179" spans="2:10">
      <c r="B179" s="176"/>
      <c r="C179" s="176"/>
      <c r="D179" s="176"/>
      <c r="E179" s="176">
        <v>2.04</v>
      </c>
      <c r="F179" s="176">
        <v>2</v>
      </c>
      <c r="G179" s="176"/>
      <c r="H179" s="176" t="s">
        <v>2346</v>
      </c>
      <c r="I179" s="340">
        <v>2.04</v>
      </c>
      <c r="J179" s="340">
        <v>2</v>
      </c>
    </row>
    <row r="180" spans="2:10">
      <c r="B180" s="176"/>
      <c r="C180" s="176"/>
      <c r="D180" s="176"/>
      <c r="E180" s="176">
        <v>0.71</v>
      </c>
      <c r="F180" s="176">
        <v>0.74</v>
      </c>
      <c r="G180" s="176"/>
      <c r="H180" s="176" t="s">
        <v>2347</v>
      </c>
      <c r="I180" s="340">
        <v>0.71</v>
      </c>
      <c r="J180" s="340">
        <v>0.74</v>
      </c>
    </row>
    <row r="181" spans="2:10">
      <c r="B181" s="176"/>
      <c r="C181" s="176"/>
      <c r="D181" s="176"/>
      <c r="E181" s="176">
        <v>2.42</v>
      </c>
      <c r="F181" s="176">
        <v>2</v>
      </c>
      <c r="G181" s="176"/>
      <c r="H181" s="176" t="s">
        <v>1622</v>
      </c>
      <c r="I181" s="340">
        <v>2.42</v>
      </c>
      <c r="J181" s="340">
        <v>2</v>
      </c>
    </row>
    <row r="182" spans="2:10">
      <c r="B182" s="176"/>
      <c r="C182" s="176">
        <v>26</v>
      </c>
      <c r="D182" s="176">
        <v>264</v>
      </c>
      <c r="E182" s="176">
        <v>4.3600000000000003</v>
      </c>
      <c r="F182" s="176">
        <v>3.64</v>
      </c>
      <c r="G182" s="176" t="s">
        <v>2382</v>
      </c>
      <c r="H182" s="176" t="s">
        <v>2345</v>
      </c>
      <c r="I182" s="340">
        <v>4.3600000000000003</v>
      </c>
      <c r="J182" s="340">
        <v>3.64</v>
      </c>
    </row>
    <row r="183" spans="2:10">
      <c r="B183" s="176"/>
      <c r="C183" s="176"/>
      <c r="D183" s="176"/>
      <c r="E183" s="176">
        <v>1.54</v>
      </c>
      <c r="F183" s="176">
        <v>1.45</v>
      </c>
      <c r="G183" s="176"/>
      <c r="H183" s="176" t="s">
        <v>2346</v>
      </c>
      <c r="I183" s="340">
        <v>1.54</v>
      </c>
      <c r="J183" s="340">
        <v>1.45</v>
      </c>
    </row>
    <row r="184" spans="2:10">
      <c r="B184" s="176"/>
      <c r="C184" s="176"/>
      <c r="D184" s="176"/>
      <c r="E184" s="176">
        <v>0.54</v>
      </c>
      <c r="F184" s="176">
        <v>0.59</v>
      </c>
      <c r="G184" s="176"/>
      <c r="H184" s="176" t="s">
        <v>2347</v>
      </c>
      <c r="I184" s="340">
        <v>0.54</v>
      </c>
      <c r="J184" s="340">
        <v>0.59</v>
      </c>
    </row>
    <row r="185" spans="2:10">
      <c r="B185" s="176"/>
      <c r="C185" s="176"/>
      <c r="D185" s="176"/>
      <c r="E185" s="176">
        <v>2</v>
      </c>
      <c r="F185" s="176">
        <v>1.46</v>
      </c>
      <c r="G185" s="176"/>
      <c r="H185" s="176" t="s">
        <v>1622</v>
      </c>
      <c r="I185" s="340">
        <v>2</v>
      </c>
      <c r="J185" s="340">
        <v>1.46</v>
      </c>
    </row>
    <row r="186" spans="2:10">
      <c r="B186" s="176"/>
      <c r="C186" s="176">
        <v>27</v>
      </c>
      <c r="D186" s="176">
        <v>272</v>
      </c>
      <c r="E186" s="176">
        <v>5.46</v>
      </c>
      <c r="F186" s="176">
        <v>4.51</v>
      </c>
      <c r="G186" s="176" t="s">
        <v>2383</v>
      </c>
      <c r="H186" s="176" t="s">
        <v>2345</v>
      </c>
      <c r="I186" s="340">
        <v>5.46</v>
      </c>
      <c r="J186" s="340">
        <v>4.51</v>
      </c>
    </row>
    <row r="187" spans="2:10">
      <c r="B187" s="176"/>
      <c r="C187" s="176"/>
      <c r="D187" s="176"/>
      <c r="E187" s="176">
        <v>2.04</v>
      </c>
      <c r="F187" s="176">
        <v>1.98</v>
      </c>
      <c r="G187" s="176"/>
      <c r="H187" s="176" t="s">
        <v>2346</v>
      </c>
      <c r="I187" s="340">
        <v>2.04</v>
      </c>
      <c r="J187" s="340">
        <v>1.98</v>
      </c>
    </row>
    <row r="188" spans="2:10">
      <c r="B188" s="176"/>
      <c r="C188" s="176"/>
      <c r="D188" s="176"/>
      <c r="E188" s="176">
        <v>0.71</v>
      </c>
      <c r="F188" s="176">
        <v>0.75</v>
      </c>
      <c r="G188" s="176"/>
      <c r="H188" s="176" t="s">
        <v>2347</v>
      </c>
      <c r="I188" s="340">
        <v>0.71</v>
      </c>
      <c r="J188" s="340">
        <v>0.75</v>
      </c>
    </row>
    <row r="189" spans="2:10">
      <c r="B189" s="176"/>
      <c r="C189" s="176"/>
      <c r="D189" s="176"/>
      <c r="E189" s="176">
        <v>2.56</v>
      </c>
      <c r="F189" s="176">
        <v>1.98</v>
      </c>
      <c r="G189" s="176"/>
      <c r="H189" s="176" t="s">
        <v>1622</v>
      </c>
      <c r="I189" s="340">
        <v>2.56</v>
      </c>
      <c r="J189" s="340">
        <v>1.98</v>
      </c>
    </row>
    <row r="190" spans="2:10">
      <c r="B190" s="176" t="s">
        <v>2354</v>
      </c>
      <c r="C190" s="176">
        <v>28</v>
      </c>
      <c r="D190" s="176">
        <v>281</v>
      </c>
      <c r="E190" s="176">
        <v>4.8</v>
      </c>
      <c r="F190" s="176">
        <v>3.99</v>
      </c>
      <c r="G190" s="176" t="s">
        <v>2384</v>
      </c>
      <c r="H190" s="176" t="s">
        <v>2345</v>
      </c>
      <c r="I190" s="340">
        <v>4.8</v>
      </c>
      <c r="J190" s="340">
        <v>3.99</v>
      </c>
    </row>
    <row r="191" spans="2:10">
      <c r="B191" s="176"/>
      <c r="C191" s="176"/>
      <c r="D191" s="176"/>
      <c r="E191" s="176">
        <v>1.87</v>
      </c>
      <c r="F191" s="176">
        <v>1.82</v>
      </c>
      <c r="G191" s="176"/>
      <c r="H191" s="176" t="s">
        <v>2346</v>
      </c>
      <c r="I191" s="340">
        <v>1.87</v>
      </c>
      <c r="J191" s="340">
        <v>1.82</v>
      </c>
    </row>
    <row r="192" spans="2:10">
      <c r="B192" s="176"/>
      <c r="C192" s="176"/>
      <c r="D192" s="176"/>
      <c r="E192" s="176">
        <v>0.64</v>
      </c>
      <c r="F192" s="176">
        <v>0.67</v>
      </c>
      <c r="G192" s="176"/>
      <c r="H192" s="176" t="s">
        <v>2347</v>
      </c>
      <c r="I192" s="340">
        <v>0.64</v>
      </c>
      <c r="J192" s="340">
        <v>0.67</v>
      </c>
    </row>
    <row r="193" spans="2:10">
      <c r="B193" s="176"/>
      <c r="C193" s="176"/>
      <c r="D193" s="176"/>
      <c r="E193" s="176">
        <v>2.29</v>
      </c>
      <c r="F193" s="176">
        <v>1.82</v>
      </c>
      <c r="G193" s="176"/>
      <c r="H193" s="176" t="s">
        <v>1622</v>
      </c>
      <c r="I193" s="340">
        <v>2.29</v>
      </c>
      <c r="J193" s="340">
        <v>1.82</v>
      </c>
    </row>
    <row r="194" spans="2:10">
      <c r="B194" s="176"/>
      <c r="C194" s="176"/>
      <c r="D194" s="176">
        <v>282</v>
      </c>
      <c r="E194" s="176">
        <v>4.79</v>
      </c>
      <c r="F194" s="176">
        <v>3.86</v>
      </c>
      <c r="G194" s="176" t="s">
        <v>2385</v>
      </c>
      <c r="H194" s="176" t="s">
        <v>2345</v>
      </c>
      <c r="I194" s="340">
        <v>4.79</v>
      </c>
      <c r="J194" s="340">
        <v>3.86</v>
      </c>
    </row>
    <row r="195" spans="2:10">
      <c r="B195" s="176"/>
      <c r="C195" s="176"/>
      <c r="D195" s="176"/>
      <c r="E195" s="176">
        <v>1.61</v>
      </c>
      <c r="F195" s="176">
        <v>1.49</v>
      </c>
      <c r="G195" s="176"/>
      <c r="H195" s="176" t="s">
        <v>2346</v>
      </c>
      <c r="I195" s="340">
        <v>1.61</v>
      </c>
      <c r="J195" s="340">
        <v>1.49</v>
      </c>
    </row>
    <row r="196" spans="2:10">
      <c r="B196" s="176"/>
      <c r="C196" s="176"/>
      <c r="D196" s="176"/>
      <c r="E196" s="176">
        <v>0.49</v>
      </c>
      <c r="F196" s="176">
        <v>0.5</v>
      </c>
      <c r="G196" s="176"/>
      <c r="H196" s="176" t="s">
        <v>2347</v>
      </c>
      <c r="I196" s="340">
        <v>0.49</v>
      </c>
      <c r="J196" s="340">
        <v>0.5</v>
      </c>
    </row>
    <row r="197" spans="2:10">
      <c r="B197" s="176"/>
      <c r="C197" s="176"/>
      <c r="D197" s="176"/>
      <c r="E197" s="176">
        <v>2.14</v>
      </c>
      <c r="F197" s="176">
        <v>1.5</v>
      </c>
      <c r="G197" s="176"/>
      <c r="H197" s="176" t="s">
        <v>1622</v>
      </c>
      <c r="I197" s="340">
        <v>2.14</v>
      </c>
      <c r="J197" s="340">
        <v>1.5</v>
      </c>
    </row>
    <row r="198" spans="2:10">
      <c r="B198" s="176"/>
      <c r="C198" s="176"/>
      <c r="D198" s="176">
        <v>283</v>
      </c>
      <c r="E198" s="176">
        <v>3.86</v>
      </c>
      <c r="F198" s="176">
        <v>2.6</v>
      </c>
      <c r="G198" s="176" t="s">
        <v>2386</v>
      </c>
      <c r="H198" s="176" t="s">
        <v>2345</v>
      </c>
      <c r="I198" s="340">
        <v>3.86</v>
      </c>
      <c r="J198" s="340">
        <v>2.6</v>
      </c>
    </row>
    <row r="199" spans="2:10">
      <c r="B199" s="176"/>
      <c r="C199" s="176"/>
      <c r="D199" s="176"/>
      <c r="E199" s="176">
        <v>1.05</v>
      </c>
      <c r="F199" s="176">
        <v>0.96</v>
      </c>
      <c r="G199" s="176"/>
      <c r="H199" s="176" t="s">
        <v>2346</v>
      </c>
      <c r="I199" s="340">
        <v>1.05</v>
      </c>
      <c r="J199" s="340">
        <v>0.96</v>
      </c>
    </row>
    <row r="200" spans="2:10">
      <c r="B200" s="176"/>
      <c r="C200" s="176"/>
      <c r="D200" s="176"/>
      <c r="E200" s="176">
        <v>0.28000000000000003</v>
      </c>
      <c r="F200" s="176">
        <v>0.26</v>
      </c>
      <c r="G200" s="176"/>
      <c r="H200" s="176" t="s">
        <v>2347</v>
      </c>
      <c r="I200" s="340">
        <v>0.28000000000000003</v>
      </c>
      <c r="J200" s="340">
        <v>0.26</v>
      </c>
    </row>
    <row r="201" spans="2:10">
      <c r="B201" s="176"/>
      <c r="C201" s="176"/>
      <c r="D201" s="176"/>
      <c r="E201" s="176">
        <v>1.56</v>
      </c>
      <c r="F201" s="176">
        <v>0.97</v>
      </c>
      <c r="G201" s="176"/>
      <c r="H201" s="176" t="s">
        <v>1622</v>
      </c>
      <c r="I201" s="340">
        <v>1.56</v>
      </c>
      <c r="J201" s="340">
        <v>0.97</v>
      </c>
    </row>
    <row r="202" spans="2:10">
      <c r="B202" s="176"/>
      <c r="C202" s="176"/>
      <c r="D202" s="176">
        <v>284</v>
      </c>
      <c r="E202" s="176">
        <v>4.6100000000000003</v>
      </c>
      <c r="F202" s="176">
        <v>3.67</v>
      </c>
      <c r="G202" s="176" t="s">
        <v>2387</v>
      </c>
      <c r="H202" s="176" t="s">
        <v>2345</v>
      </c>
      <c r="I202" s="340">
        <v>4.6100000000000003</v>
      </c>
      <c r="J202" s="340">
        <v>3.67</v>
      </c>
    </row>
    <row r="203" spans="2:10">
      <c r="B203" s="176"/>
      <c r="C203" s="176"/>
      <c r="D203" s="176"/>
      <c r="E203" s="176">
        <v>1.69</v>
      </c>
      <c r="F203" s="176">
        <v>1.63</v>
      </c>
      <c r="G203" s="176"/>
      <c r="H203" s="176" t="s">
        <v>2346</v>
      </c>
      <c r="I203" s="340">
        <v>1.69</v>
      </c>
      <c r="J203" s="340">
        <v>1.63</v>
      </c>
    </row>
    <row r="204" spans="2:10">
      <c r="B204" s="176"/>
      <c r="C204" s="176"/>
      <c r="D204" s="176"/>
      <c r="E204" s="176">
        <v>0.59</v>
      </c>
      <c r="F204" s="176">
        <v>0.62</v>
      </c>
      <c r="G204" s="176"/>
      <c r="H204" s="176" t="s">
        <v>2347</v>
      </c>
      <c r="I204" s="340">
        <v>0.59</v>
      </c>
      <c r="J204" s="340">
        <v>0.62</v>
      </c>
    </row>
    <row r="205" spans="2:10">
      <c r="B205" s="176"/>
      <c r="C205" s="176"/>
      <c r="D205" s="176"/>
      <c r="E205" s="176">
        <v>2.15</v>
      </c>
      <c r="F205" s="176">
        <v>1.63</v>
      </c>
      <c r="G205" s="176"/>
      <c r="H205" s="176" t="s">
        <v>1622</v>
      </c>
      <c r="I205" s="340">
        <v>2.15</v>
      </c>
      <c r="J205" s="340">
        <v>1.63</v>
      </c>
    </row>
    <row r="206" spans="2:10">
      <c r="B206" s="176"/>
      <c r="C206" s="176"/>
      <c r="D206" s="176">
        <v>285</v>
      </c>
      <c r="E206" s="176">
        <v>4.33</v>
      </c>
      <c r="F206" s="176">
        <v>3.5</v>
      </c>
      <c r="G206" s="176" t="s">
        <v>2388</v>
      </c>
      <c r="H206" s="176" t="s">
        <v>2345</v>
      </c>
      <c r="I206" s="340">
        <v>4.33</v>
      </c>
      <c r="J206" s="340">
        <v>3.5</v>
      </c>
    </row>
    <row r="207" spans="2:10">
      <c r="B207" s="176"/>
      <c r="C207" s="176"/>
      <c r="D207" s="176"/>
      <c r="E207" s="176">
        <v>1.62</v>
      </c>
      <c r="F207" s="176">
        <v>1.61</v>
      </c>
      <c r="G207" s="176"/>
      <c r="H207" s="176" t="s">
        <v>2346</v>
      </c>
      <c r="I207" s="340">
        <v>1.62</v>
      </c>
      <c r="J207" s="340">
        <v>1.61</v>
      </c>
    </row>
    <row r="208" spans="2:10">
      <c r="B208" s="176"/>
      <c r="C208" s="176"/>
      <c r="D208" s="176"/>
      <c r="E208" s="176">
        <v>0.56000000000000005</v>
      </c>
      <c r="F208" s="176">
        <v>0.59</v>
      </c>
      <c r="G208" s="176"/>
      <c r="H208" s="176" t="s">
        <v>2347</v>
      </c>
      <c r="I208" s="340">
        <v>0.56000000000000005</v>
      </c>
      <c r="J208" s="340">
        <v>0.59</v>
      </c>
    </row>
    <row r="209" spans="2:10">
      <c r="B209" s="176"/>
      <c r="C209" s="176"/>
      <c r="D209" s="176"/>
      <c r="E209" s="176">
        <v>2.0299999999999998</v>
      </c>
      <c r="F209" s="176">
        <v>1.61</v>
      </c>
      <c r="G209" s="176"/>
      <c r="H209" s="176" t="s">
        <v>1622</v>
      </c>
      <c r="I209" s="340">
        <v>2.0299999999999998</v>
      </c>
      <c r="J209" s="340">
        <v>1.61</v>
      </c>
    </row>
    <row r="210" spans="2:10">
      <c r="B210" s="176"/>
      <c r="C210" s="176"/>
      <c r="D210" s="176">
        <v>289</v>
      </c>
      <c r="E210" s="176">
        <v>5.59</v>
      </c>
      <c r="F210" s="176">
        <v>4.58</v>
      </c>
      <c r="G210" s="176" t="s">
        <v>2389</v>
      </c>
      <c r="H210" s="176" t="s">
        <v>2345</v>
      </c>
      <c r="I210" s="340">
        <v>5.59</v>
      </c>
      <c r="J210" s="340">
        <v>4.58</v>
      </c>
    </row>
    <row r="211" spans="2:10">
      <c r="B211" s="176"/>
      <c r="C211" s="176"/>
      <c r="D211" s="176"/>
      <c r="E211" s="176">
        <v>1.96</v>
      </c>
      <c r="F211" s="176">
        <v>1.93</v>
      </c>
      <c r="G211" s="176"/>
      <c r="H211" s="176" t="s">
        <v>2346</v>
      </c>
      <c r="I211" s="340">
        <v>1.96</v>
      </c>
      <c r="J211" s="340">
        <v>1.93</v>
      </c>
    </row>
    <row r="212" spans="2:10">
      <c r="B212" s="176"/>
      <c r="C212" s="176"/>
      <c r="D212" s="176"/>
      <c r="E212" s="176">
        <v>0.63</v>
      </c>
      <c r="F212" s="176">
        <v>0.68</v>
      </c>
      <c r="G212" s="176"/>
      <c r="H212" s="176" t="s">
        <v>2347</v>
      </c>
      <c r="I212" s="340">
        <v>0.63</v>
      </c>
      <c r="J212" s="340">
        <v>0.68</v>
      </c>
    </row>
    <row r="213" spans="2:10">
      <c r="B213" s="176"/>
      <c r="C213" s="176"/>
      <c r="D213" s="176"/>
      <c r="E213" s="176">
        <v>2.54</v>
      </c>
      <c r="F213" s="176">
        <v>1.93</v>
      </c>
      <c r="G213" s="176"/>
      <c r="H213" s="176" t="s">
        <v>1622</v>
      </c>
      <c r="I213" s="340">
        <v>2.54</v>
      </c>
      <c r="J213" s="340">
        <v>1.93</v>
      </c>
    </row>
    <row r="214" spans="2:10">
      <c r="B214" s="176"/>
      <c r="C214" s="176">
        <v>29</v>
      </c>
      <c r="D214" s="176">
        <v>291</v>
      </c>
      <c r="E214" s="176">
        <v>4.9000000000000004</v>
      </c>
      <c r="F214" s="176">
        <v>4.1399999999999997</v>
      </c>
      <c r="G214" s="176" t="s">
        <v>2390</v>
      </c>
      <c r="H214" s="176" t="s">
        <v>2345</v>
      </c>
      <c r="I214" s="340">
        <v>4.9000000000000004</v>
      </c>
      <c r="J214" s="340">
        <v>4.1399999999999997</v>
      </c>
    </row>
    <row r="215" spans="2:10">
      <c r="B215" s="176"/>
      <c r="C215" s="176"/>
      <c r="D215" s="176"/>
      <c r="E215" s="176">
        <v>1.93</v>
      </c>
      <c r="F215" s="176">
        <v>1.87</v>
      </c>
      <c r="G215" s="176"/>
      <c r="H215" s="176" t="s">
        <v>2346</v>
      </c>
      <c r="I215" s="340">
        <v>1.93</v>
      </c>
      <c r="J215" s="340">
        <v>1.87</v>
      </c>
    </row>
    <row r="216" spans="2:10">
      <c r="B216" s="176"/>
      <c r="C216" s="176"/>
      <c r="D216" s="176"/>
      <c r="E216" s="176">
        <v>0.68</v>
      </c>
      <c r="F216" s="176">
        <v>0.72</v>
      </c>
      <c r="G216" s="176"/>
      <c r="H216" s="176" t="s">
        <v>2347</v>
      </c>
      <c r="I216" s="340">
        <v>0.68</v>
      </c>
      <c r="J216" s="340">
        <v>0.72</v>
      </c>
    </row>
    <row r="217" spans="2:10">
      <c r="B217" s="176"/>
      <c r="C217" s="176"/>
      <c r="D217" s="176"/>
      <c r="E217" s="176">
        <v>2.36</v>
      </c>
      <c r="F217" s="176">
        <v>1.87</v>
      </c>
      <c r="G217" s="176"/>
      <c r="H217" s="176" t="s">
        <v>1622</v>
      </c>
      <c r="I217" s="340">
        <v>2.36</v>
      </c>
      <c r="J217" s="340">
        <v>1.87</v>
      </c>
    </row>
    <row r="218" spans="2:10">
      <c r="B218" s="176"/>
      <c r="C218" s="176"/>
      <c r="D218" s="176">
        <v>292</v>
      </c>
      <c r="E218" s="176">
        <v>5.35</v>
      </c>
      <c r="F218" s="176">
        <v>4.6100000000000003</v>
      </c>
      <c r="G218" s="176" t="s">
        <v>2391</v>
      </c>
      <c r="H218" s="176" t="s">
        <v>2345</v>
      </c>
      <c r="I218" s="340">
        <v>5.35</v>
      </c>
      <c r="J218" s="340">
        <v>4.6100000000000003</v>
      </c>
    </row>
    <row r="219" spans="2:10">
      <c r="B219" s="176"/>
      <c r="C219" s="176"/>
      <c r="D219" s="176"/>
      <c r="E219" s="176">
        <v>2.2999999999999998</v>
      </c>
      <c r="F219" s="176">
        <v>2.2400000000000002</v>
      </c>
      <c r="G219" s="176"/>
      <c r="H219" s="176" t="s">
        <v>2346</v>
      </c>
      <c r="I219" s="340">
        <v>2.2999999999999998</v>
      </c>
      <c r="J219" s="340">
        <v>2.2400000000000002</v>
      </c>
    </row>
    <row r="220" spans="2:10">
      <c r="B220" s="176"/>
      <c r="C220" s="176"/>
      <c r="D220" s="176"/>
      <c r="E220" s="176">
        <v>0.83</v>
      </c>
      <c r="F220" s="176">
        <v>0.88</v>
      </c>
      <c r="G220" s="176"/>
      <c r="H220" s="176" t="s">
        <v>2347</v>
      </c>
      <c r="I220" s="340">
        <v>0.83</v>
      </c>
      <c r="J220" s="340">
        <v>0.88</v>
      </c>
    </row>
    <row r="221" spans="2:10">
      <c r="B221" s="176"/>
      <c r="C221" s="176"/>
      <c r="D221" s="176"/>
      <c r="E221" s="176">
        <v>2.69</v>
      </c>
      <c r="F221" s="176">
        <v>2.2400000000000002</v>
      </c>
      <c r="G221" s="176"/>
      <c r="H221" s="176" t="s">
        <v>1622</v>
      </c>
      <c r="I221" s="340">
        <v>2.69</v>
      </c>
      <c r="J221" s="340">
        <v>2.2400000000000002</v>
      </c>
    </row>
    <row r="222" spans="2:10">
      <c r="B222" s="176"/>
      <c r="C222" s="176">
        <v>31</v>
      </c>
      <c r="D222" s="176">
        <v>311</v>
      </c>
      <c r="E222" s="176">
        <v>4.57</v>
      </c>
      <c r="F222" s="176">
        <v>3.46</v>
      </c>
      <c r="G222" s="176" t="s">
        <v>2392</v>
      </c>
      <c r="H222" s="176" t="s">
        <v>2345</v>
      </c>
      <c r="I222" s="340">
        <v>4.57</v>
      </c>
      <c r="J222" s="340">
        <v>3.46</v>
      </c>
    </row>
    <row r="223" spans="2:10">
      <c r="B223" s="176"/>
      <c r="C223" s="176"/>
      <c r="D223" s="176"/>
      <c r="E223" s="176">
        <v>1.43</v>
      </c>
      <c r="F223" s="176">
        <v>1.34</v>
      </c>
      <c r="G223" s="176"/>
      <c r="H223" s="176" t="s">
        <v>2346</v>
      </c>
      <c r="I223" s="340">
        <v>1.43</v>
      </c>
      <c r="J223" s="340">
        <v>1.34</v>
      </c>
    </row>
    <row r="224" spans="2:10">
      <c r="B224" s="176"/>
      <c r="C224" s="176"/>
      <c r="D224" s="176"/>
      <c r="E224" s="176">
        <v>0.41</v>
      </c>
      <c r="F224" s="176">
        <v>0.44</v>
      </c>
      <c r="G224" s="176"/>
      <c r="H224" s="176" t="s">
        <v>2347</v>
      </c>
      <c r="I224" s="340">
        <v>0.41</v>
      </c>
      <c r="J224" s="340">
        <v>0.44</v>
      </c>
    </row>
    <row r="225" spans="2:10">
      <c r="B225" s="176"/>
      <c r="C225" s="176"/>
      <c r="D225" s="176"/>
      <c r="E225" s="176">
        <v>1.96</v>
      </c>
      <c r="F225" s="176">
        <v>1.34</v>
      </c>
      <c r="G225" s="176"/>
      <c r="H225" s="176" t="s">
        <v>1622</v>
      </c>
      <c r="I225" s="340">
        <v>1.96</v>
      </c>
      <c r="J225" s="340">
        <v>1.34</v>
      </c>
    </row>
    <row r="226" spans="2:10">
      <c r="B226" s="176" t="s">
        <v>2354</v>
      </c>
      <c r="C226" s="176">
        <v>32</v>
      </c>
      <c r="D226" s="176">
        <v>320</v>
      </c>
      <c r="E226" s="176">
        <v>3.9</v>
      </c>
      <c r="F226" s="176">
        <v>3.31</v>
      </c>
      <c r="G226" s="176" t="s">
        <v>2393</v>
      </c>
      <c r="H226" s="176" t="s">
        <v>2345</v>
      </c>
      <c r="I226" s="340">
        <v>3.9</v>
      </c>
      <c r="J226" s="340">
        <v>3.31</v>
      </c>
    </row>
    <row r="227" spans="2:10">
      <c r="B227" s="176"/>
      <c r="C227" s="176"/>
      <c r="D227" s="176"/>
      <c r="E227" s="176">
        <v>1.63</v>
      </c>
      <c r="F227" s="176">
        <v>1.61</v>
      </c>
      <c r="G227" s="176"/>
      <c r="H227" s="176" t="s">
        <v>2346</v>
      </c>
      <c r="I227" s="340">
        <v>1.63</v>
      </c>
      <c r="J227" s="340">
        <v>1.61</v>
      </c>
    </row>
    <row r="228" spans="2:10">
      <c r="B228" s="176"/>
      <c r="C228" s="176"/>
      <c r="D228" s="176"/>
      <c r="E228" s="176">
        <v>0.64</v>
      </c>
      <c r="F228" s="176">
        <v>0.69</v>
      </c>
      <c r="G228" s="176"/>
      <c r="H228" s="176" t="s">
        <v>2347</v>
      </c>
      <c r="I228" s="340">
        <v>0.64</v>
      </c>
      <c r="J228" s="340">
        <v>0.69</v>
      </c>
    </row>
    <row r="229" spans="2:10">
      <c r="B229" s="176"/>
      <c r="C229" s="176"/>
      <c r="D229" s="176"/>
      <c r="E229" s="176">
        <v>1.95</v>
      </c>
      <c r="F229" s="176">
        <v>1.61</v>
      </c>
      <c r="G229" s="176"/>
      <c r="H229" s="176" t="s">
        <v>1622</v>
      </c>
      <c r="I229" s="340">
        <v>1.95</v>
      </c>
      <c r="J229" s="340">
        <v>1.61</v>
      </c>
    </row>
    <row r="230" spans="2:10">
      <c r="B230" s="176"/>
      <c r="C230" s="176">
        <v>33</v>
      </c>
      <c r="D230" s="176">
        <v>331</v>
      </c>
      <c r="E230" s="176">
        <v>3.66</v>
      </c>
      <c r="F230" s="176">
        <v>2.98</v>
      </c>
      <c r="G230" s="176" t="s">
        <v>2394</v>
      </c>
      <c r="H230" s="176" t="s">
        <v>2345</v>
      </c>
      <c r="I230" s="340">
        <v>3.66</v>
      </c>
      <c r="J230" s="340">
        <v>2.98</v>
      </c>
    </row>
    <row r="231" spans="2:10">
      <c r="B231" s="176"/>
      <c r="C231" s="176"/>
      <c r="D231" s="176"/>
      <c r="E231" s="176">
        <v>1.21</v>
      </c>
      <c r="F231" s="176">
        <v>1.26</v>
      </c>
      <c r="G231" s="176"/>
      <c r="H231" s="176" t="s">
        <v>2346</v>
      </c>
      <c r="I231" s="340">
        <v>1.21</v>
      </c>
      <c r="J231" s="340">
        <v>1.26</v>
      </c>
    </row>
    <row r="232" spans="2:10">
      <c r="B232" s="176"/>
      <c r="C232" s="176"/>
      <c r="D232" s="176"/>
      <c r="E232" s="176">
        <v>0.22</v>
      </c>
      <c r="F232" s="176">
        <v>0.2</v>
      </c>
      <c r="G232" s="176"/>
      <c r="H232" s="176" t="s">
        <v>2347</v>
      </c>
      <c r="I232" s="340">
        <v>0.22</v>
      </c>
      <c r="J232" s="340">
        <v>0.2</v>
      </c>
    </row>
    <row r="233" spans="2:10">
      <c r="B233" s="176"/>
      <c r="C233" s="176"/>
      <c r="D233" s="176"/>
      <c r="E233" s="176">
        <v>1.59</v>
      </c>
      <c r="F233" s="176">
        <v>1.29</v>
      </c>
      <c r="G233" s="176"/>
      <c r="H233" s="176" t="s">
        <v>1622</v>
      </c>
      <c r="I233" s="340">
        <v>1.59</v>
      </c>
      <c r="J233" s="340">
        <v>1.29</v>
      </c>
    </row>
    <row r="234" spans="2:10">
      <c r="B234" s="176"/>
      <c r="C234" s="176"/>
      <c r="D234" s="176">
        <v>333</v>
      </c>
      <c r="E234" s="176">
        <v>4.1100000000000003</v>
      </c>
      <c r="F234" s="176">
        <v>3.59</v>
      </c>
      <c r="G234" s="176" t="s">
        <v>2395</v>
      </c>
      <c r="H234" s="176" t="s">
        <v>2345</v>
      </c>
      <c r="I234" s="340">
        <v>4.1100000000000003</v>
      </c>
      <c r="J234" s="340">
        <v>3.59</v>
      </c>
    </row>
    <row r="235" spans="2:10">
      <c r="B235" s="176"/>
      <c r="C235" s="176"/>
      <c r="D235" s="176"/>
      <c r="E235" s="176">
        <v>1.83</v>
      </c>
      <c r="F235" s="176">
        <v>1.76</v>
      </c>
      <c r="G235" s="176"/>
      <c r="H235" s="176" t="s">
        <v>2346</v>
      </c>
      <c r="I235" s="340">
        <v>1.83</v>
      </c>
      <c r="J235" s="340">
        <v>1.76</v>
      </c>
    </row>
    <row r="236" spans="2:10">
      <c r="B236" s="176"/>
      <c r="C236" s="176"/>
      <c r="D236" s="176"/>
      <c r="E236" s="176">
        <v>0.73</v>
      </c>
      <c r="F236" s="176">
        <v>0.83</v>
      </c>
      <c r="G236" s="176"/>
      <c r="H236" s="176" t="s">
        <v>2347</v>
      </c>
      <c r="I236" s="340">
        <v>0.73</v>
      </c>
      <c r="J236" s="340">
        <v>0.83</v>
      </c>
    </row>
    <row r="237" spans="2:10">
      <c r="B237" s="176"/>
      <c r="C237" s="176"/>
      <c r="D237" s="176"/>
      <c r="E237" s="176">
        <v>2.12</v>
      </c>
      <c r="F237" s="176">
        <v>1.76</v>
      </c>
      <c r="G237" s="176"/>
      <c r="H237" s="176" t="s">
        <v>1622</v>
      </c>
      <c r="I237" s="340">
        <v>2.12</v>
      </c>
      <c r="J237" s="340">
        <v>1.76</v>
      </c>
    </row>
    <row r="238" spans="2:10">
      <c r="B238" s="176"/>
      <c r="C238" s="176"/>
      <c r="D238" s="176">
        <v>339</v>
      </c>
      <c r="E238" s="176">
        <v>5.6</v>
      </c>
      <c r="F238" s="176">
        <v>4.46</v>
      </c>
      <c r="G238" s="176" t="s">
        <v>2396</v>
      </c>
      <c r="H238" s="176" t="s">
        <v>2345</v>
      </c>
      <c r="I238" s="340">
        <v>5.6</v>
      </c>
      <c r="J238" s="340">
        <v>4.46</v>
      </c>
    </row>
    <row r="239" spans="2:10">
      <c r="B239" s="176"/>
      <c r="C239" s="176"/>
      <c r="D239" s="176"/>
      <c r="E239" s="176">
        <v>1.92</v>
      </c>
      <c r="F239" s="176">
        <v>1.88</v>
      </c>
      <c r="G239" s="176"/>
      <c r="H239" s="176" t="s">
        <v>2346</v>
      </c>
      <c r="I239" s="340">
        <v>1.92</v>
      </c>
      <c r="J239" s="340">
        <v>1.88</v>
      </c>
    </row>
    <row r="240" spans="2:10">
      <c r="B240" s="176"/>
      <c r="C240" s="176"/>
      <c r="D240" s="176"/>
      <c r="E240" s="176">
        <v>0.63</v>
      </c>
      <c r="F240" s="176">
        <v>0.64</v>
      </c>
      <c r="G240" s="176"/>
      <c r="H240" s="176" t="s">
        <v>2347</v>
      </c>
      <c r="I240" s="340">
        <v>0.63</v>
      </c>
      <c r="J240" s="340">
        <v>0.64</v>
      </c>
    </row>
    <row r="241" spans="2:10">
      <c r="B241" s="176"/>
      <c r="C241" s="176"/>
      <c r="D241" s="176"/>
      <c r="E241" s="176">
        <v>2.52</v>
      </c>
      <c r="F241" s="176">
        <v>1.88</v>
      </c>
      <c r="G241" s="176"/>
      <c r="H241" s="176" t="s">
        <v>1622</v>
      </c>
      <c r="I241" s="340">
        <v>2.52</v>
      </c>
      <c r="J241" s="340">
        <v>1.88</v>
      </c>
    </row>
    <row r="242" spans="2:10" ht="40.5">
      <c r="B242" s="177" t="s">
        <v>2397</v>
      </c>
      <c r="C242" s="176">
        <v>37</v>
      </c>
      <c r="D242" s="176">
        <v>370</v>
      </c>
      <c r="E242" s="176">
        <v>11.37</v>
      </c>
      <c r="F242" s="176">
        <v>9.6999999999999993</v>
      </c>
      <c r="G242" s="176" t="s">
        <v>2317</v>
      </c>
      <c r="H242" s="176" t="s">
        <v>2345</v>
      </c>
      <c r="I242" s="340">
        <v>11.37</v>
      </c>
      <c r="J242" s="340">
        <v>9.6999999999999993</v>
      </c>
    </row>
    <row r="243" spans="2:10">
      <c r="B243" s="176"/>
      <c r="C243" s="176"/>
      <c r="D243" s="176"/>
      <c r="E243" s="176">
        <v>2.5</v>
      </c>
      <c r="F243" s="176">
        <v>2.19</v>
      </c>
      <c r="G243" s="176"/>
      <c r="H243" s="176" t="s">
        <v>2346</v>
      </c>
      <c r="I243" s="340">
        <v>2.5</v>
      </c>
      <c r="J243" s="340">
        <v>2.19</v>
      </c>
    </row>
    <row r="244" spans="2:10">
      <c r="B244" s="176"/>
      <c r="C244" s="176"/>
      <c r="D244" s="176"/>
      <c r="E244" s="176">
        <v>0.55000000000000004</v>
      </c>
      <c r="F244" s="176">
        <v>0.54</v>
      </c>
      <c r="G244" s="176"/>
      <c r="H244" s="176" t="s">
        <v>2347</v>
      </c>
      <c r="I244" s="340">
        <v>0.55000000000000004</v>
      </c>
      <c r="J244" s="340">
        <v>0.54</v>
      </c>
    </row>
    <row r="245" spans="2:10">
      <c r="B245" s="176"/>
      <c r="C245" s="176"/>
      <c r="D245" s="176"/>
      <c r="E245" s="176">
        <v>4.22</v>
      </c>
      <c r="F245" s="176">
        <v>2.19</v>
      </c>
      <c r="G245" s="176"/>
      <c r="H245" s="176" t="s">
        <v>1622</v>
      </c>
      <c r="I245" s="340">
        <v>4.22</v>
      </c>
      <c r="J245" s="340">
        <v>2.19</v>
      </c>
    </row>
    <row r="246" spans="2:10">
      <c r="B246" s="176"/>
      <c r="C246" s="176">
        <v>38</v>
      </c>
      <c r="D246" s="176">
        <v>381</v>
      </c>
      <c r="E246" s="176">
        <v>4.7300000000000004</v>
      </c>
      <c r="F246" s="176">
        <v>3.86</v>
      </c>
      <c r="G246" s="176" t="s">
        <v>2398</v>
      </c>
      <c r="H246" s="176" t="s">
        <v>2345</v>
      </c>
      <c r="I246" s="340">
        <v>4.7300000000000004</v>
      </c>
      <c r="J246" s="340">
        <v>3.86</v>
      </c>
    </row>
    <row r="247" spans="2:10">
      <c r="B247" s="176"/>
      <c r="C247" s="176"/>
      <c r="D247" s="176"/>
      <c r="E247" s="176">
        <v>1.72</v>
      </c>
      <c r="F247" s="176">
        <v>1.68</v>
      </c>
      <c r="G247" s="176"/>
      <c r="H247" s="176" t="s">
        <v>2346</v>
      </c>
      <c r="I247" s="340">
        <v>1.72</v>
      </c>
      <c r="J247" s="340">
        <v>1.68</v>
      </c>
    </row>
    <row r="248" spans="2:10">
      <c r="B248" s="176"/>
      <c r="C248" s="176"/>
      <c r="D248" s="176"/>
      <c r="E248" s="176">
        <v>0.55000000000000004</v>
      </c>
      <c r="F248" s="176">
        <v>0.57999999999999996</v>
      </c>
      <c r="G248" s="176"/>
      <c r="H248" s="176" t="s">
        <v>2347</v>
      </c>
      <c r="I248" s="340">
        <v>0.55000000000000004</v>
      </c>
      <c r="J248" s="340">
        <v>0.57999999999999996</v>
      </c>
    </row>
    <row r="249" spans="2:10">
      <c r="B249" s="176"/>
      <c r="C249" s="176"/>
      <c r="D249" s="176"/>
      <c r="E249" s="176">
        <v>2.1800000000000002</v>
      </c>
      <c r="F249" s="176">
        <v>1.69</v>
      </c>
      <c r="G249" s="176"/>
      <c r="H249" s="176" t="s">
        <v>1622</v>
      </c>
      <c r="I249" s="340">
        <v>2.1800000000000002</v>
      </c>
      <c r="J249" s="340">
        <v>1.69</v>
      </c>
    </row>
    <row r="250" spans="2:10">
      <c r="B250" s="176"/>
      <c r="C250" s="176"/>
      <c r="D250" s="176">
        <v>382</v>
      </c>
      <c r="E250" s="176">
        <v>7.2</v>
      </c>
      <c r="F250" s="176">
        <v>6.1</v>
      </c>
      <c r="G250" s="176" t="s">
        <v>2399</v>
      </c>
      <c r="H250" s="176" t="s">
        <v>2345</v>
      </c>
      <c r="I250" s="340">
        <v>7.2</v>
      </c>
      <c r="J250" s="340">
        <v>6.1</v>
      </c>
    </row>
    <row r="251" spans="2:10">
      <c r="B251" s="176"/>
      <c r="C251" s="176"/>
      <c r="D251" s="176"/>
      <c r="E251" s="176">
        <v>2.82</v>
      </c>
      <c r="F251" s="176">
        <v>2.81</v>
      </c>
      <c r="G251" s="176"/>
      <c r="H251" s="176" t="s">
        <v>2346</v>
      </c>
      <c r="I251" s="340">
        <v>2.82</v>
      </c>
      <c r="J251" s="340">
        <v>2.81</v>
      </c>
    </row>
    <row r="252" spans="2:10">
      <c r="B252" s="176"/>
      <c r="C252" s="176"/>
      <c r="D252" s="176"/>
      <c r="E252" s="176">
        <v>0.95</v>
      </c>
      <c r="F252" s="176">
        <v>1.02</v>
      </c>
      <c r="G252" s="176"/>
      <c r="H252" s="176" t="s">
        <v>2347</v>
      </c>
      <c r="I252" s="340">
        <v>0.95</v>
      </c>
      <c r="J252" s="340">
        <v>1.02</v>
      </c>
    </row>
    <row r="253" spans="2:10">
      <c r="B253" s="176"/>
      <c r="C253" s="176"/>
      <c r="D253" s="176"/>
      <c r="E253" s="176">
        <v>3.44</v>
      </c>
      <c r="F253" s="176">
        <v>2.81</v>
      </c>
      <c r="G253" s="176"/>
      <c r="H253" s="176" t="s">
        <v>1622</v>
      </c>
      <c r="I253" s="340">
        <v>3.44</v>
      </c>
      <c r="J253" s="340">
        <v>2.81</v>
      </c>
    </row>
    <row r="254" spans="2:10">
      <c r="B254" s="176"/>
      <c r="C254" s="176"/>
      <c r="D254" s="176">
        <v>383</v>
      </c>
      <c r="E254" s="176">
        <v>4.7699999999999996</v>
      </c>
      <c r="F254" s="176">
        <v>3.93</v>
      </c>
      <c r="G254" s="176" t="s">
        <v>2400</v>
      </c>
      <c r="H254" s="176" t="s">
        <v>2345</v>
      </c>
      <c r="I254" s="340">
        <v>4.7699999999999996</v>
      </c>
      <c r="J254" s="340">
        <v>3.93</v>
      </c>
    </row>
    <row r="255" spans="2:10">
      <c r="B255" s="176"/>
      <c r="C255" s="176"/>
      <c r="D255" s="176"/>
      <c r="E255" s="176">
        <v>1.62</v>
      </c>
      <c r="F255" s="176">
        <v>1.55</v>
      </c>
      <c r="G255" s="176"/>
      <c r="H255" s="176" t="s">
        <v>2346</v>
      </c>
      <c r="I255" s="340">
        <v>1.62</v>
      </c>
      <c r="J255" s="340">
        <v>1.55</v>
      </c>
    </row>
    <row r="256" spans="2:10">
      <c r="B256" s="176"/>
      <c r="C256" s="176"/>
      <c r="D256" s="176"/>
      <c r="E256" s="176">
        <v>0.52</v>
      </c>
      <c r="F256" s="176">
        <v>0.55000000000000004</v>
      </c>
      <c r="G256" s="176"/>
      <c r="H256" s="176" t="s">
        <v>2347</v>
      </c>
      <c r="I256" s="340">
        <v>0.52</v>
      </c>
      <c r="J256" s="340">
        <v>0.55000000000000004</v>
      </c>
    </row>
    <row r="257" spans="2:10">
      <c r="B257" s="176"/>
      <c r="C257" s="176"/>
      <c r="D257" s="176"/>
      <c r="E257" s="176">
        <v>2.13</v>
      </c>
      <c r="F257" s="176">
        <v>1.55</v>
      </c>
      <c r="G257" s="176"/>
      <c r="H257" s="176" t="s">
        <v>1622</v>
      </c>
      <c r="I257" s="340">
        <v>2.13</v>
      </c>
      <c r="J257" s="340">
        <v>1.55</v>
      </c>
    </row>
    <row r="258" spans="2:10">
      <c r="B258" s="176"/>
      <c r="C258" s="176">
        <v>39</v>
      </c>
      <c r="D258" s="176">
        <v>390</v>
      </c>
      <c r="E258" s="176">
        <v>4.3499999999999996</v>
      </c>
      <c r="F258" s="176">
        <v>3.78</v>
      </c>
      <c r="G258" s="176" t="s">
        <v>1347</v>
      </c>
      <c r="H258" s="176" t="s">
        <v>2345</v>
      </c>
      <c r="I258" s="340">
        <v>4.3499999999999996</v>
      </c>
      <c r="J258" s="340">
        <v>3.78</v>
      </c>
    </row>
    <row r="259" spans="2:10">
      <c r="B259" s="176"/>
      <c r="C259" s="176"/>
      <c r="D259" s="176"/>
      <c r="E259" s="176">
        <v>1.89</v>
      </c>
      <c r="F259" s="176">
        <v>1.93</v>
      </c>
      <c r="G259" s="176"/>
      <c r="H259" s="176" t="s">
        <v>2346</v>
      </c>
      <c r="I259" s="340">
        <v>1.89</v>
      </c>
      <c r="J259" s="340">
        <v>1.93</v>
      </c>
    </row>
    <row r="260" spans="2:10">
      <c r="B260" s="176"/>
      <c r="C260" s="176"/>
      <c r="D260" s="176"/>
      <c r="E260" s="176">
        <v>0.46</v>
      </c>
      <c r="F260" s="176">
        <v>0.34</v>
      </c>
      <c r="G260" s="176"/>
      <c r="H260" s="176" t="s">
        <v>2347</v>
      </c>
      <c r="I260" s="340">
        <v>0.46</v>
      </c>
      <c r="J260" s="340">
        <v>0.34</v>
      </c>
    </row>
    <row r="261" spans="2:10">
      <c r="B261" s="176"/>
      <c r="C261" s="176"/>
      <c r="D261" s="176"/>
      <c r="E261" s="176">
        <v>2.2000000000000002</v>
      </c>
      <c r="F261" s="176">
        <v>2.0299999999999998</v>
      </c>
      <c r="G261" s="176"/>
      <c r="H261" s="176" t="s">
        <v>1622</v>
      </c>
      <c r="I261" s="340">
        <v>2.2000000000000002</v>
      </c>
      <c r="J261" s="340">
        <v>2.0299999999999998</v>
      </c>
    </row>
    <row r="262" spans="2:10">
      <c r="B262" s="176" t="s">
        <v>2401</v>
      </c>
      <c r="C262" s="176">
        <v>41</v>
      </c>
      <c r="D262" s="176">
        <v>412</v>
      </c>
      <c r="E262" s="176">
        <v>3.98</v>
      </c>
      <c r="F262" s="176">
        <v>3.06</v>
      </c>
      <c r="G262" s="176" t="s">
        <v>2402</v>
      </c>
      <c r="H262" s="176" t="s">
        <v>2345</v>
      </c>
      <c r="I262" s="340">
        <v>3.98</v>
      </c>
      <c r="J262" s="340">
        <v>3.06</v>
      </c>
    </row>
    <row r="263" spans="2:10">
      <c r="B263" s="176"/>
      <c r="C263" s="176"/>
      <c r="D263" s="176"/>
      <c r="E263" s="176">
        <v>1.25</v>
      </c>
      <c r="F263" s="176">
        <v>1.19</v>
      </c>
      <c r="G263" s="176"/>
      <c r="H263" s="176" t="s">
        <v>2346</v>
      </c>
      <c r="I263" s="340">
        <v>1.25</v>
      </c>
      <c r="J263" s="340">
        <v>1.19</v>
      </c>
    </row>
    <row r="264" spans="2:10">
      <c r="B264" s="176"/>
      <c r="C264" s="176"/>
      <c r="D264" s="176"/>
      <c r="E264" s="176">
        <v>0.39</v>
      </c>
      <c r="F264" s="176">
        <v>0.42</v>
      </c>
      <c r="G264" s="176"/>
      <c r="H264" s="176" t="s">
        <v>2347</v>
      </c>
      <c r="I264" s="340">
        <v>0.39</v>
      </c>
      <c r="J264" s="340">
        <v>0.42</v>
      </c>
    </row>
    <row r="265" spans="2:10">
      <c r="B265" s="176"/>
      <c r="C265" s="176"/>
      <c r="D265" s="176"/>
      <c r="E265" s="176">
        <v>1.72</v>
      </c>
      <c r="F265" s="176">
        <v>1.19</v>
      </c>
      <c r="G265" s="176"/>
      <c r="H265" s="176" t="s">
        <v>1622</v>
      </c>
      <c r="I265" s="340">
        <v>1.72</v>
      </c>
      <c r="J265" s="340">
        <v>1.19</v>
      </c>
    </row>
    <row r="266" spans="2:10">
      <c r="B266" s="176"/>
      <c r="C266" s="176">
        <v>42</v>
      </c>
      <c r="D266" s="176">
        <v>421</v>
      </c>
      <c r="E266" s="176">
        <v>3.53</v>
      </c>
      <c r="F266" s="176">
        <v>2.87</v>
      </c>
      <c r="G266" s="176" t="s">
        <v>2403</v>
      </c>
      <c r="H266" s="176" t="s">
        <v>2345</v>
      </c>
      <c r="I266" s="340">
        <v>3.53</v>
      </c>
      <c r="J266" s="340">
        <v>2.87</v>
      </c>
    </row>
    <row r="267" spans="2:10">
      <c r="B267" s="176"/>
      <c r="C267" s="176"/>
      <c r="D267" s="176"/>
      <c r="E267" s="176">
        <v>1.1599999999999999</v>
      </c>
      <c r="F267" s="176">
        <v>1.1399999999999999</v>
      </c>
      <c r="G267" s="176"/>
      <c r="H267" s="176" t="s">
        <v>2346</v>
      </c>
      <c r="I267" s="340">
        <v>1.1599999999999999</v>
      </c>
      <c r="J267" s="340">
        <v>1.1399999999999999</v>
      </c>
    </row>
    <row r="268" spans="2:10">
      <c r="B268" s="176"/>
      <c r="C268" s="176"/>
      <c r="D268" s="176"/>
      <c r="E268" s="176">
        <v>0.36</v>
      </c>
      <c r="F268" s="176">
        <v>0.38</v>
      </c>
      <c r="G268" s="176"/>
      <c r="H268" s="176" t="s">
        <v>2347</v>
      </c>
      <c r="I268" s="340">
        <v>0.36</v>
      </c>
      <c r="J268" s="340">
        <v>0.38</v>
      </c>
    </row>
    <row r="269" spans="2:10">
      <c r="B269" s="176"/>
      <c r="C269" s="176"/>
      <c r="D269" s="176"/>
      <c r="E269" s="176">
        <v>1.55</v>
      </c>
      <c r="F269" s="176">
        <v>1.1399999999999999</v>
      </c>
      <c r="G269" s="176"/>
      <c r="H269" s="176" t="s">
        <v>1622</v>
      </c>
      <c r="I269" s="340">
        <v>1.55</v>
      </c>
      <c r="J269" s="340">
        <v>1.1399999999999999</v>
      </c>
    </row>
    <row r="270" spans="2:10">
      <c r="B270" s="176"/>
      <c r="C270" s="176"/>
      <c r="D270" s="176">
        <v>423</v>
      </c>
      <c r="E270" s="176">
        <v>4.1100000000000003</v>
      </c>
      <c r="F270" s="176">
        <v>3.31</v>
      </c>
      <c r="G270" s="176" t="s">
        <v>2404</v>
      </c>
      <c r="H270" s="176" t="s">
        <v>2345</v>
      </c>
      <c r="I270" s="340">
        <v>4.1100000000000003</v>
      </c>
      <c r="J270" s="340">
        <v>3.31</v>
      </c>
    </row>
    <row r="271" spans="2:10">
      <c r="B271" s="176"/>
      <c r="C271" s="176"/>
      <c r="D271" s="176"/>
      <c r="E271" s="176">
        <v>1.42</v>
      </c>
      <c r="F271" s="176">
        <v>1.37</v>
      </c>
      <c r="G271" s="176"/>
      <c r="H271" s="176" t="s">
        <v>2346</v>
      </c>
      <c r="I271" s="340">
        <v>1.42</v>
      </c>
      <c r="J271" s="340">
        <v>1.37</v>
      </c>
    </row>
    <row r="272" spans="2:10">
      <c r="B272" s="176"/>
      <c r="C272" s="176"/>
      <c r="D272" s="176"/>
      <c r="E272" s="176">
        <v>0.46</v>
      </c>
      <c r="F272" s="176">
        <v>0.48</v>
      </c>
      <c r="G272" s="176"/>
      <c r="H272" s="176" t="s">
        <v>2347</v>
      </c>
      <c r="I272" s="340">
        <v>0.46</v>
      </c>
      <c r="J272" s="340">
        <v>0.48</v>
      </c>
    </row>
    <row r="273" spans="2:10">
      <c r="B273" s="176"/>
      <c r="C273" s="176"/>
      <c r="D273" s="176"/>
      <c r="E273" s="176">
        <v>1.85</v>
      </c>
      <c r="F273" s="176">
        <v>1.37</v>
      </c>
      <c r="G273" s="176"/>
      <c r="H273" s="176" t="s">
        <v>1622</v>
      </c>
      <c r="I273" s="340">
        <v>1.85</v>
      </c>
      <c r="J273" s="340">
        <v>1.37</v>
      </c>
    </row>
    <row r="274" spans="2:10">
      <c r="B274" s="176"/>
      <c r="C274" s="176"/>
      <c r="D274" s="176">
        <v>424</v>
      </c>
      <c r="E274" s="176">
        <v>3.71</v>
      </c>
      <c r="F274" s="176">
        <v>2.84</v>
      </c>
      <c r="G274" s="176" t="s">
        <v>2405</v>
      </c>
      <c r="H274" s="176" t="s">
        <v>2345</v>
      </c>
      <c r="I274" s="340">
        <v>3.71</v>
      </c>
      <c r="J274" s="340">
        <v>2.84</v>
      </c>
    </row>
    <row r="275" spans="2:10">
      <c r="B275" s="176"/>
      <c r="C275" s="176"/>
      <c r="D275" s="176"/>
      <c r="E275" s="176">
        <v>1.1599999999999999</v>
      </c>
      <c r="F275" s="176">
        <v>1.1100000000000001</v>
      </c>
      <c r="G275" s="176"/>
      <c r="H275" s="176" t="s">
        <v>2346</v>
      </c>
      <c r="I275" s="340">
        <v>1.1599999999999999</v>
      </c>
      <c r="J275" s="340">
        <v>1.1100000000000001</v>
      </c>
    </row>
    <row r="276" spans="2:10">
      <c r="B276" s="176"/>
      <c r="C276" s="176"/>
      <c r="D276" s="176"/>
      <c r="E276" s="176">
        <v>0.38</v>
      </c>
      <c r="F276" s="176">
        <v>0.39</v>
      </c>
      <c r="G276" s="176"/>
      <c r="H276" s="176" t="s">
        <v>2347</v>
      </c>
      <c r="I276" s="340">
        <v>0.38</v>
      </c>
      <c r="J276" s="340">
        <v>0.39</v>
      </c>
    </row>
    <row r="277" spans="2:10">
      <c r="B277" s="176"/>
      <c r="C277" s="176"/>
      <c r="D277" s="176"/>
      <c r="E277" s="176">
        <v>1.6</v>
      </c>
      <c r="F277" s="176">
        <v>1.1100000000000001</v>
      </c>
      <c r="G277" s="176"/>
      <c r="H277" s="176" t="s">
        <v>1622</v>
      </c>
      <c r="I277" s="340">
        <v>1.6</v>
      </c>
      <c r="J277" s="340">
        <v>1.1100000000000001</v>
      </c>
    </row>
    <row r="278" spans="2:10">
      <c r="B278" s="176" t="s">
        <v>2406</v>
      </c>
      <c r="C278" s="176">
        <v>58</v>
      </c>
      <c r="D278" s="176">
        <v>582</v>
      </c>
      <c r="E278" s="176">
        <v>6.05</v>
      </c>
      <c r="F278" s="176">
        <v>4.8</v>
      </c>
      <c r="G278" s="176" t="s">
        <v>2407</v>
      </c>
      <c r="H278" s="176" t="s">
        <v>2345</v>
      </c>
      <c r="I278" s="340">
        <v>6.05</v>
      </c>
      <c r="J278" s="340">
        <v>4.8</v>
      </c>
    </row>
    <row r="279" spans="2:10">
      <c r="B279" s="176"/>
      <c r="C279" s="176"/>
      <c r="D279" s="176"/>
      <c r="E279" s="176">
        <v>1.7</v>
      </c>
      <c r="F279" s="176">
        <v>1.59</v>
      </c>
      <c r="G279" s="176"/>
      <c r="H279" s="176" t="s">
        <v>2346</v>
      </c>
      <c r="I279" s="340">
        <v>1.7</v>
      </c>
      <c r="J279" s="340">
        <v>1.59</v>
      </c>
    </row>
    <row r="280" spans="2:10">
      <c r="B280" s="176"/>
      <c r="C280" s="176"/>
      <c r="D280" s="176"/>
      <c r="E280" s="176">
        <v>0.43</v>
      </c>
      <c r="F280" s="176">
        <v>0.45</v>
      </c>
      <c r="G280" s="176"/>
      <c r="H280" s="176" t="s">
        <v>2347</v>
      </c>
      <c r="I280" s="340">
        <v>0.43</v>
      </c>
      <c r="J280" s="340">
        <v>0.45</v>
      </c>
    </row>
    <row r="281" spans="2:10">
      <c r="B281" s="176"/>
      <c r="C281" s="176"/>
      <c r="D281" s="176"/>
      <c r="E281" s="176">
        <v>2.4700000000000002</v>
      </c>
      <c r="F281" s="176">
        <v>1.59</v>
      </c>
      <c r="G281" s="176"/>
      <c r="H281" s="176" t="s">
        <v>1622</v>
      </c>
      <c r="I281" s="340">
        <v>2.4700000000000002</v>
      </c>
      <c r="J281" s="340">
        <v>1.59</v>
      </c>
    </row>
    <row r="282" spans="2:10">
      <c r="B282" s="176"/>
      <c r="C282" s="176">
        <v>62</v>
      </c>
      <c r="D282" s="176">
        <v>620</v>
      </c>
      <c r="E282" s="176">
        <v>5.68</v>
      </c>
      <c r="F282" s="176">
        <v>4.3899999999999997</v>
      </c>
      <c r="G282" s="176" t="s">
        <v>2319</v>
      </c>
      <c r="H282" s="176" t="s">
        <v>2345</v>
      </c>
      <c r="I282" s="340">
        <v>5.68</v>
      </c>
      <c r="J282" s="340">
        <v>4.3899999999999997</v>
      </c>
    </row>
    <row r="283" spans="2:10">
      <c r="B283" s="176"/>
      <c r="C283" s="176"/>
      <c r="D283" s="176"/>
      <c r="E283" s="176">
        <v>1.44</v>
      </c>
      <c r="F283" s="176">
        <v>1.34</v>
      </c>
      <c r="G283" s="176"/>
      <c r="H283" s="176" t="s">
        <v>2346</v>
      </c>
      <c r="I283" s="340">
        <v>1.44</v>
      </c>
      <c r="J283" s="340">
        <v>1.34</v>
      </c>
    </row>
    <row r="284" spans="2:10">
      <c r="B284" s="176"/>
      <c r="C284" s="176"/>
      <c r="D284" s="176"/>
      <c r="E284" s="176">
        <v>0.36</v>
      </c>
      <c r="F284" s="176">
        <v>0.37</v>
      </c>
      <c r="G284" s="176"/>
      <c r="H284" s="176" t="s">
        <v>2347</v>
      </c>
      <c r="I284" s="340">
        <v>0.36</v>
      </c>
      <c r="J284" s="340">
        <v>0.37</v>
      </c>
    </row>
    <row r="285" spans="2:10">
      <c r="B285" s="176"/>
      <c r="C285" s="176"/>
      <c r="D285" s="176"/>
      <c r="E285" s="176">
        <v>2.23</v>
      </c>
      <c r="F285" s="176">
        <v>1.34</v>
      </c>
      <c r="G285" s="176"/>
      <c r="H285" s="176" t="s">
        <v>1622</v>
      </c>
      <c r="I285" s="340">
        <v>2.23</v>
      </c>
      <c r="J285" s="340">
        <v>1.34</v>
      </c>
    </row>
    <row r="286" spans="2:10">
      <c r="B286" s="176"/>
      <c r="C286" s="176">
        <v>63</v>
      </c>
      <c r="D286" s="176">
        <v>631</v>
      </c>
      <c r="E286" s="176">
        <v>8.1999999999999993</v>
      </c>
      <c r="F286" s="176">
        <v>7.27</v>
      </c>
      <c r="G286" s="176" t="s">
        <v>2408</v>
      </c>
      <c r="H286" s="176" t="s">
        <v>2345</v>
      </c>
      <c r="I286" s="340">
        <v>8.1999999999999993</v>
      </c>
      <c r="J286" s="340">
        <v>7.27</v>
      </c>
    </row>
    <row r="287" spans="2:10">
      <c r="B287" s="176"/>
      <c r="C287" s="176"/>
      <c r="D287" s="176"/>
      <c r="E287" s="176">
        <v>2.12</v>
      </c>
      <c r="F287" s="176">
        <v>1.85</v>
      </c>
      <c r="G287" s="176"/>
      <c r="H287" s="176" t="s">
        <v>2346</v>
      </c>
      <c r="I287" s="340">
        <v>2.12</v>
      </c>
      <c r="J287" s="340">
        <v>1.85</v>
      </c>
    </row>
    <row r="288" spans="2:10">
      <c r="B288" s="176"/>
      <c r="C288" s="176"/>
      <c r="D288" s="176"/>
      <c r="E288" s="176">
        <v>0.5</v>
      </c>
      <c r="F288" s="176">
        <v>0.49</v>
      </c>
      <c r="G288" s="176"/>
      <c r="H288" s="176" t="s">
        <v>2347</v>
      </c>
      <c r="I288" s="340">
        <v>0.5</v>
      </c>
      <c r="J288" s="340">
        <v>0.49</v>
      </c>
    </row>
    <row r="289" spans="2:10">
      <c r="B289" s="176"/>
      <c r="C289" s="176"/>
      <c r="D289" s="176"/>
      <c r="E289" s="176">
        <v>3.23</v>
      </c>
      <c r="F289" s="176">
        <v>1.85</v>
      </c>
      <c r="G289" s="176"/>
      <c r="H289" s="176" t="s">
        <v>1622</v>
      </c>
      <c r="I289" s="340">
        <v>3.23</v>
      </c>
      <c r="J289" s="340">
        <v>1.85</v>
      </c>
    </row>
    <row r="290" spans="2:10">
      <c r="B290" s="176"/>
      <c r="C290" s="176"/>
      <c r="D290" s="176">
        <v>639</v>
      </c>
      <c r="E290" s="176">
        <v>7.88</v>
      </c>
      <c r="F290" s="176">
        <v>6.5</v>
      </c>
      <c r="G290" s="176" t="s">
        <v>2409</v>
      </c>
      <c r="H290" s="176" t="s">
        <v>2345</v>
      </c>
      <c r="I290" s="340">
        <v>7.88</v>
      </c>
      <c r="J290" s="340">
        <v>6.5</v>
      </c>
    </row>
    <row r="291" spans="2:10">
      <c r="B291" s="176"/>
      <c r="C291" s="176"/>
      <c r="D291" s="176"/>
      <c r="E291" s="176">
        <v>2.16</v>
      </c>
      <c r="F291" s="176">
        <v>1.91</v>
      </c>
      <c r="G291" s="176"/>
      <c r="H291" s="176" t="s">
        <v>2346</v>
      </c>
      <c r="I291" s="340">
        <v>2.16</v>
      </c>
      <c r="J291" s="340">
        <v>1.91</v>
      </c>
    </row>
    <row r="292" spans="2:10">
      <c r="B292" s="176"/>
      <c r="C292" s="176"/>
      <c r="D292" s="176"/>
      <c r="E292" s="176">
        <v>0.5</v>
      </c>
      <c r="F292" s="176">
        <v>0.5</v>
      </c>
      <c r="G292" s="176"/>
      <c r="H292" s="176" t="s">
        <v>2347</v>
      </c>
      <c r="I292" s="340">
        <v>0.5</v>
      </c>
      <c r="J292" s="340">
        <v>0.5</v>
      </c>
    </row>
    <row r="293" spans="2:10">
      <c r="B293" s="176"/>
      <c r="C293" s="176"/>
      <c r="D293" s="176"/>
      <c r="E293" s="176">
        <v>3.19</v>
      </c>
      <c r="F293" s="176">
        <v>1.91</v>
      </c>
      <c r="G293" s="176"/>
      <c r="H293" s="176" t="s">
        <v>1622</v>
      </c>
      <c r="I293" s="340">
        <v>3.19</v>
      </c>
      <c r="J293" s="340">
        <v>1.91</v>
      </c>
    </row>
    <row r="294" spans="2:10" ht="40.5">
      <c r="B294" s="177" t="s">
        <v>2410</v>
      </c>
      <c r="C294" s="176">
        <v>70</v>
      </c>
      <c r="D294" s="176">
        <v>701</v>
      </c>
      <c r="E294" s="176">
        <v>7.1</v>
      </c>
      <c r="F294" s="176">
        <v>5.84</v>
      </c>
      <c r="G294" s="176" t="s">
        <v>1350</v>
      </c>
      <c r="H294" s="176" t="s">
        <v>2345</v>
      </c>
      <c r="I294" s="340">
        <v>7.1</v>
      </c>
      <c r="J294" s="340">
        <v>5.84</v>
      </c>
    </row>
    <row r="295" spans="2:10">
      <c r="B295" s="176"/>
      <c r="C295" s="176"/>
      <c r="D295" s="176"/>
      <c r="E295" s="176">
        <v>2.09</v>
      </c>
      <c r="F295" s="176">
        <v>2.02</v>
      </c>
      <c r="G295" s="176"/>
      <c r="H295" s="176" t="s">
        <v>2346</v>
      </c>
      <c r="I295" s="340">
        <v>2.09</v>
      </c>
      <c r="J295" s="340">
        <v>2.02</v>
      </c>
    </row>
    <row r="296" spans="2:10">
      <c r="B296" s="176"/>
      <c r="C296" s="176"/>
      <c r="D296" s="176"/>
      <c r="E296" s="176">
        <v>0.48</v>
      </c>
      <c r="F296" s="176">
        <v>0.48</v>
      </c>
      <c r="G296" s="176"/>
      <c r="H296" s="176" t="s">
        <v>2347</v>
      </c>
      <c r="I296" s="340">
        <v>0.48</v>
      </c>
      <c r="J296" s="340">
        <v>0.48</v>
      </c>
    </row>
    <row r="297" spans="2:10">
      <c r="B297" s="176"/>
      <c r="C297" s="176"/>
      <c r="D297" s="176"/>
      <c r="E297" s="176">
        <v>2.95</v>
      </c>
      <c r="F297" s="176">
        <v>2.02</v>
      </c>
      <c r="G297" s="176"/>
      <c r="H297" s="176" t="s">
        <v>1622</v>
      </c>
      <c r="I297" s="340">
        <v>2.95</v>
      </c>
      <c r="J297" s="340">
        <v>2.02</v>
      </c>
    </row>
    <row r="298" spans="2:10">
      <c r="B298" s="176"/>
      <c r="C298" s="176">
        <v>72</v>
      </c>
      <c r="D298" s="176">
        <v>721</v>
      </c>
      <c r="E298" s="176">
        <v>6.38</v>
      </c>
      <c r="F298" s="176">
        <v>5.41</v>
      </c>
      <c r="G298" s="176" t="s">
        <v>2411</v>
      </c>
      <c r="H298" s="176" t="s">
        <v>2345</v>
      </c>
      <c r="I298" s="340">
        <v>6.38</v>
      </c>
      <c r="J298" s="340">
        <v>5.41</v>
      </c>
    </row>
    <row r="299" spans="2:10">
      <c r="B299" s="176"/>
      <c r="C299" s="176"/>
      <c r="D299" s="176"/>
      <c r="E299" s="176">
        <v>2.15</v>
      </c>
      <c r="F299" s="176">
        <v>2.04</v>
      </c>
      <c r="G299" s="176"/>
      <c r="H299" s="176" t="s">
        <v>2346</v>
      </c>
      <c r="I299" s="340">
        <v>2.15</v>
      </c>
      <c r="J299" s="340">
        <v>2.04</v>
      </c>
    </row>
    <row r="300" spans="2:10">
      <c r="B300" s="176"/>
      <c r="C300" s="176"/>
      <c r="D300" s="176"/>
      <c r="E300" s="176">
        <v>0.61</v>
      </c>
      <c r="F300" s="176">
        <v>0.63</v>
      </c>
      <c r="G300" s="176"/>
      <c r="H300" s="176" t="s">
        <v>2347</v>
      </c>
      <c r="I300" s="340">
        <v>0.61</v>
      </c>
      <c r="J300" s="340">
        <v>0.63</v>
      </c>
    </row>
    <row r="301" spans="2:10">
      <c r="B301" s="176"/>
      <c r="C301" s="176"/>
      <c r="D301" s="176"/>
      <c r="E301" s="176">
        <v>2.82</v>
      </c>
      <c r="F301" s="176">
        <v>2.04</v>
      </c>
      <c r="G301" s="176"/>
      <c r="H301" s="176" t="s">
        <v>1622</v>
      </c>
      <c r="I301" s="340">
        <v>2.82</v>
      </c>
      <c r="J301" s="340">
        <v>2.04</v>
      </c>
    </row>
    <row r="302" spans="2:10">
      <c r="B302" s="176"/>
      <c r="C302" s="176"/>
      <c r="D302" s="176">
        <v>729</v>
      </c>
      <c r="E302" s="176">
        <v>5.83</v>
      </c>
      <c r="F302" s="176">
        <v>5.07</v>
      </c>
      <c r="G302" s="176" t="s">
        <v>2412</v>
      </c>
      <c r="H302" s="176" t="s">
        <v>2345</v>
      </c>
      <c r="I302" s="340">
        <v>5.83</v>
      </c>
      <c r="J302" s="340">
        <v>5.07</v>
      </c>
    </row>
    <row r="303" spans="2:10">
      <c r="B303" s="176"/>
      <c r="C303" s="176"/>
      <c r="D303" s="176"/>
      <c r="E303" s="176">
        <v>2.09</v>
      </c>
      <c r="F303" s="176">
        <v>2.04</v>
      </c>
      <c r="G303" s="176"/>
      <c r="H303" s="176" t="s">
        <v>2346</v>
      </c>
      <c r="I303" s="340">
        <v>2.09</v>
      </c>
      <c r="J303" s="340">
        <v>2.04</v>
      </c>
    </row>
    <row r="304" spans="2:10">
      <c r="B304" s="176"/>
      <c r="C304" s="176"/>
      <c r="D304" s="176"/>
      <c r="E304" s="176">
        <v>0.65</v>
      </c>
      <c r="F304" s="176">
        <v>0.69</v>
      </c>
      <c r="G304" s="176"/>
      <c r="H304" s="176" t="s">
        <v>2347</v>
      </c>
      <c r="I304" s="340">
        <v>0.65</v>
      </c>
      <c r="J304" s="340">
        <v>0.69</v>
      </c>
    </row>
    <row r="305" spans="2:10">
      <c r="B305" s="176"/>
      <c r="C305" s="176"/>
      <c r="D305" s="176"/>
      <c r="E305" s="176">
        <v>2.66</v>
      </c>
      <c r="F305" s="176">
        <v>2.04</v>
      </c>
      <c r="G305" s="176"/>
      <c r="H305" s="176" t="s">
        <v>1622</v>
      </c>
      <c r="I305" s="340">
        <v>2.66</v>
      </c>
      <c r="J305" s="340">
        <v>2.04</v>
      </c>
    </row>
    <row r="306" spans="2:10">
      <c r="B306" s="176"/>
      <c r="C306" s="176">
        <v>73</v>
      </c>
      <c r="D306" s="176">
        <v>731</v>
      </c>
      <c r="E306" s="176">
        <v>5.62</v>
      </c>
      <c r="F306" s="176">
        <v>5.64</v>
      </c>
      <c r="G306" s="176" t="s">
        <v>70</v>
      </c>
      <c r="H306" s="176" t="s">
        <v>2345</v>
      </c>
      <c r="I306" s="340">
        <v>5.62</v>
      </c>
      <c r="J306" s="340">
        <v>5.64</v>
      </c>
    </row>
    <row r="307" spans="2:10">
      <c r="B307" s="176"/>
      <c r="C307" s="176"/>
      <c r="D307" s="176"/>
      <c r="E307" s="176">
        <v>3.48</v>
      </c>
      <c r="F307" s="176">
        <v>3.89</v>
      </c>
      <c r="G307" s="176"/>
      <c r="H307" s="176" t="s">
        <v>2346</v>
      </c>
      <c r="I307" s="340">
        <v>3.48</v>
      </c>
      <c r="J307" s="340">
        <v>3.89</v>
      </c>
    </row>
    <row r="308" spans="2:10">
      <c r="B308" s="176"/>
      <c r="C308" s="176"/>
      <c r="D308" s="176"/>
      <c r="E308" s="176">
        <v>0.75</v>
      </c>
      <c r="F308" s="176">
        <v>0.72</v>
      </c>
      <c r="G308" s="176"/>
      <c r="H308" s="176" t="s">
        <v>2347</v>
      </c>
      <c r="I308" s="340">
        <v>0.75</v>
      </c>
      <c r="J308" s="340">
        <v>0.72</v>
      </c>
    </row>
    <row r="309" spans="2:10">
      <c r="B309" s="176"/>
      <c r="C309" s="176"/>
      <c r="D309" s="176"/>
      <c r="E309" s="176">
        <v>3.34</v>
      </c>
      <c r="F309" s="176">
        <v>3.89</v>
      </c>
      <c r="G309" s="176"/>
      <c r="H309" s="176" t="s">
        <v>1622</v>
      </c>
      <c r="I309" s="340">
        <v>3.34</v>
      </c>
      <c r="J309" s="340">
        <v>3.89</v>
      </c>
    </row>
    <row r="310" spans="2:10">
      <c r="B310" s="176"/>
      <c r="C310" s="176"/>
      <c r="D310" s="176">
        <v>739</v>
      </c>
      <c r="E310" s="176">
        <v>6.89</v>
      </c>
      <c r="F310" s="176">
        <v>5.51</v>
      </c>
      <c r="G310" s="176" t="s">
        <v>2413</v>
      </c>
      <c r="H310" s="176" t="s">
        <v>2345</v>
      </c>
      <c r="I310" s="340">
        <v>6.89</v>
      </c>
      <c r="J310" s="340">
        <v>5.51</v>
      </c>
    </row>
    <row r="311" spans="2:10">
      <c r="B311" s="176"/>
      <c r="C311" s="176"/>
      <c r="D311" s="176"/>
      <c r="E311" s="176">
        <v>1.86</v>
      </c>
      <c r="F311" s="176">
        <v>1.68</v>
      </c>
      <c r="G311" s="176"/>
      <c r="H311" s="176" t="s">
        <v>2346</v>
      </c>
      <c r="I311" s="340">
        <v>1.86</v>
      </c>
      <c r="J311" s="340">
        <v>1.68</v>
      </c>
    </row>
    <row r="312" spans="2:10">
      <c r="B312" s="176"/>
      <c r="C312" s="176"/>
      <c r="D312" s="176"/>
      <c r="E312" s="176">
        <v>0.46</v>
      </c>
      <c r="F312" s="176">
        <v>0.5</v>
      </c>
      <c r="G312" s="176"/>
      <c r="H312" s="176" t="s">
        <v>2347</v>
      </c>
      <c r="I312" s="340">
        <v>0.46</v>
      </c>
      <c r="J312" s="340">
        <v>0.5</v>
      </c>
    </row>
    <row r="313" spans="2:10">
      <c r="B313" s="176"/>
      <c r="C313" s="176"/>
      <c r="D313" s="176"/>
      <c r="E313" s="176">
        <v>2.78</v>
      </c>
      <c r="F313" s="176">
        <v>1.69</v>
      </c>
      <c r="G313" s="176"/>
      <c r="H313" s="176" t="s">
        <v>1622</v>
      </c>
      <c r="I313" s="340">
        <v>2.78</v>
      </c>
      <c r="J313" s="340">
        <v>1.69</v>
      </c>
    </row>
    <row r="314" spans="2:10" ht="54">
      <c r="B314" s="177" t="s">
        <v>2414</v>
      </c>
      <c r="C314" s="176">
        <v>74</v>
      </c>
      <c r="D314" s="176">
        <v>742</v>
      </c>
      <c r="E314" s="176">
        <v>3.83</v>
      </c>
      <c r="F314" s="176">
        <v>3.12</v>
      </c>
      <c r="G314" s="176" t="s">
        <v>2415</v>
      </c>
      <c r="H314" s="176" t="s">
        <v>2345</v>
      </c>
      <c r="I314" s="340">
        <v>3.83</v>
      </c>
      <c r="J314" s="340">
        <v>3.12</v>
      </c>
    </row>
    <row r="315" spans="2:10">
      <c r="B315" s="176"/>
      <c r="C315" s="176"/>
      <c r="D315" s="176"/>
      <c r="E315" s="176">
        <v>1.2</v>
      </c>
      <c r="F315" s="176">
        <v>1.1299999999999999</v>
      </c>
      <c r="G315" s="176"/>
      <c r="H315" s="176" t="s">
        <v>2346</v>
      </c>
      <c r="I315" s="340">
        <v>1.2</v>
      </c>
      <c r="J315" s="340">
        <v>1.1299999999999999</v>
      </c>
    </row>
    <row r="316" spans="2:10">
      <c r="B316" s="176"/>
      <c r="C316" s="176"/>
      <c r="D316" s="176"/>
      <c r="E316" s="176">
        <v>0.3</v>
      </c>
      <c r="F316" s="176">
        <v>0.32</v>
      </c>
      <c r="G316" s="176"/>
      <c r="H316" s="176" t="s">
        <v>2347</v>
      </c>
      <c r="I316" s="340">
        <v>0.3</v>
      </c>
      <c r="J316" s="340">
        <v>0.32</v>
      </c>
    </row>
    <row r="317" spans="2:10">
      <c r="B317" s="176"/>
      <c r="C317" s="176"/>
      <c r="D317" s="176"/>
      <c r="E317" s="176">
        <v>1.64</v>
      </c>
      <c r="F317" s="176">
        <v>1.1399999999999999</v>
      </c>
      <c r="G317" s="176"/>
      <c r="H317" s="176" t="s">
        <v>1622</v>
      </c>
      <c r="I317" s="340">
        <v>1.64</v>
      </c>
      <c r="J317" s="340">
        <v>1.1399999999999999</v>
      </c>
    </row>
    <row r="318" spans="2:10">
      <c r="B318" s="176"/>
      <c r="C318" s="176"/>
      <c r="D318" s="176">
        <v>743</v>
      </c>
      <c r="E318" s="176">
        <v>5.17</v>
      </c>
      <c r="F318" s="176">
        <v>5.17</v>
      </c>
      <c r="G318" s="176" t="s">
        <v>1355</v>
      </c>
      <c r="H318" s="176" t="s">
        <v>2345</v>
      </c>
      <c r="I318" s="340">
        <v>5.17</v>
      </c>
      <c r="J318" s="340">
        <v>5.17</v>
      </c>
    </row>
    <row r="319" spans="2:10">
      <c r="B319" s="176"/>
      <c r="C319" s="176"/>
      <c r="D319" s="176"/>
      <c r="E319" s="176">
        <v>2.17</v>
      </c>
      <c r="F319" s="176">
        <v>1.61</v>
      </c>
      <c r="G319" s="176"/>
      <c r="H319" s="176" t="s">
        <v>2346</v>
      </c>
      <c r="I319" s="340">
        <v>2.17</v>
      </c>
      <c r="J319" s="340">
        <v>1.61</v>
      </c>
    </row>
    <row r="320" spans="2:10">
      <c r="B320" s="176"/>
      <c r="C320" s="176"/>
      <c r="D320" s="176"/>
      <c r="E320" s="176">
        <v>0.85</v>
      </c>
      <c r="F320" s="176">
        <v>0.85</v>
      </c>
      <c r="G320" s="176"/>
      <c r="H320" s="176" t="s">
        <v>2347</v>
      </c>
      <c r="I320" s="340">
        <v>0.85</v>
      </c>
      <c r="J320" s="340">
        <v>0.85</v>
      </c>
    </row>
    <row r="321" spans="2:10">
      <c r="B321" s="176"/>
      <c r="C321" s="176"/>
      <c r="D321" s="176"/>
      <c r="E321" s="176">
        <v>2.54</v>
      </c>
      <c r="F321" s="176">
        <v>1.61</v>
      </c>
      <c r="G321" s="176"/>
      <c r="H321" s="176" t="s">
        <v>1622</v>
      </c>
      <c r="I321" s="340">
        <v>2.54</v>
      </c>
      <c r="J321" s="340">
        <v>1.61</v>
      </c>
    </row>
    <row r="322" spans="2:10" ht="54">
      <c r="B322" s="177" t="s">
        <v>2416</v>
      </c>
      <c r="C322" s="176">
        <v>91</v>
      </c>
      <c r="D322" s="176">
        <v>912</v>
      </c>
      <c r="E322" s="176">
        <v>6.99</v>
      </c>
      <c r="F322" s="176">
        <v>6.83</v>
      </c>
      <c r="G322" s="176" t="s">
        <v>2417</v>
      </c>
      <c r="H322" s="176" t="s">
        <v>2345</v>
      </c>
      <c r="I322" s="340">
        <v>6.99</v>
      </c>
      <c r="J322" s="340">
        <v>6.83</v>
      </c>
    </row>
    <row r="323" spans="2:10">
      <c r="B323" s="176"/>
      <c r="C323" s="176"/>
      <c r="D323" s="176"/>
      <c r="E323" s="176">
        <v>2.89</v>
      </c>
      <c r="F323" s="176">
        <v>2.84</v>
      </c>
      <c r="G323" s="176"/>
      <c r="H323" s="176" t="s">
        <v>2346</v>
      </c>
      <c r="I323" s="340">
        <v>2.89</v>
      </c>
      <c r="J323" s="340">
        <v>2.84</v>
      </c>
    </row>
    <row r="324" spans="2:10">
      <c r="B324" s="176"/>
      <c r="C324" s="176"/>
      <c r="D324" s="176"/>
      <c r="E324" s="176">
        <v>0.91</v>
      </c>
      <c r="F324" s="176">
        <v>0.93</v>
      </c>
      <c r="G324" s="176"/>
      <c r="H324" s="176" t="s">
        <v>2347</v>
      </c>
      <c r="I324" s="340">
        <v>0.91</v>
      </c>
      <c r="J324" s="340">
        <v>0.93</v>
      </c>
    </row>
    <row r="325" spans="2:10">
      <c r="B325" s="176"/>
      <c r="C325" s="176"/>
      <c r="D325" s="176"/>
      <c r="E325" s="176">
        <v>3.5</v>
      </c>
      <c r="F325" s="176">
        <v>2.86</v>
      </c>
      <c r="G325" s="176"/>
      <c r="H325" s="176" t="s">
        <v>1622</v>
      </c>
      <c r="I325" s="340">
        <v>3.5</v>
      </c>
      <c r="J325" s="340">
        <v>2.86</v>
      </c>
    </row>
  </sheetData>
  <mergeCells count="1">
    <mergeCell ref="B2:J2"/>
  </mergeCells>
  <phoneticPr fontId="1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tabColor theme="1"/>
  </sheetPr>
  <dimension ref="A1:X116"/>
  <sheetViews>
    <sheetView workbookViewId="0">
      <selection activeCell="H18" sqref="H18"/>
    </sheetView>
  </sheetViews>
  <sheetFormatPr defaultRowHeight="13.5"/>
  <sheetData>
    <row r="1" spans="1:24">
      <c r="A1" s="1401" t="s">
        <v>2418</v>
      </c>
      <c r="B1" s="1401" t="s">
        <v>2419</v>
      </c>
      <c r="C1" s="1405" t="s">
        <v>2420</v>
      </c>
      <c r="D1" s="1401" t="s">
        <v>2421</v>
      </c>
      <c r="E1" s="1401"/>
      <c r="F1" s="1401"/>
      <c r="G1" s="1401"/>
      <c r="H1" s="1401"/>
      <c r="I1" s="1401"/>
      <c r="J1" s="1401"/>
      <c r="K1" s="1401"/>
      <c r="L1" s="1401"/>
      <c r="M1" s="1401"/>
      <c r="N1" s="1401"/>
      <c r="O1" s="1401" t="s">
        <v>2422</v>
      </c>
      <c r="P1" s="1401"/>
      <c r="Q1" s="1401"/>
      <c r="R1" s="1401"/>
      <c r="S1" s="1401"/>
      <c r="T1" s="1401"/>
      <c r="U1" s="1401"/>
      <c r="V1" s="1401"/>
      <c r="W1" s="1401"/>
      <c r="X1" s="1401"/>
    </row>
    <row r="2" spans="1:24">
      <c r="A2" s="1401"/>
      <c r="B2" s="1401"/>
      <c r="C2" s="1406"/>
      <c r="D2" s="197" t="s">
        <v>2423</v>
      </c>
      <c r="E2" s="197" t="s">
        <v>1596</v>
      </c>
      <c r="F2" s="197" t="s">
        <v>2424</v>
      </c>
      <c r="G2" s="197" t="s">
        <v>2425</v>
      </c>
      <c r="H2" s="197" t="s">
        <v>2426</v>
      </c>
      <c r="I2" s="197" t="s">
        <v>2427</v>
      </c>
      <c r="J2" s="197" t="s">
        <v>2428</v>
      </c>
      <c r="K2" s="197" t="s">
        <v>2429</v>
      </c>
      <c r="L2" s="197" t="s">
        <v>1805</v>
      </c>
      <c r="M2" s="197" t="s">
        <v>2430</v>
      </c>
      <c r="N2" s="197" t="s">
        <v>2431</v>
      </c>
      <c r="O2" s="197" t="s">
        <v>2432</v>
      </c>
      <c r="P2" s="197" t="s">
        <v>1600</v>
      </c>
      <c r="Q2" s="197" t="s">
        <v>2433</v>
      </c>
      <c r="R2" s="197" t="s">
        <v>2434</v>
      </c>
      <c r="S2" s="197" t="s">
        <v>2435</v>
      </c>
      <c r="T2" s="197" t="s">
        <v>2436</v>
      </c>
      <c r="U2" s="197" t="s">
        <v>2437</v>
      </c>
      <c r="V2" s="197" t="s">
        <v>1602</v>
      </c>
      <c r="W2" s="197" t="s">
        <v>1603</v>
      </c>
      <c r="X2" s="197" t="s">
        <v>1604</v>
      </c>
    </row>
    <row r="3" spans="1:24">
      <c r="A3" s="1402">
        <v>11</v>
      </c>
      <c r="B3" s="1402" t="s">
        <v>2438</v>
      </c>
      <c r="C3" s="198">
        <v>2017</v>
      </c>
      <c r="D3" s="199">
        <v>1404595.75336323</v>
      </c>
      <c r="E3" s="199">
        <v>1028878.10911809</v>
      </c>
      <c r="F3" s="199">
        <v>375717.63527653198</v>
      </c>
      <c r="G3" s="199">
        <v>315759.656203288</v>
      </c>
      <c r="H3" s="199">
        <v>59957.955156950702</v>
      </c>
      <c r="I3" s="199">
        <v>71901.418535127101</v>
      </c>
      <c r="J3" s="199">
        <v>60378.874439461899</v>
      </c>
      <c r="K3" s="199">
        <v>71480.499252615802</v>
      </c>
      <c r="L3" s="199">
        <v>6166.6248131539596</v>
      </c>
      <c r="M3" s="199">
        <v>65313.880418535096</v>
      </c>
      <c r="N3" s="199">
        <v>16345.8490284006</v>
      </c>
      <c r="O3" s="199">
        <v>1806848.7025411101</v>
      </c>
      <c r="P3" s="199">
        <v>1486575.5859491799</v>
      </c>
      <c r="Q3" s="199">
        <v>22005.2002989537</v>
      </c>
      <c r="R3" s="199">
        <v>913372.60687593406</v>
      </c>
      <c r="S3" s="199">
        <v>877697.50523168896</v>
      </c>
      <c r="T3" s="199">
        <v>2720221.3213751898</v>
      </c>
      <c r="U3" s="199">
        <v>1510493.44843049</v>
      </c>
      <c r="V3" s="199">
        <v>225954.378176383</v>
      </c>
      <c r="W3" s="199">
        <v>330150.97309416998</v>
      </c>
      <c r="X3" s="199">
        <v>78071.212257100095</v>
      </c>
    </row>
    <row r="4" spans="1:24">
      <c r="A4" s="1403"/>
      <c r="B4" s="1403"/>
      <c r="C4" s="198">
        <v>2018</v>
      </c>
      <c r="D4" s="199">
        <v>1415993.3240887499</v>
      </c>
      <c r="E4" s="199">
        <v>1102596.8137876401</v>
      </c>
      <c r="F4" s="199">
        <v>313396.52852614899</v>
      </c>
      <c r="G4" s="199">
        <v>276540.136291601</v>
      </c>
      <c r="H4" s="199">
        <v>36856.382725832002</v>
      </c>
      <c r="I4" s="199">
        <v>52274.812202852598</v>
      </c>
      <c r="J4" s="199">
        <v>43704.6679873217</v>
      </c>
      <c r="K4" s="199">
        <v>45426.526941362899</v>
      </c>
      <c r="L4" s="199">
        <v>-8290.6291600633904</v>
      </c>
      <c r="M4" s="199">
        <v>54380.581616481802</v>
      </c>
      <c r="N4" s="199">
        <v>42734.621236133098</v>
      </c>
      <c r="O4" s="199">
        <v>1391733.5023771799</v>
      </c>
      <c r="P4" s="199">
        <v>1172668.54675119</v>
      </c>
      <c r="Q4" s="199">
        <v>15567.4960380349</v>
      </c>
      <c r="R4" s="199">
        <v>871216.97464342299</v>
      </c>
      <c r="S4" s="199">
        <v>700421.83280507103</v>
      </c>
      <c r="T4" s="199">
        <v>2262950.4825673499</v>
      </c>
      <c r="U4" s="199">
        <v>1328086.4698890599</v>
      </c>
      <c r="V4" s="199">
        <v>218791.62519809799</v>
      </c>
      <c r="W4" s="199">
        <v>304753.06814579997</v>
      </c>
      <c r="X4" s="199">
        <v>81053.992868462796</v>
      </c>
    </row>
    <row r="5" spans="1:24">
      <c r="A5" s="1404"/>
      <c r="B5" s="1404"/>
      <c r="C5" s="198">
        <v>2019</v>
      </c>
      <c r="D5" s="199">
        <v>1488166.1734605399</v>
      </c>
      <c r="E5" s="199">
        <v>1163740.3590633101</v>
      </c>
      <c r="F5" s="199">
        <v>324425.8065915</v>
      </c>
      <c r="G5" s="199">
        <v>287987.49089332198</v>
      </c>
      <c r="H5" s="199">
        <v>36438.322636600198</v>
      </c>
      <c r="I5" s="199">
        <v>58611.429314830901</v>
      </c>
      <c r="J5" s="199">
        <v>54587.217692974802</v>
      </c>
      <c r="K5" s="199">
        <v>40462.534258456202</v>
      </c>
      <c r="L5" s="199">
        <v>6053.45359930616</v>
      </c>
      <c r="M5" s="199">
        <v>34096.004336513397</v>
      </c>
      <c r="N5" s="199">
        <v>42914.826539462301</v>
      </c>
      <c r="O5" s="199">
        <v>1490668.2454466601</v>
      </c>
      <c r="P5" s="199">
        <v>1291646.0884648699</v>
      </c>
      <c r="Q5" s="199">
        <v>19381.934084995701</v>
      </c>
      <c r="R5" s="199">
        <v>918152.96790980105</v>
      </c>
      <c r="S5" s="199">
        <v>694506.836079792</v>
      </c>
      <c r="T5" s="199">
        <v>2408821.2307025199</v>
      </c>
      <c r="U5" s="199">
        <v>1412762.4718126601</v>
      </c>
      <c r="V5" s="199">
        <v>244569.15004336499</v>
      </c>
      <c r="W5" s="199">
        <v>299699.98005203798</v>
      </c>
      <c r="X5" s="199">
        <v>74969.829141370297</v>
      </c>
    </row>
    <row r="6" spans="1:24">
      <c r="A6" s="1402">
        <v>12</v>
      </c>
      <c r="B6" s="1402" t="s">
        <v>2</v>
      </c>
      <c r="C6" s="198">
        <v>2017</v>
      </c>
      <c r="D6" s="199">
        <v>6006238.2243902404</v>
      </c>
      <c r="E6" s="199">
        <v>4871481.7707317099</v>
      </c>
      <c r="F6" s="199">
        <v>1134756.4243902401</v>
      </c>
      <c r="G6" s="199">
        <v>424614.96747967502</v>
      </c>
      <c r="H6" s="199">
        <v>710141.45040650398</v>
      </c>
      <c r="I6" s="199">
        <v>199217.20813008101</v>
      </c>
      <c r="J6" s="199">
        <v>181900.21951219501</v>
      </c>
      <c r="K6" s="199">
        <v>727458.43902438995</v>
      </c>
      <c r="L6" s="199">
        <v>91857.645528455294</v>
      </c>
      <c r="M6" s="199">
        <v>635600.81626016297</v>
      </c>
      <c r="N6" s="199">
        <v>34599.536585365902</v>
      </c>
      <c r="O6" s="199">
        <v>4790953.7300813003</v>
      </c>
      <c r="P6" s="199">
        <v>4057514.2146341498</v>
      </c>
      <c r="Q6" s="199">
        <v>34805.603252032502</v>
      </c>
      <c r="R6" s="199">
        <v>2578889.5073170699</v>
      </c>
      <c r="S6" s="199">
        <v>2210117.0780487801</v>
      </c>
      <c r="T6" s="199">
        <v>7369843.3073170697</v>
      </c>
      <c r="U6" s="199">
        <v>4038049.2065040702</v>
      </c>
      <c r="V6" s="199">
        <v>534134.50243902404</v>
      </c>
      <c r="W6" s="199">
        <v>1011338.45691057</v>
      </c>
      <c r="X6" s="199">
        <v>570182.71219512203</v>
      </c>
    </row>
    <row r="7" spans="1:24">
      <c r="A7" s="1403"/>
      <c r="B7" s="1403"/>
      <c r="C7" s="198">
        <v>2018</v>
      </c>
      <c r="D7" s="199">
        <v>5333442.3778280504</v>
      </c>
      <c r="E7" s="199">
        <v>4680786.9988687802</v>
      </c>
      <c r="F7" s="199">
        <v>652655.360859729</v>
      </c>
      <c r="G7" s="199">
        <v>428993.79185520398</v>
      </c>
      <c r="H7" s="199">
        <v>223661.55882352899</v>
      </c>
      <c r="I7" s="199">
        <v>176357.524886878</v>
      </c>
      <c r="J7" s="199">
        <v>174259.085972851</v>
      </c>
      <c r="K7" s="199">
        <v>225759.99773755699</v>
      </c>
      <c r="L7" s="199">
        <v>40546.204751131198</v>
      </c>
      <c r="M7" s="199">
        <v>185213.78506787299</v>
      </c>
      <c r="N7" s="199">
        <v>205748.58936651601</v>
      </c>
      <c r="O7" s="199">
        <v>4820037.1199094998</v>
      </c>
      <c r="P7" s="199">
        <v>4013084.8461538502</v>
      </c>
      <c r="Q7" s="199">
        <v>35265.226244343903</v>
      </c>
      <c r="R7" s="199">
        <v>2513690.8846153799</v>
      </c>
      <c r="S7" s="199">
        <v>2021384.02149321</v>
      </c>
      <c r="T7" s="199">
        <v>7333727.9954751097</v>
      </c>
      <c r="U7" s="199">
        <v>4099928.8574660602</v>
      </c>
      <c r="V7" s="199">
        <v>478685.78733031702</v>
      </c>
      <c r="W7" s="199">
        <v>995119.71266968304</v>
      </c>
      <c r="X7" s="199">
        <v>514443.40158370999</v>
      </c>
    </row>
    <row r="8" spans="1:24">
      <c r="A8" s="1404"/>
      <c r="B8" s="1404"/>
      <c r="C8" s="198">
        <v>2019</v>
      </c>
      <c r="D8" s="199">
        <v>5309851.6036446504</v>
      </c>
      <c r="E8" s="199">
        <v>4884051.0751708401</v>
      </c>
      <c r="F8" s="199">
        <v>425800.50683371298</v>
      </c>
      <c r="G8" s="199">
        <v>426485.47266514797</v>
      </c>
      <c r="H8" s="199">
        <v>-684.97038724373601</v>
      </c>
      <c r="I8" s="199">
        <v>168273.76765375899</v>
      </c>
      <c r="J8" s="199">
        <v>205736.383826879</v>
      </c>
      <c r="K8" s="199">
        <v>-38147.5865603645</v>
      </c>
      <c r="L8" s="199">
        <v>14717.5341685649</v>
      </c>
      <c r="M8" s="199">
        <v>-52865.140091116198</v>
      </c>
      <c r="N8" s="199">
        <v>218683.89863325699</v>
      </c>
      <c r="O8" s="199">
        <v>5136909.6788154896</v>
      </c>
      <c r="P8" s="199">
        <v>4221213.1252847398</v>
      </c>
      <c r="Q8" s="199">
        <v>42651.604783599098</v>
      </c>
      <c r="R8" s="199">
        <v>2667316.0489749401</v>
      </c>
      <c r="S8" s="199">
        <v>2393731.0876993202</v>
      </c>
      <c r="T8" s="199">
        <v>7804225.6537585398</v>
      </c>
      <c r="U8" s="199">
        <v>4565424.1036446504</v>
      </c>
      <c r="V8" s="199">
        <v>486430.356492027</v>
      </c>
      <c r="W8" s="199">
        <v>1175043.3041002301</v>
      </c>
      <c r="X8" s="199">
        <v>559098.96697038703</v>
      </c>
    </row>
    <row r="9" spans="1:24">
      <c r="A9" s="1402">
        <v>21</v>
      </c>
      <c r="B9" s="1402" t="s">
        <v>2439</v>
      </c>
      <c r="C9" s="198">
        <v>2017</v>
      </c>
      <c r="D9" s="199">
        <v>31257384.362836</v>
      </c>
      <c r="E9" s="199">
        <v>19177887.696941599</v>
      </c>
      <c r="F9" s="199">
        <v>12079496.5982391</v>
      </c>
      <c r="G9" s="199">
        <v>8668764.5824837796</v>
      </c>
      <c r="H9" s="199">
        <v>3410732.3290083399</v>
      </c>
      <c r="I9" s="199">
        <v>1073487.07321594</v>
      </c>
      <c r="J9" s="199">
        <v>1348062.81464319</v>
      </c>
      <c r="K9" s="199">
        <v>3136156.5875810902</v>
      </c>
      <c r="L9" s="199">
        <v>752340.74606116803</v>
      </c>
      <c r="M9" s="199">
        <v>2371923.45227062</v>
      </c>
      <c r="N9" s="199">
        <v>230352.259499537</v>
      </c>
      <c r="O9" s="199">
        <v>26465296.948100101</v>
      </c>
      <c r="P9" s="199">
        <v>13936470.1853568</v>
      </c>
      <c r="Q9" s="199">
        <v>1659625.76552363</v>
      </c>
      <c r="R9" s="199">
        <v>20010957.746987998</v>
      </c>
      <c r="S9" s="199">
        <v>11381928.039388301</v>
      </c>
      <c r="T9" s="199">
        <v>46476253.853568099</v>
      </c>
      <c r="U9" s="199">
        <v>15919884.634383701</v>
      </c>
      <c r="V9" s="199">
        <v>6367387.2405004604</v>
      </c>
      <c r="W9" s="199">
        <v>4744410.7205746099</v>
      </c>
      <c r="X9" s="199">
        <v>2230330.71733086</v>
      </c>
    </row>
    <row r="10" spans="1:24">
      <c r="A10" s="1403"/>
      <c r="B10" s="1403"/>
      <c r="C10" s="198">
        <v>2018</v>
      </c>
      <c r="D10" s="199">
        <v>29517388.871990401</v>
      </c>
      <c r="E10" s="199">
        <v>18585339.038523301</v>
      </c>
      <c r="F10" s="199">
        <v>10932049.6922151</v>
      </c>
      <c r="G10" s="199">
        <v>8291209.3972712699</v>
      </c>
      <c r="H10" s="199">
        <v>2640839.8254414098</v>
      </c>
      <c r="I10" s="199">
        <v>1169246.7094703</v>
      </c>
      <c r="J10" s="199">
        <v>1151775.2215088301</v>
      </c>
      <c r="K10" s="199">
        <v>2658311.3134028902</v>
      </c>
      <c r="L10" s="199">
        <v>754004.79454253602</v>
      </c>
      <c r="M10" s="199">
        <v>1901430.5304975901</v>
      </c>
      <c r="N10" s="199">
        <v>313534.96468699799</v>
      </c>
      <c r="O10" s="199">
        <v>24199288.158908501</v>
      </c>
      <c r="P10" s="199">
        <v>13084945.3202247</v>
      </c>
      <c r="Q10" s="199">
        <v>1376827.7487961501</v>
      </c>
      <c r="R10" s="199">
        <v>18914689.093900502</v>
      </c>
      <c r="S10" s="199">
        <v>9864821.9402086698</v>
      </c>
      <c r="T10" s="199">
        <v>43113977.144462302</v>
      </c>
      <c r="U10" s="199">
        <v>14236665.8932584</v>
      </c>
      <c r="V10" s="199">
        <v>5657282.2724719103</v>
      </c>
      <c r="W10" s="199">
        <v>4711961.4959871601</v>
      </c>
      <c r="X10" s="199">
        <v>1961210.6845906901</v>
      </c>
    </row>
    <row r="11" spans="1:24">
      <c r="A11" s="1404"/>
      <c r="B11" s="1404"/>
      <c r="C11" s="198">
        <v>2019</v>
      </c>
      <c r="D11" s="199">
        <v>32522785.6627957</v>
      </c>
      <c r="E11" s="199">
        <v>20051791.131612901</v>
      </c>
      <c r="F11" s="199">
        <v>12470994.647741901</v>
      </c>
      <c r="G11" s="199">
        <v>9502318.3664516099</v>
      </c>
      <c r="H11" s="199">
        <v>2968676.0193548398</v>
      </c>
      <c r="I11" s="199">
        <v>1191660.9341935499</v>
      </c>
      <c r="J11" s="199">
        <v>1308323.5987096799</v>
      </c>
      <c r="K11" s="199">
        <v>2852013.3548387098</v>
      </c>
      <c r="L11" s="199">
        <v>824929.40688171994</v>
      </c>
      <c r="M11" s="199">
        <v>2020009.9823655901</v>
      </c>
      <c r="N11" s="199">
        <v>462836.77462365601</v>
      </c>
      <c r="O11" s="199">
        <v>27670849.622795701</v>
      </c>
      <c r="P11" s="199">
        <v>14937708.16</v>
      </c>
      <c r="Q11" s="199">
        <v>1580921.5337634401</v>
      </c>
      <c r="R11" s="199">
        <v>20952025.134623699</v>
      </c>
      <c r="S11" s="199">
        <v>11092248.509247299</v>
      </c>
      <c r="T11" s="199">
        <v>48622875.107096799</v>
      </c>
      <c r="U11" s="199">
        <v>16146262.476128999</v>
      </c>
      <c r="V11" s="199">
        <v>6059518.7948387098</v>
      </c>
      <c r="W11" s="199">
        <v>5284614.7045161296</v>
      </c>
      <c r="X11" s="199">
        <v>2192436.68817204</v>
      </c>
    </row>
    <row r="12" spans="1:24">
      <c r="A12" s="1402">
        <v>22</v>
      </c>
      <c r="B12" s="1402" t="s">
        <v>2440</v>
      </c>
      <c r="C12" s="198">
        <v>2017</v>
      </c>
      <c r="D12" s="199">
        <v>14410477.1630811</v>
      </c>
      <c r="E12" s="199">
        <v>11396563.831037</v>
      </c>
      <c r="F12" s="199">
        <v>3013913.4666827801</v>
      </c>
      <c r="G12" s="199">
        <v>2016533.1088550501</v>
      </c>
      <c r="H12" s="199">
        <v>997380.375151076</v>
      </c>
      <c r="I12" s="199">
        <v>375355.00410925801</v>
      </c>
      <c r="J12" s="199">
        <v>503393.00515671598</v>
      </c>
      <c r="K12" s="199">
        <v>869342.37410361797</v>
      </c>
      <c r="L12" s="199">
        <v>189993.07235516899</v>
      </c>
      <c r="M12" s="199">
        <v>685017.23398598004</v>
      </c>
      <c r="N12" s="199">
        <v>79040.291112722596</v>
      </c>
      <c r="O12" s="199">
        <v>9553888.0091853999</v>
      </c>
      <c r="P12" s="199">
        <v>6473616.68173395</v>
      </c>
      <c r="Q12" s="199">
        <v>495556.23543630698</v>
      </c>
      <c r="R12" s="199">
        <v>7285471.2608975898</v>
      </c>
      <c r="S12" s="199">
        <v>4882012.4037547298</v>
      </c>
      <c r="T12" s="199">
        <v>16840207.702521998</v>
      </c>
      <c r="U12" s="199">
        <v>7479924.9104826404</v>
      </c>
      <c r="V12" s="199">
        <v>2780203.1269841301</v>
      </c>
      <c r="W12" s="199">
        <v>1804126.69833212</v>
      </c>
      <c r="X12" s="199">
        <v>1344633.28547256</v>
      </c>
    </row>
    <row r="13" spans="1:24">
      <c r="A13" s="1403"/>
      <c r="B13" s="1403"/>
      <c r="C13" s="198">
        <v>2018</v>
      </c>
      <c r="D13" s="199">
        <v>13684936.197987299</v>
      </c>
      <c r="E13" s="199">
        <v>10951237.2200414</v>
      </c>
      <c r="F13" s="199">
        <v>2733698.7225751202</v>
      </c>
      <c r="G13" s="199">
        <v>1946379.1475269401</v>
      </c>
      <c r="H13" s="199">
        <v>787319.58332738595</v>
      </c>
      <c r="I13" s="199">
        <v>404389.50781528797</v>
      </c>
      <c r="J13" s="199">
        <v>433294.849546785</v>
      </c>
      <c r="K13" s="199">
        <v>758414.24159588898</v>
      </c>
      <c r="L13" s="199">
        <v>181718.13874812599</v>
      </c>
      <c r="M13" s="199">
        <v>580165.23103276</v>
      </c>
      <c r="N13" s="199">
        <v>179920.35464991801</v>
      </c>
      <c r="O13" s="199">
        <v>9028327.3693526499</v>
      </c>
      <c r="P13" s="199">
        <v>6160737.89686675</v>
      </c>
      <c r="Q13" s="199">
        <v>439780.77581899898</v>
      </c>
      <c r="R13" s="199">
        <v>6921688.9124973202</v>
      </c>
      <c r="S13" s="199">
        <v>4412875.2579401899</v>
      </c>
      <c r="T13" s="199">
        <v>15950801.1724359</v>
      </c>
      <c r="U13" s="199">
        <v>7067628.6840339703</v>
      </c>
      <c r="V13" s="199">
        <v>2570052.82363857</v>
      </c>
      <c r="W13" s="199">
        <v>1778936.9014345901</v>
      </c>
      <c r="X13" s="199">
        <v>1218432.69545357</v>
      </c>
    </row>
    <row r="14" spans="1:24">
      <c r="A14" s="1404"/>
      <c r="B14" s="1404"/>
      <c r="C14" s="198">
        <v>2019</v>
      </c>
      <c r="D14" s="199">
        <v>14359260.9630832</v>
      </c>
      <c r="E14" s="199">
        <v>11437461.2205949</v>
      </c>
      <c r="F14" s="199">
        <v>2921799.7628718098</v>
      </c>
      <c r="G14" s="199">
        <v>2214771.84395289</v>
      </c>
      <c r="H14" s="199">
        <v>707027.90759474598</v>
      </c>
      <c r="I14" s="199">
        <v>420258.54152196902</v>
      </c>
      <c r="J14" s="199">
        <v>522503.53140570701</v>
      </c>
      <c r="K14" s="199">
        <v>604782.91771100694</v>
      </c>
      <c r="L14" s="199">
        <v>145966.41099199801</v>
      </c>
      <c r="M14" s="199">
        <v>460920.10161558201</v>
      </c>
      <c r="N14" s="199">
        <v>218618.49916956099</v>
      </c>
      <c r="O14" s="199">
        <v>10121533.454401299</v>
      </c>
      <c r="P14" s="199">
        <v>6829181.7686093897</v>
      </c>
      <c r="Q14" s="199">
        <v>530058.68722633203</v>
      </c>
      <c r="R14" s="199">
        <v>7487243.9581005601</v>
      </c>
      <c r="S14" s="199">
        <v>4873059.5987467896</v>
      </c>
      <c r="T14" s="199">
        <v>17609666.526045602</v>
      </c>
      <c r="U14" s="199">
        <v>7965476.09927525</v>
      </c>
      <c r="V14" s="199">
        <v>2669305.1469877702</v>
      </c>
      <c r="W14" s="199">
        <v>2000404.6977955599</v>
      </c>
      <c r="X14" s="199">
        <v>1257241.98331572</v>
      </c>
    </row>
    <row r="15" spans="1:24">
      <c r="A15" s="1402">
        <v>23</v>
      </c>
      <c r="B15" s="1402" t="s">
        <v>2441</v>
      </c>
      <c r="C15" s="198">
        <v>2017</v>
      </c>
      <c r="D15" s="199">
        <v>8123415.2168992804</v>
      </c>
      <c r="E15" s="199">
        <v>5081242.2488872102</v>
      </c>
      <c r="F15" s="199">
        <v>3042173.1434175801</v>
      </c>
      <c r="G15" s="199">
        <v>2552205.7996982299</v>
      </c>
      <c r="H15" s="199">
        <v>489967.31588080002</v>
      </c>
      <c r="I15" s="199">
        <v>275078.96167484001</v>
      </c>
      <c r="J15" s="199">
        <v>284102.47370803502</v>
      </c>
      <c r="K15" s="199">
        <v>480943.80384760501</v>
      </c>
      <c r="L15" s="199">
        <v>124079.432893248</v>
      </c>
      <c r="M15" s="199">
        <v>356428.64254998101</v>
      </c>
      <c r="N15" s="199">
        <v>113948.396680498</v>
      </c>
      <c r="O15" s="199">
        <v>4315121.6989815198</v>
      </c>
      <c r="P15" s="199">
        <v>1733216.9695963799</v>
      </c>
      <c r="Q15" s="199">
        <v>602241.26359864196</v>
      </c>
      <c r="R15" s="199">
        <v>4382313.0022633001</v>
      </c>
      <c r="S15" s="199">
        <v>2732089.8688796698</v>
      </c>
      <c r="T15" s="199">
        <v>8702785.8325160295</v>
      </c>
      <c r="U15" s="199">
        <v>4027737.8178800498</v>
      </c>
      <c r="V15" s="199">
        <v>1375154.5327800801</v>
      </c>
      <c r="W15" s="199">
        <v>211635.59630328199</v>
      </c>
      <c r="X15" s="199">
        <v>613905.18853262905</v>
      </c>
    </row>
    <row r="16" spans="1:24">
      <c r="A16" s="1403"/>
      <c r="B16" s="1403"/>
      <c r="C16" s="198">
        <v>2018</v>
      </c>
      <c r="D16" s="199">
        <v>8142901.6313745202</v>
      </c>
      <c r="E16" s="199">
        <v>4951252.3448895896</v>
      </c>
      <c r="F16" s="199">
        <v>3191518.8940516398</v>
      </c>
      <c r="G16" s="199">
        <v>2672499.99021794</v>
      </c>
      <c r="H16" s="199">
        <v>519076.70545925299</v>
      </c>
      <c r="I16" s="199">
        <v>288789.42861253</v>
      </c>
      <c r="J16" s="199">
        <v>295341.65870675398</v>
      </c>
      <c r="K16" s="199">
        <v>512524.47536502901</v>
      </c>
      <c r="L16" s="199">
        <v>153335.739408761</v>
      </c>
      <c r="M16" s="199">
        <v>359448.09062792198</v>
      </c>
      <c r="N16" s="199">
        <v>162154.272531108</v>
      </c>
      <c r="O16" s="199">
        <v>4659184.0635834001</v>
      </c>
      <c r="P16" s="199">
        <v>1804622.1828382399</v>
      </c>
      <c r="Q16" s="199">
        <v>669084.50686902099</v>
      </c>
      <c r="R16" s="199">
        <v>4407612.4509818004</v>
      </c>
      <c r="S16" s="199">
        <v>2699223.6264115698</v>
      </c>
      <c r="T16" s="199">
        <v>9108107.1714737806</v>
      </c>
      <c r="U16" s="199">
        <v>4027163.3615047098</v>
      </c>
      <c r="V16" s="199">
        <v>1204419.7622096001</v>
      </c>
      <c r="W16" s="199">
        <v>215288.93591311201</v>
      </c>
      <c r="X16" s="199">
        <v>505762.24433575501</v>
      </c>
    </row>
    <row r="17" spans="1:24">
      <c r="A17" s="1404"/>
      <c r="B17" s="1404"/>
      <c r="C17" s="198">
        <v>2019</v>
      </c>
      <c r="D17" s="199">
        <v>9061802.5485414099</v>
      </c>
      <c r="E17" s="199">
        <v>5342749.8790777903</v>
      </c>
      <c r="F17" s="199">
        <v>3718833.9064460499</v>
      </c>
      <c r="G17" s="199">
        <v>3113893.5631273501</v>
      </c>
      <c r="H17" s="199">
        <v>605113.74898055196</v>
      </c>
      <c r="I17" s="199">
        <v>312268.18851944798</v>
      </c>
      <c r="J17" s="199">
        <v>366296.48682559602</v>
      </c>
      <c r="K17" s="199">
        <v>551085.45067440404</v>
      </c>
      <c r="L17" s="199">
        <v>157882.05505018801</v>
      </c>
      <c r="M17" s="199">
        <v>412401.97600376402</v>
      </c>
      <c r="N17" s="199">
        <v>213107.16954203299</v>
      </c>
      <c r="O17" s="199">
        <v>5616663.3979767896</v>
      </c>
      <c r="P17" s="199">
        <v>2274517.4636919699</v>
      </c>
      <c r="Q17" s="199">
        <v>715785.78160288604</v>
      </c>
      <c r="R17" s="199">
        <v>5034422.32191029</v>
      </c>
      <c r="S17" s="199">
        <v>3156312.6128450399</v>
      </c>
      <c r="T17" s="199">
        <v>10661620.3756274</v>
      </c>
      <c r="U17" s="199">
        <v>4800169.5935539501</v>
      </c>
      <c r="V17" s="199">
        <v>1332069.25603827</v>
      </c>
      <c r="W17" s="199">
        <v>234639.88840966101</v>
      </c>
      <c r="X17" s="199">
        <v>541689.30975533195</v>
      </c>
    </row>
    <row r="18" spans="1:24">
      <c r="A18" s="1402">
        <v>111</v>
      </c>
      <c r="B18" s="1402" t="s">
        <v>1195</v>
      </c>
      <c r="C18" s="198">
        <v>2017</v>
      </c>
      <c r="D18" s="199">
        <v>1338134.2418478299</v>
      </c>
      <c r="E18" s="199">
        <v>1037109.55978261</v>
      </c>
      <c r="F18" s="199">
        <v>301024.67934782599</v>
      </c>
      <c r="G18" s="199">
        <v>256848.70108695701</v>
      </c>
      <c r="H18" s="199">
        <v>44175.989130434798</v>
      </c>
      <c r="I18" s="199">
        <v>62661.016304347802</v>
      </c>
      <c r="J18" s="199">
        <v>59506.236413043502</v>
      </c>
      <c r="K18" s="199">
        <v>47330.769021739099</v>
      </c>
      <c r="L18" s="199">
        <v>6245.5027173913004</v>
      </c>
      <c r="M18" s="199">
        <v>41085.277173912997</v>
      </c>
      <c r="N18" s="199">
        <v>18570.730978260901</v>
      </c>
      <c r="O18" s="199">
        <v>1651735.7418478299</v>
      </c>
      <c r="P18" s="199">
        <v>1491128.79347826</v>
      </c>
      <c r="Q18" s="199">
        <v>7060.7989130434798</v>
      </c>
      <c r="R18" s="199">
        <v>783524.45652173902</v>
      </c>
      <c r="S18" s="199">
        <v>847438.35597826098</v>
      </c>
      <c r="T18" s="199">
        <v>2435260.2065217402</v>
      </c>
      <c r="U18" s="199">
        <v>1443042.73369565</v>
      </c>
      <c r="V18" s="199">
        <v>149141.964673913</v>
      </c>
      <c r="W18" s="199">
        <v>281559.17391304299</v>
      </c>
      <c r="X18" s="199">
        <v>70796.228260869597</v>
      </c>
    </row>
    <row r="19" spans="1:24">
      <c r="A19" s="1403"/>
      <c r="B19" s="1403"/>
      <c r="C19" s="198">
        <v>2018</v>
      </c>
      <c r="D19" s="199">
        <v>1391046.58039216</v>
      </c>
      <c r="E19" s="199">
        <v>1126197.8196078399</v>
      </c>
      <c r="F19" s="199">
        <v>264848.74640522897</v>
      </c>
      <c r="G19" s="199">
        <v>232151.90065359499</v>
      </c>
      <c r="H19" s="199">
        <v>32696.818300653598</v>
      </c>
      <c r="I19" s="199">
        <v>45921.537254902003</v>
      </c>
      <c r="J19" s="199">
        <v>42619.806535947697</v>
      </c>
      <c r="K19" s="199">
        <v>35998.549019607803</v>
      </c>
      <c r="L19" s="199">
        <v>6877.1294117647103</v>
      </c>
      <c r="M19" s="199">
        <v>30215.8575163399</v>
      </c>
      <c r="N19" s="199">
        <v>37629.037908496699</v>
      </c>
      <c r="O19" s="199">
        <v>1191488.95163399</v>
      </c>
      <c r="P19" s="199">
        <v>1055344.0980392201</v>
      </c>
      <c r="Q19" s="199">
        <v>12125.7620915033</v>
      </c>
      <c r="R19" s="199">
        <v>811429.87973856204</v>
      </c>
      <c r="S19" s="199">
        <v>674313.87189542502</v>
      </c>
      <c r="T19" s="199">
        <v>2002918.84052288</v>
      </c>
      <c r="U19" s="199">
        <v>1272987.8901960801</v>
      </c>
      <c r="V19" s="199">
        <v>185364.921568627</v>
      </c>
      <c r="W19" s="199">
        <v>276921.12810457498</v>
      </c>
      <c r="X19" s="199">
        <v>67952.349019607806</v>
      </c>
    </row>
    <row r="20" spans="1:24">
      <c r="A20" s="1404"/>
      <c r="B20" s="1404"/>
      <c r="C20" s="198">
        <v>2019</v>
      </c>
      <c r="D20" s="199">
        <v>1376656.7115135801</v>
      </c>
      <c r="E20" s="199">
        <v>1120089.9223803401</v>
      </c>
      <c r="F20" s="199">
        <v>256566.80336351899</v>
      </c>
      <c r="G20" s="199">
        <v>224329.32341526501</v>
      </c>
      <c r="H20" s="199">
        <v>32237.4812419146</v>
      </c>
      <c r="I20" s="199">
        <v>44587.750323415297</v>
      </c>
      <c r="J20" s="199">
        <v>49039.456662354503</v>
      </c>
      <c r="K20" s="199">
        <v>27785.774902975401</v>
      </c>
      <c r="L20" s="199">
        <v>5946.0025873221202</v>
      </c>
      <c r="M20" s="199">
        <v>21372.789133247101</v>
      </c>
      <c r="N20" s="199">
        <v>37414.006468305299</v>
      </c>
      <c r="O20" s="199">
        <v>1240370.9353169501</v>
      </c>
      <c r="P20" s="199">
        <v>1115765.75937904</v>
      </c>
      <c r="Q20" s="199">
        <v>13144.2018111255</v>
      </c>
      <c r="R20" s="199">
        <v>790574.880983182</v>
      </c>
      <c r="S20" s="199">
        <v>622477.45924967702</v>
      </c>
      <c r="T20" s="199">
        <v>2030945.84217335</v>
      </c>
      <c r="U20" s="199">
        <v>1285177.16429495</v>
      </c>
      <c r="V20" s="199">
        <v>191050.177231565</v>
      </c>
      <c r="W20" s="199">
        <v>237480.84346701199</v>
      </c>
      <c r="X20" s="199">
        <v>62889.582147477398</v>
      </c>
    </row>
    <row r="21" spans="1:24">
      <c r="A21" s="1402">
        <v>112</v>
      </c>
      <c r="B21" s="1402" t="s">
        <v>1196</v>
      </c>
      <c r="C21" s="198">
        <v>2017</v>
      </c>
      <c r="D21" s="199">
        <v>1363627.1494252901</v>
      </c>
      <c r="E21" s="199">
        <v>1049056.9770114899</v>
      </c>
      <c r="F21" s="199">
        <v>314570.26436781598</v>
      </c>
      <c r="G21" s="199">
        <v>274671.56321839098</v>
      </c>
      <c r="H21" s="199">
        <v>39898.712643678198</v>
      </c>
      <c r="I21" s="199">
        <v>160280.41379310301</v>
      </c>
      <c r="J21" s="199">
        <v>57693.620689655203</v>
      </c>
      <c r="K21" s="199">
        <v>142485.50574712601</v>
      </c>
      <c r="L21" s="199">
        <v>15318.6091954023</v>
      </c>
      <c r="M21" s="199">
        <v>127166.908045977</v>
      </c>
      <c r="N21" s="199">
        <v>11644.781609195399</v>
      </c>
      <c r="O21" s="199">
        <v>1348316.9540229901</v>
      </c>
      <c r="P21" s="199">
        <v>1266771.8505747099</v>
      </c>
      <c r="Q21" s="199">
        <v>49723.3908045977</v>
      </c>
      <c r="R21" s="199">
        <v>641978.908045977</v>
      </c>
      <c r="S21" s="199">
        <v>755535.71264367795</v>
      </c>
      <c r="T21" s="199">
        <v>1990296</v>
      </c>
      <c r="U21" s="199">
        <v>1440006.5057471299</v>
      </c>
      <c r="V21" s="199">
        <v>125442.034482759</v>
      </c>
      <c r="W21" s="199">
        <v>151076.356321839</v>
      </c>
      <c r="X21" s="199">
        <v>54564.367816092003</v>
      </c>
    </row>
    <row r="22" spans="1:24">
      <c r="A22" s="1403"/>
      <c r="B22" s="1403"/>
      <c r="C22" s="198">
        <v>2018</v>
      </c>
      <c r="D22" s="199">
        <v>1974295.7478260901</v>
      </c>
      <c r="E22" s="199">
        <v>1574215.07826087</v>
      </c>
      <c r="F22" s="199">
        <v>400080.71304347803</v>
      </c>
      <c r="G22" s="199">
        <v>386124.060869565</v>
      </c>
      <c r="H22" s="199">
        <v>13956.6869565217</v>
      </c>
      <c r="I22" s="199">
        <v>43273.260869565202</v>
      </c>
      <c r="J22" s="199">
        <v>51571.4956521739</v>
      </c>
      <c r="K22" s="199">
        <v>5658.4521739130396</v>
      </c>
      <c r="L22" s="199">
        <v>5401.2347826086998</v>
      </c>
      <c r="M22" s="199">
        <v>257.23478260869598</v>
      </c>
      <c r="N22" s="199">
        <v>46247.3652173913</v>
      </c>
      <c r="O22" s="199">
        <v>1611819.5826087</v>
      </c>
      <c r="P22" s="199">
        <v>1512902.55652174</v>
      </c>
      <c r="Q22" s="199">
        <v>23865.382608695701</v>
      </c>
      <c r="R22" s="199">
        <v>725616.70434782596</v>
      </c>
      <c r="S22" s="199">
        <v>776733.67826087005</v>
      </c>
      <c r="T22" s="199">
        <v>2337436.3130434798</v>
      </c>
      <c r="U22" s="199">
        <v>1658255.1043478299</v>
      </c>
      <c r="V22" s="199">
        <v>195265.26086956501</v>
      </c>
      <c r="W22" s="199">
        <v>233190.07826087001</v>
      </c>
      <c r="X22" s="199">
        <v>79717.226086956507</v>
      </c>
    </row>
    <row r="23" spans="1:24">
      <c r="A23" s="1404"/>
      <c r="B23" s="1404"/>
      <c r="C23" s="198">
        <v>2019</v>
      </c>
      <c r="D23" s="199">
        <v>1780769.8346456699</v>
      </c>
      <c r="E23" s="199">
        <v>1401230.6850393701</v>
      </c>
      <c r="F23" s="199">
        <v>379539.10236220498</v>
      </c>
      <c r="G23" s="199">
        <v>323611.48818897601</v>
      </c>
      <c r="H23" s="199">
        <v>55927.614173228299</v>
      </c>
      <c r="I23" s="199">
        <v>96430.062992125997</v>
      </c>
      <c r="J23" s="199">
        <v>56041.559055118101</v>
      </c>
      <c r="K23" s="199">
        <v>96316.118110236202</v>
      </c>
      <c r="L23" s="199">
        <v>16106.188976378</v>
      </c>
      <c r="M23" s="199">
        <v>80209.944881889794</v>
      </c>
      <c r="N23" s="199">
        <v>48846.188976377998</v>
      </c>
      <c r="O23" s="199">
        <v>1517827.17322835</v>
      </c>
      <c r="P23" s="199">
        <v>1444269.7637795301</v>
      </c>
      <c r="Q23" s="199">
        <v>6661.2755905511804</v>
      </c>
      <c r="R23" s="199">
        <v>855784.44094488199</v>
      </c>
      <c r="S23" s="199">
        <v>795687.64566929103</v>
      </c>
      <c r="T23" s="199">
        <v>2373611.6141732298</v>
      </c>
      <c r="U23" s="199">
        <v>1600229.4724409401</v>
      </c>
      <c r="V23" s="199">
        <v>231996.724409449</v>
      </c>
      <c r="W23" s="199">
        <v>218192.93700787399</v>
      </c>
      <c r="X23" s="199">
        <v>73790.102362204707</v>
      </c>
    </row>
    <row r="24" spans="1:24">
      <c r="A24" s="1402">
        <v>113</v>
      </c>
      <c r="B24" s="1402" t="s">
        <v>1197</v>
      </c>
      <c r="C24" s="198">
        <v>2017</v>
      </c>
      <c r="D24" s="199">
        <v>146015.5</v>
      </c>
      <c r="E24" s="199">
        <v>97862.071428571406</v>
      </c>
      <c r="F24" s="199">
        <v>48153.357142857101</v>
      </c>
      <c r="G24" s="199">
        <v>59982</v>
      </c>
      <c r="H24" s="199">
        <v>-11828.642857142901</v>
      </c>
      <c r="I24" s="199">
        <v>5485.7857142857101</v>
      </c>
      <c r="J24" s="199">
        <v>1955.7142857142901</v>
      </c>
      <c r="K24" s="199">
        <v>-8298.5714285714294</v>
      </c>
      <c r="L24" s="199">
        <v>102.5</v>
      </c>
      <c r="M24" s="199">
        <v>-8401</v>
      </c>
      <c r="N24" s="199">
        <v>930.21428571428601</v>
      </c>
      <c r="O24" s="199">
        <v>391770.21428571403</v>
      </c>
      <c r="P24" s="199">
        <v>379100.85714285698</v>
      </c>
      <c r="Q24" s="199">
        <v>0</v>
      </c>
      <c r="R24" s="199">
        <v>93524.428571428594</v>
      </c>
      <c r="S24" s="199">
        <v>185769</v>
      </c>
      <c r="T24" s="199">
        <v>485294.5</v>
      </c>
      <c r="U24" s="199">
        <v>280022.64285714302</v>
      </c>
      <c r="V24" s="199">
        <v>10386.5714285714</v>
      </c>
      <c r="W24" s="199">
        <v>49735.642857142899</v>
      </c>
      <c r="X24" s="199">
        <v>6656.0714285714303</v>
      </c>
    </row>
    <row r="25" spans="1:24">
      <c r="A25" s="1403"/>
      <c r="B25" s="1403"/>
      <c r="C25" s="198">
        <v>2018</v>
      </c>
      <c r="D25" s="199">
        <v>443649</v>
      </c>
      <c r="E25" s="199">
        <v>349749.25</v>
      </c>
      <c r="F25" s="199">
        <v>93899.8125</v>
      </c>
      <c r="G25" s="199">
        <v>69940.1875</v>
      </c>
      <c r="H25" s="199">
        <v>23959.75</v>
      </c>
      <c r="I25" s="199">
        <v>6041.6875</v>
      </c>
      <c r="J25" s="199">
        <v>8855.875</v>
      </c>
      <c r="K25" s="199">
        <v>21145.5625</v>
      </c>
      <c r="L25" s="199">
        <v>407.8125</v>
      </c>
      <c r="M25" s="199">
        <v>20737.75</v>
      </c>
      <c r="N25" s="199">
        <v>15817.5625</v>
      </c>
      <c r="O25" s="199">
        <v>459345.9375</v>
      </c>
      <c r="P25" s="199">
        <v>427095.75</v>
      </c>
      <c r="Q25" s="199">
        <v>456.5</v>
      </c>
      <c r="R25" s="199">
        <v>204999.6875</v>
      </c>
      <c r="S25" s="199">
        <v>333605.4375</v>
      </c>
      <c r="T25" s="199">
        <v>664345.5625</v>
      </c>
      <c r="U25" s="199">
        <v>522415.3125</v>
      </c>
      <c r="V25" s="199">
        <v>51744.5625</v>
      </c>
      <c r="W25" s="199">
        <v>48388.875</v>
      </c>
      <c r="X25" s="199">
        <v>36025.75</v>
      </c>
    </row>
    <row r="26" spans="1:24">
      <c r="A26" s="1404"/>
      <c r="B26" s="1404"/>
      <c r="C26" s="198">
        <v>2019</v>
      </c>
      <c r="D26" s="199">
        <v>538909.25</v>
      </c>
      <c r="E26" s="199">
        <v>381963.25</v>
      </c>
      <c r="F26" s="199">
        <v>156946</v>
      </c>
      <c r="G26" s="199">
        <v>87673</v>
      </c>
      <c r="H26" s="199">
        <v>69272.916666666701</v>
      </c>
      <c r="I26" s="199">
        <v>4285.4166666666697</v>
      </c>
      <c r="J26" s="199">
        <v>7488</v>
      </c>
      <c r="K26" s="199">
        <v>66070.333333333299</v>
      </c>
      <c r="L26" s="199">
        <v>598.66666666666697</v>
      </c>
      <c r="M26" s="199">
        <v>65471.75</v>
      </c>
      <c r="N26" s="199">
        <v>15697.25</v>
      </c>
      <c r="O26" s="199">
        <v>303782.41666666698</v>
      </c>
      <c r="P26" s="199">
        <v>287608.16666666698</v>
      </c>
      <c r="Q26" s="199">
        <v>576.33333333333303</v>
      </c>
      <c r="R26" s="199">
        <v>212671.5</v>
      </c>
      <c r="S26" s="199">
        <v>306543.16666666698</v>
      </c>
      <c r="T26" s="199">
        <v>516453.91666666698</v>
      </c>
      <c r="U26" s="199">
        <v>428618.16666666698</v>
      </c>
      <c r="V26" s="199">
        <v>57882.666666666701</v>
      </c>
      <c r="W26" s="199">
        <v>46804.333333333299</v>
      </c>
      <c r="X26" s="199">
        <v>36474.833333333299</v>
      </c>
    </row>
    <row r="27" spans="1:24">
      <c r="A27" s="1402">
        <v>114</v>
      </c>
      <c r="B27" s="1402" t="s">
        <v>1198</v>
      </c>
      <c r="C27" s="198">
        <v>2017</v>
      </c>
      <c r="D27" s="199">
        <v>4916253.3333333302</v>
      </c>
      <c r="E27" s="199">
        <v>2385654.0666666701</v>
      </c>
      <c r="F27" s="199">
        <v>2530599.2000000002</v>
      </c>
      <c r="G27" s="199">
        <v>1949888.63333333</v>
      </c>
      <c r="H27" s="199">
        <v>580710.03333333298</v>
      </c>
      <c r="I27" s="199">
        <v>157153.70000000001</v>
      </c>
      <c r="J27" s="199">
        <v>189255.73333333299</v>
      </c>
      <c r="K27" s="199">
        <v>548608</v>
      </c>
      <c r="L27" s="199">
        <v>-15946.4666666667</v>
      </c>
      <c r="M27" s="199">
        <v>564554.46666666702</v>
      </c>
      <c r="N27" s="199">
        <v>47236.466666666704</v>
      </c>
      <c r="O27" s="199">
        <v>5946504.7666666703</v>
      </c>
      <c r="P27" s="199">
        <v>3051137.7</v>
      </c>
      <c r="Q27" s="199">
        <v>95813.933333333305</v>
      </c>
      <c r="R27" s="199">
        <v>5772029.7000000002</v>
      </c>
      <c r="S27" s="199">
        <v>2774368.9333333299</v>
      </c>
      <c r="T27" s="199">
        <v>11718534.9333333</v>
      </c>
      <c r="U27" s="199">
        <v>3632057.2333333301</v>
      </c>
      <c r="V27" s="199">
        <v>2061906.5666666699</v>
      </c>
      <c r="W27" s="199">
        <v>2589827.6666666698</v>
      </c>
      <c r="X27" s="199">
        <v>354197.76666666701</v>
      </c>
    </row>
    <row r="28" spans="1:24">
      <c r="A28" s="1403"/>
      <c r="B28" s="1403"/>
      <c r="C28" s="198">
        <v>2018</v>
      </c>
      <c r="D28" s="199">
        <v>4863339.4705882398</v>
      </c>
      <c r="E28" s="199">
        <v>2629371.4705882398</v>
      </c>
      <c r="F28" s="199">
        <v>2233968.1470588199</v>
      </c>
      <c r="G28" s="199">
        <v>1960155.4411764699</v>
      </c>
      <c r="H28" s="199">
        <v>273812.94117647101</v>
      </c>
      <c r="I28" s="199">
        <v>200622.52941176499</v>
      </c>
      <c r="J28" s="199">
        <v>143153.52941176499</v>
      </c>
      <c r="K28" s="199">
        <v>331281.94117647101</v>
      </c>
      <c r="L28" s="199">
        <v>-600558.70588235301</v>
      </c>
      <c r="M28" s="199">
        <v>931840.38235294097</v>
      </c>
      <c r="N28" s="199">
        <v>84837.705882352893</v>
      </c>
      <c r="O28" s="199">
        <v>5405158.1470588204</v>
      </c>
      <c r="P28" s="199">
        <v>2683423.4117647102</v>
      </c>
      <c r="Q28" s="199">
        <v>138791.617647059</v>
      </c>
      <c r="R28" s="199">
        <v>5858624.8529411796</v>
      </c>
      <c r="S28" s="199">
        <v>1553410.88235294</v>
      </c>
      <c r="T28" s="199">
        <v>11263783.1764706</v>
      </c>
      <c r="U28" s="199">
        <v>2361362.6470588199</v>
      </c>
      <c r="V28" s="199">
        <v>1839816.0294117599</v>
      </c>
      <c r="W28" s="199">
        <v>2694682.6764705898</v>
      </c>
      <c r="X28" s="199">
        <v>397861.67647058802</v>
      </c>
    </row>
    <row r="29" spans="1:24">
      <c r="A29" s="1404"/>
      <c r="B29" s="1404"/>
      <c r="C29" s="198">
        <v>2019</v>
      </c>
      <c r="D29" s="199">
        <v>4904505.9411764704</v>
      </c>
      <c r="E29" s="199">
        <v>2745113.3529411801</v>
      </c>
      <c r="F29" s="199">
        <v>2159392.2647058801</v>
      </c>
      <c r="G29" s="199">
        <v>2026477.08823529</v>
      </c>
      <c r="H29" s="199">
        <v>132915.44117647101</v>
      </c>
      <c r="I29" s="199">
        <v>176068.17647058799</v>
      </c>
      <c r="J29" s="199">
        <v>166491.97058823501</v>
      </c>
      <c r="K29" s="199">
        <v>142491.64705882399</v>
      </c>
      <c r="L29" s="199">
        <v>33815.911764705903</v>
      </c>
      <c r="M29" s="199">
        <v>108675.67647058801</v>
      </c>
      <c r="N29" s="199">
        <v>100577.82352941199</v>
      </c>
      <c r="O29" s="199">
        <v>6580363.5</v>
      </c>
      <c r="P29" s="199">
        <v>3755491.9705882398</v>
      </c>
      <c r="Q29" s="199">
        <v>182379.735294118</v>
      </c>
      <c r="R29" s="199">
        <v>6003478.9117647102</v>
      </c>
      <c r="S29" s="199">
        <v>2386660.6764705898</v>
      </c>
      <c r="T29" s="199">
        <v>12583842.3529412</v>
      </c>
      <c r="U29" s="199">
        <v>3624749.2352941199</v>
      </c>
      <c r="V29" s="199">
        <v>1972142.6470588199</v>
      </c>
      <c r="W29" s="199">
        <v>2892458.20588235</v>
      </c>
      <c r="X29" s="199">
        <v>421691.97058823501</v>
      </c>
    </row>
    <row r="30" spans="1:24">
      <c r="A30" s="1402">
        <v>115</v>
      </c>
      <c r="B30" s="1402" t="s">
        <v>1199</v>
      </c>
      <c r="C30" s="198">
        <v>2017</v>
      </c>
      <c r="D30" s="199">
        <v>1272789.1076923099</v>
      </c>
      <c r="E30" s="199">
        <v>1018763.32307692</v>
      </c>
      <c r="F30" s="199">
        <v>254025.707692308</v>
      </c>
      <c r="G30" s="199">
        <v>230966.95384615401</v>
      </c>
      <c r="H30" s="199">
        <v>23058.730769230799</v>
      </c>
      <c r="I30" s="199">
        <v>46334.430769230799</v>
      </c>
      <c r="J30" s="199">
        <v>52902.9153846154</v>
      </c>
      <c r="K30" s="199">
        <v>16490.246153846201</v>
      </c>
      <c r="L30" s="199">
        <v>7201.4846153846202</v>
      </c>
      <c r="M30" s="199">
        <v>9288.7461538461503</v>
      </c>
      <c r="N30" s="199">
        <v>11880.723076923099</v>
      </c>
      <c r="O30" s="199">
        <v>2068858.63846154</v>
      </c>
      <c r="P30" s="199">
        <v>1620666.1230769199</v>
      </c>
      <c r="Q30" s="199">
        <v>37386.523076923098</v>
      </c>
      <c r="R30" s="199">
        <v>635263.76923076902</v>
      </c>
      <c r="S30" s="199">
        <v>874360.59230769204</v>
      </c>
      <c r="T30" s="199">
        <v>2704122.2538461499</v>
      </c>
      <c r="U30" s="199">
        <v>1642530.8384615399</v>
      </c>
      <c r="V30" s="199">
        <v>158811.81538461501</v>
      </c>
      <c r="W30" s="199">
        <v>169984.5</v>
      </c>
      <c r="X30" s="199">
        <v>76312.600000000006</v>
      </c>
    </row>
    <row r="31" spans="1:24">
      <c r="A31" s="1403"/>
      <c r="B31" s="1403"/>
      <c r="C31" s="198">
        <v>2018</v>
      </c>
      <c r="D31" s="199">
        <v>1061990.74909091</v>
      </c>
      <c r="E31" s="199">
        <v>834300.10181818204</v>
      </c>
      <c r="F31" s="199">
        <v>227690.72363636401</v>
      </c>
      <c r="G31" s="199">
        <v>187707.090909091</v>
      </c>
      <c r="H31" s="199">
        <v>39983.636363636397</v>
      </c>
      <c r="I31" s="199">
        <v>63784.723636363597</v>
      </c>
      <c r="J31" s="199">
        <v>38393.232727272698</v>
      </c>
      <c r="K31" s="199">
        <v>65375.127272727303</v>
      </c>
      <c r="L31" s="199">
        <v>14283.3127272727</v>
      </c>
      <c r="M31" s="199">
        <v>51091.825454545498</v>
      </c>
      <c r="N31" s="199">
        <v>54813.003636363603</v>
      </c>
      <c r="O31" s="199">
        <v>1493696.14181818</v>
      </c>
      <c r="P31" s="199">
        <v>1259925.01454545</v>
      </c>
      <c r="Q31" s="199">
        <v>10326.4690909091</v>
      </c>
      <c r="R31" s="199">
        <v>601662.79272727296</v>
      </c>
      <c r="S31" s="199">
        <v>677056.41090909101</v>
      </c>
      <c r="T31" s="199">
        <v>2095358.8909090899</v>
      </c>
      <c r="U31" s="199">
        <v>1305599.46181818</v>
      </c>
      <c r="V31" s="199">
        <v>159950.781818182</v>
      </c>
      <c r="W31" s="199">
        <v>156309.76727272701</v>
      </c>
      <c r="X31" s="199">
        <v>84363.4</v>
      </c>
    </row>
    <row r="32" spans="1:24">
      <c r="A32" s="1404"/>
      <c r="B32" s="1404"/>
      <c r="C32" s="198">
        <v>2019</v>
      </c>
      <c r="D32" s="199">
        <v>1391489.8598726101</v>
      </c>
      <c r="E32" s="199">
        <v>1104698.79617834</v>
      </c>
      <c r="F32" s="199">
        <v>286791.031847134</v>
      </c>
      <c r="G32" s="199">
        <v>264981.42038216599</v>
      </c>
      <c r="H32" s="199">
        <v>21809.611464968199</v>
      </c>
      <c r="I32" s="199">
        <v>87569.318471337596</v>
      </c>
      <c r="J32" s="199">
        <v>70628.834394904494</v>
      </c>
      <c r="K32" s="199">
        <v>38750.095541401301</v>
      </c>
      <c r="L32" s="199">
        <v>-5791.5350318471301</v>
      </c>
      <c r="M32" s="199">
        <v>44541.630573248403</v>
      </c>
      <c r="N32" s="199">
        <v>61687.3121019108</v>
      </c>
      <c r="O32" s="199">
        <v>1864539.24840764</v>
      </c>
      <c r="P32" s="199">
        <v>1707971.4140127399</v>
      </c>
      <c r="Q32" s="199">
        <v>32306.808917197501</v>
      </c>
      <c r="R32" s="199">
        <v>718169.99363057304</v>
      </c>
      <c r="S32" s="199">
        <v>730292.45859872596</v>
      </c>
      <c r="T32" s="199">
        <v>2582709.2356687901</v>
      </c>
      <c r="U32" s="199">
        <v>1627572.7133758001</v>
      </c>
      <c r="V32" s="199">
        <v>201120.53503184699</v>
      </c>
      <c r="W32" s="199">
        <v>191377.11464968199</v>
      </c>
      <c r="X32" s="199">
        <v>78040.942675159196</v>
      </c>
    </row>
    <row r="33" spans="1:24">
      <c r="A33" s="1402">
        <v>119</v>
      </c>
      <c r="B33" s="1402" t="s">
        <v>1200</v>
      </c>
      <c r="C33" s="198">
        <v>2017</v>
      </c>
      <c r="D33" s="199">
        <v>340279.875</v>
      </c>
      <c r="E33" s="199">
        <v>250406.42499999999</v>
      </c>
      <c r="F33" s="199">
        <v>89873.45</v>
      </c>
      <c r="G33" s="199">
        <v>86608.774999999994</v>
      </c>
      <c r="H33" s="199">
        <v>3264.625</v>
      </c>
      <c r="I33" s="199">
        <v>7087.7749999999996</v>
      </c>
      <c r="J33" s="199">
        <v>22334.9</v>
      </c>
      <c r="K33" s="199">
        <v>-11982.5</v>
      </c>
      <c r="L33" s="199">
        <v>879.35</v>
      </c>
      <c r="M33" s="199">
        <v>-12861.85</v>
      </c>
      <c r="N33" s="199">
        <v>2840.9250000000002</v>
      </c>
      <c r="O33" s="199">
        <v>770197.625</v>
      </c>
      <c r="P33" s="199">
        <v>701159.52500000002</v>
      </c>
      <c r="Q33" s="199">
        <v>1562.6</v>
      </c>
      <c r="R33" s="199">
        <v>245064.65</v>
      </c>
      <c r="S33" s="199">
        <v>252299.95</v>
      </c>
      <c r="T33" s="199">
        <v>1015262.3</v>
      </c>
      <c r="U33" s="199">
        <v>694719.55</v>
      </c>
      <c r="V33" s="199">
        <v>67940.850000000006</v>
      </c>
      <c r="W33" s="199">
        <v>90611.7</v>
      </c>
      <c r="X33" s="199">
        <v>19744.325000000001</v>
      </c>
    </row>
    <row r="34" spans="1:24">
      <c r="A34" s="1403"/>
      <c r="B34" s="1403"/>
      <c r="C34" s="198">
        <v>2018</v>
      </c>
      <c r="D34" s="199">
        <v>548939.438596491</v>
      </c>
      <c r="E34" s="199">
        <v>429367.84210526297</v>
      </c>
      <c r="F34" s="199">
        <v>119571.631578947</v>
      </c>
      <c r="G34" s="199">
        <v>133498.29824561399</v>
      </c>
      <c r="H34" s="199">
        <v>-13926.771929824599</v>
      </c>
      <c r="I34" s="199">
        <v>24662.807017543899</v>
      </c>
      <c r="J34" s="199">
        <v>18480.070175438599</v>
      </c>
      <c r="K34" s="199">
        <v>-7744.0350877192996</v>
      </c>
      <c r="L34" s="199">
        <v>2449.82456140351</v>
      </c>
      <c r="M34" s="199">
        <v>-10193.8245614035</v>
      </c>
      <c r="N34" s="199">
        <v>28338.4561403509</v>
      </c>
      <c r="O34" s="199">
        <v>1011018.05263158</v>
      </c>
      <c r="P34" s="199">
        <v>948006.49122806999</v>
      </c>
      <c r="Q34" s="199">
        <v>1043.0701754386</v>
      </c>
      <c r="R34" s="199">
        <v>479921.66666666698</v>
      </c>
      <c r="S34" s="199">
        <v>603749.08771929797</v>
      </c>
      <c r="T34" s="199">
        <v>1490939.7894736801</v>
      </c>
      <c r="U34" s="199">
        <v>1119740.7894736801</v>
      </c>
      <c r="V34" s="199">
        <v>78723.473684210505</v>
      </c>
      <c r="W34" s="199">
        <v>185232.12280701799</v>
      </c>
      <c r="X34" s="199">
        <v>67288.894736842107</v>
      </c>
    </row>
    <row r="35" spans="1:24">
      <c r="A35" s="1404"/>
      <c r="B35" s="1404"/>
      <c r="C35" s="198">
        <v>2019</v>
      </c>
      <c r="D35" s="199">
        <v>677163.4</v>
      </c>
      <c r="E35" s="199">
        <v>533034.06000000006</v>
      </c>
      <c r="F35" s="199">
        <v>144129.38</v>
      </c>
      <c r="G35" s="199">
        <v>119799.42</v>
      </c>
      <c r="H35" s="199">
        <v>24329.94</v>
      </c>
      <c r="I35" s="199">
        <v>21598.06</v>
      </c>
      <c r="J35" s="199">
        <v>21499.48</v>
      </c>
      <c r="K35" s="199">
        <v>24428.52</v>
      </c>
      <c r="L35" s="199">
        <v>1804.64</v>
      </c>
      <c r="M35" s="199">
        <v>22623.88</v>
      </c>
      <c r="N35" s="199">
        <v>21267.62</v>
      </c>
      <c r="O35" s="199">
        <v>941185.86</v>
      </c>
      <c r="P35" s="199">
        <v>881384.22</v>
      </c>
      <c r="Q35" s="199">
        <v>1218.48</v>
      </c>
      <c r="R35" s="199">
        <v>388166.7</v>
      </c>
      <c r="S35" s="199">
        <v>381161.56</v>
      </c>
      <c r="T35" s="199">
        <v>1329352.6200000001</v>
      </c>
      <c r="U35" s="199">
        <v>966604.62</v>
      </c>
      <c r="V35" s="199">
        <v>110389.86</v>
      </c>
      <c r="W35" s="199">
        <v>106388.88</v>
      </c>
      <c r="X35" s="199">
        <v>28551.4</v>
      </c>
    </row>
    <row r="36" spans="1:24">
      <c r="A36" s="1402">
        <v>121</v>
      </c>
      <c r="B36" s="1402" t="s">
        <v>1201</v>
      </c>
      <c r="C36" s="198">
        <v>2017</v>
      </c>
      <c r="D36" s="199">
        <v>4366130.9268292701</v>
      </c>
      <c r="E36" s="199">
        <v>3630586.7560975598</v>
      </c>
      <c r="F36" s="199">
        <v>735544.31707317103</v>
      </c>
      <c r="G36" s="199">
        <v>287210.82926829299</v>
      </c>
      <c r="H36" s="199">
        <v>448333.43902439001</v>
      </c>
      <c r="I36" s="199">
        <v>247237.048780488</v>
      </c>
      <c r="J36" s="199">
        <v>220668.87804878</v>
      </c>
      <c r="K36" s="199">
        <v>474901.60975609801</v>
      </c>
      <c r="L36" s="199">
        <v>59307.7317073171</v>
      </c>
      <c r="M36" s="199">
        <v>415593.90243902401</v>
      </c>
      <c r="N36" s="199">
        <v>17744.512195121999</v>
      </c>
      <c r="O36" s="199">
        <v>5412526.6097561</v>
      </c>
      <c r="P36" s="199">
        <v>5176401.1219512196</v>
      </c>
      <c r="Q36" s="199">
        <v>46482.951219512201</v>
      </c>
      <c r="R36" s="199">
        <v>4404403.8536585402</v>
      </c>
      <c r="S36" s="199">
        <v>3222148.6585365902</v>
      </c>
      <c r="T36" s="199">
        <v>9816930.1219512206</v>
      </c>
      <c r="U36" s="199">
        <v>4977952.5121951196</v>
      </c>
      <c r="V36" s="199">
        <v>230345.60975609801</v>
      </c>
      <c r="W36" s="199">
        <v>3508288.4878048799</v>
      </c>
      <c r="X36" s="199">
        <v>230654.78048780499</v>
      </c>
    </row>
    <row r="37" spans="1:24">
      <c r="A37" s="1403"/>
      <c r="B37" s="1403"/>
      <c r="C37" s="198">
        <v>2018</v>
      </c>
      <c r="D37" s="199">
        <v>2946840.7977528102</v>
      </c>
      <c r="E37" s="199">
        <v>2484081.2022471898</v>
      </c>
      <c r="F37" s="199">
        <v>462759.65168539301</v>
      </c>
      <c r="G37" s="199">
        <v>251093.02247190999</v>
      </c>
      <c r="H37" s="199">
        <v>211666.595505618</v>
      </c>
      <c r="I37" s="199">
        <v>74440.393258426993</v>
      </c>
      <c r="J37" s="199">
        <v>110437.69662921299</v>
      </c>
      <c r="K37" s="199">
        <v>175669.29213483099</v>
      </c>
      <c r="L37" s="199">
        <v>47241.235955056203</v>
      </c>
      <c r="M37" s="199">
        <v>128428.112359551</v>
      </c>
      <c r="N37" s="199">
        <v>77207.820224719093</v>
      </c>
      <c r="O37" s="199">
        <v>3486752.8202247201</v>
      </c>
      <c r="P37" s="199">
        <v>3291164.8426966299</v>
      </c>
      <c r="Q37" s="199">
        <v>21022.651685393299</v>
      </c>
      <c r="R37" s="199">
        <v>2525387.24719101</v>
      </c>
      <c r="S37" s="199">
        <v>1670709.0786516899</v>
      </c>
      <c r="T37" s="199">
        <v>6012139.9101123596</v>
      </c>
      <c r="U37" s="199">
        <v>2944477.2584269699</v>
      </c>
      <c r="V37" s="199">
        <v>213618.61797752799</v>
      </c>
      <c r="W37" s="199">
        <v>1912796.7415730299</v>
      </c>
      <c r="X37" s="199">
        <v>258787.662921348</v>
      </c>
    </row>
    <row r="38" spans="1:24">
      <c r="A38" s="1404"/>
      <c r="B38" s="1404"/>
      <c r="C38" s="198">
        <v>2019</v>
      </c>
      <c r="D38" s="199">
        <v>2956039.5686274501</v>
      </c>
      <c r="E38" s="199">
        <v>2490653.6274509798</v>
      </c>
      <c r="F38" s="199">
        <v>465385.91176470602</v>
      </c>
      <c r="G38" s="199">
        <v>260286.774509804</v>
      </c>
      <c r="H38" s="199">
        <v>205099.24509803901</v>
      </c>
      <c r="I38" s="199">
        <v>85589.274509803901</v>
      </c>
      <c r="J38" s="199">
        <v>115279.67647058801</v>
      </c>
      <c r="K38" s="199">
        <v>175408.843137255</v>
      </c>
      <c r="L38" s="199">
        <v>40017.176470588201</v>
      </c>
      <c r="M38" s="199">
        <v>135391.59803921601</v>
      </c>
      <c r="N38" s="199">
        <v>98823.666666666701</v>
      </c>
      <c r="O38" s="199">
        <v>3607107.54901961</v>
      </c>
      <c r="P38" s="199">
        <v>3344494.24509804</v>
      </c>
      <c r="Q38" s="199">
        <v>20833.323529411799</v>
      </c>
      <c r="R38" s="199">
        <v>2529151.6274509798</v>
      </c>
      <c r="S38" s="199">
        <v>2001004.3039215701</v>
      </c>
      <c r="T38" s="199">
        <v>6136259.3039215701</v>
      </c>
      <c r="U38" s="199">
        <v>3198293.0980392201</v>
      </c>
      <c r="V38" s="199">
        <v>239793.43137254901</v>
      </c>
      <c r="W38" s="199">
        <v>1876946.6960784299</v>
      </c>
      <c r="X38" s="199">
        <v>173330.25490196099</v>
      </c>
    </row>
    <row r="39" spans="1:24">
      <c r="A39" s="1402">
        <v>122</v>
      </c>
      <c r="B39" s="1402" t="s">
        <v>3</v>
      </c>
      <c r="C39" s="198">
        <v>2017</v>
      </c>
      <c r="D39" s="199">
        <v>6221645.2678571399</v>
      </c>
      <c r="E39" s="199">
        <v>5089772.3285714304</v>
      </c>
      <c r="F39" s="199">
        <v>1131872.7142857099</v>
      </c>
      <c r="G39" s="199">
        <v>352290.503571429</v>
      </c>
      <c r="H39" s="199">
        <v>779582.23571428598</v>
      </c>
      <c r="I39" s="199">
        <v>186197.61785714299</v>
      </c>
      <c r="J39" s="199">
        <v>177869.7</v>
      </c>
      <c r="K39" s="199">
        <v>787910.15357142896</v>
      </c>
      <c r="L39" s="199">
        <v>90180.289285714302</v>
      </c>
      <c r="M39" s="199">
        <v>697729.86428571399</v>
      </c>
      <c r="N39" s="199">
        <v>19351.0428571429</v>
      </c>
      <c r="O39" s="199">
        <v>5163109.7714285702</v>
      </c>
      <c r="P39" s="199">
        <v>4307708.7249999996</v>
      </c>
      <c r="Q39" s="199">
        <v>46554.296428571397</v>
      </c>
      <c r="R39" s="199">
        <v>2719233.2</v>
      </c>
      <c r="S39" s="199">
        <v>2232741.31428571</v>
      </c>
      <c r="T39" s="199">
        <v>7882343.1857142895</v>
      </c>
      <c r="U39" s="199">
        <v>4325613.6214285698</v>
      </c>
      <c r="V39" s="199">
        <v>381642.85</v>
      </c>
      <c r="W39" s="199">
        <v>1206918.3535714301</v>
      </c>
      <c r="X39" s="199">
        <v>724688.07499999995</v>
      </c>
    </row>
    <row r="40" spans="1:24">
      <c r="A40" s="1403"/>
      <c r="B40" s="1403"/>
      <c r="C40" s="198">
        <v>2018</v>
      </c>
      <c r="D40" s="199">
        <v>6077145.6331658298</v>
      </c>
      <c r="E40" s="199">
        <v>5282427.66582915</v>
      </c>
      <c r="F40" s="199">
        <v>794717.97487437201</v>
      </c>
      <c r="G40" s="199">
        <v>373698.592964824</v>
      </c>
      <c r="H40" s="199">
        <v>421019.38442211098</v>
      </c>
      <c r="I40" s="199">
        <v>237491.96482412101</v>
      </c>
      <c r="J40" s="199">
        <v>197879.439698492</v>
      </c>
      <c r="K40" s="199">
        <v>460631.90954773902</v>
      </c>
      <c r="L40" s="199">
        <v>56873.218592964797</v>
      </c>
      <c r="M40" s="199">
        <v>403758.67587939702</v>
      </c>
      <c r="N40" s="199">
        <v>255009.85678392</v>
      </c>
      <c r="O40" s="199">
        <v>5897162.15829146</v>
      </c>
      <c r="P40" s="199">
        <v>4803075.6005025096</v>
      </c>
      <c r="Q40" s="199">
        <v>50500.007537688398</v>
      </c>
      <c r="R40" s="199">
        <v>2988602.9195979899</v>
      </c>
      <c r="S40" s="199">
        <v>2181089.50753769</v>
      </c>
      <c r="T40" s="199">
        <v>8885765.1909547709</v>
      </c>
      <c r="U40" s="199">
        <v>4784246.2713567801</v>
      </c>
      <c r="V40" s="199">
        <v>386115.62814070401</v>
      </c>
      <c r="W40" s="199">
        <v>1290034.4296482401</v>
      </c>
      <c r="X40" s="199">
        <v>592950.32663316606</v>
      </c>
    </row>
    <row r="41" spans="1:24">
      <c r="A41" s="1404"/>
      <c r="B41" s="1404"/>
      <c r="C41" s="198">
        <v>2019</v>
      </c>
      <c r="D41" s="199">
        <v>5924310.6458852896</v>
      </c>
      <c r="E41" s="199">
        <v>5576529.6209476301</v>
      </c>
      <c r="F41" s="199">
        <v>347781.172069825</v>
      </c>
      <c r="G41" s="199">
        <v>398944.82294264302</v>
      </c>
      <c r="H41" s="199">
        <v>-51163.620947630901</v>
      </c>
      <c r="I41" s="199">
        <v>239251.665835411</v>
      </c>
      <c r="J41" s="199">
        <v>235022.65586034901</v>
      </c>
      <c r="K41" s="199">
        <v>-46934.610972568596</v>
      </c>
      <c r="L41" s="199">
        <v>16643.715710723201</v>
      </c>
      <c r="M41" s="199">
        <v>-63578.354114713198</v>
      </c>
      <c r="N41" s="199">
        <v>265509.541147132</v>
      </c>
      <c r="O41" s="199">
        <v>6286587.9127182001</v>
      </c>
      <c r="P41" s="199">
        <v>5045743.71571072</v>
      </c>
      <c r="Q41" s="199">
        <v>38675.890274314203</v>
      </c>
      <c r="R41" s="199">
        <v>3228808.80548628</v>
      </c>
      <c r="S41" s="199">
        <v>2749418.5361596001</v>
      </c>
      <c r="T41" s="199">
        <v>9515396.5536159594</v>
      </c>
      <c r="U41" s="199">
        <v>5430716.0773067297</v>
      </c>
      <c r="V41" s="199">
        <v>377386.28927680798</v>
      </c>
      <c r="W41" s="199">
        <v>1547654.9526184499</v>
      </c>
      <c r="X41" s="199">
        <v>748742.57107231906</v>
      </c>
    </row>
    <row r="42" spans="1:24">
      <c r="A42" s="1402">
        <v>123</v>
      </c>
      <c r="B42" s="1402" t="s">
        <v>1202</v>
      </c>
      <c r="C42" s="198">
        <v>2017</v>
      </c>
      <c r="D42" s="199">
        <v>8260500.9230769202</v>
      </c>
      <c r="E42" s="199">
        <v>6679100.7948717903</v>
      </c>
      <c r="F42" s="199">
        <v>1581400.36923077</v>
      </c>
      <c r="G42" s="199">
        <v>618066.29743589705</v>
      </c>
      <c r="H42" s="199">
        <v>963334.01025640999</v>
      </c>
      <c r="I42" s="199">
        <v>277539.707692308</v>
      </c>
      <c r="J42" s="199">
        <v>249018.53333333301</v>
      </c>
      <c r="K42" s="199">
        <v>991855.18461538502</v>
      </c>
      <c r="L42" s="199">
        <v>138261.994871795</v>
      </c>
      <c r="M42" s="199">
        <v>853593.26666666695</v>
      </c>
      <c r="N42" s="199">
        <v>71387.666666666701</v>
      </c>
      <c r="O42" s="199">
        <v>5890859.0153846201</v>
      </c>
      <c r="P42" s="199">
        <v>5168033.6666666698</v>
      </c>
      <c r="Q42" s="199">
        <v>32007.015384615399</v>
      </c>
      <c r="R42" s="199">
        <v>2863230.6153846201</v>
      </c>
      <c r="S42" s="199">
        <v>2843646.6717948699</v>
      </c>
      <c r="T42" s="199">
        <v>8754089.6256410293</v>
      </c>
      <c r="U42" s="199">
        <v>4921218.0153846201</v>
      </c>
      <c r="V42" s="199">
        <v>972018.933333333</v>
      </c>
      <c r="W42" s="199">
        <v>654876.81538461498</v>
      </c>
      <c r="X42" s="199">
        <v>654938.37435897405</v>
      </c>
    </row>
    <row r="43" spans="1:24">
      <c r="A43" s="1403"/>
      <c r="B43" s="1403"/>
      <c r="C43" s="198">
        <v>2018</v>
      </c>
      <c r="D43" s="199">
        <v>6895050.5454545496</v>
      </c>
      <c r="E43" s="199">
        <v>6236789.9583333302</v>
      </c>
      <c r="F43" s="199">
        <v>658260.53030303004</v>
      </c>
      <c r="G43" s="199">
        <v>637733.59469696996</v>
      </c>
      <c r="H43" s="199">
        <v>20526.9545454545</v>
      </c>
      <c r="I43" s="199">
        <v>180024.48484848501</v>
      </c>
      <c r="J43" s="199">
        <v>222629.840909091</v>
      </c>
      <c r="K43" s="199">
        <v>-22078.401515151501</v>
      </c>
      <c r="L43" s="199">
        <v>25471.348484848499</v>
      </c>
      <c r="M43" s="199">
        <v>-47549.776515151498</v>
      </c>
      <c r="N43" s="199">
        <v>262659.863636364</v>
      </c>
      <c r="O43" s="199">
        <v>5535632.7613636404</v>
      </c>
      <c r="P43" s="199">
        <v>4758089.9962121202</v>
      </c>
      <c r="Q43" s="199">
        <v>25062.159090909099</v>
      </c>
      <c r="R43" s="199">
        <v>2537699.0075757601</v>
      </c>
      <c r="S43" s="199">
        <v>2587195.8143939399</v>
      </c>
      <c r="T43" s="199">
        <v>8073331.6666666698</v>
      </c>
      <c r="U43" s="199">
        <v>4962234.2159090899</v>
      </c>
      <c r="V43" s="199">
        <v>844588.943181818</v>
      </c>
      <c r="W43" s="199">
        <v>580945.62878787902</v>
      </c>
      <c r="X43" s="199">
        <v>682848.71969696996</v>
      </c>
    </row>
    <row r="44" spans="1:24">
      <c r="A44" s="1404"/>
      <c r="B44" s="1404"/>
      <c r="C44" s="198">
        <v>2019</v>
      </c>
      <c r="D44" s="199">
        <v>7426624.4497991996</v>
      </c>
      <c r="E44" s="199">
        <v>6780535.5823293198</v>
      </c>
      <c r="F44" s="199">
        <v>646088.59839357401</v>
      </c>
      <c r="G44" s="199">
        <v>649616.23694779095</v>
      </c>
      <c r="H44" s="199">
        <v>-3527.7028112449798</v>
      </c>
      <c r="I44" s="199">
        <v>132339.42570281099</v>
      </c>
      <c r="J44" s="199">
        <v>258665.26104417699</v>
      </c>
      <c r="K44" s="199">
        <v>-129853.53815261</v>
      </c>
      <c r="L44" s="199">
        <v>5837.0361445783101</v>
      </c>
      <c r="M44" s="199">
        <v>-135690.57831325301</v>
      </c>
      <c r="N44" s="199">
        <v>289447.00803212897</v>
      </c>
      <c r="O44" s="199">
        <v>5906438.4979919698</v>
      </c>
      <c r="P44" s="199">
        <v>5019498.6465863502</v>
      </c>
      <c r="Q44" s="199">
        <v>37080.004016064297</v>
      </c>
      <c r="R44" s="199">
        <v>2748105.5863453802</v>
      </c>
      <c r="S44" s="199">
        <v>2917327.2570281099</v>
      </c>
      <c r="T44" s="199">
        <v>8654543.9236947801</v>
      </c>
      <c r="U44" s="199">
        <v>5516115.2208835296</v>
      </c>
      <c r="V44" s="199">
        <v>962168.89156626503</v>
      </c>
      <c r="W44" s="199">
        <v>727159.36144578306</v>
      </c>
      <c r="X44" s="199">
        <v>675748.10843373497</v>
      </c>
    </row>
    <row r="45" spans="1:24">
      <c r="A45" s="1402">
        <v>124</v>
      </c>
      <c r="B45" s="1402" t="s">
        <v>1203</v>
      </c>
      <c r="C45" s="198">
        <v>2017</v>
      </c>
      <c r="D45" s="199">
        <v>1681134.0869565201</v>
      </c>
      <c r="E45" s="199">
        <v>1244346.93478261</v>
      </c>
      <c r="F45" s="199">
        <v>436787.06521739101</v>
      </c>
      <c r="G45" s="199">
        <v>309690.630434783</v>
      </c>
      <c r="H45" s="199">
        <v>127096.456521739</v>
      </c>
      <c r="I45" s="199">
        <v>43279.565217391297</v>
      </c>
      <c r="J45" s="199">
        <v>39083.891304347802</v>
      </c>
      <c r="K45" s="199">
        <v>131292.130434783</v>
      </c>
      <c r="L45" s="199">
        <v>12193.391304347801</v>
      </c>
      <c r="M45" s="199">
        <v>119098.717391304</v>
      </c>
      <c r="N45" s="199">
        <v>11754.0869565217</v>
      </c>
      <c r="O45" s="199">
        <v>1118430.6956521701</v>
      </c>
      <c r="P45" s="199">
        <v>475364.21739130397</v>
      </c>
      <c r="Q45" s="199">
        <v>2414.6739130434798</v>
      </c>
      <c r="R45" s="199">
        <v>632119.45652173902</v>
      </c>
      <c r="S45" s="199">
        <v>472045.19565217401</v>
      </c>
      <c r="T45" s="199">
        <v>1750550.2391304299</v>
      </c>
      <c r="U45" s="199">
        <v>1050340.8478260899</v>
      </c>
      <c r="V45" s="199">
        <v>238051.217391304</v>
      </c>
      <c r="W45" s="199">
        <v>80695.456521739106</v>
      </c>
      <c r="X45" s="199">
        <v>113063.82608695699</v>
      </c>
    </row>
    <row r="46" spans="1:24">
      <c r="A46" s="1403"/>
      <c r="B46" s="1403"/>
      <c r="C46" s="198">
        <v>2018</v>
      </c>
      <c r="D46" s="199">
        <v>1750241.1034482799</v>
      </c>
      <c r="E46" s="199">
        <v>1396788.70689655</v>
      </c>
      <c r="F46" s="199">
        <v>353452.310344828</v>
      </c>
      <c r="G46" s="199">
        <v>299753.793103448</v>
      </c>
      <c r="H46" s="199">
        <v>53698.431034482797</v>
      </c>
      <c r="I46" s="199">
        <v>49087.793103448297</v>
      </c>
      <c r="J46" s="199">
        <v>52458.224137931</v>
      </c>
      <c r="K46" s="199">
        <v>50328</v>
      </c>
      <c r="L46" s="199">
        <v>19439.672413793101</v>
      </c>
      <c r="M46" s="199">
        <v>30888.327586206899</v>
      </c>
      <c r="N46" s="199">
        <v>26808.568965517199</v>
      </c>
      <c r="O46" s="199">
        <v>882598.75862068997</v>
      </c>
      <c r="P46" s="199">
        <v>436481.27586206899</v>
      </c>
      <c r="Q46" s="199">
        <v>20540.758620689699</v>
      </c>
      <c r="R46" s="199">
        <v>960109.84482758597</v>
      </c>
      <c r="S46" s="199">
        <v>683938.74137931003</v>
      </c>
      <c r="T46" s="199">
        <v>1842708.5</v>
      </c>
      <c r="U46" s="199">
        <v>1079110.13793103</v>
      </c>
      <c r="V46" s="199">
        <v>234606.310344828</v>
      </c>
      <c r="W46" s="199">
        <v>318142.56896551698</v>
      </c>
      <c r="X46" s="199">
        <v>132004.896551724</v>
      </c>
    </row>
    <row r="47" spans="1:24">
      <c r="A47" s="1404"/>
      <c r="B47" s="1404"/>
      <c r="C47" s="198">
        <v>2019</v>
      </c>
      <c r="D47" s="199">
        <v>1164167.7818181801</v>
      </c>
      <c r="E47" s="199">
        <v>952905.34545454499</v>
      </c>
      <c r="F47" s="199">
        <v>211262.34545454499</v>
      </c>
      <c r="G47" s="199">
        <v>203675.23636363601</v>
      </c>
      <c r="H47" s="199">
        <v>7587.01818181818</v>
      </c>
      <c r="I47" s="199">
        <v>65296.381818181799</v>
      </c>
      <c r="J47" s="199">
        <v>84748.618181818194</v>
      </c>
      <c r="K47" s="199">
        <v>-11865.2181818182</v>
      </c>
      <c r="L47" s="199">
        <v>5039.9090909090901</v>
      </c>
      <c r="M47" s="199">
        <v>-16905.1090909091</v>
      </c>
      <c r="N47" s="199">
        <v>21267.381818181799</v>
      </c>
      <c r="O47" s="199">
        <v>1035727.27272727</v>
      </c>
      <c r="P47" s="199">
        <v>527893.49090909096</v>
      </c>
      <c r="Q47" s="199">
        <v>95500.1090909091</v>
      </c>
      <c r="R47" s="199">
        <v>693502.83636363596</v>
      </c>
      <c r="S47" s="199">
        <v>543714.96363636397</v>
      </c>
      <c r="T47" s="199">
        <v>1729230.3272727299</v>
      </c>
      <c r="U47" s="199">
        <v>1018733.81818182</v>
      </c>
      <c r="V47" s="199">
        <v>105775.818181818</v>
      </c>
      <c r="W47" s="199">
        <v>297243.818181818</v>
      </c>
      <c r="X47" s="199">
        <v>40657.127272727303</v>
      </c>
    </row>
    <row r="48" spans="1:24">
      <c r="A48" s="1402">
        <v>129</v>
      </c>
      <c r="B48" s="1402" t="s">
        <v>1204</v>
      </c>
      <c r="C48" s="198">
        <v>2017</v>
      </c>
      <c r="D48" s="199">
        <v>1596879.5660377401</v>
      </c>
      <c r="E48" s="199">
        <v>1175591.81132075</v>
      </c>
      <c r="F48" s="199">
        <v>421287.67924528301</v>
      </c>
      <c r="G48" s="199">
        <v>300991</v>
      </c>
      <c r="H48" s="199">
        <v>120296.71698113201</v>
      </c>
      <c r="I48" s="199">
        <v>78026.943396226401</v>
      </c>
      <c r="J48" s="199">
        <v>50211.735849056597</v>
      </c>
      <c r="K48" s="199">
        <v>148111.92452830201</v>
      </c>
      <c r="L48" s="199">
        <v>24308.849056603802</v>
      </c>
      <c r="M48" s="199">
        <v>123803.05660377401</v>
      </c>
      <c r="N48" s="199">
        <v>12671.9811320755</v>
      </c>
      <c r="O48" s="199">
        <v>1484658.4339622599</v>
      </c>
      <c r="P48" s="199">
        <v>893340.26415094303</v>
      </c>
      <c r="Q48" s="199">
        <v>2113.1886792452801</v>
      </c>
      <c r="R48" s="199">
        <v>1068749.58490566</v>
      </c>
      <c r="S48" s="199">
        <v>485304.905660377</v>
      </c>
      <c r="T48" s="199">
        <v>2553407.9056603801</v>
      </c>
      <c r="U48" s="199">
        <v>1135456.6603773599</v>
      </c>
      <c r="V48" s="199">
        <v>220651</v>
      </c>
      <c r="W48" s="199">
        <v>165721.01886792501</v>
      </c>
      <c r="X48" s="199">
        <v>101489.471698113</v>
      </c>
    </row>
    <row r="49" spans="1:24">
      <c r="A49" s="1403"/>
      <c r="B49" s="1403"/>
      <c r="C49" s="198">
        <v>2018</v>
      </c>
      <c r="D49" s="199">
        <v>1493105.88</v>
      </c>
      <c r="E49" s="199">
        <v>1157333</v>
      </c>
      <c r="F49" s="199">
        <v>335772.82666666701</v>
      </c>
      <c r="G49" s="199">
        <v>298717.38666666701</v>
      </c>
      <c r="H49" s="199">
        <v>37055.346666666701</v>
      </c>
      <c r="I49" s="199">
        <v>58393.32</v>
      </c>
      <c r="J49" s="199">
        <v>48576.066666666702</v>
      </c>
      <c r="K49" s="199">
        <v>46872.6</v>
      </c>
      <c r="L49" s="199">
        <v>15345.2933333333</v>
      </c>
      <c r="M49" s="199">
        <v>31527.32</v>
      </c>
      <c r="N49" s="199">
        <v>34923.106666666703</v>
      </c>
      <c r="O49" s="199">
        <v>1212313.29333333</v>
      </c>
      <c r="P49" s="199">
        <v>821034.28</v>
      </c>
      <c r="Q49" s="199">
        <v>18622.226666666698</v>
      </c>
      <c r="R49" s="199">
        <v>1096538.7466666701</v>
      </c>
      <c r="S49" s="199">
        <v>632648.01333333296</v>
      </c>
      <c r="T49" s="199">
        <v>2308851.96</v>
      </c>
      <c r="U49" s="199">
        <v>1140405.29333333</v>
      </c>
      <c r="V49" s="199">
        <v>185246.82666666701</v>
      </c>
      <c r="W49" s="199">
        <v>322550.64</v>
      </c>
      <c r="X49" s="199">
        <v>104177.186666667</v>
      </c>
    </row>
    <row r="50" spans="1:24">
      <c r="A50" s="1404"/>
      <c r="B50" s="1404"/>
      <c r="C50" s="198">
        <v>2019</v>
      </c>
      <c r="D50" s="199">
        <v>1008822.35211268</v>
      </c>
      <c r="E50" s="199">
        <v>805614.67605633801</v>
      </c>
      <c r="F50" s="199">
        <v>203207.633802817</v>
      </c>
      <c r="G50" s="199">
        <v>210866.74647887301</v>
      </c>
      <c r="H50" s="199">
        <v>-7659.1971830985904</v>
      </c>
      <c r="I50" s="199">
        <v>91979.239436619697</v>
      </c>
      <c r="J50" s="199">
        <v>78381.8169014085</v>
      </c>
      <c r="K50" s="199">
        <v>5938.2253521126804</v>
      </c>
      <c r="L50" s="199">
        <v>6133.7464788732404</v>
      </c>
      <c r="M50" s="199">
        <v>-195.50704225352101</v>
      </c>
      <c r="N50" s="199">
        <v>31170.591549295801</v>
      </c>
      <c r="O50" s="199">
        <v>1319602.6619718301</v>
      </c>
      <c r="P50" s="199">
        <v>885270.08450704196</v>
      </c>
      <c r="Q50" s="199">
        <v>75051.422535211299</v>
      </c>
      <c r="R50" s="199">
        <v>940235.873239437</v>
      </c>
      <c r="S50" s="199">
        <v>545884.69014084502</v>
      </c>
      <c r="T50" s="199">
        <v>2259838.7605633801</v>
      </c>
      <c r="U50" s="199">
        <v>1055722.1126760601</v>
      </c>
      <c r="V50" s="199">
        <v>83060.521126760606</v>
      </c>
      <c r="W50" s="199">
        <v>312939.873239437</v>
      </c>
      <c r="X50" s="199">
        <v>34732.605633802799</v>
      </c>
    </row>
    <row r="51" spans="1:24">
      <c r="A51" s="1402">
        <v>211</v>
      </c>
      <c r="B51" s="1402" t="s">
        <v>1205</v>
      </c>
      <c r="C51" s="198">
        <v>2017</v>
      </c>
      <c r="D51" s="199">
        <v>12639477.9723757</v>
      </c>
      <c r="E51" s="199">
        <v>11459695.6961326</v>
      </c>
      <c r="F51" s="199">
        <v>1179782.4530386699</v>
      </c>
      <c r="G51" s="199">
        <v>937179.73480662995</v>
      </c>
      <c r="H51" s="199">
        <v>242602.70718232001</v>
      </c>
      <c r="I51" s="199">
        <v>478734.972375691</v>
      </c>
      <c r="J51" s="199">
        <v>765036.17127071798</v>
      </c>
      <c r="K51" s="199">
        <v>-43698.491712707197</v>
      </c>
      <c r="L51" s="199">
        <v>115334.364640884</v>
      </c>
      <c r="M51" s="199">
        <v>-239861.23204419899</v>
      </c>
      <c r="N51" s="199">
        <v>36025.016574585599</v>
      </c>
      <c r="O51" s="199">
        <v>9658629.1049723793</v>
      </c>
      <c r="P51" s="199">
        <v>6587760.83425414</v>
      </c>
      <c r="Q51" s="199">
        <v>41168.712707182298</v>
      </c>
      <c r="R51" s="199">
        <v>7292520.4309392301</v>
      </c>
      <c r="S51" s="199">
        <v>5085414.5801104996</v>
      </c>
      <c r="T51" s="199">
        <v>16951148.861878499</v>
      </c>
      <c r="U51" s="199">
        <v>7106093.8784530396</v>
      </c>
      <c r="V51" s="199">
        <v>2418846.5580110499</v>
      </c>
      <c r="W51" s="199">
        <v>2388919.02762431</v>
      </c>
      <c r="X51" s="199">
        <v>749030.71823204402</v>
      </c>
    </row>
    <row r="52" spans="1:24">
      <c r="A52" s="1403"/>
      <c r="B52" s="1403"/>
      <c r="C52" s="198">
        <v>2018</v>
      </c>
      <c r="D52" s="199">
        <v>9686388.1264822092</v>
      </c>
      <c r="E52" s="199">
        <v>8701992.5098814201</v>
      </c>
      <c r="F52" s="199">
        <v>984395.707509881</v>
      </c>
      <c r="G52" s="199">
        <v>826474.78260869603</v>
      </c>
      <c r="H52" s="199">
        <v>157920.90118577101</v>
      </c>
      <c r="I52" s="199">
        <v>518856.869565217</v>
      </c>
      <c r="J52" s="199">
        <v>561288.97233201598</v>
      </c>
      <c r="K52" s="199">
        <v>115488.798418972</v>
      </c>
      <c r="L52" s="199">
        <v>73725.565217391297</v>
      </c>
      <c r="M52" s="199">
        <v>29233.185770750999</v>
      </c>
      <c r="N52" s="199">
        <v>71722.241106719404</v>
      </c>
      <c r="O52" s="199">
        <v>7203709.1304347804</v>
      </c>
      <c r="P52" s="199">
        <v>4745257.6837944696</v>
      </c>
      <c r="Q52" s="199">
        <v>43177.652173912997</v>
      </c>
      <c r="R52" s="199">
        <v>6812416.7193675898</v>
      </c>
      <c r="S52" s="199">
        <v>4178128.39130435</v>
      </c>
      <c r="T52" s="199">
        <v>14016125.648221301</v>
      </c>
      <c r="U52" s="199">
        <v>6009993.96837945</v>
      </c>
      <c r="V52" s="199">
        <v>2015476.9446640301</v>
      </c>
      <c r="W52" s="199">
        <v>2581358.5415019798</v>
      </c>
      <c r="X52" s="199">
        <v>577408.71936758899</v>
      </c>
    </row>
    <row r="53" spans="1:24">
      <c r="A53" s="1404"/>
      <c r="B53" s="1404"/>
      <c r="C53" s="198">
        <v>2019</v>
      </c>
      <c r="D53" s="199">
        <v>9090057.7312775292</v>
      </c>
      <c r="E53" s="199">
        <v>8273541.3303964799</v>
      </c>
      <c r="F53" s="199">
        <v>816516.97797356802</v>
      </c>
      <c r="G53" s="199">
        <v>820747.08370044106</v>
      </c>
      <c r="H53" s="199">
        <v>-4230.1321585903097</v>
      </c>
      <c r="I53" s="199">
        <v>419825.79295154201</v>
      </c>
      <c r="J53" s="199">
        <v>523174.49339207</v>
      </c>
      <c r="K53" s="199">
        <v>-107578.83259911901</v>
      </c>
      <c r="L53" s="199">
        <v>58034.722466960397</v>
      </c>
      <c r="M53" s="199">
        <v>-214450.95154184999</v>
      </c>
      <c r="N53" s="199">
        <v>76634.030837004393</v>
      </c>
      <c r="O53" s="199">
        <v>7433991.9118942702</v>
      </c>
      <c r="P53" s="199">
        <v>4923612.3612334803</v>
      </c>
      <c r="Q53" s="199">
        <v>44218.273127753302</v>
      </c>
      <c r="R53" s="199">
        <v>6596212.8942731302</v>
      </c>
      <c r="S53" s="199">
        <v>4043261.7312775301</v>
      </c>
      <c r="T53" s="199">
        <v>14030205.0572687</v>
      </c>
      <c r="U53" s="199">
        <v>5987750.5110132201</v>
      </c>
      <c r="V53" s="199">
        <v>1798642.1894273099</v>
      </c>
      <c r="W53" s="199">
        <v>2327535.32599119</v>
      </c>
      <c r="X53" s="199">
        <v>485493.898678414</v>
      </c>
    </row>
    <row r="54" spans="1:24">
      <c r="A54" s="1402">
        <v>212</v>
      </c>
      <c r="B54" s="1402" t="s">
        <v>1206</v>
      </c>
      <c r="C54" s="198">
        <v>2017</v>
      </c>
      <c r="D54" s="199">
        <v>1076070872.5</v>
      </c>
      <c r="E54" s="199">
        <v>489306287.5</v>
      </c>
      <c r="F54" s="199">
        <v>586764341.75</v>
      </c>
      <c r="G54" s="199">
        <v>243005401.75</v>
      </c>
      <c r="H54" s="199">
        <v>343759125</v>
      </c>
      <c r="I54" s="199">
        <v>82567022.25</v>
      </c>
      <c r="J54" s="199">
        <v>82286682</v>
      </c>
      <c r="K54" s="199">
        <v>344039465.25</v>
      </c>
      <c r="L54" s="199">
        <v>72896010</v>
      </c>
      <c r="M54" s="199">
        <v>271143532.75</v>
      </c>
      <c r="N54" s="199">
        <v>9211089.25</v>
      </c>
      <c r="O54" s="199">
        <v>1157286543</v>
      </c>
      <c r="P54" s="199">
        <v>477403599.75</v>
      </c>
      <c r="Q54" s="199">
        <v>6839394.5</v>
      </c>
      <c r="R54" s="199">
        <v>1343731611.5</v>
      </c>
      <c r="S54" s="199">
        <v>673495752.75</v>
      </c>
      <c r="T54" s="199">
        <v>2501017880</v>
      </c>
      <c r="U54" s="199">
        <v>698179817.5</v>
      </c>
      <c r="V54" s="199">
        <v>254368975</v>
      </c>
      <c r="W54" s="199">
        <v>269073843.25</v>
      </c>
      <c r="X54" s="199">
        <v>29021220</v>
      </c>
    </row>
    <row r="55" spans="1:24">
      <c r="A55" s="1403"/>
      <c r="B55" s="1403"/>
      <c r="C55" s="198">
        <v>2018</v>
      </c>
      <c r="D55" s="199">
        <v>1000479652.5</v>
      </c>
      <c r="E55" s="199">
        <v>472519687.5</v>
      </c>
      <c r="F55" s="199">
        <v>527960032.75</v>
      </c>
      <c r="G55" s="199">
        <v>247651598.75</v>
      </c>
      <c r="H55" s="199">
        <v>280308311.5</v>
      </c>
      <c r="I55" s="199">
        <v>83917419.75</v>
      </c>
      <c r="J55" s="199">
        <v>70888300.25</v>
      </c>
      <c r="K55" s="199">
        <v>293337431</v>
      </c>
      <c r="L55" s="199">
        <v>77779967.75</v>
      </c>
      <c r="M55" s="199">
        <v>215557564.5</v>
      </c>
      <c r="N55" s="199">
        <v>9495762.5</v>
      </c>
      <c r="O55" s="199">
        <v>1293423740.25</v>
      </c>
      <c r="P55" s="199">
        <v>506382614</v>
      </c>
      <c r="Q55" s="199">
        <v>7490588.25</v>
      </c>
      <c r="R55" s="199">
        <v>1353941072.5</v>
      </c>
      <c r="S55" s="199">
        <v>743286800.5</v>
      </c>
      <c r="T55" s="199">
        <v>2647364687.5</v>
      </c>
      <c r="U55" s="199">
        <v>765923533.25</v>
      </c>
      <c r="V55" s="199">
        <v>204901095</v>
      </c>
      <c r="W55" s="199">
        <v>301830248</v>
      </c>
      <c r="X55" s="199">
        <v>23459155</v>
      </c>
    </row>
    <row r="56" spans="1:24">
      <c r="A56" s="1404"/>
      <c r="B56" s="1404"/>
      <c r="C56" s="198">
        <v>2019</v>
      </c>
      <c r="D56" s="199">
        <v>1056914827.5</v>
      </c>
      <c r="E56" s="199">
        <v>493559472.5</v>
      </c>
      <c r="F56" s="199">
        <v>563355370</v>
      </c>
      <c r="G56" s="199">
        <v>257406246.75</v>
      </c>
      <c r="H56" s="199">
        <v>305949260.75</v>
      </c>
      <c r="I56" s="199">
        <v>65404514.75</v>
      </c>
      <c r="J56" s="199">
        <v>49209800.5</v>
      </c>
      <c r="K56" s="199">
        <v>322143975</v>
      </c>
      <c r="L56" s="199">
        <v>88242579.75</v>
      </c>
      <c r="M56" s="199">
        <v>233901522</v>
      </c>
      <c r="N56" s="199">
        <v>9553963.5</v>
      </c>
      <c r="O56" s="199">
        <v>1422003432.5</v>
      </c>
      <c r="P56" s="199">
        <v>496275480</v>
      </c>
      <c r="Q56" s="199">
        <v>9561423</v>
      </c>
      <c r="R56" s="199">
        <v>1230498970</v>
      </c>
      <c r="S56" s="199">
        <v>600716291.75</v>
      </c>
      <c r="T56" s="199">
        <v>2652502402.5</v>
      </c>
      <c r="U56" s="199">
        <v>655881841</v>
      </c>
      <c r="V56" s="199">
        <v>215493836</v>
      </c>
      <c r="W56" s="199">
        <v>284935234.5</v>
      </c>
      <c r="X56" s="199">
        <v>21797290</v>
      </c>
    </row>
    <row r="57" spans="1:24">
      <c r="A57" s="1402">
        <v>213</v>
      </c>
      <c r="B57" s="1402" t="s">
        <v>1207</v>
      </c>
      <c r="C57" s="198">
        <v>2017</v>
      </c>
      <c r="D57" s="199">
        <v>12898011.089108899</v>
      </c>
      <c r="E57" s="199">
        <v>11152597.8811881</v>
      </c>
      <c r="F57" s="199">
        <v>1745413.2673267301</v>
      </c>
      <c r="G57" s="199">
        <v>1385930.3960396</v>
      </c>
      <c r="H57" s="199">
        <v>359482.82178217801</v>
      </c>
      <c r="I57" s="199">
        <v>420298.74257425702</v>
      </c>
      <c r="J57" s="199">
        <v>981587.51485148503</v>
      </c>
      <c r="K57" s="199">
        <v>-201805.95049505</v>
      </c>
      <c r="L57" s="199">
        <v>196955.524752475</v>
      </c>
      <c r="M57" s="199">
        <v>-398761.50495049497</v>
      </c>
      <c r="N57" s="199">
        <v>38060.455445544598</v>
      </c>
      <c r="O57" s="199">
        <v>7249792.8811881198</v>
      </c>
      <c r="P57" s="199">
        <v>4635432.5544554498</v>
      </c>
      <c r="Q57" s="199">
        <v>36008.158415841601</v>
      </c>
      <c r="R57" s="199">
        <v>9241043.5247524809</v>
      </c>
      <c r="S57" s="199">
        <v>5510812.4554455401</v>
      </c>
      <c r="T57" s="199">
        <v>16490836.990099</v>
      </c>
      <c r="U57" s="199">
        <v>7332824.2673267303</v>
      </c>
      <c r="V57" s="199">
        <v>1931153.2574257399</v>
      </c>
      <c r="W57" s="199">
        <v>4528494.2178217797</v>
      </c>
      <c r="X57" s="199">
        <v>601442.35643564397</v>
      </c>
    </row>
    <row r="58" spans="1:24">
      <c r="A58" s="1403"/>
      <c r="B58" s="1403"/>
      <c r="C58" s="198">
        <v>2018</v>
      </c>
      <c r="D58" s="199">
        <v>12815315.653465301</v>
      </c>
      <c r="E58" s="199">
        <v>10782653.5544554</v>
      </c>
      <c r="F58" s="199">
        <v>2032662.4554455399</v>
      </c>
      <c r="G58" s="199">
        <v>1305234.7425742601</v>
      </c>
      <c r="H58" s="199">
        <v>727427.79207920795</v>
      </c>
      <c r="I58" s="199">
        <v>417885.10891089099</v>
      </c>
      <c r="J58" s="199">
        <v>393106.59405940602</v>
      </c>
      <c r="K58" s="199">
        <v>752206.30693069298</v>
      </c>
      <c r="L58" s="199">
        <v>165925.55445544599</v>
      </c>
      <c r="M58" s="199">
        <v>586280.70297029696</v>
      </c>
      <c r="N58" s="199">
        <v>78641.861386138597</v>
      </c>
      <c r="O58" s="199">
        <v>7458381.7821782203</v>
      </c>
      <c r="P58" s="199">
        <v>4544088.9306930704</v>
      </c>
      <c r="Q58" s="199">
        <v>45375.574257425702</v>
      </c>
      <c r="R58" s="199">
        <v>9597179.8118811902</v>
      </c>
      <c r="S58" s="199">
        <v>4829599.1683168299</v>
      </c>
      <c r="T58" s="199">
        <v>17055561.801980201</v>
      </c>
      <c r="U58" s="199">
        <v>6459565.6633663401</v>
      </c>
      <c r="V58" s="199">
        <v>2214619.7920792098</v>
      </c>
      <c r="W58" s="199">
        <v>4297603.3663366297</v>
      </c>
      <c r="X58" s="199">
        <v>626301.15841584199</v>
      </c>
    </row>
    <row r="59" spans="1:24">
      <c r="A59" s="1404"/>
      <c r="B59" s="1404"/>
      <c r="C59" s="198">
        <v>2019</v>
      </c>
      <c r="D59" s="199">
        <v>13905813.963855401</v>
      </c>
      <c r="E59" s="199">
        <v>11116794.265060199</v>
      </c>
      <c r="F59" s="199">
        <v>2789019.5421686699</v>
      </c>
      <c r="G59" s="199">
        <v>1571150.06024096</v>
      </c>
      <c r="H59" s="199">
        <v>1217869.4578313299</v>
      </c>
      <c r="I59" s="199">
        <v>517474.53012048203</v>
      </c>
      <c r="J59" s="199">
        <v>446042.42168674699</v>
      </c>
      <c r="K59" s="199">
        <v>1289301.5662650601</v>
      </c>
      <c r="L59" s="199">
        <v>272924.73493975902</v>
      </c>
      <c r="M59" s="199">
        <v>1016377.02409639</v>
      </c>
      <c r="N59" s="199">
        <v>94312.337349397596</v>
      </c>
      <c r="O59" s="199">
        <v>9763702.7469879501</v>
      </c>
      <c r="P59" s="199">
        <v>5680582.2048192797</v>
      </c>
      <c r="Q59" s="199">
        <v>71672</v>
      </c>
      <c r="R59" s="199">
        <v>11583382.2409639</v>
      </c>
      <c r="S59" s="199">
        <v>5501690.5542168701</v>
      </c>
      <c r="T59" s="199">
        <v>21347086.060240999</v>
      </c>
      <c r="U59" s="199">
        <v>7743906.0361445798</v>
      </c>
      <c r="V59" s="199">
        <v>2352006.7228915701</v>
      </c>
      <c r="W59" s="199">
        <v>4993328.6506024096</v>
      </c>
      <c r="X59" s="199">
        <v>767771.44578313304</v>
      </c>
    </row>
    <row r="60" spans="1:24">
      <c r="A60" s="1402">
        <v>214</v>
      </c>
      <c r="B60" s="1402" t="s">
        <v>1208</v>
      </c>
      <c r="C60" s="198">
        <v>2017</v>
      </c>
      <c r="D60" s="199">
        <v>55356583.235042699</v>
      </c>
      <c r="E60" s="199">
        <v>32224023.485042699</v>
      </c>
      <c r="F60" s="199">
        <v>23132561.910256401</v>
      </c>
      <c r="G60" s="199">
        <v>17554145.1517094</v>
      </c>
      <c r="H60" s="199">
        <v>5578417.07051282</v>
      </c>
      <c r="I60" s="199">
        <v>1819943.3611111101</v>
      </c>
      <c r="J60" s="199">
        <v>2806122.1367521398</v>
      </c>
      <c r="K60" s="199">
        <v>4592238.2948717903</v>
      </c>
      <c r="L60" s="199">
        <v>1193846.5149572601</v>
      </c>
      <c r="M60" s="199">
        <v>3394927.7478632499</v>
      </c>
      <c r="N60" s="199">
        <v>370407.23717948701</v>
      </c>
      <c r="O60" s="199">
        <v>60773414.395299099</v>
      </c>
      <c r="P60" s="199">
        <v>29827623.335470099</v>
      </c>
      <c r="Q60" s="199">
        <v>5333250.70940171</v>
      </c>
      <c r="R60" s="199">
        <v>43610844.858974397</v>
      </c>
      <c r="S60" s="199">
        <v>24809493.1517094</v>
      </c>
      <c r="T60" s="199">
        <v>104384257.596154</v>
      </c>
      <c r="U60" s="199">
        <v>36606172.017094001</v>
      </c>
      <c r="V60" s="199">
        <v>15257005.036324801</v>
      </c>
      <c r="W60" s="199">
        <v>10469147.275641</v>
      </c>
      <c r="X60" s="199">
        <v>4241771.0384615399</v>
      </c>
    </row>
    <row r="61" spans="1:24">
      <c r="A61" s="1403"/>
      <c r="B61" s="1403"/>
      <c r="C61" s="198">
        <v>2018</v>
      </c>
      <c r="D61" s="199">
        <v>55784881.656920098</v>
      </c>
      <c r="E61" s="199">
        <v>33679738.105263203</v>
      </c>
      <c r="F61" s="199">
        <v>22105142.701754399</v>
      </c>
      <c r="G61" s="199">
        <v>17953413.573099401</v>
      </c>
      <c r="H61" s="199">
        <v>4151729.1637426899</v>
      </c>
      <c r="I61" s="199">
        <v>2775358.76413255</v>
      </c>
      <c r="J61" s="199">
        <v>2801702.3586744601</v>
      </c>
      <c r="K61" s="199">
        <v>4125385.5692007798</v>
      </c>
      <c r="L61" s="199">
        <v>1410992.12670565</v>
      </c>
      <c r="M61" s="199">
        <v>2714033.4327485398</v>
      </c>
      <c r="N61" s="199">
        <v>525854.36452241696</v>
      </c>
      <c r="O61" s="199">
        <v>55361189.093567297</v>
      </c>
      <c r="P61" s="199">
        <v>30083564.898635499</v>
      </c>
      <c r="Q61" s="199">
        <v>4471019.9805068197</v>
      </c>
      <c r="R61" s="199">
        <v>45054068.261208601</v>
      </c>
      <c r="S61" s="199">
        <v>21448009.0662768</v>
      </c>
      <c r="T61" s="199">
        <v>100415256.60039</v>
      </c>
      <c r="U61" s="199">
        <v>33347810.849902499</v>
      </c>
      <c r="V61" s="199">
        <v>14232070.789473699</v>
      </c>
      <c r="W61" s="199">
        <v>10728937.245614</v>
      </c>
      <c r="X61" s="199">
        <v>4079310.6725146198</v>
      </c>
    </row>
    <row r="62" spans="1:24">
      <c r="A62" s="1404"/>
      <c r="B62" s="1404"/>
      <c r="C62" s="198">
        <v>2019</v>
      </c>
      <c r="D62" s="199">
        <v>61775072.586345397</v>
      </c>
      <c r="E62" s="199">
        <v>37257485.1566265</v>
      </c>
      <c r="F62" s="199">
        <v>24517584.435743</v>
      </c>
      <c r="G62" s="199">
        <v>20317843.166666701</v>
      </c>
      <c r="H62" s="199">
        <v>4199741.2931726901</v>
      </c>
      <c r="I62" s="199">
        <v>2353654.5100401598</v>
      </c>
      <c r="J62" s="199">
        <v>2886024.6104417699</v>
      </c>
      <c r="K62" s="199">
        <v>3667371.19277108</v>
      </c>
      <c r="L62" s="199">
        <v>1194623.6385542201</v>
      </c>
      <c r="M62" s="199">
        <v>2465389.7108433698</v>
      </c>
      <c r="N62" s="199">
        <v>743844.75702811196</v>
      </c>
      <c r="O62" s="199">
        <v>61073610.122490004</v>
      </c>
      <c r="P62" s="199">
        <v>33570928.353413701</v>
      </c>
      <c r="Q62" s="199">
        <v>5116457.19277108</v>
      </c>
      <c r="R62" s="199">
        <v>48379801.433734901</v>
      </c>
      <c r="S62" s="199">
        <v>24252846.2971888</v>
      </c>
      <c r="T62" s="199">
        <v>109453410.11445799</v>
      </c>
      <c r="U62" s="199">
        <v>37623505.552208804</v>
      </c>
      <c r="V62" s="199">
        <v>14586963.913654599</v>
      </c>
      <c r="W62" s="199">
        <v>12445982.8313253</v>
      </c>
      <c r="X62" s="199">
        <v>4810214.8433734896</v>
      </c>
    </row>
    <row r="63" spans="1:24">
      <c r="A63" s="1402">
        <v>215</v>
      </c>
      <c r="B63" s="1402" t="s">
        <v>1209</v>
      </c>
      <c r="C63" s="198">
        <v>2017</v>
      </c>
      <c r="D63" s="199">
        <v>24830783.085409299</v>
      </c>
      <c r="E63" s="199">
        <v>13162855.871886101</v>
      </c>
      <c r="F63" s="199">
        <v>11667926.806642899</v>
      </c>
      <c r="G63" s="199">
        <v>9090260.69869514</v>
      </c>
      <c r="H63" s="199">
        <v>2577665.7805456701</v>
      </c>
      <c r="I63" s="199">
        <v>693514.83629893197</v>
      </c>
      <c r="J63" s="199">
        <v>655022.52075919299</v>
      </c>
      <c r="K63" s="199">
        <v>2616158.0960854101</v>
      </c>
      <c r="L63" s="199">
        <v>628589.51008303696</v>
      </c>
      <c r="M63" s="199">
        <v>1977467.35231317</v>
      </c>
      <c r="N63" s="199">
        <v>261481.73309608499</v>
      </c>
      <c r="O63" s="199">
        <v>14763270.863582401</v>
      </c>
      <c r="P63" s="199">
        <v>8121806.3890866004</v>
      </c>
      <c r="Q63" s="199">
        <v>694297.19217081903</v>
      </c>
      <c r="R63" s="199">
        <v>10667773.4982206</v>
      </c>
      <c r="S63" s="199">
        <v>6271008.0462633502</v>
      </c>
      <c r="T63" s="199">
        <v>25431044.413997602</v>
      </c>
      <c r="U63" s="199">
        <v>8786673.5587188601</v>
      </c>
      <c r="V63" s="199">
        <v>3304853.0735468599</v>
      </c>
      <c r="W63" s="199">
        <v>2379989.7437722399</v>
      </c>
      <c r="X63" s="199">
        <v>1777014.13523132</v>
      </c>
    </row>
    <row r="64" spans="1:24">
      <c r="A64" s="1403"/>
      <c r="B64" s="1403"/>
      <c r="C64" s="198">
        <v>2018</v>
      </c>
      <c r="D64" s="199">
        <v>22668001.773658499</v>
      </c>
      <c r="E64" s="199">
        <v>12328447.3287805</v>
      </c>
      <c r="F64" s="199">
        <v>10339554.123902399</v>
      </c>
      <c r="G64" s="199">
        <v>8243512.0292682899</v>
      </c>
      <c r="H64" s="199">
        <v>2096041.37170732</v>
      </c>
      <c r="I64" s="199">
        <v>458954.52878048801</v>
      </c>
      <c r="J64" s="199">
        <v>497521.20780487801</v>
      </c>
      <c r="K64" s="199">
        <v>2057474.69268293</v>
      </c>
      <c r="L64" s="199">
        <v>554000.08195122005</v>
      </c>
      <c r="M64" s="199">
        <v>1502096.6643902401</v>
      </c>
      <c r="N64" s="199">
        <v>315317.34926829301</v>
      </c>
      <c r="O64" s="199">
        <v>14198801.7843902</v>
      </c>
      <c r="P64" s="199">
        <v>7514782.4731707303</v>
      </c>
      <c r="Q64" s="199">
        <v>617323.34731707303</v>
      </c>
      <c r="R64" s="199">
        <v>9177222.4936585408</v>
      </c>
      <c r="S64" s="199">
        <v>5239889.7395121995</v>
      </c>
      <c r="T64" s="199">
        <v>23376025.197073199</v>
      </c>
      <c r="U64" s="199">
        <v>7820402.3443902396</v>
      </c>
      <c r="V64" s="199">
        <v>2871135.5424390198</v>
      </c>
      <c r="W64" s="199">
        <v>2335613.1765853702</v>
      </c>
      <c r="X64" s="199">
        <v>1348112.3990243899</v>
      </c>
    </row>
    <row r="65" spans="1:24">
      <c r="A65" s="1404"/>
      <c r="B65" s="1404"/>
      <c r="C65" s="198">
        <v>2019</v>
      </c>
      <c r="D65" s="199">
        <v>24695244.115625001</v>
      </c>
      <c r="E65" s="199">
        <v>13093006.7770833</v>
      </c>
      <c r="F65" s="199">
        <v>11602238.30625</v>
      </c>
      <c r="G65" s="199">
        <v>9320952.0635416694</v>
      </c>
      <c r="H65" s="199">
        <v>2281285.1083333301</v>
      </c>
      <c r="I65" s="199">
        <v>675138.31874999998</v>
      </c>
      <c r="J65" s="199">
        <v>762485.72604166705</v>
      </c>
      <c r="K65" s="199">
        <v>2193937.7010416701</v>
      </c>
      <c r="L65" s="199">
        <v>663372.89270833298</v>
      </c>
      <c r="M65" s="199">
        <v>1529469.27291667</v>
      </c>
      <c r="N65" s="199">
        <v>513543.41666666698</v>
      </c>
      <c r="O65" s="199">
        <v>16411015.9427083</v>
      </c>
      <c r="P65" s="199">
        <v>8845742.2604166698</v>
      </c>
      <c r="Q65" s="199">
        <v>641899.957291667</v>
      </c>
      <c r="R65" s="199">
        <v>10291801.211458299</v>
      </c>
      <c r="S65" s="199">
        <v>6357385.7218749998</v>
      </c>
      <c r="T65" s="199">
        <v>26702817.041666701</v>
      </c>
      <c r="U65" s="199">
        <v>9280710.1822916698</v>
      </c>
      <c r="V65" s="199">
        <v>3189081.0947916699</v>
      </c>
      <c r="W65" s="199">
        <v>2444201.1468750001</v>
      </c>
      <c r="X65" s="199">
        <v>1445051.0614583299</v>
      </c>
    </row>
    <row r="66" spans="1:24">
      <c r="A66" s="1402">
        <v>219</v>
      </c>
      <c r="B66" s="1402" t="s">
        <v>1210</v>
      </c>
      <c r="C66" s="198">
        <v>2017</v>
      </c>
      <c r="D66" s="199">
        <v>22672863.167557899</v>
      </c>
      <c r="E66" s="199">
        <v>17916058.2923351</v>
      </c>
      <c r="F66" s="199">
        <v>4756805.0909090899</v>
      </c>
      <c r="G66" s="199">
        <v>2757814.9019607799</v>
      </c>
      <c r="H66" s="199">
        <v>1998990.3190730801</v>
      </c>
      <c r="I66" s="199">
        <v>750177.02673796797</v>
      </c>
      <c r="J66" s="199">
        <v>850110.15151515196</v>
      </c>
      <c r="K66" s="199">
        <v>1899057.1942958999</v>
      </c>
      <c r="L66" s="199">
        <v>361101.84670231701</v>
      </c>
      <c r="M66" s="199">
        <v>1536355.2762923399</v>
      </c>
      <c r="N66" s="199">
        <v>100020.493761141</v>
      </c>
      <c r="O66" s="199">
        <v>16248000.745098</v>
      </c>
      <c r="P66" s="199">
        <v>10158136.1051693</v>
      </c>
      <c r="Q66" s="199">
        <v>823124.06060606102</v>
      </c>
      <c r="R66" s="199">
        <v>10967237.655971499</v>
      </c>
      <c r="S66" s="199">
        <v>6227919.8270944702</v>
      </c>
      <c r="T66" s="199">
        <v>27215238.538324401</v>
      </c>
      <c r="U66" s="199">
        <v>8906807.8680926897</v>
      </c>
      <c r="V66" s="199">
        <v>3857787.0962566799</v>
      </c>
      <c r="W66" s="199">
        <v>2435790.4153297702</v>
      </c>
      <c r="X66" s="199">
        <v>1813684.14973262</v>
      </c>
    </row>
    <row r="67" spans="1:24">
      <c r="A67" s="1403"/>
      <c r="B67" s="1403"/>
      <c r="C67" s="198">
        <v>2018</v>
      </c>
      <c r="D67" s="199">
        <v>23419572.607382599</v>
      </c>
      <c r="E67" s="199">
        <v>18824781.644295301</v>
      </c>
      <c r="F67" s="199">
        <v>4594791.1023489898</v>
      </c>
      <c r="G67" s="199">
        <v>2802784.5654362398</v>
      </c>
      <c r="H67" s="199">
        <v>1792006.6057047001</v>
      </c>
      <c r="I67" s="199">
        <v>856423.65604026802</v>
      </c>
      <c r="J67" s="199">
        <v>768000.38087248302</v>
      </c>
      <c r="K67" s="199">
        <v>1880429.8808724801</v>
      </c>
      <c r="L67" s="199">
        <v>403959.70302013401</v>
      </c>
      <c r="M67" s="199">
        <v>1472443.0285234901</v>
      </c>
      <c r="N67" s="199">
        <v>208546.90436241601</v>
      </c>
      <c r="O67" s="199">
        <v>16109117.998322099</v>
      </c>
      <c r="P67" s="199">
        <v>9709948.4530201294</v>
      </c>
      <c r="Q67" s="199">
        <v>770462.81375838898</v>
      </c>
      <c r="R67" s="199">
        <v>10918446.756711399</v>
      </c>
      <c r="S67" s="199">
        <v>6193653.4228187902</v>
      </c>
      <c r="T67" s="199">
        <v>27027564.261744998</v>
      </c>
      <c r="U67" s="199">
        <v>8586901.5067114104</v>
      </c>
      <c r="V67" s="199">
        <v>3860376.7298657699</v>
      </c>
      <c r="W67" s="199">
        <v>2600330.6912751701</v>
      </c>
      <c r="X67" s="199">
        <v>1861842.2802013401</v>
      </c>
    </row>
    <row r="68" spans="1:24">
      <c r="A68" s="1404"/>
      <c r="B68" s="1404"/>
      <c r="C68" s="198">
        <v>2019</v>
      </c>
      <c r="D68" s="199">
        <v>24771738.142857101</v>
      </c>
      <c r="E68" s="199">
        <v>19388561.611211602</v>
      </c>
      <c r="F68" s="199">
        <v>5383177.7160940301</v>
      </c>
      <c r="G68" s="199">
        <v>3038246.4629294798</v>
      </c>
      <c r="H68" s="199">
        <v>2344931.1193490098</v>
      </c>
      <c r="I68" s="199">
        <v>995461.19349005399</v>
      </c>
      <c r="J68" s="199">
        <v>940333.60036166396</v>
      </c>
      <c r="K68" s="199">
        <v>2400058.7124774</v>
      </c>
      <c r="L68" s="199">
        <v>537799.94213381596</v>
      </c>
      <c r="M68" s="199">
        <v>1861091.52983725</v>
      </c>
      <c r="N68" s="199">
        <v>269836.21880650998</v>
      </c>
      <c r="O68" s="199">
        <v>18046247.748643801</v>
      </c>
      <c r="P68" s="199">
        <v>10751693.1880651</v>
      </c>
      <c r="Q68" s="199">
        <v>826746.67088607606</v>
      </c>
      <c r="R68" s="199">
        <v>13308193.9023508</v>
      </c>
      <c r="S68" s="199">
        <v>6927927.9186256798</v>
      </c>
      <c r="T68" s="199">
        <v>31354444.350813702</v>
      </c>
      <c r="U68" s="199">
        <v>9527272.6690777596</v>
      </c>
      <c r="V68" s="199">
        <v>4153836.5985533502</v>
      </c>
      <c r="W68" s="199">
        <v>3001191.5045208</v>
      </c>
      <c r="X68" s="199">
        <v>1905168.1446654601</v>
      </c>
    </row>
    <row r="69" spans="1:24">
      <c r="A69" s="1402">
        <v>221</v>
      </c>
      <c r="B69" s="1402" t="s">
        <v>1211</v>
      </c>
      <c r="C69" s="198">
        <v>2017</v>
      </c>
      <c r="D69" s="199">
        <v>65326608.808908001</v>
      </c>
      <c r="E69" s="199">
        <v>53630529.356321797</v>
      </c>
      <c r="F69" s="199">
        <v>11696080.3649425</v>
      </c>
      <c r="G69" s="199">
        <v>5738573.1048850603</v>
      </c>
      <c r="H69" s="199">
        <v>5957507.2959770104</v>
      </c>
      <c r="I69" s="199">
        <v>1779388.37643678</v>
      </c>
      <c r="J69" s="199">
        <v>2274089.6537356302</v>
      </c>
      <c r="K69" s="199">
        <v>5462806.0186781604</v>
      </c>
      <c r="L69" s="199">
        <v>1168302.80747126</v>
      </c>
      <c r="M69" s="199">
        <v>4299827.9870689698</v>
      </c>
      <c r="N69" s="199">
        <v>306924.23563218402</v>
      </c>
      <c r="O69" s="199">
        <v>38227785.6882184</v>
      </c>
      <c r="P69" s="199">
        <v>27034906.090517201</v>
      </c>
      <c r="Q69" s="199">
        <v>2590240.2327586198</v>
      </c>
      <c r="R69" s="199">
        <v>25776563.3778736</v>
      </c>
      <c r="S69" s="199">
        <v>16762563.0632184</v>
      </c>
      <c r="T69" s="199">
        <v>64004349.991379298</v>
      </c>
      <c r="U69" s="199">
        <v>23319945.7658046</v>
      </c>
      <c r="V69" s="199">
        <v>10930379.3764368</v>
      </c>
      <c r="W69" s="199">
        <v>6626210.4454023</v>
      </c>
      <c r="X69" s="199">
        <v>5193069.4683908001</v>
      </c>
    </row>
    <row r="70" spans="1:24">
      <c r="A70" s="1403"/>
      <c r="B70" s="1403"/>
      <c r="C70" s="198">
        <v>2018</v>
      </c>
      <c r="D70" s="199">
        <v>64627382.543505698</v>
      </c>
      <c r="E70" s="199">
        <v>54050959.878940701</v>
      </c>
      <c r="F70" s="199">
        <v>10576419.7578815</v>
      </c>
      <c r="G70" s="199">
        <v>5811288.7994955899</v>
      </c>
      <c r="H70" s="199">
        <v>4765131.0882723797</v>
      </c>
      <c r="I70" s="199">
        <v>1474088.7704918</v>
      </c>
      <c r="J70" s="199">
        <v>1523705.37704918</v>
      </c>
      <c r="K70" s="199">
        <v>4715514.4817150095</v>
      </c>
      <c r="L70" s="199">
        <v>1015187.67087011</v>
      </c>
      <c r="M70" s="199">
        <v>3704329.4867591402</v>
      </c>
      <c r="N70" s="199">
        <v>399260.27364438801</v>
      </c>
      <c r="O70" s="199">
        <v>38053216.881462798</v>
      </c>
      <c r="P70" s="199">
        <v>25882987.350567501</v>
      </c>
      <c r="Q70" s="199">
        <v>2434822.6822194201</v>
      </c>
      <c r="R70" s="199">
        <v>24522265.862547301</v>
      </c>
      <c r="S70" s="199">
        <v>15067956.728877701</v>
      </c>
      <c r="T70" s="199">
        <v>62575484.759142503</v>
      </c>
      <c r="U70" s="199">
        <v>23866137.585119799</v>
      </c>
      <c r="V70" s="199">
        <v>10730938.8095839</v>
      </c>
      <c r="W70" s="199">
        <v>7004107.6620428804</v>
      </c>
      <c r="X70" s="199">
        <v>5370072.0983606596</v>
      </c>
    </row>
    <row r="71" spans="1:24">
      <c r="A71" s="1404"/>
      <c r="B71" s="1404"/>
      <c r="C71" s="198">
        <v>2019</v>
      </c>
      <c r="D71" s="199">
        <v>64689336.576769002</v>
      </c>
      <c r="E71" s="199">
        <v>54596550.339118801</v>
      </c>
      <c r="F71" s="199">
        <v>10092791.344459301</v>
      </c>
      <c r="G71" s="199">
        <v>7242037.7650200296</v>
      </c>
      <c r="H71" s="199">
        <v>2850753.5781041398</v>
      </c>
      <c r="I71" s="199">
        <v>1828008.2923898499</v>
      </c>
      <c r="J71" s="199">
        <v>2542394.1481976002</v>
      </c>
      <c r="K71" s="199">
        <v>2136367.7222964</v>
      </c>
      <c r="L71" s="199">
        <v>547622.31108144205</v>
      </c>
      <c r="M71" s="199">
        <v>1632207.7917223</v>
      </c>
      <c r="N71" s="199">
        <v>687773.64619492705</v>
      </c>
      <c r="O71" s="199">
        <v>45728227.953271002</v>
      </c>
      <c r="P71" s="199">
        <v>29417065.7690254</v>
      </c>
      <c r="Q71" s="199">
        <v>2852247.2616822398</v>
      </c>
      <c r="R71" s="199">
        <v>25221000.959946599</v>
      </c>
      <c r="S71" s="199">
        <v>17105051.818424601</v>
      </c>
      <c r="T71" s="199">
        <v>70949238.496662199</v>
      </c>
      <c r="U71" s="199">
        <v>29937732.3164219</v>
      </c>
      <c r="V71" s="199">
        <v>10973071.133511299</v>
      </c>
      <c r="W71" s="199">
        <v>7687291.31909212</v>
      </c>
      <c r="X71" s="199">
        <v>5332318.3805073397</v>
      </c>
    </row>
    <row r="72" spans="1:24">
      <c r="A72" s="1402">
        <v>222</v>
      </c>
      <c r="B72" s="1402" t="s">
        <v>1212</v>
      </c>
      <c r="C72" s="198">
        <v>2017</v>
      </c>
      <c r="D72" s="199">
        <v>13544263.827476</v>
      </c>
      <c r="E72" s="199">
        <v>10304713.159744401</v>
      </c>
      <c r="F72" s="199">
        <v>3239550.9392971201</v>
      </c>
      <c r="G72" s="199">
        <v>2511770.6357827499</v>
      </c>
      <c r="H72" s="199">
        <v>727780.19808306696</v>
      </c>
      <c r="I72" s="199">
        <v>335648.25239616598</v>
      </c>
      <c r="J72" s="199">
        <v>317029.69329073501</v>
      </c>
      <c r="K72" s="199">
        <v>746398.75718849804</v>
      </c>
      <c r="L72" s="199">
        <v>154991.57827475999</v>
      </c>
      <c r="M72" s="199">
        <v>591407.20766773203</v>
      </c>
      <c r="N72" s="199">
        <v>75335.562300319507</v>
      </c>
      <c r="O72" s="199">
        <v>7767638.1022364199</v>
      </c>
      <c r="P72" s="199">
        <v>6164685.5047923299</v>
      </c>
      <c r="Q72" s="199">
        <v>369486.62300319498</v>
      </c>
      <c r="R72" s="199">
        <v>8014873.1437699702</v>
      </c>
      <c r="S72" s="199">
        <v>4509486.3258785903</v>
      </c>
      <c r="T72" s="199">
        <v>15782511.571885001</v>
      </c>
      <c r="U72" s="199">
        <v>6873620.4440894602</v>
      </c>
      <c r="V72" s="199">
        <v>1661862.44408946</v>
      </c>
      <c r="W72" s="199">
        <v>3767409.87220447</v>
      </c>
      <c r="X72" s="199">
        <v>1405103.0095846599</v>
      </c>
    </row>
    <row r="73" spans="1:24">
      <c r="A73" s="1403"/>
      <c r="B73" s="1403"/>
      <c r="C73" s="198">
        <v>2018</v>
      </c>
      <c r="D73" s="199">
        <v>10508676.185096201</v>
      </c>
      <c r="E73" s="199">
        <v>8199870.2548076902</v>
      </c>
      <c r="F73" s="199">
        <v>2308806.9567307699</v>
      </c>
      <c r="G73" s="199">
        <v>1884622.3677884601</v>
      </c>
      <c r="H73" s="199">
        <v>424184.52163461503</v>
      </c>
      <c r="I73" s="199">
        <v>220615.42548076899</v>
      </c>
      <c r="J73" s="199">
        <v>417581.86298076902</v>
      </c>
      <c r="K73" s="199">
        <v>227218.084134615</v>
      </c>
      <c r="L73" s="199">
        <v>69145.831730769205</v>
      </c>
      <c r="M73" s="199">
        <v>157611.6875</v>
      </c>
      <c r="N73" s="199">
        <v>143006.274038462</v>
      </c>
      <c r="O73" s="199">
        <v>5915027.90625</v>
      </c>
      <c r="P73" s="199">
        <v>4515540.7956730798</v>
      </c>
      <c r="Q73" s="199">
        <v>264135.90865384601</v>
      </c>
      <c r="R73" s="199">
        <v>6499443.3173076902</v>
      </c>
      <c r="S73" s="199">
        <v>3324568.4423076902</v>
      </c>
      <c r="T73" s="199">
        <v>12414471.9375</v>
      </c>
      <c r="U73" s="199">
        <v>5671575.5673076902</v>
      </c>
      <c r="V73" s="199">
        <v>1275197.0408653801</v>
      </c>
      <c r="W73" s="199">
        <v>3039601.8365384601</v>
      </c>
      <c r="X73" s="199">
        <v>922215.34855769202</v>
      </c>
    </row>
    <row r="74" spans="1:24">
      <c r="A74" s="1404"/>
      <c r="B74" s="1404"/>
      <c r="C74" s="198">
        <v>2019</v>
      </c>
      <c r="D74" s="199">
        <v>11179579.4575835</v>
      </c>
      <c r="E74" s="199">
        <v>8680221.2956298199</v>
      </c>
      <c r="F74" s="199">
        <v>2499358.2622107998</v>
      </c>
      <c r="G74" s="199">
        <v>2058025.4473007701</v>
      </c>
      <c r="H74" s="199">
        <v>441332.90231362497</v>
      </c>
      <c r="I74" s="199">
        <v>263521.20822622097</v>
      </c>
      <c r="J74" s="199">
        <v>366045.876606684</v>
      </c>
      <c r="K74" s="199">
        <v>338808.233933162</v>
      </c>
      <c r="L74" s="199">
        <v>77754.231362467894</v>
      </c>
      <c r="M74" s="199">
        <v>261054.03856041099</v>
      </c>
      <c r="N74" s="199">
        <v>208680.68123393299</v>
      </c>
      <c r="O74" s="199">
        <v>6363951.8868894596</v>
      </c>
      <c r="P74" s="199">
        <v>4936796.7917737802</v>
      </c>
      <c r="Q74" s="199">
        <v>223555.05398457599</v>
      </c>
      <c r="R74" s="199">
        <v>7255979.65809769</v>
      </c>
      <c r="S74" s="199">
        <v>4081859.3444730099</v>
      </c>
      <c r="T74" s="199">
        <v>13619931.164524401</v>
      </c>
      <c r="U74" s="199">
        <v>6321015.1002570698</v>
      </c>
      <c r="V74" s="199">
        <v>1434192.4961439599</v>
      </c>
      <c r="W74" s="199">
        <v>3413255.3059125999</v>
      </c>
      <c r="X74" s="199">
        <v>1098060.93830334</v>
      </c>
    </row>
    <row r="75" spans="1:24">
      <c r="A75" s="1402">
        <v>223</v>
      </c>
      <c r="B75" s="1402" t="s">
        <v>1213</v>
      </c>
      <c r="C75" s="198">
        <v>2017</v>
      </c>
      <c r="D75" s="199">
        <v>13447670.6182686</v>
      </c>
      <c r="E75" s="199">
        <v>11254152.9710293</v>
      </c>
      <c r="F75" s="199">
        <v>2193517.67791411</v>
      </c>
      <c r="G75" s="199">
        <v>1490487.9594410399</v>
      </c>
      <c r="H75" s="199">
        <v>703029.72392638004</v>
      </c>
      <c r="I75" s="199">
        <v>334047.76482617599</v>
      </c>
      <c r="J75" s="199">
        <v>435993.56918882101</v>
      </c>
      <c r="K75" s="199">
        <v>601083.91956373595</v>
      </c>
      <c r="L75" s="199">
        <v>137076.00545330599</v>
      </c>
      <c r="M75" s="199">
        <v>464518.59679618297</v>
      </c>
      <c r="N75" s="199">
        <v>68099.078050443102</v>
      </c>
      <c r="O75" s="199">
        <v>7933275.94648943</v>
      </c>
      <c r="P75" s="199">
        <v>5826842.6383776404</v>
      </c>
      <c r="Q75" s="199">
        <v>203791.12610770299</v>
      </c>
      <c r="R75" s="199">
        <v>5468491.1618950199</v>
      </c>
      <c r="S75" s="199">
        <v>4211295.3203817299</v>
      </c>
      <c r="T75" s="199">
        <v>13405356.2549421</v>
      </c>
      <c r="U75" s="199">
        <v>6853166.5221540602</v>
      </c>
      <c r="V75" s="199">
        <v>2366285.0674846601</v>
      </c>
      <c r="W75" s="199">
        <v>1206434.99216087</v>
      </c>
      <c r="X75" s="199">
        <v>1301589.3997955001</v>
      </c>
    </row>
    <row r="76" spans="1:24">
      <c r="A76" s="1403"/>
      <c r="B76" s="1403"/>
      <c r="C76" s="198">
        <v>2018</v>
      </c>
      <c r="D76" s="199">
        <v>12245064.8336294</v>
      </c>
      <c r="E76" s="199">
        <v>10344901.138839601</v>
      </c>
      <c r="F76" s="199">
        <v>1900163.5885139101</v>
      </c>
      <c r="G76" s="199">
        <v>1359510.4138543501</v>
      </c>
      <c r="H76" s="199">
        <v>540653.15600947302</v>
      </c>
      <c r="I76" s="199">
        <v>272165.458555358</v>
      </c>
      <c r="J76" s="199">
        <v>338074.08910598001</v>
      </c>
      <c r="K76" s="199">
        <v>474744.52545885101</v>
      </c>
      <c r="L76" s="199">
        <v>106469.357312019</v>
      </c>
      <c r="M76" s="199">
        <v>363332.63735938398</v>
      </c>
      <c r="N76" s="199">
        <v>191403.61042036701</v>
      </c>
      <c r="O76" s="199">
        <v>7372600.1983422097</v>
      </c>
      <c r="P76" s="199">
        <v>5418444.80047365</v>
      </c>
      <c r="Q76" s="199">
        <v>181231.777383067</v>
      </c>
      <c r="R76" s="199">
        <v>4990969.3863232704</v>
      </c>
      <c r="S76" s="199">
        <v>3806980.5198342199</v>
      </c>
      <c r="T76" s="199">
        <v>12366824.5657194</v>
      </c>
      <c r="U76" s="199">
        <v>6328469.7433392499</v>
      </c>
      <c r="V76" s="199">
        <v>2090188.9191829499</v>
      </c>
      <c r="W76" s="199">
        <v>1153109.85642392</v>
      </c>
      <c r="X76" s="199">
        <v>1083714.7513321501</v>
      </c>
    </row>
    <row r="77" spans="1:24">
      <c r="A77" s="1404"/>
      <c r="B77" s="1404"/>
      <c r="C77" s="198">
        <v>2019</v>
      </c>
      <c r="D77" s="199">
        <v>12492965.003405601</v>
      </c>
      <c r="E77" s="199">
        <v>10461413.366253899</v>
      </c>
      <c r="F77" s="199">
        <v>2031551.5006192001</v>
      </c>
      <c r="G77" s="199">
        <v>1460397.1888544899</v>
      </c>
      <c r="H77" s="199">
        <v>571154.29164086701</v>
      </c>
      <c r="I77" s="199">
        <v>346473.02260061901</v>
      </c>
      <c r="J77" s="199">
        <v>377832.70897832798</v>
      </c>
      <c r="K77" s="199">
        <v>539794.60526315798</v>
      </c>
      <c r="L77" s="199">
        <v>107736.834674923</v>
      </c>
      <c r="M77" s="199">
        <v>431280.02074303402</v>
      </c>
      <c r="N77" s="199">
        <v>217998.07399380801</v>
      </c>
      <c r="O77" s="199">
        <v>7911543.9321981398</v>
      </c>
      <c r="P77" s="199">
        <v>5898554.5421052603</v>
      </c>
      <c r="Q77" s="199">
        <v>248108.64582043301</v>
      </c>
      <c r="R77" s="199">
        <v>5267263.56904025</v>
      </c>
      <c r="S77" s="199">
        <v>3903459.7383900899</v>
      </c>
      <c r="T77" s="199">
        <v>13182451.956965899</v>
      </c>
      <c r="U77" s="199">
        <v>6683553.2684210502</v>
      </c>
      <c r="V77" s="199">
        <v>2096333.9786377701</v>
      </c>
      <c r="W77" s="199">
        <v>1234256.8281733701</v>
      </c>
      <c r="X77" s="199">
        <v>1071353.3773993801</v>
      </c>
    </row>
    <row r="78" spans="1:24">
      <c r="A78" s="1402">
        <v>224</v>
      </c>
      <c r="B78" s="1402" t="s">
        <v>1214</v>
      </c>
      <c r="C78" s="198">
        <v>2017</v>
      </c>
      <c r="D78" s="199">
        <v>8296387.6835757401</v>
      </c>
      <c r="E78" s="199">
        <v>7007240.0943596996</v>
      </c>
      <c r="F78" s="199">
        <v>1289147.4780063899</v>
      </c>
      <c r="G78" s="199">
        <v>895822.34356154699</v>
      </c>
      <c r="H78" s="199">
        <v>393325.15076268202</v>
      </c>
      <c r="I78" s="199">
        <v>178674.89428875499</v>
      </c>
      <c r="J78" s="199">
        <v>247266.980489535</v>
      </c>
      <c r="K78" s="199">
        <v>324733.06456190097</v>
      </c>
      <c r="L78" s="199">
        <v>66412.915218162496</v>
      </c>
      <c r="M78" s="199">
        <v>260638.457963817</v>
      </c>
      <c r="N78" s="199">
        <v>39269.466832209997</v>
      </c>
      <c r="O78" s="199">
        <v>5201079.3650230598</v>
      </c>
      <c r="P78" s="199">
        <v>4052804.77385598</v>
      </c>
      <c r="Q78" s="199">
        <v>104249.36520042599</v>
      </c>
      <c r="R78" s="199">
        <v>4144627.8453352302</v>
      </c>
      <c r="S78" s="199">
        <v>3121702.26995388</v>
      </c>
      <c r="T78" s="199">
        <v>9345707.1496984698</v>
      </c>
      <c r="U78" s="199">
        <v>4998051.7507981602</v>
      </c>
      <c r="V78" s="199">
        <v>1534233.58974814</v>
      </c>
      <c r="W78" s="199">
        <v>1039091.3471089</v>
      </c>
      <c r="X78" s="199">
        <v>874210.18818729999</v>
      </c>
    </row>
    <row r="79" spans="1:24">
      <c r="A79" s="1403"/>
      <c r="B79" s="1403"/>
      <c r="C79" s="198">
        <v>2018</v>
      </c>
      <c r="D79" s="199">
        <v>7654756.4946490396</v>
      </c>
      <c r="E79" s="199">
        <v>6494062.1005665697</v>
      </c>
      <c r="F79" s="199">
        <v>1160694.2760465799</v>
      </c>
      <c r="G79" s="199">
        <v>832654.05319483799</v>
      </c>
      <c r="H79" s="199">
        <v>328040.22898961301</v>
      </c>
      <c r="I79" s="199">
        <v>171318.776046585</v>
      </c>
      <c r="J79" s="199">
        <v>222423.85599622299</v>
      </c>
      <c r="K79" s="199">
        <v>276935.14903997502</v>
      </c>
      <c r="L79" s="199">
        <v>62034.1441611583</v>
      </c>
      <c r="M79" s="199">
        <v>213021.72442555899</v>
      </c>
      <c r="N79" s="199">
        <v>148035.565785332</v>
      </c>
      <c r="O79" s="199">
        <v>4902419.4966949997</v>
      </c>
      <c r="P79" s="199">
        <v>3777083.7071136301</v>
      </c>
      <c r="Q79" s="199">
        <v>105085.429965376</v>
      </c>
      <c r="R79" s="199">
        <v>3855234.5649984302</v>
      </c>
      <c r="S79" s="199">
        <v>2922974.05366698</v>
      </c>
      <c r="T79" s="199">
        <v>8757654.1002518106</v>
      </c>
      <c r="U79" s="199">
        <v>4713639.4724582899</v>
      </c>
      <c r="V79" s="199">
        <v>1407082.5132200201</v>
      </c>
      <c r="W79" s="199">
        <v>983061.35694050998</v>
      </c>
      <c r="X79" s="199">
        <v>769126.46238589904</v>
      </c>
    </row>
    <row r="80" spans="1:24">
      <c r="A80" s="1404"/>
      <c r="B80" s="1404"/>
      <c r="C80" s="198">
        <v>2019</v>
      </c>
      <c r="D80" s="199">
        <v>8249965.41639899</v>
      </c>
      <c r="E80" s="199">
        <v>6993431.35283178</v>
      </c>
      <c r="F80" s="199">
        <v>1256533.7695688901</v>
      </c>
      <c r="G80" s="199">
        <v>905448.449027895</v>
      </c>
      <c r="H80" s="199">
        <v>351085.32662721898</v>
      </c>
      <c r="I80" s="199">
        <v>193297.67202028699</v>
      </c>
      <c r="J80" s="199">
        <v>252572.76923076899</v>
      </c>
      <c r="K80" s="199">
        <v>291810.22941673698</v>
      </c>
      <c r="L80" s="199">
        <v>63814.462552831799</v>
      </c>
      <c r="M80" s="199">
        <v>228468.76077768399</v>
      </c>
      <c r="N80" s="199">
        <v>155783.969230769</v>
      </c>
      <c r="O80" s="199">
        <v>5346707.45798817</v>
      </c>
      <c r="P80" s="199">
        <v>4115009.1076923101</v>
      </c>
      <c r="Q80" s="199">
        <v>163000.237024514</v>
      </c>
      <c r="R80" s="199">
        <v>4297648.7675401503</v>
      </c>
      <c r="S80" s="199">
        <v>3211573.9531699098</v>
      </c>
      <c r="T80" s="199">
        <v>9644356.0490278993</v>
      </c>
      <c r="U80" s="199">
        <v>5145571.9316990701</v>
      </c>
      <c r="V80" s="199">
        <v>1489365.6894336401</v>
      </c>
      <c r="W80" s="199">
        <v>1099292.6975486099</v>
      </c>
      <c r="X80" s="199">
        <v>770492.195435334</v>
      </c>
    </row>
    <row r="81" spans="1:24">
      <c r="A81" s="1402">
        <v>225</v>
      </c>
      <c r="B81" s="1402" t="s">
        <v>1215</v>
      </c>
      <c r="C81" s="198">
        <v>2017</v>
      </c>
      <c r="D81" s="199">
        <v>9861786.5188405793</v>
      </c>
      <c r="E81" s="199">
        <v>8095252.0144927502</v>
      </c>
      <c r="F81" s="199">
        <v>1766534.62898551</v>
      </c>
      <c r="G81" s="199">
        <v>1430237.9188405799</v>
      </c>
      <c r="H81" s="199">
        <v>336296.75652173901</v>
      </c>
      <c r="I81" s="199">
        <v>276179.16521739098</v>
      </c>
      <c r="J81" s="199">
        <v>361582.17391304299</v>
      </c>
      <c r="K81" s="199">
        <v>250893.747826087</v>
      </c>
      <c r="L81" s="199">
        <v>27213.460869565199</v>
      </c>
      <c r="M81" s="199">
        <v>300991.41449275397</v>
      </c>
      <c r="N81" s="199">
        <v>96862.191304347798</v>
      </c>
      <c r="O81" s="199">
        <v>5310877.15942029</v>
      </c>
      <c r="P81" s="199">
        <v>3485537.8376811598</v>
      </c>
      <c r="Q81" s="199">
        <v>302741.70144927502</v>
      </c>
      <c r="R81" s="199">
        <v>6414819.7246376798</v>
      </c>
      <c r="S81" s="199">
        <v>4278278.4231884098</v>
      </c>
      <c r="T81" s="199">
        <v>11725695.475362301</v>
      </c>
      <c r="U81" s="199">
        <v>6581665.3826086996</v>
      </c>
      <c r="V81" s="199">
        <v>2572456.7391304299</v>
      </c>
      <c r="W81" s="199">
        <v>1823050.3478260899</v>
      </c>
      <c r="X81" s="199">
        <v>1338257.29565217</v>
      </c>
    </row>
    <row r="82" spans="1:24">
      <c r="A82" s="1403"/>
      <c r="B82" s="1403"/>
      <c r="C82" s="198">
        <v>2018</v>
      </c>
      <c r="D82" s="199">
        <v>8477800.9054373503</v>
      </c>
      <c r="E82" s="199">
        <v>7115171.0070922002</v>
      </c>
      <c r="F82" s="199">
        <v>1362629.3049645401</v>
      </c>
      <c r="G82" s="199">
        <v>1250458.8534279</v>
      </c>
      <c r="H82" s="199">
        <v>112170.446808511</v>
      </c>
      <c r="I82" s="199">
        <v>813155.41607565002</v>
      </c>
      <c r="J82" s="199">
        <v>533141.24822694995</v>
      </c>
      <c r="K82" s="199">
        <v>392184.61465721001</v>
      </c>
      <c r="L82" s="199">
        <v>16278.9101654846</v>
      </c>
      <c r="M82" s="199">
        <v>547847.38297872304</v>
      </c>
      <c r="N82" s="199">
        <v>118112.342789598</v>
      </c>
      <c r="O82" s="199">
        <v>4702109.3947990499</v>
      </c>
      <c r="P82" s="199">
        <v>3124680.9054373498</v>
      </c>
      <c r="Q82" s="199">
        <v>223038.30732860501</v>
      </c>
      <c r="R82" s="199">
        <v>5137362.5744680902</v>
      </c>
      <c r="S82" s="199">
        <v>3586642.78723404</v>
      </c>
      <c r="T82" s="199">
        <v>9839472.57210402</v>
      </c>
      <c r="U82" s="199">
        <v>5348052.4893616997</v>
      </c>
      <c r="V82" s="199">
        <v>2083828.8817966899</v>
      </c>
      <c r="W82" s="199">
        <v>1628380.93380615</v>
      </c>
      <c r="X82" s="199">
        <v>1108820.4822694999</v>
      </c>
    </row>
    <row r="83" spans="1:24">
      <c r="A83" s="1404"/>
      <c r="B83" s="1404"/>
      <c r="C83" s="198">
        <v>2019</v>
      </c>
      <c r="D83" s="199">
        <v>9370428.6528497394</v>
      </c>
      <c r="E83" s="199">
        <v>7734558.0492227999</v>
      </c>
      <c r="F83" s="199">
        <v>1635870.5181347199</v>
      </c>
      <c r="G83" s="199">
        <v>1446299.7953367899</v>
      </c>
      <c r="H83" s="199">
        <v>189570.70984456001</v>
      </c>
      <c r="I83" s="199">
        <v>286099.43005181302</v>
      </c>
      <c r="J83" s="199">
        <v>647298.77979274595</v>
      </c>
      <c r="K83" s="199">
        <v>-171628.639896373</v>
      </c>
      <c r="L83" s="199">
        <v>1350.2253886010401</v>
      </c>
      <c r="M83" s="199">
        <v>-173633.696891192</v>
      </c>
      <c r="N83" s="199">
        <v>141804.525906736</v>
      </c>
      <c r="O83" s="199">
        <v>5159100.9067357499</v>
      </c>
      <c r="P83" s="199">
        <v>3531080.4818652798</v>
      </c>
      <c r="Q83" s="199">
        <v>164480.002590674</v>
      </c>
      <c r="R83" s="199">
        <v>5384857.7253885996</v>
      </c>
      <c r="S83" s="199">
        <v>3828143.7953367899</v>
      </c>
      <c r="T83" s="199">
        <v>10543958.917098399</v>
      </c>
      <c r="U83" s="199">
        <v>5953144.5725388601</v>
      </c>
      <c r="V83" s="199">
        <v>2292969.44300518</v>
      </c>
      <c r="W83" s="199">
        <v>1722533.52331606</v>
      </c>
      <c r="X83" s="199">
        <v>1192003.9844559601</v>
      </c>
    </row>
    <row r="84" spans="1:24">
      <c r="A84" s="1402">
        <v>226</v>
      </c>
      <c r="B84" s="1402" t="s">
        <v>1216</v>
      </c>
      <c r="C84" s="198">
        <v>2017</v>
      </c>
      <c r="D84" s="199">
        <v>7382400.6132952096</v>
      </c>
      <c r="E84" s="199">
        <v>5578992.8699070802</v>
      </c>
      <c r="F84" s="199">
        <v>1803408.06147248</v>
      </c>
      <c r="G84" s="199">
        <v>1207198.6297355299</v>
      </c>
      <c r="H84" s="199">
        <v>596209.40600428905</v>
      </c>
      <c r="I84" s="199">
        <v>230142.64474624701</v>
      </c>
      <c r="J84" s="199">
        <v>270527.27162258798</v>
      </c>
      <c r="K84" s="199">
        <v>555824.77912794903</v>
      </c>
      <c r="L84" s="199">
        <v>92187.671908506105</v>
      </c>
      <c r="M84" s="199">
        <v>483625.75982844899</v>
      </c>
      <c r="N84" s="199">
        <v>68543.224446032895</v>
      </c>
      <c r="O84" s="199">
        <v>3702525.3366690502</v>
      </c>
      <c r="P84" s="199">
        <v>2389675.1786990701</v>
      </c>
      <c r="Q84" s="199">
        <v>282905.96854896401</v>
      </c>
      <c r="R84" s="199">
        <v>4556437.4631879898</v>
      </c>
      <c r="S84" s="199">
        <v>2473577.5761258001</v>
      </c>
      <c r="T84" s="199">
        <v>8258962.9456754802</v>
      </c>
      <c r="U84" s="199">
        <v>3605019.87419585</v>
      </c>
      <c r="V84" s="199">
        <v>1544291.5482487499</v>
      </c>
      <c r="W84" s="199">
        <v>925265.91136526095</v>
      </c>
      <c r="X84" s="199">
        <v>770472.91636883502</v>
      </c>
    </row>
    <row r="85" spans="1:24">
      <c r="A85" s="1403"/>
      <c r="B85" s="1403"/>
      <c r="C85" s="198">
        <v>2018</v>
      </c>
      <c r="D85" s="199">
        <v>7259405.4703448303</v>
      </c>
      <c r="E85" s="199">
        <v>5451295.2951724101</v>
      </c>
      <c r="F85" s="199">
        <v>1808110.21103448</v>
      </c>
      <c r="G85" s="199">
        <v>1244149.8434482799</v>
      </c>
      <c r="H85" s="199">
        <v>563960.37931034504</v>
      </c>
      <c r="I85" s="199">
        <v>398800.22896551702</v>
      </c>
      <c r="J85" s="199">
        <v>263451.28068965499</v>
      </c>
      <c r="K85" s="199">
        <v>699309.32758620696</v>
      </c>
      <c r="L85" s="199">
        <v>143531.44758620701</v>
      </c>
      <c r="M85" s="199">
        <v>556475.41034482804</v>
      </c>
      <c r="N85" s="199">
        <v>123550.988965517</v>
      </c>
      <c r="O85" s="199">
        <v>4033172.38137931</v>
      </c>
      <c r="P85" s="199">
        <v>2506417.80482759</v>
      </c>
      <c r="Q85" s="199">
        <v>267722.704137931</v>
      </c>
      <c r="R85" s="199">
        <v>4501059.2110344796</v>
      </c>
      <c r="S85" s="199">
        <v>2429552.6041379301</v>
      </c>
      <c r="T85" s="199">
        <v>8534231.4255172405</v>
      </c>
      <c r="U85" s="199">
        <v>3612899.5627586199</v>
      </c>
      <c r="V85" s="199">
        <v>1506292.00482759</v>
      </c>
      <c r="W85" s="199">
        <v>930660.34896551701</v>
      </c>
      <c r="X85" s="199">
        <v>682064.85862068995</v>
      </c>
    </row>
    <row r="86" spans="1:24">
      <c r="A86" s="1404"/>
      <c r="B86" s="1404"/>
      <c r="C86" s="198">
        <v>2019</v>
      </c>
      <c r="D86" s="199">
        <v>7767068.6108597303</v>
      </c>
      <c r="E86" s="199">
        <v>5752814.1440422302</v>
      </c>
      <c r="F86" s="199">
        <v>2014254.6131221701</v>
      </c>
      <c r="G86" s="199">
        <v>1410738.29788839</v>
      </c>
      <c r="H86" s="199">
        <v>603516.20814479596</v>
      </c>
      <c r="I86" s="199">
        <v>375543.28733031702</v>
      </c>
      <c r="J86" s="199">
        <v>297479.94343891402</v>
      </c>
      <c r="K86" s="199">
        <v>681579.55203619902</v>
      </c>
      <c r="L86" s="199">
        <v>112820.44645550501</v>
      </c>
      <c r="M86" s="199">
        <v>567961.39592760196</v>
      </c>
      <c r="N86" s="199">
        <v>144573.63725490199</v>
      </c>
      <c r="O86" s="199">
        <v>4572717.06334842</v>
      </c>
      <c r="P86" s="199">
        <v>2786591.68702866</v>
      </c>
      <c r="Q86" s="199">
        <v>271917.68778280501</v>
      </c>
      <c r="R86" s="199">
        <v>5319533.1847662097</v>
      </c>
      <c r="S86" s="199">
        <v>2937513.56561086</v>
      </c>
      <c r="T86" s="199">
        <v>9892250.4426847696</v>
      </c>
      <c r="U86" s="199">
        <v>4237436.83710407</v>
      </c>
      <c r="V86" s="199">
        <v>1668017.63650075</v>
      </c>
      <c r="W86" s="199">
        <v>1220941.19683258</v>
      </c>
      <c r="X86" s="199">
        <v>769471.03092006</v>
      </c>
    </row>
    <row r="87" spans="1:24">
      <c r="A87" s="1402">
        <v>227</v>
      </c>
      <c r="B87" s="1402" t="s">
        <v>1217</v>
      </c>
      <c r="C87" s="198">
        <v>2017</v>
      </c>
      <c r="D87" s="199">
        <v>55356583.235042699</v>
      </c>
      <c r="E87" s="199">
        <v>32224023.485042699</v>
      </c>
      <c r="F87" s="199">
        <v>23132561.910256401</v>
      </c>
      <c r="G87" s="199">
        <v>17554145.1517094</v>
      </c>
      <c r="H87" s="199">
        <v>5578417.07051282</v>
      </c>
      <c r="I87" s="199">
        <v>1819943.3611111101</v>
      </c>
      <c r="J87" s="199">
        <v>2806122.1367521398</v>
      </c>
      <c r="K87" s="199">
        <v>4592238.2948717903</v>
      </c>
      <c r="L87" s="199">
        <v>1193846.5149572601</v>
      </c>
      <c r="M87" s="199">
        <v>3394927.7478632499</v>
      </c>
      <c r="N87" s="199">
        <v>370407.23717948701</v>
      </c>
      <c r="O87" s="199">
        <v>60773414.395299099</v>
      </c>
      <c r="P87" s="199">
        <v>29827623.335470099</v>
      </c>
      <c r="Q87" s="199">
        <v>5333250.70940171</v>
      </c>
      <c r="R87" s="199">
        <v>43610844.858974397</v>
      </c>
      <c r="S87" s="199">
        <v>24809493.1517094</v>
      </c>
      <c r="T87" s="199">
        <v>104384257.596154</v>
      </c>
      <c r="U87" s="199">
        <v>36606172.017094001</v>
      </c>
      <c r="V87" s="199">
        <v>15257005.036324801</v>
      </c>
      <c r="W87" s="199">
        <v>10469147.275641</v>
      </c>
      <c r="X87" s="199">
        <v>4241771.0384615399</v>
      </c>
    </row>
    <row r="88" spans="1:24">
      <c r="A88" s="1403"/>
      <c r="B88" s="1403"/>
      <c r="C88" s="198">
        <v>2018</v>
      </c>
      <c r="D88" s="199">
        <v>55784881.656920098</v>
      </c>
      <c r="E88" s="199">
        <v>33679738.105263203</v>
      </c>
      <c r="F88" s="199">
        <v>22105142.701754399</v>
      </c>
      <c r="G88" s="199">
        <v>17953413.573099401</v>
      </c>
      <c r="H88" s="199">
        <v>4151729.1637426899</v>
      </c>
      <c r="I88" s="199">
        <v>2775358.76413255</v>
      </c>
      <c r="J88" s="199">
        <v>2801702.3586744601</v>
      </c>
      <c r="K88" s="199">
        <v>4125385.5692007798</v>
      </c>
      <c r="L88" s="199">
        <v>1410992.12670565</v>
      </c>
      <c r="M88" s="199">
        <v>2714033.4327485398</v>
      </c>
      <c r="N88" s="199">
        <v>525854.36452241696</v>
      </c>
      <c r="O88" s="199">
        <v>55361189.093567297</v>
      </c>
      <c r="P88" s="199">
        <v>30083564.898635499</v>
      </c>
      <c r="Q88" s="199">
        <v>4471019.9805068197</v>
      </c>
      <c r="R88" s="199">
        <v>45054068.261208601</v>
      </c>
      <c r="S88" s="199">
        <v>21448009.0662768</v>
      </c>
      <c r="T88" s="199">
        <v>100415256.60039</v>
      </c>
      <c r="U88" s="199">
        <v>33347810.849902499</v>
      </c>
      <c r="V88" s="199">
        <v>14232070.789473699</v>
      </c>
      <c r="W88" s="199">
        <v>10728937.245614</v>
      </c>
      <c r="X88" s="199">
        <v>4079310.6725146198</v>
      </c>
    </row>
    <row r="89" spans="1:24">
      <c r="A89" s="1404"/>
      <c r="B89" s="1404"/>
      <c r="C89" s="198">
        <v>2019</v>
      </c>
      <c r="D89" s="199">
        <v>61775072.586345397</v>
      </c>
      <c r="E89" s="199">
        <v>37257485.1566265</v>
      </c>
      <c r="F89" s="199">
        <v>24517584.435743</v>
      </c>
      <c r="G89" s="199">
        <v>20317843.166666701</v>
      </c>
      <c r="H89" s="199">
        <v>4199741.2931726901</v>
      </c>
      <c r="I89" s="199">
        <v>2353654.5100401598</v>
      </c>
      <c r="J89" s="199">
        <v>2886024.6104417699</v>
      </c>
      <c r="K89" s="199">
        <v>3667371.19277108</v>
      </c>
      <c r="L89" s="199">
        <v>1194623.6385542201</v>
      </c>
      <c r="M89" s="199">
        <v>2465389.7108433698</v>
      </c>
      <c r="N89" s="199">
        <v>743844.75702811196</v>
      </c>
      <c r="O89" s="199">
        <v>61073610.122490004</v>
      </c>
      <c r="P89" s="199">
        <v>33570928.353413701</v>
      </c>
      <c r="Q89" s="199">
        <v>5116457.19277108</v>
      </c>
      <c r="R89" s="199">
        <v>48379801.433734901</v>
      </c>
      <c r="S89" s="199">
        <v>24252846.2971888</v>
      </c>
      <c r="T89" s="199">
        <v>109453410.11445799</v>
      </c>
      <c r="U89" s="199">
        <v>37623505.552208804</v>
      </c>
      <c r="V89" s="199">
        <v>14586963.913654599</v>
      </c>
      <c r="W89" s="199">
        <v>12445982.8313253</v>
      </c>
      <c r="X89" s="199">
        <v>4810214.8433734896</v>
      </c>
    </row>
    <row r="90" spans="1:24">
      <c r="A90" s="1402">
        <v>229</v>
      </c>
      <c r="B90" s="1402" t="s">
        <v>1218</v>
      </c>
      <c r="C90" s="198">
        <v>2017</v>
      </c>
      <c r="D90" s="199">
        <v>5297868.3608414195</v>
      </c>
      <c r="E90" s="199">
        <v>4345161.2071197396</v>
      </c>
      <c r="F90" s="199">
        <v>952707.13592232997</v>
      </c>
      <c r="G90" s="199">
        <v>688641.394822006</v>
      </c>
      <c r="H90" s="199">
        <v>264065.72330097097</v>
      </c>
      <c r="I90" s="199">
        <v>94771.330097087397</v>
      </c>
      <c r="J90" s="199">
        <v>122716.606796117</v>
      </c>
      <c r="K90" s="199">
        <v>236120.44660194201</v>
      </c>
      <c r="L90" s="199">
        <v>36661.037216828503</v>
      </c>
      <c r="M90" s="199">
        <v>197929.29611650499</v>
      </c>
      <c r="N90" s="199">
        <v>32210.017799352801</v>
      </c>
      <c r="O90" s="199">
        <v>2397304.0889967601</v>
      </c>
      <c r="P90" s="199">
        <v>1856880.20873786</v>
      </c>
      <c r="Q90" s="199">
        <v>80935.548543689307</v>
      </c>
      <c r="R90" s="199">
        <v>2526587.9336569598</v>
      </c>
      <c r="S90" s="199">
        <v>1632623.11165049</v>
      </c>
      <c r="T90" s="199">
        <v>4923892.0113268597</v>
      </c>
      <c r="U90" s="199">
        <v>2781926.2135922299</v>
      </c>
      <c r="V90" s="199">
        <v>965153.46763753996</v>
      </c>
      <c r="W90" s="199">
        <v>613166.838187702</v>
      </c>
      <c r="X90" s="199">
        <v>585227.42880258895</v>
      </c>
    </row>
    <row r="91" spans="1:24">
      <c r="A91" s="1403"/>
      <c r="B91" s="1403"/>
      <c r="C91" s="198">
        <v>2018</v>
      </c>
      <c r="D91" s="199">
        <v>4950984.8538011704</v>
      </c>
      <c r="E91" s="199">
        <v>4041052.1695906399</v>
      </c>
      <c r="F91" s="199">
        <v>909932.74853801203</v>
      </c>
      <c r="G91" s="199">
        <v>661097.58771929797</v>
      </c>
      <c r="H91" s="199">
        <v>248835.20760233901</v>
      </c>
      <c r="I91" s="199">
        <v>74933.393274853806</v>
      </c>
      <c r="J91" s="199">
        <v>129809.72076023401</v>
      </c>
      <c r="K91" s="199">
        <v>193958.88011695899</v>
      </c>
      <c r="L91" s="199">
        <v>28626.276315789499</v>
      </c>
      <c r="M91" s="199">
        <v>166359.184210526</v>
      </c>
      <c r="N91" s="199">
        <v>85828.884502924004</v>
      </c>
      <c r="O91" s="199">
        <v>2290998.5263157901</v>
      </c>
      <c r="P91" s="199">
        <v>1787154.5160818701</v>
      </c>
      <c r="Q91" s="199">
        <v>95004.947368421097</v>
      </c>
      <c r="R91" s="199">
        <v>2429569.9532163702</v>
      </c>
      <c r="S91" s="199">
        <v>1493418.0146198799</v>
      </c>
      <c r="T91" s="199">
        <v>4720568.4941520505</v>
      </c>
      <c r="U91" s="199">
        <v>2635861.7178362599</v>
      </c>
      <c r="V91" s="199">
        <v>878651.85672514595</v>
      </c>
      <c r="W91" s="199">
        <v>617205.820175439</v>
      </c>
      <c r="X91" s="199">
        <v>483658.30555555603</v>
      </c>
    </row>
    <row r="92" spans="1:24">
      <c r="A92" s="1404"/>
      <c r="B92" s="1404"/>
      <c r="C92" s="198">
        <v>2019</v>
      </c>
      <c r="D92" s="199">
        <v>4741931.2443559105</v>
      </c>
      <c r="E92" s="199">
        <v>3860131.2682602899</v>
      </c>
      <c r="F92" s="199">
        <v>881799.86454183306</v>
      </c>
      <c r="G92" s="199">
        <v>653389.85790172603</v>
      </c>
      <c r="H92" s="199">
        <v>228409.98140770299</v>
      </c>
      <c r="I92" s="199">
        <v>69147.891102257607</v>
      </c>
      <c r="J92" s="199">
        <v>104267.12350597599</v>
      </c>
      <c r="K92" s="199">
        <v>193290.749003984</v>
      </c>
      <c r="L92" s="199">
        <v>29959.335989375799</v>
      </c>
      <c r="M92" s="199">
        <v>163331.39707835301</v>
      </c>
      <c r="N92" s="199">
        <v>75736.464807436903</v>
      </c>
      <c r="O92" s="199">
        <v>2250009.2749004001</v>
      </c>
      <c r="P92" s="199">
        <v>1775027.2084993401</v>
      </c>
      <c r="Q92" s="199">
        <v>80047.956175298794</v>
      </c>
      <c r="R92" s="199">
        <v>2395320.95086321</v>
      </c>
      <c r="S92" s="199">
        <v>1452405.7250995999</v>
      </c>
      <c r="T92" s="199">
        <v>4645330.1859229701</v>
      </c>
      <c r="U92" s="199">
        <v>2591320.2961487402</v>
      </c>
      <c r="V92" s="199">
        <v>848529.07436919003</v>
      </c>
      <c r="W92" s="199">
        <v>585513.72775564401</v>
      </c>
      <c r="X92" s="199">
        <v>449566.10491367901</v>
      </c>
    </row>
    <row r="93" spans="1:24">
      <c r="A93" s="1402">
        <v>231</v>
      </c>
      <c r="B93" s="1402" t="s">
        <v>1219</v>
      </c>
      <c r="C93" s="198">
        <v>2017</v>
      </c>
      <c r="D93" s="199">
        <v>1561059.6428571399</v>
      </c>
      <c r="E93" s="199">
        <v>1255118.7142857099</v>
      </c>
      <c r="F93" s="199">
        <v>305940.85714285698</v>
      </c>
      <c r="G93" s="199">
        <v>742080.07142857101</v>
      </c>
      <c r="H93" s="199">
        <v>-436139.14285714302</v>
      </c>
      <c r="I93" s="199">
        <v>32201.5</v>
      </c>
      <c r="J93" s="199">
        <v>27598.428571428602</v>
      </c>
      <c r="K93" s="199">
        <v>-431536.07142857101</v>
      </c>
      <c r="L93" s="199">
        <v>4229.8571428571404</v>
      </c>
      <c r="M93" s="199">
        <v>-435765.92857142899</v>
      </c>
      <c r="N93" s="199">
        <v>50553.928571428602</v>
      </c>
      <c r="O93" s="199">
        <v>2749814.6428571399</v>
      </c>
      <c r="P93" s="199">
        <v>2669425.2142857099</v>
      </c>
      <c r="Q93" s="199">
        <v>938.78571428571399</v>
      </c>
      <c r="R93" s="199">
        <v>769373.71428571397</v>
      </c>
      <c r="S93" s="199">
        <v>721935.07142857101</v>
      </c>
      <c r="T93" s="199">
        <v>3519188.1428571399</v>
      </c>
      <c r="U93" s="199">
        <v>1693004.7857142901</v>
      </c>
      <c r="V93" s="199">
        <v>184359.07142857101</v>
      </c>
      <c r="W93" s="199">
        <v>127384.071428571</v>
      </c>
      <c r="X93" s="199">
        <v>20458.142857142899</v>
      </c>
    </row>
    <row r="94" spans="1:24">
      <c r="A94" s="1403"/>
      <c r="B94" s="1403"/>
      <c r="C94" s="198">
        <v>2018</v>
      </c>
      <c r="D94" s="199">
        <v>974998.47058823495</v>
      </c>
      <c r="E94" s="199">
        <v>861388.392156863</v>
      </c>
      <c r="F94" s="199">
        <v>113609.843137255</v>
      </c>
      <c r="G94" s="199">
        <v>271503.54901960801</v>
      </c>
      <c r="H94" s="199">
        <v>-157893.66666666701</v>
      </c>
      <c r="I94" s="199">
        <v>6564.7254901960796</v>
      </c>
      <c r="J94" s="199">
        <v>26942.647058823499</v>
      </c>
      <c r="K94" s="199">
        <v>-178271.58823529401</v>
      </c>
      <c r="L94" s="199">
        <v>4342.6274509803898</v>
      </c>
      <c r="M94" s="199">
        <v>-182614.235294118</v>
      </c>
      <c r="N94" s="199">
        <v>33095.490196078397</v>
      </c>
      <c r="O94" s="199">
        <v>1162929.21568627</v>
      </c>
      <c r="P94" s="199">
        <v>1027287.33333333</v>
      </c>
      <c r="Q94" s="199">
        <v>36141</v>
      </c>
      <c r="R94" s="199">
        <v>500848.843137255</v>
      </c>
      <c r="S94" s="199">
        <v>495916.96078431403</v>
      </c>
      <c r="T94" s="199">
        <v>1663778.11764706</v>
      </c>
      <c r="U94" s="199">
        <v>1150421.3921568601</v>
      </c>
      <c r="V94" s="199">
        <v>97777.647058823495</v>
      </c>
      <c r="W94" s="199">
        <v>149177.725490196</v>
      </c>
      <c r="X94" s="199">
        <v>33808.490196078397</v>
      </c>
    </row>
    <row r="95" spans="1:24">
      <c r="A95" s="1404"/>
      <c r="B95" s="1404"/>
      <c r="C95" s="198">
        <v>2019</v>
      </c>
      <c r="D95" s="199">
        <v>1694785.36842105</v>
      </c>
      <c r="E95" s="199">
        <v>1130825.68421053</v>
      </c>
      <c r="F95" s="199">
        <v>563959.52631578897</v>
      </c>
      <c r="G95" s="199">
        <v>723675.15789473697</v>
      </c>
      <c r="H95" s="199">
        <v>-159715.36842105299</v>
      </c>
      <c r="I95" s="199">
        <v>19832.526315789499</v>
      </c>
      <c r="J95" s="199">
        <v>97403.052631578903</v>
      </c>
      <c r="K95" s="199">
        <v>-237285.89473684199</v>
      </c>
      <c r="L95" s="199">
        <v>6319.5789473684199</v>
      </c>
      <c r="M95" s="199">
        <v>-243605.473684211</v>
      </c>
      <c r="N95" s="199">
        <v>57691.052631578903</v>
      </c>
      <c r="O95" s="199">
        <v>3004147.1052631601</v>
      </c>
      <c r="P95" s="199">
        <v>2671859.2631578902</v>
      </c>
      <c r="Q95" s="199">
        <v>19871.684210526299</v>
      </c>
      <c r="R95" s="199">
        <v>1284003.36842105</v>
      </c>
      <c r="S95" s="199">
        <v>2005324.94736842</v>
      </c>
      <c r="T95" s="199">
        <v>4288150.5263157897</v>
      </c>
      <c r="U95" s="199">
        <v>3068353.2105263202</v>
      </c>
      <c r="V95" s="199">
        <v>282534.21052631602</v>
      </c>
      <c r="W95" s="199">
        <v>555312.15789473697</v>
      </c>
      <c r="X95" s="199">
        <v>73065.789473684199</v>
      </c>
    </row>
    <row r="96" spans="1:24">
      <c r="A96" s="1402">
        <v>232</v>
      </c>
      <c r="B96" s="1402" t="s">
        <v>70</v>
      </c>
      <c r="C96" s="198">
        <v>2017</v>
      </c>
      <c r="D96" s="199">
        <v>890144.23076923098</v>
      </c>
      <c r="E96" s="199">
        <v>182933.538461538</v>
      </c>
      <c r="F96" s="199">
        <v>707210.69230769202</v>
      </c>
      <c r="G96" s="199">
        <v>610588.53846153803</v>
      </c>
      <c r="H96" s="199">
        <v>96622</v>
      </c>
      <c r="I96" s="199">
        <v>6336.4615384615399</v>
      </c>
      <c r="J96" s="199">
        <v>17440.8461538462</v>
      </c>
      <c r="K96" s="199">
        <v>85517.615384615405</v>
      </c>
      <c r="L96" s="199">
        <v>3911.23076923077</v>
      </c>
      <c r="M96" s="199">
        <v>81606.307692307702</v>
      </c>
      <c r="N96" s="199">
        <v>49485.538461538497</v>
      </c>
      <c r="O96" s="199">
        <v>1148560.6153846199</v>
      </c>
      <c r="P96" s="199">
        <v>1079241.6923076899</v>
      </c>
      <c r="Q96" s="199">
        <v>61.692307692307701</v>
      </c>
      <c r="R96" s="199">
        <v>249257</v>
      </c>
      <c r="S96" s="199">
        <v>212621.92307692301</v>
      </c>
      <c r="T96" s="199">
        <v>1397817.6923076899</v>
      </c>
      <c r="U96" s="199">
        <v>1074558.5384615399</v>
      </c>
      <c r="V96" s="199">
        <v>22266.1538461538</v>
      </c>
      <c r="W96" s="199">
        <v>23116.692307692301</v>
      </c>
      <c r="X96" s="199">
        <v>8198.3846153846207</v>
      </c>
    </row>
    <row r="97" spans="1:24">
      <c r="A97" s="1403"/>
      <c r="B97" s="1403"/>
      <c r="C97" s="198">
        <v>2018</v>
      </c>
      <c r="D97" s="199">
        <v>1254111.60869565</v>
      </c>
      <c r="E97" s="199">
        <v>261147.652173913</v>
      </c>
      <c r="F97" s="199">
        <v>992964.04347826098</v>
      </c>
      <c r="G97" s="199">
        <v>876373.13043478294</v>
      </c>
      <c r="H97" s="199">
        <v>116590.91304347799</v>
      </c>
      <c r="I97" s="199">
        <v>40645.478260869597</v>
      </c>
      <c r="J97" s="199">
        <v>42099.0869565217</v>
      </c>
      <c r="K97" s="199">
        <v>115137.30434782599</v>
      </c>
      <c r="L97" s="199">
        <v>555.52173913043498</v>
      </c>
      <c r="M97" s="199">
        <v>114581.782608696</v>
      </c>
      <c r="N97" s="199">
        <v>46254.043478260901</v>
      </c>
      <c r="O97" s="199">
        <v>1141595</v>
      </c>
      <c r="P97" s="199">
        <v>1013305.13043478</v>
      </c>
      <c r="Q97" s="199">
        <v>134.95652173913001</v>
      </c>
      <c r="R97" s="199">
        <v>325102.65217391303</v>
      </c>
      <c r="S97" s="199">
        <v>365834.95652173902</v>
      </c>
      <c r="T97" s="199">
        <v>1466697.6521739101</v>
      </c>
      <c r="U97" s="199">
        <v>1118143.04347826</v>
      </c>
      <c r="V97" s="199">
        <v>11735.652173913</v>
      </c>
      <c r="W97" s="199">
        <v>81920.260869565202</v>
      </c>
      <c r="X97" s="199">
        <v>14339.391304347801</v>
      </c>
    </row>
    <row r="98" spans="1:24">
      <c r="A98" s="1404"/>
      <c r="B98" s="1404"/>
      <c r="C98" s="198">
        <v>2019</v>
      </c>
      <c r="D98" s="199">
        <v>1504084.54166667</v>
      </c>
      <c r="E98" s="199">
        <v>297466.41666666698</v>
      </c>
      <c r="F98" s="199">
        <v>1206618.16666667</v>
      </c>
      <c r="G98" s="199">
        <v>1025551.54166667</v>
      </c>
      <c r="H98" s="199">
        <v>181066.70833333299</v>
      </c>
      <c r="I98" s="199">
        <v>30861.666666666701</v>
      </c>
      <c r="J98" s="199">
        <v>31141.25</v>
      </c>
      <c r="K98" s="199">
        <v>180787.125</v>
      </c>
      <c r="L98" s="199">
        <v>4979.5</v>
      </c>
      <c r="M98" s="199">
        <v>175807.58333333299</v>
      </c>
      <c r="N98" s="199">
        <v>59635</v>
      </c>
      <c r="O98" s="199">
        <v>983835.58333333302</v>
      </c>
      <c r="P98" s="199">
        <v>869728.79166666698</v>
      </c>
      <c r="Q98" s="199">
        <v>319.16666666666703</v>
      </c>
      <c r="R98" s="199">
        <v>397732.875</v>
      </c>
      <c r="S98" s="199">
        <v>272550.20833333302</v>
      </c>
      <c r="T98" s="199">
        <v>1381568.45833333</v>
      </c>
      <c r="U98" s="199">
        <v>930898.625</v>
      </c>
      <c r="V98" s="199">
        <v>16567.583333333299</v>
      </c>
      <c r="W98" s="199">
        <v>66314.125</v>
      </c>
      <c r="X98" s="199">
        <v>30309.291666666701</v>
      </c>
    </row>
    <row r="99" spans="1:24">
      <c r="A99" s="1402">
        <v>233</v>
      </c>
      <c r="B99" s="1402" t="s">
        <v>1220</v>
      </c>
      <c r="C99" s="198">
        <v>2017</v>
      </c>
      <c r="D99" s="199">
        <v>6782680.15625</v>
      </c>
      <c r="E99" s="199">
        <v>6064419.78125</v>
      </c>
      <c r="F99" s="199">
        <v>718259.0625</v>
      </c>
      <c r="G99" s="199">
        <v>682368.5</v>
      </c>
      <c r="H99" s="199">
        <v>35890.6875</v>
      </c>
      <c r="I99" s="199">
        <v>51826.53125</v>
      </c>
      <c r="J99" s="199">
        <v>39728.21875</v>
      </c>
      <c r="K99" s="199">
        <v>47989</v>
      </c>
      <c r="L99" s="199">
        <v>3420.28125</v>
      </c>
      <c r="M99" s="199">
        <v>44568.71875</v>
      </c>
      <c r="N99" s="199">
        <v>15856.0625</v>
      </c>
      <c r="O99" s="199">
        <v>388597.53125</v>
      </c>
      <c r="P99" s="199">
        <v>319376.625</v>
      </c>
      <c r="Q99" s="199">
        <v>23194.375</v>
      </c>
      <c r="R99" s="199">
        <v>350797.0625</v>
      </c>
      <c r="S99" s="199">
        <v>135277.5625</v>
      </c>
      <c r="T99" s="199">
        <v>739394.6875</v>
      </c>
      <c r="U99" s="199">
        <v>328135.15625</v>
      </c>
      <c r="V99" s="199">
        <v>42794.0625</v>
      </c>
      <c r="W99" s="199">
        <v>13556.03125</v>
      </c>
      <c r="X99" s="199">
        <v>10505</v>
      </c>
    </row>
    <row r="100" spans="1:24">
      <c r="A100" s="1403"/>
      <c r="B100" s="1403"/>
      <c r="C100" s="198">
        <v>2018</v>
      </c>
      <c r="D100" s="199">
        <v>7516795.13333333</v>
      </c>
      <c r="E100" s="199">
        <v>6756214.0999999996</v>
      </c>
      <c r="F100" s="199">
        <v>760581.76666666695</v>
      </c>
      <c r="G100" s="199">
        <v>807845.23333333305</v>
      </c>
      <c r="H100" s="199">
        <v>-47263.5</v>
      </c>
      <c r="I100" s="199">
        <v>107769.3</v>
      </c>
      <c r="J100" s="199">
        <v>63756.166666666701</v>
      </c>
      <c r="K100" s="199">
        <v>-3250.36666666667</v>
      </c>
      <c r="L100" s="199">
        <v>7036.7666666666701</v>
      </c>
      <c r="M100" s="199">
        <v>-10287.1333333333</v>
      </c>
      <c r="N100" s="199">
        <v>32149.8</v>
      </c>
      <c r="O100" s="199">
        <v>992794.066666667</v>
      </c>
      <c r="P100" s="199">
        <v>894859.46666666702</v>
      </c>
      <c r="Q100" s="199">
        <v>52187.066666666702</v>
      </c>
      <c r="R100" s="199">
        <v>681463.23333333305</v>
      </c>
      <c r="S100" s="199">
        <v>241778.26666666701</v>
      </c>
      <c r="T100" s="199">
        <v>1674257.2666666701</v>
      </c>
      <c r="U100" s="199">
        <v>700818.13333333295</v>
      </c>
      <c r="V100" s="199">
        <v>59783.566666666702</v>
      </c>
      <c r="W100" s="199">
        <v>40825.666666666701</v>
      </c>
      <c r="X100" s="199">
        <v>3863.8333333333298</v>
      </c>
    </row>
    <row r="101" spans="1:24">
      <c r="A101" s="1404"/>
      <c r="B101" s="1404"/>
      <c r="C101" s="198">
        <v>2019</v>
      </c>
      <c r="D101" s="199">
        <v>7738988</v>
      </c>
      <c r="E101" s="199">
        <v>6824534.3030303</v>
      </c>
      <c r="F101" s="199">
        <v>914452.12121212098</v>
      </c>
      <c r="G101" s="199">
        <v>878434.84848484804</v>
      </c>
      <c r="H101" s="199">
        <v>36017.181818181802</v>
      </c>
      <c r="I101" s="199">
        <v>78373.939393939407</v>
      </c>
      <c r="J101" s="199">
        <v>66511.939393939407</v>
      </c>
      <c r="K101" s="199">
        <v>47879.181818181802</v>
      </c>
      <c r="L101" s="199">
        <v>4627.7878787878799</v>
      </c>
      <c r="M101" s="199">
        <v>43251.363636363603</v>
      </c>
      <c r="N101" s="199">
        <v>65144.242424242402</v>
      </c>
      <c r="O101" s="199">
        <v>1243550</v>
      </c>
      <c r="P101" s="199">
        <v>1065719.84848485</v>
      </c>
      <c r="Q101" s="199">
        <v>83235.636363636397</v>
      </c>
      <c r="R101" s="199">
        <v>849872.363636364</v>
      </c>
      <c r="S101" s="199">
        <v>302203.69696969702</v>
      </c>
      <c r="T101" s="199">
        <v>2093422.66666667</v>
      </c>
      <c r="U101" s="199">
        <v>951331.90909090894</v>
      </c>
      <c r="V101" s="199">
        <v>53484.636363636397</v>
      </c>
      <c r="W101" s="199">
        <v>64424.363636363603</v>
      </c>
      <c r="X101" s="199">
        <v>6204.8181818181802</v>
      </c>
    </row>
    <row r="102" spans="1:24">
      <c r="A102" s="1402">
        <v>234</v>
      </c>
      <c r="B102" s="1402" t="s">
        <v>1221</v>
      </c>
      <c r="C102" s="198">
        <v>2017</v>
      </c>
      <c r="D102" s="199">
        <v>8385136.5883684698</v>
      </c>
      <c r="E102" s="199">
        <v>4704469.1700863196</v>
      </c>
      <c r="F102" s="199">
        <v>3680667.6612423901</v>
      </c>
      <c r="G102" s="199">
        <v>3135855.0725909201</v>
      </c>
      <c r="H102" s="199">
        <v>544812.52271119296</v>
      </c>
      <c r="I102" s="199">
        <v>283774.97481250903</v>
      </c>
      <c r="J102" s="199">
        <v>269909.17079383001</v>
      </c>
      <c r="K102" s="199">
        <v>558678.32672987098</v>
      </c>
      <c r="L102" s="199">
        <v>156725.51294750199</v>
      </c>
      <c r="M102" s="199">
        <v>399849.86854393699</v>
      </c>
      <c r="N102" s="199">
        <v>137558.83189472201</v>
      </c>
      <c r="O102" s="199">
        <v>4425603.0734399296</v>
      </c>
      <c r="P102" s="199">
        <v>1262651.31102306</v>
      </c>
      <c r="Q102" s="199">
        <v>825738.40370737202</v>
      </c>
      <c r="R102" s="199">
        <v>4773090.1993773896</v>
      </c>
      <c r="S102" s="199">
        <v>2844809.5705391299</v>
      </c>
      <c r="T102" s="199">
        <v>9208729.9289656095</v>
      </c>
      <c r="U102" s="199">
        <v>3768336.0274515399</v>
      </c>
      <c r="V102" s="199">
        <v>1402546.7447290199</v>
      </c>
      <c r="W102" s="199">
        <v>210284.920050941</v>
      </c>
      <c r="X102" s="199">
        <v>605854.37668034504</v>
      </c>
    </row>
    <row r="103" spans="1:24">
      <c r="A103" s="1403"/>
      <c r="B103" s="1403"/>
      <c r="C103" s="198">
        <v>2018</v>
      </c>
      <c r="D103" s="199">
        <v>8575298.6804951001</v>
      </c>
      <c r="E103" s="199">
        <v>4624795.6775027197</v>
      </c>
      <c r="F103" s="199">
        <v>3950256.5206746501</v>
      </c>
      <c r="G103" s="199">
        <v>3356231.0433895499</v>
      </c>
      <c r="H103" s="199">
        <v>594134.77475516906</v>
      </c>
      <c r="I103" s="199">
        <v>293602.04706202401</v>
      </c>
      <c r="J103" s="199">
        <v>302818.32480957598</v>
      </c>
      <c r="K103" s="199">
        <v>584918.49700761703</v>
      </c>
      <c r="L103" s="199">
        <v>179221.62568008699</v>
      </c>
      <c r="M103" s="199">
        <v>406437.388601741</v>
      </c>
      <c r="N103" s="199">
        <v>191332.65846028301</v>
      </c>
      <c r="O103" s="199">
        <v>4811260.4526659399</v>
      </c>
      <c r="P103" s="199">
        <v>1316177.2457834601</v>
      </c>
      <c r="Q103" s="199">
        <v>977824.55331882497</v>
      </c>
      <c r="R103" s="199">
        <v>4952086.8321545199</v>
      </c>
      <c r="S103" s="199">
        <v>2910886.8200489702</v>
      </c>
      <c r="T103" s="199">
        <v>9841467.8375952095</v>
      </c>
      <c r="U103" s="199">
        <v>3966791.9876224198</v>
      </c>
      <c r="V103" s="199">
        <v>1350338.60065288</v>
      </c>
      <c r="W103" s="199">
        <v>222553.00584874899</v>
      </c>
      <c r="X103" s="199">
        <v>589730.27774755203</v>
      </c>
    </row>
    <row r="104" spans="1:24">
      <c r="A104" s="1404"/>
      <c r="B104" s="1404"/>
      <c r="C104" s="198">
        <v>2019</v>
      </c>
      <c r="D104" s="199">
        <v>10053681.6363365</v>
      </c>
      <c r="E104" s="199">
        <v>5382159.3957866402</v>
      </c>
      <c r="F104" s="199">
        <v>4671105.3566412702</v>
      </c>
      <c r="G104" s="199">
        <v>3992916.2741670399</v>
      </c>
      <c r="H104" s="199">
        <v>678519.482593755</v>
      </c>
      <c r="I104" s="199">
        <v>343747.92828328098</v>
      </c>
      <c r="J104" s="199">
        <v>434114.37591513502</v>
      </c>
      <c r="K104" s="199">
        <v>588153.03496189998</v>
      </c>
      <c r="L104" s="199">
        <v>201212.979381443</v>
      </c>
      <c r="M104" s="199">
        <v>384110.79650380998</v>
      </c>
      <c r="N104" s="199">
        <v>278766.12012550398</v>
      </c>
      <c r="O104" s="199">
        <v>6166966.2025997303</v>
      </c>
      <c r="P104" s="199">
        <v>1798541.90019423</v>
      </c>
      <c r="Q104" s="199">
        <v>991444.073808457</v>
      </c>
      <c r="R104" s="199">
        <v>5731274.0927835098</v>
      </c>
      <c r="S104" s="199">
        <v>3617271.0658897399</v>
      </c>
      <c r="T104" s="199">
        <v>11918311.738980999</v>
      </c>
      <c r="U104" s="199">
        <v>4919534.22904527</v>
      </c>
      <c r="V104" s="199">
        <v>1565969.3252652001</v>
      </c>
      <c r="W104" s="199">
        <v>245050.954728821</v>
      </c>
      <c r="X104" s="199">
        <v>629855.24249215599</v>
      </c>
    </row>
    <row r="105" spans="1:24">
      <c r="A105" s="1402">
        <v>235</v>
      </c>
      <c r="B105" s="1402" t="s">
        <v>1222</v>
      </c>
      <c r="C105" s="198">
        <v>2017</v>
      </c>
      <c r="D105" s="199">
        <v>5968790.8756345203</v>
      </c>
      <c r="E105" s="199">
        <v>4189372.9827411198</v>
      </c>
      <c r="F105" s="199">
        <v>1779417.8649746201</v>
      </c>
      <c r="G105" s="199">
        <v>1278830.1172588801</v>
      </c>
      <c r="H105" s="199">
        <v>500587.74720812199</v>
      </c>
      <c r="I105" s="199">
        <v>122372.874111675</v>
      </c>
      <c r="J105" s="199">
        <v>216856.95786801999</v>
      </c>
      <c r="K105" s="199">
        <v>406103.66345177701</v>
      </c>
      <c r="L105" s="199">
        <v>80405.528934010203</v>
      </c>
      <c r="M105" s="199">
        <v>333225.473604061</v>
      </c>
      <c r="N105" s="199">
        <v>70437.883248730999</v>
      </c>
      <c r="O105" s="199">
        <v>5567233.4923857898</v>
      </c>
      <c r="P105" s="199">
        <v>3156943.3258883199</v>
      </c>
      <c r="Q105" s="199">
        <v>410898.37664974597</v>
      </c>
      <c r="R105" s="199">
        <v>2406702.3187817298</v>
      </c>
      <c r="S105" s="199">
        <v>1814329.4299492401</v>
      </c>
      <c r="T105" s="199">
        <v>7973935.8314720802</v>
      </c>
      <c r="U105" s="199">
        <v>4672516.9020304596</v>
      </c>
      <c r="V105" s="199">
        <v>587568.49847715697</v>
      </c>
      <c r="W105" s="199">
        <v>232074.67817258899</v>
      </c>
      <c r="X105" s="199">
        <v>189188.17512690401</v>
      </c>
    </row>
    <row r="106" spans="1:24">
      <c r="A106" s="1403"/>
      <c r="B106" s="1403"/>
      <c r="C106" s="198">
        <v>2018</v>
      </c>
      <c r="D106" s="199">
        <v>6392063.1835081</v>
      </c>
      <c r="E106" s="199">
        <v>4440177.3460438503</v>
      </c>
      <c r="F106" s="199">
        <v>1951885.6620591001</v>
      </c>
      <c r="G106" s="199">
        <v>1360237.0085795999</v>
      </c>
      <c r="H106" s="199">
        <v>591648.65919923701</v>
      </c>
      <c r="I106" s="199">
        <v>183471.41897044799</v>
      </c>
      <c r="J106" s="199">
        <v>261366.49571019999</v>
      </c>
      <c r="K106" s="199">
        <v>513753.58245948498</v>
      </c>
      <c r="L106" s="199">
        <v>104118.255958055</v>
      </c>
      <c r="M106" s="199">
        <v>408946.17540514801</v>
      </c>
      <c r="N106" s="199">
        <v>155271.04432793101</v>
      </c>
      <c r="O106" s="199">
        <v>5675484.0247855103</v>
      </c>
      <c r="P106" s="199">
        <v>3279425.2521449002</v>
      </c>
      <c r="Q106" s="199">
        <v>326535.443755958</v>
      </c>
      <c r="R106" s="199">
        <v>2580333.0376549098</v>
      </c>
      <c r="S106" s="199">
        <v>1848379.5457578599</v>
      </c>
      <c r="T106" s="199">
        <v>8255817.1234509097</v>
      </c>
      <c r="U106" s="199">
        <v>4513571.2616777904</v>
      </c>
      <c r="V106" s="199">
        <v>558636.36987607204</v>
      </c>
      <c r="W106" s="199">
        <v>216159.91611058201</v>
      </c>
      <c r="X106" s="199">
        <v>165151.84032411801</v>
      </c>
    </row>
    <row r="107" spans="1:24">
      <c r="A107" s="1404"/>
      <c r="B107" s="1404"/>
      <c r="C107" s="198">
        <v>2019</v>
      </c>
      <c r="D107" s="199">
        <v>6619490.5961538497</v>
      </c>
      <c r="E107" s="199">
        <v>4555877.2030542996</v>
      </c>
      <c r="F107" s="199">
        <v>2063613.39536199</v>
      </c>
      <c r="G107" s="199">
        <v>1436497.0701357501</v>
      </c>
      <c r="H107" s="199">
        <v>627116.31787330296</v>
      </c>
      <c r="I107" s="199">
        <v>237430.59162895899</v>
      </c>
      <c r="J107" s="199">
        <v>279625.87104072399</v>
      </c>
      <c r="K107" s="199">
        <v>584921.03846153803</v>
      </c>
      <c r="L107" s="199">
        <v>134697.23076923101</v>
      </c>
      <c r="M107" s="199">
        <v>447522.18552036199</v>
      </c>
      <c r="N107" s="199">
        <v>181266.647624434</v>
      </c>
      <c r="O107" s="199">
        <v>7647423.4490950201</v>
      </c>
      <c r="P107" s="199">
        <v>4470737.1001131199</v>
      </c>
      <c r="Q107" s="199">
        <v>558709.30316742102</v>
      </c>
      <c r="R107" s="199">
        <v>3033497.5175339398</v>
      </c>
      <c r="S107" s="199">
        <v>2141282.4835972898</v>
      </c>
      <c r="T107" s="199">
        <v>10680920.7794118</v>
      </c>
      <c r="U107" s="199">
        <v>6195152.2929864302</v>
      </c>
      <c r="V107" s="199">
        <v>596994.96153846197</v>
      </c>
      <c r="W107" s="199">
        <v>260655.87047511301</v>
      </c>
      <c r="X107" s="199">
        <v>174664.44796380101</v>
      </c>
    </row>
    <row r="108" spans="1:24">
      <c r="A108" s="1402">
        <v>236</v>
      </c>
      <c r="B108" s="1402" t="s">
        <v>1223</v>
      </c>
      <c r="C108" s="198">
        <v>2017</v>
      </c>
      <c r="D108" s="199">
        <v>5866957.4535519099</v>
      </c>
      <c r="E108" s="199">
        <v>2111775.2222222202</v>
      </c>
      <c r="F108" s="199">
        <v>3755182.1693989099</v>
      </c>
      <c r="G108" s="199">
        <v>3384913.2331511802</v>
      </c>
      <c r="H108" s="199">
        <v>370268.93442622997</v>
      </c>
      <c r="I108" s="199">
        <v>157704.96903460799</v>
      </c>
      <c r="J108" s="199">
        <v>135091.50273224001</v>
      </c>
      <c r="K108" s="199">
        <v>392882.40072859701</v>
      </c>
      <c r="L108" s="199">
        <v>73691.874316939895</v>
      </c>
      <c r="M108" s="199">
        <v>308729.81420765002</v>
      </c>
      <c r="N108" s="199">
        <v>205885.42622950801</v>
      </c>
      <c r="O108" s="199">
        <v>4386626.7887067404</v>
      </c>
      <c r="P108" s="199">
        <v>3372786.7723133001</v>
      </c>
      <c r="Q108" s="199">
        <v>191676.94171220399</v>
      </c>
      <c r="R108" s="199">
        <v>2663412.3187613799</v>
      </c>
      <c r="S108" s="199">
        <v>1611876.2531876101</v>
      </c>
      <c r="T108" s="199">
        <v>7050039.1639344301</v>
      </c>
      <c r="U108" s="199">
        <v>2844259.4408014598</v>
      </c>
      <c r="V108" s="199">
        <v>764326.32786885195</v>
      </c>
      <c r="W108" s="199">
        <v>66196.5227686703</v>
      </c>
      <c r="X108" s="199">
        <v>75933.138433515502</v>
      </c>
    </row>
    <row r="109" spans="1:24">
      <c r="A109" s="1403"/>
      <c r="B109" s="1403"/>
      <c r="C109" s="198">
        <v>2018</v>
      </c>
      <c r="D109" s="199">
        <v>5986133.8353344798</v>
      </c>
      <c r="E109" s="199">
        <v>2187483.5471698102</v>
      </c>
      <c r="F109" s="199">
        <v>3798650.3070325898</v>
      </c>
      <c r="G109" s="199">
        <v>3441171.8593481998</v>
      </c>
      <c r="H109" s="199">
        <v>357478.578044597</v>
      </c>
      <c r="I109" s="199">
        <v>264865.09605488903</v>
      </c>
      <c r="J109" s="199">
        <v>218557.92452830201</v>
      </c>
      <c r="K109" s="199">
        <v>403785.74957118399</v>
      </c>
      <c r="L109" s="199">
        <v>78045.746140651798</v>
      </c>
      <c r="M109" s="199">
        <v>325066.52315608901</v>
      </c>
      <c r="N109" s="199">
        <v>257129.22126929701</v>
      </c>
      <c r="O109" s="199">
        <v>4836195.6397941699</v>
      </c>
      <c r="P109" s="199">
        <v>3520750.0360205802</v>
      </c>
      <c r="Q109" s="199">
        <v>194467.22469982799</v>
      </c>
      <c r="R109" s="199">
        <v>2811390.29845626</v>
      </c>
      <c r="S109" s="199">
        <v>1671187.94339623</v>
      </c>
      <c r="T109" s="199">
        <v>7647585.6243567802</v>
      </c>
      <c r="U109" s="199">
        <v>3284608.6895368798</v>
      </c>
      <c r="V109" s="199">
        <v>701202.07718696399</v>
      </c>
      <c r="W109" s="199">
        <v>94117.536878216095</v>
      </c>
      <c r="X109" s="199">
        <v>106522.243567753</v>
      </c>
    </row>
    <row r="110" spans="1:24">
      <c r="A110" s="1404"/>
      <c r="B110" s="1404"/>
      <c r="C110" s="198">
        <v>2019</v>
      </c>
      <c r="D110" s="199">
        <v>8352909.1962264199</v>
      </c>
      <c r="E110" s="199">
        <v>3258140</v>
      </c>
      <c r="F110" s="199">
        <v>5094769.3339622598</v>
      </c>
      <c r="G110" s="199">
        <v>4486676.2075471701</v>
      </c>
      <c r="H110" s="199">
        <v>608093.052830189</v>
      </c>
      <c r="I110" s="199">
        <v>255577.28301886801</v>
      </c>
      <c r="J110" s="199">
        <v>247953.339622642</v>
      </c>
      <c r="K110" s="199">
        <v>615716.99622641504</v>
      </c>
      <c r="L110" s="199">
        <v>104477.89811320799</v>
      </c>
      <c r="M110" s="199">
        <v>511239.030188679</v>
      </c>
      <c r="N110" s="199">
        <v>339328.28490566002</v>
      </c>
      <c r="O110" s="199">
        <v>6125546.4018867901</v>
      </c>
      <c r="P110" s="199">
        <v>4753712.7490566</v>
      </c>
      <c r="Q110" s="199">
        <v>211036.567924528</v>
      </c>
      <c r="R110" s="199">
        <v>3788730.1339622601</v>
      </c>
      <c r="S110" s="199">
        <v>2287172.3150943401</v>
      </c>
      <c r="T110" s="199">
        <v>9914276.8094339594</v>
      </c>
      <c r="U110" s="199">
        <v>4475405.5018867897</v>
      </c>
      <c r="V110" s="199">
        <v>922840.97358490597</v>
      </c>
      <c r="W110" s="199">
        <v>110845.343396226</v>
      </c>
      <c r="X110" s="199">
        <v>133415.14716981101</v>
      </c>
    </row>
    <row r="111" spans="1:24">
      <c r="A111" s="1402">
        <v>237</v>
      </c>
      <c r="B111" s="1402" t="s">
        <v>1224</v>
      </c>
      <c r="C111" s="198">
        <v>2017</v>
      </c>
      <c r="D111" s="199">
        <v>10070045.8229234</v>
      </c>
      <c r="E111" s="199">
        <v>7636268.7398583395</v>
      </c>
      <c r="F111" s="199">
        <v>2433777.3193818401</v>
      </c>
      <c r="G111" s="199">
        <v>1995674.69703799</v>
      </c>
      <c r="H111" s="199">
        <v>438102.64455891802</v>
      </c>
      <c r="I111" s="199">
        <v>396182.36284610402</v>
      </c>
      <c r="J111" s="199">
        <v>406475.06181584002</v>
      </c>
      <c r="K111" s="199">
        <v>427809.94558918203</v>
      </c>
      <c r="L111" s="199">
        <v>102187.750482936</v>
      </c>
      <c r="M111" s="199">
        <v>325622.19317450101</v>
      </c>
      <c r="N111" s="199">
        <v>78241.504185447498</v>
      </c>
      <c r="O111" s="199">
        <v>3333396.4375402401</v>
      </c>
      <c r="P111" s="199">
        <v>1356124.2089504199</v>
      </c>
      <c r="Q111" s="199">
        <v>386462.66967160301</v>
      </c>
      <c r="R111" s="199">
        <v>5505705.2166774003</v>
      </c>
      <c r="S111" s="199">
        <v>3466401.4333548001</v>
      </c>
      <c r="T111" s="199">
        <v>8839101.6687057298</v>
      </c>
      <c r="U111" s="199">
        <v>4626274.5264005195</v>
      </c>
      <c r="V111" s="199">
        <v>2116877.386349</v>
      </c>
      <c r="W111" s="199">
        <v>250401.76336123599</v>
      </c>
      <c r="X111" s="199">
        <v>1095444.2990985201</v>
      </c>
    </row>
    <row r="112" spans="1:24">
      <c r="A112" s="1403"/>
      <c r="B112" s="1403"/>
      <c r="C112" s="198">
        <v>2018</v>
      </c>
      <c r="D112" s="199">
        <v>9481577.8027649801</v>
      </c>
      <c r="E112" s="199">
        <v>7079386.1935483897</v>
      </c>
      <c r="F112" s="199">
        <v>2402191.50599078</v>
      </c>
      <c r="G112" s="199">
        <v>1995581.00184332</v>
      </c>
      <c r="H112" s="199">
        <v>406610.48878648202</v>
      </c>
      <c r="I112" s="199">
        <v>378439.294009217</v>
      </c>
      <c r="J112" s="199">
        <v>341461.90353302599</v>
      </c>
      <c r="K112" s="199">
        <v>443587.87926267303</v>
      </c>
      <c r="L112" s="199">
        <v>166062.842396313</v>
      </c>
      <c r="M112" s="199">
        <v>277525.03932411701</v>
      </c>
      <c r="N112" s="199">
        <v>99705.037173579098</v>
      </c>
      <c r="O112" s="199">
        <v>3679171.7831029198</v>
      </c>
      <c r="P112" s="199">
        <v>1312203.86943164</v>
      </c>
      <c r="Q112" s="199">
        <v>382858.69923195097</v>
      </c>
      <c r="R112" s="199">
        <v>5063675.92165899</v>
      </c>
      <c r="S112" s="199">
        <v>3140048.0605222699</v>
      </c>
      <c r="T112" s="199">
        <v>8742847.6390169002</v>
      </c>
      <c r="U112" s="199">
        <v>4182120.14347158</v>
      </c>
      <c r="V112" s="199">
        <v>1550588.03993856</v>
      </c>
      <c r="W112" s="199">
        <v>227813.335791091</v>
      </c>
      <c r="X112" s="199">
        <v>687757.32227342494</v>
      </c>
    </row>
    <row r="113" spans="1:24">
      <c r="A113" s="1404"/>
      <c r="B113" s="1404"/>
      <c r="C113" s="198">
        <v>2019</v>
      </c>
      <c r="D113" s="199">
        <v>9380215.8518873993</v>
      </c>
      <c r="E113" s="199">
        <v>6720115.2434420995</v>
      </c>
      <c r="F113" s="199">
        <v>2660100.7402431201</v>
      </c>
      <c r="G113" s="199">
        <v>2156016.8003838798</v>
      </c>
      <c r="H113" s="199">
        <v>504083.92994241801</v>
      </c>
      <c r="I113" s="199">
        <v>324012.95233525301</v>
      </c>
      <c r="J113" s="199">
        <v>331168.84868842002</v>
      </c>
      <c r="K113" s="199">
        <v>496928.03358925099</v>
      </c>
      <c r="L113" s="199">
        <v>111174.448176583</v>
      </c>
      <c r="M113" s="199">
        <v>471656.668266155</v>
      </c>
      <c r="N113" s="199">
        <v>91090.865003198996</v>
      </c>
      <c r="O113" s="199">
        <v>3446518.1317978199</v>
      </c>
      <c r="P113" s="199">
        <v>1451119.9257837499</v>
      </c>
      <c r="Q113" s="199">
        <v>374757.14683301299</v>
      </c>
      <c r="R113" s="199">
        <v>5373696.9014715301</v>
      </c>
      <c r="S113" s="199">
        <v>3178199.4785668598</v>
      </c>
      <c r="T113" s="199">
        <v>8820215.0095969308</v>
      </c>
      <c r="U113" s="199">
        <v>4104801.2722328901</v>
      </c>
      <c r="V113" s="199">
        <v>1524686.03230966</v>
      </c>
      <c r="W113" s="199">
        <v>231381.82853486901</v>
      </c>
      <c r="X113" s="199">
        <v>722363.90339091502</v>
      </c>
    </row>
    <row r="114" spans="1:24">
      <c r="A114" s="1402">
        <v>239</v>
      </c>
      <c r="B114" s="1402" t="s">
        <v>1225</v>
      </c>
      <c r="C114" s="198">
        <v>2017</v>
      </c>
      <c r="D114" s="199">
        <v>3790865.00396825</v>
      </c>
      <c r="E114" s="199">
        <v>1509307.6865079401</v>
      </c>
      <c r="F114" s="199">
        <v>2281557.3293650802</v>
      </c>
      <c r="G114" s="199">
        <v>2087419.0634920599</v>
      </c>
      <c r="H114" s="199">
        <v>194138.319444444</v>
      </c>
      <c r="I114" s="199">
        <v>159415.15277777801</v>
      </c>
      <c r="J114" s="199">
        <v>183652.34722222199</v>
      </c>
      <c r="K114" s="199">
        <v>169901.125</v>
      </c>
      <c r="L114" s="199">
        <v>40919.218253968298</v>
      </c>
      <c r="M114" s="199">
        <v>128981.93452381001</v>
      </c>
      <c r="N114" s="199">
        <v>82514.744047618995</v>
      </c>
      <c r="O114" s="199">
        <v>4218452.3095238097</v>
      </c>
      <c r="P114" s="199">
        <v>3385023.5853174599</v>
      </c>
      <c r="Q114" s="199">
        <v>62311.488095238099</v>
      </c>
      <c r="R114" s="199">
        <v>2037214.2718253999</v>
      </c>
      <c r="S114" s="199">
        <v>1719424.6567460301</v>
      </c>
      <c r="T114" s="199">
        <v>6255666.7380952397</v>
      </c>
      <c r="U114" s="199">
        <v>3121224.2222222202</v>
      </c>
      <c r="V114" s="199">
        <v>316447.08730158699</v>
      </c>
      <c r="W114" s="199">
        <v>89983.587301587293</v>
      </c>
      <c r="X114" s="199">
        <v>75740.575396825399</v>
      </c>
    </row>
    <row r="115" spans="1:24">
      <c r="A115" s="1403"/>
      <c r="B115" s="1403"/>
      <c r="C115" s="198">
        <v>2018</v>
      </c>
      <c r="D115" s="199">
        <v>4105854.80626223</v>
      </c>
      <c r="E115" s="199">
        <v>1857031.04305284</v>
      </c>
      <c r="F115" s="199">
        <v>2248823.7103718198</v>
      </c>
      <c r="G115" s="199">
        <v>2087909.02935421</v>
      </c>
      <c r="H115" s="199">
        <v>160914.72407045</v>
      </c>
      <c r="I115" s="199">
        <v>158150.998043053</v>
      </c>
      <c r="J115" s="199">
        <v>172867.01369863001</v>
      </c>
      <c r="K115" s="199">
        <v>146198.70841487299</v>
      </c>
      <c r="L115" s="199">
        <v>18138.387475538198</v>
      </c>
      <c r="M115" s="199">
        <v>128060.313111546</v>
      </c>
      <c r="N115" s="199">
        <v>85777.017612524505</v>
      </c>
      <c r="O115" s="199">
        <v>5061697.8375733905</v>
      </c>
      <c r="P115" s="199">
        <v>4122365.1585127199</v>
      </c>
      <c r="Q115" s="199">
        <v>127696.78473581201</v>
      </c>
      <c r="R115" s="199">
        <v>2510733.04305284</v>
      </c>
      <c r="S115" s="199">
        <v>1981306.3894324901</v>
      </c>
      <c r="T115" s="199">
        <v>7572430.9315068498</v>
      </c>
      <c r="U115" s="199">
        <v>3372179.56360078</v>
      </c>
      <c r="V115" s="199">
        <v>356799.39334637998</v>
      </c>
      <c r="W115" s="199">
        <v>188510.647749511</v>
      </c>
      <c r="X115" s="199">
        <v>91006.6810176125</v>
      </c>
    </row>
    <row r="116" spans="1:24">
      <c r="A116" s="1404"/>
      <c r="B116" s="1404"/>
      <c r="C116" s="198">
        <v>2019</v>
      </c>
      <c r="D116" s="199">
        <v>4454871.8264758503</v>
      </c>
      <c r="E116" s="199">
        <v>1905963.7960644001</v>
      </c>
      <c r="F116" s="199">
        <v>2548908.2146690502</v>
      </c>
      <c r="G116" s="199">
        <v>2252338.0161001799</v>
      </c>
      <c r="H116" s="199">
        <v>296570.162790698</v>
      </c>
      <c r="I116" s="199">
        <v>195952.56350626101</v>
      </c>
      <c r="J116" s="199">
        <v>178291.071556351</v>
      </c>
      <c r="K116" s="199">
        <v>314231.65474060801</v>
      </c>
      <c r="L116" s="199">
        <v>44994.423971377502</v>
      </c>
      <c r="M116" s="199">
        <v>269237.22540250397</v>
      </c>
      <c r="N116" s="199">
        <v>110930.92307692301</v>
      </c>
      <c r="O116" s="199">
        <v>4804041.0143112699</v>
      </c>
      <c r="P116" s="199">
        <v>3399403.1288014301</v>
      </c>
      <c r="Q116" s="199">
        <v>389436.194991055</v>
      </c>
      <c r="R116" s="199">
        <v>2876782.48479428</v>
      </c>
      <c r="S116" s="199">
        <v>1880586.3434704801</v>
      </c>
      <c r="T116" s="199">
        <v>7680823.5116279097</v>
      </c>
      <c r="U116" s="199">
        <v>3607661.6887298701</v>
      </c>
      <c r="V116" s="199">
        <v>334923.70125223597</v>
      </c>
      <c r="W116" s="199">
        <v>169671.08407871201</v>
      </c>
      <c r="X116" s="199">
        <v>93120.168157424006</v>
      </c>
    </row>
  </sheetData>
  <mergeCells count="81">
    <mergeCell ref="A102:A104"/>
    <mergeCell ref="B102:B104"/>
    <mergeCell ref="A114:A116"/>
    <mergeCell ref="B114:B116"/>
    <mergeCell ref="A105:A107"/>
    <mergeCell ref="B105:B107"/>
    <mergeCell ref="A108:A110"/>
    <mergeCell ref="B108:B110"/>
    <mergeCell ref="A111:A113"/>
    <mergeCell ref="B111:B113"/>
    <mergeCell ref="A93:A95"/>
    <mergeCell ref="B93:B95"/>
    <mergeCell ref="A96:A98"/>
    <mergeCell ref="B96:B98"/>
    <mergeCell ref="A99:A101"/>
    <mergeCell ref="B99:B101"/>
    <mergeCell ref="A84:A86"/>
    <mergeCell ref="B84:B86"/>
    <mergeCell ref="A87:A89"/>
    <mergeCell ref="B87:B89"/>
    <mergeCell ref="A90:A92"/>
    <mergeCell ref="B90:B92"/>
    <mergeCell ref="A75:A77"/>
    <mergeCell ref="B75:B77"/>
    <mergeCell ref="A78:A80"/>
    <mergeCell ref="B78:B80"/>
    <mergeCell ref="A81:A83"/>
    <mergeCell ref="B81:B83"/>
    <mergeCell ref="A66:A68"/>
    <mergeCell ref="B66:B68"/>
    <mergeCell ref="A69:A71"/>
    <mergeCell ref="B69:B71"/>
    <mergeCell ref="A72:A74"/>
    <mergeCell ref="B72:B74"/>
    <mergeCell ref="A57:A59"/>
    <mergeCell ref="B57:B59"/>
    <mergeCell ref="A60:A62"/>
    <mergeCell ref="B60:B62"/>
    <mergeCell ref="A63:A65"/>
    <mergeCell ref="B63:B65"/>
    <mergeCell ref="A48:A50"/>
    <mergeCell ref="B48:B50"/>
    <mergeCell ref="A51:A53"/>
    <mergeCell ref="B51:B53"/>
    <mergeCell ref="A54:A56"/>
    <mergeCell ref="B54:B56"/>
    <mergeCell ref="A39:A41"/>
    <mergeCell ref="B39:B41"/>
    <mergeCell ref="A42:A44"/>
    <mergeCell ref="B42:B44"/>
    <mergeCell ref="A45:A47"/>
    <mergeCell ref="B45:B47"/>
    <mergeCell ref="A30:A32"/>
    <mergeCell ref="B30:B32"/>
    <mergeCell ref="A33:A35"/>
    <mergeCell ref="B33:B35"/>
    <mergeCell ref="A36:A38"/>
    <mergeCell ref="B36:B38"/>
    <mergeCell ref="A21:A23"/>
    <mergeCell ref="B21:B23"/>
    <mergeCell ref="A24:A26"/>
    <mergeCell ref="B24:B26"/>
    <mergeCell ref="A27:A29"/>
    <mergeCell ref="B27:B29"/>
    <mergeCell ref="A12:A14"/>
    <mergeCell ref="B12:B14"/>
    <mergeCell ref="A15:A17"/>
    <mergeCell ref="B15:B17"/>
    <mergeCell ref="A18:A20"/>
    <mergeCell ref="B18:B20"/>
    <mergeCell ref="D1:N1"/>
    <mergeCell ref="O1:X1"/>
    <mergeCell ref="A6:A8"/>
    <mergeCell ref="B6:B8"/>
    <mergeCell ref="A9:A11"/>
    <mergeCell ref="B9:B11"/>
    <mergeCell ref="A3:A5"/>
    <mergeCell ref="B3:B5"/>
    <mergeCell ref="A1:A2"/>
    <mergeCell ref="B1:B2"/>
    <mergeCell ref="C1:C2"/>
  </mergeCells>
  <phoneticPr fontId="11"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
    <tabColor theme="1"/>
  </sheetPr>
  <dimension ref="A1:X98"/>
  <sheetViews>
    <sheetView workbookViewId="0">
      <selection activeCell="F11" sqref="F11"/>
    </sheetView>
  </sheetViews>
  <sheetFormatPr defaultRowHeight="13.5"/>
  <sheetData>
    <row r="1" spans="1:24">
      <c r="A1" s="1401" t="s">
        <v>2442</v>
      </c>
      <c r="B1" s="1401" t="s">
        <v>2443</v>
      </c>
      <c r="C1" s="1405" t="s">
        <v>2444</v>
      </c>
      <c r="D1" s="1401" t="s">
        <v>2445</v>
      </c>
      <c r="E1" s="1401"/>
      <c r="F1" s="1401"/>
      <c r="G1" s="1401"/>
      <c r="H1" s="1401"/>
      <c r="I1" s="1401"/>
      <c r="J1" s="1401"/>
      <c r="K1" s="1401"/>
      <c r="L1" s="1401"/>
      <c r="M1" s="1401"/>
      <c r="N1" s="1401"/>
      <c r="O1" s="1401" t="s">
        <v>2446</v>
      </c>
      <c r="P1" s="1401"/>
      <c r="Q1" s="1401"/>
      <c r="R1" s="1401"/>
      <c r="S1" s="1401"/>
      <c r="T1" s="1401"/>
      <c r="U1" s="1401"/>
      <c r="V1" s="1401"/>
      <c r="W1" s="1401"/>
      <c r="X1" s="1401"/>
    </row>
    <row r="2" spans="1:24">
      <c r="A2" s="1401"/>
      <c r="B2" s="1401"/>
      <c r="C2" s="1406"/>
      <c r="D2" s="197" t="s">
        <v>1595</v>
      </c>
      <c r="E2" s="197" t="s">
        <v>1596</v>
      </c>
      <c r="F2" s="197" t="s">
        <v>2424</v>
      </c>
      <c r="G2" s="197" t="s">
        <v>2425</v>
      </c>
      <c r="H2" s="197" t="s">
        <v>2426</v>
      </c>
      <c r="I2" s="197" t="s">
        <v>2427</v>
      </c>
      <c r="J2" s="197" t="s">
        <v>2428</v>
      </c>
      <c r="K2" s="197" t="s">
        <v>2429</v>
      </c>
      <c r="L2" s="197" t="s">
        <v>1805</v>
      </c>
      <c r="M2" s="197" t="s">
        <v>2430</v>
      </c>
      <c r="N2" s="197" t="s">
        <v>1598</v>
      </c>
      <c r="O2" s="197" t="s">
        <v>2432</v>
      </c>
      <c r="P2" s="197" t="s">
        <v>1600</v>
      </c>
      <c r="Q2" s="197" t="s">
        <v>2433</v>
      </c>
      <c r="R2" s="197" t="s">
        <v>2434</v>
      </c>
      <c r="S2" s="197" t="s">
        <v>2435</v>
      </c>
      <c r="T2" s="197" t="s">
        <v>2447</v>
      </c>
      <c r="U2" s="197" t="s">
        <v>2448</v>
      </c>
      <c r="V2" s="197" t="s">
        <v>1602</v>
      </c>
      <c r="W2" s="197" t="s">
        <v>1603</v>
      </c>
      <c r="X2" s="197" t="s">
        <v>1604</v>
      </c>
    </row>
    <row r="3" spans="1:24">
      <c r="A3" s="1402">
        <v>31</v>
      </c>
      <c r="B3" s="1402" t="s">
        <v>2449</v>
      </c>
      <c r="C3" s="198">
        <v>2017</v>
      </c>
      <c r="D3" s="199">
        <v>803013.42857142899</v>
      </c>
      <c r="E3" s="199">
        <v>591741.08928571397</v>
      </c>
      <c r="F3" s="199">
        <v>211272.32142857101</v>
      </c>
      <c r="G3" s="199">
        <v>174619.88392857101</v>
      </c>
      <c r="H3" s="199">
        <v>36652.401785714297</v>
      </c>
      <c r="I3" s="199">
        <v>25619.267857142899</v>
      </c>
      <c r="J3" s="199">
        <v>7154.1964285714303</v>
      </c>
      <c r="K3" s="199">
        <v>55117.473214285703</v>
      </c>
      <c r="L3" s="199">
        <v>3493.1071428571399</v>
      </c>
      <c r="M3" s="199">
        <v>51624.392857142899</v>
      </c>
      <c r="N3" s="199">
        <v>5038.3392857142899</v>
      </c>
      <c r="O3" s="199">
        <v>412933.36607142899</v>
      </c>
      <c r="P3" s="199">
        <v>361340.00892857101</v>
      </c>
      <c r="Q3" s="199">
        <v>17249.491071428602</v>
      </c>
      <c r="R3" s="199">
        <v>423872.8125</v>
      </c>
      <c r="S3" s="199">
        <v>316528.19642857101</v>
      </c>
      <c r="T3" s="199">
        <v>836806.20535714296</v>
      </c>
      <c r="U3" s="199">
        <v>479138.97321428597</v>
      </c>
      <c r="V3" s="199">
        <v>43990.098214285703</v>
      </c>
      <c r="W3" s="199">
        <v>73768.928571428594</v>
      </c>
      <c r="X3" s="199">
        <v>23820.607142857101</v>
      </c>
    </row>
    <row r="4" spans="1:24">
      <c r="A4" s="1403"/>
      <c r="B4" s="1403"/>
      <c r="C4" s="198">
        <v>2018</v>
      </c>
      <c r="D4" s="199">
        <v>1187426.08219178</v>
      </c>
      <c r="E4" s="199">
        <v>551556.33561643795</v>
      </c>
      <c r="F4" s="199">
        <v>194217.369863014</v>
      </c>
      <c r="G4" s="199">
        <v>244420.37671232899</v>
      </c>
      <c r="H4" s="199">
        <v>17162.047945205501</v>
      </c>
      <c r="I4" s="199">
        <v>66017.678082191793</v>
      </c>
      <c r="J4" s="199">
        <v>21480.205479452099</v>
      </c>
      <c r="K4" s="199">
        <v>61699.520547945198</v>
      </c>
      <c r="L4" s="199">
        <v>5780.4452054794501</v>
      </c>
      <c r="M4" s="199">
        <v>55919.047945205501</v>
      </c>
      <c r="N4" s="199">
        <v>15923.4794520548</v>
      </c>
      <c r="O4" s="199">
        <v>556108.00684931502</v>
      </c>
      <c r="P4" s="199">
        <v>781093.63698630105</v>
      </c>
      <c r="Q4" s="199">
        <v>14702.671232876701</v>
      </c>
      <c r="R4" s="199">
        <v>526588.116438356</v>
      </c>
      <c r="S4" s="199">
        <v>312204</v>
      </c>
      <c r="T4" s="199">
        <v>3673798.0273972601</v>
      </c>
      <c r="U4" s="199">
        <v>2774506.9726027399</v>
      </c>
      <c r="V4" s="199">
        <v>66706.657534246595</v>
      </c>
      <c r="W4" s="199">
        <v>108040.445205479</v>
      </c>
      <c r="X4" s="199">
        <v>27470.6917808219</v>
      </c>
    </row>
    <row r="5" spans="1:24">
      <c r="A5" s="1404"/>
      <c r="B5" s="1404"/>
      <c r="C5" s="198">
        <v>2019</v>
      </c>
      <c r="D5" s="199">
        <v>1532185.8493150701</v>
      </c>
      <c r="E5" s="199">
        <v>479619.48630137002</v>
      </c>
      <c r="F5" s="199">
        <v>194204.917808219</v>
      </c>
      <c r="G5" s="199">
        <v>309358.595890411</v>
      </c>
      <c r="H5" s="199">
        <v>42274.232876712304</v>
      </c>
      <c r="I5" s="199">
        <v>65277.458904109597</v>
      </c>
      <c r="J5" s="199">
        <v>20375.417808219201</v>
      </c>
      <c r="K5" s="199">
        <v>87176.273972602707</v>
      </c>
      <c r="L5" s="199">
        <v>8123.4041095890398</v>
      </c>
      <c r="M5" s="199">
        <v>79052.945205479497</v>
      </c>
      <c r="N5" s="199">
        <v>11431.7328767123</v>
      </c>
      <c r="O5" s="199">
        <v>520377.45890411001</v>
      </c>
      <c r="P5" s="199">
        <v>973652.45205479499</v>
      </c>
      <c r="Q5" s="199">
        <v>16173.8904109589</v>
      </c>
      <c r="R5" s="199">
        <v>459218.25342465797</v>
      </c>
      <c r="S5" s="199">
        <v>251394.369863014</v>
      </c>
      <c r="T5" s="199">
        <v>7375452.4520547902</v>
      </c>
      <c r="U5" s="199">
        <v>6013215.3150684899</v>
      </c>
      <c r="V5" s="199">
        <v>57034.438356164399</v>
      </c>
      <c r="W5" s="199">
        <v>73973.239726027401</v>
      </c>
      <c r="X5" s="199">
        <v>19000.102739726</v>
      </c>
    </row>
    <row r="6" spans="1:24">
      <c r="A6" s="1402">
        <v>39</v>
      </c>
      <c r="B6" s="1402" t="s">
        <v>1226</v>
      </c>
      <c r="C6" s="198">
        <v>2017</v>
      </c>
      <c r="D6" s="199">
        <v>229912.5</v>
      </c>
      <c r="E6" s="199">
        <v>142446</v>
      </c>
      <c r="F6" s="199">
        <v>87466.5</v>
      </c>
      <c r="G6" s="199">
        <v>77003</v>
      </c>
      <c r="H6" s="199">
        <v>10463.5</v>
      </c>
      <c r="I6" s="199">
        <v>15613</v>
      </c>
      <c r="J6" s="199">
        <v>12949</v>
      </c>
      <c r="K6" s="199">
        <v>13127.5</v>
      </c>
      <c r="L6" s="199">
        <v>1347</v>
      </c>
      <c r="M6" s="199">
        <v>11780.5</v>
      </c>
      <c r="N6" s="199">
        <v>0</v>
      </c>
      <c r="O6" s="199">
        <v>50164</v>
      </c>
      <c r="P6" s="199">
        <v>47488.5</v>
      </c>
      <c r="Q6" s="199">
        <v>0</v>
      </c>
      <c r="R6" s="199">
        <v>823151</v>
      </c>
      <c r="S6" s="199">
        <v>39852</v>
      </c>
      <c r="T6" s="199">
        <v>873315</v>
      </c>
      <c r="U6" s="199">
        <v>588587</v>
      </c>
      <c r="V6" s="199">
        <v>10000</v>
      </c>
      <c r="W6" s="199">
        <v>0</v>
      </c>
      <c r="X6" s="199">
        <v>0</v>
      </c>
    </row>
    <row r="7" spans="1:24">
      <c r="A7" s="1403"/>
      <c r="B7" s="1403"/>
      <c r="C7" s="198">
        <v>2018</v>
      </c>
      <c r="D7" s="199">
        <v>345537.75</v>
      </c>
      <c r="E7" s="199">
        <v>189878</v>
      </c>
      <c r="F7" s="199">
        <v>155659.75</v>
      </c>
      <c r="G7" s="199">
        <v>106031</v>
      </c>
      <c r="H7" s="199">
        <v>49628.5</v>
      </c>
      <c r="I7" s="199">
        <v>15283.5</v>
      </c>
      <c r="J7" s="199">
        <v>27927</v>
      </c>
      <c r="K7" s="199">
        <v>36985</v>
      </c>
      <c r="L7" s="199">
        <v>35074</v>
      </c>
      <c r="M7" s="199">
        <v>1911.25</v>
      </c>
      <c r="N7" s="199">
        <v>4391.25</v>
      </c>
      <c r="O7" s="199">
        <v>1659622.75</v>
      </c>
      <c r="P7" s="199">
        <v>1264597</v>
      </c>
      <c r="Q7" s="199">
        <v>0</v>
      </c>
      <c r="R7" s="199">
        <v>930080.25</v>
      </c>
      <c r="S7" s="199">
        <v>201982.75</v>
      </c>
      <c r="T7" s="199">
        <v>2589703</v>
      </c>
      <c r="U7" s="199">
        <v>417745.5</v>
      </c>
      <c r="V7" s="199">
        <v>22625</v>
      </c>
      <c r="W7" s="199">
        <v>157308.25</v>
      </c>
      <c r="X7" s="199">
        <v>3850</v>
      </c>
    </row>
    <row r="8" spans="1:24">
      <c r="A8" s="1404"/>
      <c r="B8" s="1404"/>
      <c r="C8" s="198">
        <v>2019</v>
      </c>
      <c r="D8" s="199">
        <v>294219.59999999998</v>
      </c>
      <c r="E8" s="199">
        <v>183059.8</v>
      </c>
      <c r="F8" s="199">
        <v>111160</v>
      </c>
      <c r="G8" s="199">
        <v>91714</v>
      </c>
      <c r="H8" s="199">
        <v>19446</v>
      </c>
      <c r="I8" s="199">
        <v>10879.8</v>
      </c>
      <c r="J8" s="199">
        <v>18719.400000000001</v>
      </c>
      <c r="K8" s="199">
        <v>11606.4</v>
      </c>
      <c r="L8" s="199">
        <v>974.2</v>
      </c>
      <c r="M8" s="199">
        <v>10632.2</v>
      </c>
      <c r="N8" s="199">
        <v>655</v>
      </c>
      <c r="O8" s="199">
        <v>1403678.6</v>
      </c>
      <c r="P8" s="199">
        <v>1086162.6000000001</v>
      </c>
      <c r="Q8" s="199">
        <v>0</v>
      </c>
      <c r="R8" s="199">
        <v>407000.6</v>
      </c>
      <c r="S8" s="199">
        <v>58806.400000000001</v>
      </c>
      <c r="T8" s="199">
        <v>1810679.4</v>
      </c>
      <c r="U8" s="199">
        <v>297840.40000000002</v>
      </c>
      <c r="V8" s="199">
        <v>12280</v>
      </c>
      <c r="W8" s="199">
        <v>114131.6</v>
      </c>
      <c r="X8" s="199">
        <v>4903.8</v>
      </c>
    </row>
    <row r="9" spans="1:24">
      <c r="A9" s="1402">
        <v>41</v>
      </c>
      <c r="B9" s="1402" t="s">
        <v>2364</v>
      </c>
      <c r="C9" s="198">
        <v>2017</v>
      </c>
      <c r="D9" s="199">
        <v>8453471.0978347994</v>
      </c>
      <c r="E9" s="199">
        <v>7054053.4755413001</v>
      </c>
      <c r="F9" s="199">
        <v>1399417.7089013599</v>
      </c>
      <c r="G9" s="199">
        <v>1039116.15797915</v>
      </c>
      <c r="H9" s="199">
        <v>360301.562951083</v>
      </c>
      <c r="I9" s="199">
        <v>157379.03929430601</v>
      </c>
      <c r="J9" s="199">
        <v>196257.001603849</v>
      </c>
      <c r="K9" s="199">
        <v>321423.60064154002</v>
      </c>
      <c r="L9" s="199">
        <v>83110.763432237407</v>
      </c>
      <c r="M9" s="199">
        <v>238312.82919005601</v>
      </c>
      <c r="N9" s="199">
        <v>39586.3039294306</v>
      </c>
      <c r="O9" s="199">
        <v>5120334.5244586999</v>
      </c>
      <c r="P9" s="199">
        <v>3818379.1130713699</v>
      </c>
      <c r="Q9" s="199">
        <v>94936.442662389702</v>
      </c>
      <c r="R9" s="199">
        <v>3323274.7762630298</v>
      </c>
      <c r="S9" s="199">
        <v>2814006.38251804</v>
      </c>
      <c r="T9" s="199">
        <v>8443609.1106656007</v>
      </c>
      <c r="U9" s="199">
        <v>4395900.1467522103</v>
      </c>
      <c r="V9" s="199">
        <v>1376378.98476343</v>
      </c>
      <c r="W9" s="199">
        <v>923357.52285485202</v>
      </c>
      <c r="X9" s="199">
        <v>906972.01042502001</v>
      </c>
    </row>
    <row r="10" spans="1:24">
      <c r="A10" s="1403"/>
      <c r="B10" s="1403"/>
      <c r="C10" s="198">
        <v>2018</v>
      </c>
      <c r="D10" s="199">
        <v>8550780.7110481597</v>
      </c>
      <c r="E10" s="199">
        <v>7238679.6742209597</v>
      </c>
      <c r="F10" s="199">
        <v>1312100.9128895199</v>
      </c>
      <c r="G10" s="199">
        <v>971025.18909348396</v>
      </c>
      <c r="H10" s="199">
        <v>341075.69546742202</v>
      </c>
      <c r="I10" s="199">
        <v>153252.170679887</v>
      </c>
      <c r="J10" s="199">
        <v>173245.76203966001</v>
      </c>
      <c r="K10" s="199">
        <v>321082.10410764901</v>
      </c>
      <c r="L10" s="199">
        <v>64573.759915014198</v>
      </c>
      <c r="M10" s="199">
        <v>256512.325070822</v>
      </c>
      <c r="N10" s="199">
        <v>122863.23725212501</v>
      </c>
      <c r="O10" s="199">
        <v>4830667.0934844203</v>
      </c>
      <c r="P10" s="199">
        <v>3636406.9164305902</v>
      </c>
      <c r="Q10" s="199">
        <v>95795.674929178494</v>
      </c>
      <c r="R10" s="199">
        <v>3245022.1324362601</v>
      </c>
      <c r="S10" s="199">
        <v>2597538.2039660099</v>
      </c>
      <c r="T10" s="199">
        <v>8075689.25</v>
      </c>
      <c r="U10" s="199">
        <v>4180309.6147308801</v>
      </c>
      <c r="V10" s="199">
        <v>1251596.5616147299</v>
      </c>
      <c r="W10" s="199">
        <v>948090.63951841404</v>
      </c>
      <c r="X10" s="199">
        <v>801587.18696883903</v>
      </c>
    </row>
    <row r="11" spans="1:24">
      <c r="A11" s="1404"/>
      <c r="B11" s="1404"/>
      <c r="C11" s="198">
        <v>2019</v>
      </c>
      <c r="D11" s="199">
        <v>7709825.1693430701</v>
      </c>
      <c r="E11" s="199">
        <v>6466690.1839416102</v>
      </c>
      <c r="F11" s="199">
        <v>1243134.5364963501</v>
      </c>
      <c r="G11" s="199">
        <v>1024110.40072993</v>
      </c>
      <c r="H11" s="199">
        <v>219024.17518248199</v>
      </c>
      <c r="I11" s="199">
        <v>163819.588321168</v>
      </c>
      <c r="J11" s="199">
        <v>194021.75401459899</v>
      </c>
      <c r="K11" s="199">
        <v>188822.00948905101</v>
      </c>
      <c r="L11" s="199">
        <v>44408.335766423399</v>
      </c>
      <c r="M11" s="199">
        <v>140321.07445255501</v>
      </c>
      <c r="N11" s="199">
        <v>132337.335766423</v>
      </c>
      <c r="O11" s="199">
        <v>5236464.3700729897</v>
      </c>
      <c r="P11" s="199">
        <v>3883102.61386861</v>
      </c>
      <c r="Q11" s="199">
        <v>95770.994160583898</v>
      </c>
      <c r="R11" s="199">
        <v>3171182.21167883</v>
      </c>
      <c r="S11" s="199">
        <v>2628630.4708029199</v>
      </c>
      <c r="T11" s="199">
        <v>8407646.6124087591</v>
      </c>
      <c r="U11" s="199">
        <v>4417610.8007299304</v>
      </c>
      <c r="V11" s="199">
        <v>1157081.4131386899</v>
      </c>
      <c r="W11" s="199">
        <v>906404.78321167897</v>
      </c>
      <c r="X11" s="199">
        <v>737818.99270072998</v>
      </c>
    </row>
    <row r="12" spans="1:24">
      <c r="A12" s="1402">
        <v>42</v>
      </c>
      <c r="B12" s="1402" t="s">
        <v>2450</v>
      </c>
      <c r="C12" s="198">
        <v>2017</v>
      </c>
      <c r="D12" s="199">
        <v>33128156.9223684</v>
      </c>
      <c r="E12" s="199">
        <v>20251124.082894702</v>
      </c>
      <c r="F12" s="199">
        <v>12877033.157894701</v>
      </c>
      <c r="G12" s="199">
        <v>10056479.669736801</v>
      </c>
      <c r="H12" s="199">
        <v>2820553.2302631601</v>
      </c>
      <c r="I12" s="199">
        <v>999792.70131578902</v>
      </c>
      <c r="J12" s="199">
        <v>969696.00789473695</v>
      </c>
      <c r="K12" s="199">
        <v>2850649.9236842101</v>
      </c>
      <c r="L12" s="199">
        <v>733486.61184210505</v>
      </c>
      <c r="M12" s="199">
        <v>2099940.5723684202</v>
      </c>
      <c r="N12" s="199">
        <v>290697.76315789501</v>
      </c>
      <c r="O12" s="199">
        <v>22392456.6552632</v>
      </c>
      <c r="P12" s="199">
        <v>13970353.8592105</v>
      </c>
      <c r="Q12" s="199">
        <v>760867.37368421105</v>
      </c>
      <c r="R12" s="199">
        <v>14380413.8881579</v>
      </c>
      <c r="S12" s="199">
        <v>10284605.819736799</v>
      </c>
      <c r="T12" s="199">
        <v>36772871.005263202</v>
      </c>
      <c r="U12" s="199">
        <v>14689057.717105299</v>
      </c>
      <c r="V12" s="199">
        <v>4708338.0526315803</v>
      </c>
      <c r="W12" s="199">
        <v>3721289.4105263199</v>
      </c>
      <c r="X12" s="199">
        <v>2376368.5368421101</v>
      </c>
    </row>
    <row r="13" spans="1:24">
      <c r="A13" s="1403"/>
      <c r="B13" s="1403"/>
      <c r="C13" s="198">
        <v>2018</v>
      </c>
      <c r="D13" s="199">
        <v>30444011.311745301</v>
      </c>
      <c r="E13" s="199">
        <v>18664579.1459934</v>
      </c>
      <c r="F13" s="199">
        <v>11779431.5850714</v>
      </c>
      <c r="G13" s="199">
        <v>9154124.3139407206</v>
      </c>
      <c r="H13" s="199">
        <v>2625306.6212952798</v>
      </c>
      <c r="I13" s="199">
        <v>625474.43249176699</v>
      </c>
      <c r="J13" s="199">
        <v>842688.43688254699</v>
      </c>
      <c r="K13" s="199">
        <v>2408092.6169044999</v>
      </c>
      <c r="L13" s="199">
        <v>675854.54774972599</v>
      </c>
      <c r="M13" s="199">
        <v>1731011.6860592801</v>
      </c>
      <c r="N13" s="199">
        <v>374161.80351262301</v>
      </c>
      <c r="O13" s="199">
        <v>20588726.689352401</v>
      </c>
      <c r="P13" s="199">
        <v>12331744.215148199</v>
      </c>
      <c r="Q13" s="199">
        <v>674575.96487376501</v>
      </c>
      <c r="R13" s="199">
        <v>12512397.3040615</v>
      </c>
      <c r="S13" s="199">
        <v>8708552.1789242607</v>
      </c>
      <c r="T13" s="199">
        <v>33101125.968166798</v>
      </c>
      <c r="U13" s="199">
        <v>12804046.042810099</v>
      </c>
      <c r="V13" s="199">
        <v>4118581.6125137201</v>
      </c>
      <c r="W13" s="199">
        <v>3617826.7925356799</v>
      </c>
      <c r="X13" s="199">
        <v>1810288.84961581</v>
      </c>
    </row>
    <row r="14" spans="1:24">
      <c r="A14" s="1404"/>
      <c r="B14" s="1404"/>
      <c r="C14" s="198">
        <v>2019</v>
      </c>
      <c r="D14" s="199">
        <v>32727554.6940904</v>
      </c>
      <c r="E14" s="199">
        <v>19654248.811124001</v>
      </c>
      <c r="F14" s="199">
        <v>13073306.838934001</v>
      </c>
      <c r="G14" s="199">
        <v>10306504.9872538</v>
      </c>
      <c r="H14" s="199">
        <v>2766800.6709154099</v>
      </c>
      <c r="I14" s="199">
        <v>788671.54461181897</v>
      </c>
      <c r="J14" s="199">
        <v>1139400.8377751999</v>
      </c>
      <c r="K14" s="199">
        <v>2416071.3777520298</v>
      </c>
      <c r="L14" s="199">
        <v>763536.45770567795</v>
      </c>
      <c r="M14" s="199">
        <v>1651316.24681344</v>
      </c>
      <c r="N14" s="199">
        <v>570473.60602549196</v>
      </c>
      <c r="O14" s="199">
        <v>23412678.568945501</v>
      </c>
      <c r="P14" s="199">
        <v>13997589.0938586</v>
      </c>
      <c r="Q14" s="199">
        <v>700111.51680185401</v>
      </c>
      <c r="R14" s="199">
        <v>13731020.5793743</v>
      </c>
      <c r="S14" s="199">
        <v>9481623.8366164509</v>
      </c>
      <c r="T14" s="199">
        <v>37143699.020857498</v>
      </c>
      <c r="U14" s="199">
        <v>14441093.669756699</v>
      </c>
      <c r="V14" s="199">
        <v>4447793.0254924698</v>
      </c>
      <c r="W14" s="199">
        <v>3635194.3545770599</v>
      </c>
      <c r="X14" s="199">
        <v>1909750.82966396</v>
      </c>
    </row>
    <row r="15" spans="1:24">
      <c r="A15" s="1402">
        <v>43</v>
      </c>
      <c r="B15" s="1402" t="s">
        <v>2451</v>
      </c>
      <c r="C15" s="198">
        <v>2017</v>
      </c>
      <c r="D15" s="199">
        <v>9982827.04879958</v>
      </c>
      <c r="E15" s="199">
        <v>8215787.6390918596</v>
      </c>
      <c r="F15" s="199">
        <v>1767039.4136221299</v>
      </c>
      <c r="G15" s="199">
        <v>1214807.7194676399</v>
      </c>
      <c r="H15" s="199">
        <v>552231.71737995802</v>
      </c>
      <c r="I15" s="199">
        <v>295753.07541753701</v>
      </c>
      <c r="J15" s="199">
        <v>412703.26435281802</v>
      </c>
      <c r="K15" s="199">
        <v>435281.52844467602</v>
      </c>
      <c r="L15" s="199">
        <v>99044.600208768301</v>
      </c>
      <c r="M15" s="199">
        <v>346938.97520876798</v>
      </c>
      <c r="N15" s="199">
        <v>60773.073590814201</v>
      </c>
      <c r="O15" s="199">
        <v>7039866.5673277704</v>
      </c>
      <c r="P15" s="199">
        <v>4798385.3930062596</v>
      </c>
      <c r="Q15" s="199">
        <v>305309.14091858</v>
      </c>
      <c r="R15" s="199">
        <v>5175437.7664404996</v>
      </c>
      <c r="S15" s="199">
        <v>3741153.4055323601</v>
      </c>
      <c r="T15" s="199">
        <v>12215304.084290201</v>
      </c>
      <c r="U15" s="199">
        <v>5957117.7139874697</v>
      </c>
      <c r="V15" s="199">
        <v>1965220.8465553201</v>
      </c>
      <c r="W15" s="199">
        <v>1303584.8165448899</v>
      </c>
      <c r="X15" s="199">
        <v>1037547.0576722299</v>
      </c>
    </row>
    <row r="16" spans="1:24">
      <c r="A16" s="1403"/>
      <c r="B16" s="1403"/>
      <c r="C16" s="198">
        <v>2018</v>
      </c>
      <c r="D16" s="199">
        <v>9188666.7322929204</v>
      </c>
      <c r="E16" s="199">
        <v>7603962.3452581</v>
      </c>
      <c r="F16" s="199">
        <v>1584704.1716686699</v>
      </c>
      <c r="G16" s="199">
        <v>1130375.46170468</v>
      </c>
      <c r="H16" s="199">
        <v>454328.71092436998</v>
      </c>
      <c r="I16" s="199">
        <v>349536.22881152498</v>
      </c>
      <c r="J16" s="199">
        <v>362292.06266506598</v>
      </c>
      <c r="K16" s="199">
        <v>441572.87707082799</v>
      </c>
      <c r="L16" s="199">
        <v>89540.698679471796</v>
      </c>
      <c r="M16" s="199">
        <v>364866.46794717899</v>
      </c>
      <c r="N16" s="199">
        <v>156507.94573829501</v>
      </c>
      <c r="O16" s="199">
        <v>6734397.8261704696</v>
      </c>
      <c r="P16" s="199">
        <v>4613532.1834333697</v>
      </c>
      <c r="Q16" s="199">
        <v>275413.98079231702</v>
      </c>
      <c r="R16" s="199">
        <v>4902961.6446578596</v>
      </c>
      <c r="S16" s="199">
        <v>3507132.9416566598</v>
      </c>
      <c r="T16" s="199">
        <v>11637359.362785099</v>
      </c>
      <c r="U16" s="199">
        <v>5503375.1099639898</v>
      </c>
      <c r="V16" s="199">
        <v>1798667.42545018</v>
      </c>
      <c r="W16" s="199">
        <v>1324615.0153661501</v>
      </c>
      <c r="X16" s="199">
        <v>932535.19039615802</v>
      </c>
    </row>
    <row r="17" spans="1:24">
      <c r="A17" s="1404"/>
      <c r="B17" s="1404"/>
      <c r="C17" s="198">
        <v>2019</v>
      </c>
      <c r="D17" s="199">
        <v>9694388.9323979598</v>
      </c>
      <c r="E17" s="199">
        <v>8007055.9780612197</v>
      </c>
      <c r="F17" s="199">
        <v>1687333.0775510201</v>
      </c>
      <c r="G17" s="199">
        <v>1226508.19438776</v>
      </c>
      <c r="H17" s="199">
        <v>460824.875255102</v>
      </c>
      <c r="I17" s="199">
        <v>312664.52091836702</v>
      </c>
      <c r="J17" s="199">
        <v>654085.067346939</v>
      </c>
      <c r="K17" s="199">
        <v>119404.328826531</v>
      </c>
      <c r="L17" s="199">
        <v>43315.731122448997</v>
      </c>
      <c r="M17" s="199">
        <v>74440.838520408201</v>
      </c>
      <c r="N17" s="199">
        <v>164639.31887755101</v>
      </c>
      <c r="O17" s="199">
        <v>6816554.7265306097</v>
      </c>
      <c r="P17" s="199">
        <v>4446572.1849489799</v>
      </c>
      <c r="Q17" s="199">
        <v>281828.63290816301</v>
      </c>
      <c r="R17" s="199">
        <v>5583594.4586734697</v>
      </c>
      <c r="S17" s="199">
        <v>3678457.1721938802</v>
      </c>
      <c r="T17" s="199">
        <v>12400149.261479599</v>
      </c>
      <c r="U17" s="199">
        <v>5865468.2520408202</v>
      </c>
      <c r="V17" s="199">
        <v>1856868.29540816</v>
      </c>
      <c r="W17" s="199">
        <v>1675396.7165816301</v>
      </c>
      <c r="X17" s="199">
        <v>905212.98545918404</v>
      </c>
    </row>
    <row r="18" spans="1:24">
      <c r="A18" s="1402">
        <v>44</v>
      </c>
      <c r="B18" s="1402" t="s">
        <v>1304</v>
      </c>
      <c r="C18" s="198">
        <v>2017</v>
      </c>
      <c r="D18" s="199">
        <v>6605719.9800776197</v>
      </c>
      <c r="E18" s="199">
        <v>3914264.2601983598</v>
      </c>
      <c r="F18" s="199">
        <v>2691455.8659767099</v>
      </c>
      <c r="G18" s="199">
        <v>2292531.9610176799</v>
      </c>
      <c r="H18" s="199">
        <v>398923.86554549402</v>
      </c>
      <c r="I18" s="199">
        <v>232928.23734368299</v>
      </c>
      <c r="J18" s="199">
        <v>227285.29685209101</v>
      </c>
      <c r="K18" s="199">
        <v>404566.80603708501</v>
      </c>
      <c r="L18" s="199">
        <v>115012.25485122899</v>
      </c>
      <c r="M18" s="199">
        <v>289551.734368262</v>
      </c>
      <c r="N18" s="199">
        <v>103696.276326003</v>
      </c>
      <c r="O18" s="199">
        <v>4058748.5447175498</v>
      </c>
      <c r="P18" s="199">
        <v>1520034.1551530799</v>
      </c>
      <c r="Q18" s="199">
        <v>634456.02475204796</v>
      </c>
      <c r="R18" s="199">
        <v>3748137.5665373001</v>
      </c>
      <c r="S18" s="199">
        <v>2262039.4241483398</v>
      </c>
      <c r="T18" s="199">
        <v>7813003.3403190998</v>
      </c>
      <c r="U18" s="199">
        <v>3400620.71323846</v>
      </c>
      <c r="V18" s="199">
        <v>989391.49400603701</v>
      </c>
      <c r="W18" s="199">
        <v>288662.35446313099</v>
      </c>
      <c r="X18" s="199">
        <v>415601.40224234603</v>
      </c>
    </row>
    <row r="19" spans="1:24">
      <c r="A19" s="1403"/>
      <c r="B19" s="1403"/>
      <c r="C19" s="198">
        <v>2018</v>
      </c>
      <c r="D19" s="199">
        <v>6936244.4716385696</v>
      </c>
      <c r="E19" s="199">
        <v>4005190.7114027101</v>
      </c>
      <c r="F19" s="199">
        <v>2875059.98613072</v>
      </c>
      <c r="G19" s="199">
        <v>2467453.9528278401</v>
      </c>
      <c r="H19" s="199">
        <v>412406.88464413298</v>
      </c>
      <c r="I19" s="199">
        <v>269080.77667967801</v>
      </c>
      <c r="J19" s="199">
        <v>281772.31915953802</v>
      </c>
      <c r="K19" s="199">
        <v>399715.34216427198</v>
      </c>
      <c r="L19" s="199">
        <v>132427.75716302599</v>
      </c>
      <c r="M19" s="199">
        <v>267580.32148492697</v>
      </c>
      <c r="N19" s="199">
        <v>152709.02715721299</v>
      </c>
      <c r="O19" s="199">
        <v>4407545.7629765002</v>
      </c>
      <c r="P19" s="199">
        <v>1638557.43592725</v>
      </c>
      <c r="Q19" s="199">
        <v>708717.43185781897</v>
      </c>
      <c r="R19" s="199">
        <v>4036108.55535255</v>
      </c>
      <c r="S19" s="199">
        <v>2396364.4296985301</v>
      </c>
      <c r="T19" s="199">
        <v>9055936.7404700592</v>
      </c>
      <c r="U19" s="199">
        <v>4167606.5306037702</v>
      </c>
      <c r="V19" s="199">
        <v>966622.92027240305</v>
      </c>
      <c r="W19" s="199">
        <v>328418.91221659299</v>
      </c>
      <c r="X19" s="199">
        <v>404944.37156382401</v>
      </c>
    </row>
    <row r="20" spans="1:24">
      <c r="A20" s="1404"/>
      <c r="B20" s="1404"/>
      <c r="C20" s="198">
        <v>2019</v>
      </c>
      <c r="D20" s="199">
        <v>7931114.0482512396</v>
      </c>
      <c r="E20" s="199">
        <v>4510193.7729353597</v>
      </c>
      <c r="F20" s="199">
        <v>3362692.9566929098</v>
      </c>
      <c r="G20" s="199">
        <v>2915350.0140084201</v>
      </c>
      <c r="H20" s="199">
        <v>457221.49844350899</v>
      </c>
      <c r="I20" s="199">
        <v>304888.32091192098</v>
      </c>
      <c r="J20" s="199">
        <v>409810.73054385599</v>
      </c>
      <c r="K20" s="199">
        <v>352299.08881157299</v>
      </c>
      <c r="L20" s="199">
        <v>130928.642281633</v>
      </c>
      <c r="M20" s="199">
        <v>219192.427302692</v>
      </c>
      <c r="N20" s="199">
        <v>212620.93178905</v>
      </c>
      <c r="O20" s="199">
        <v>5620389.1011719499</v>
      </c>
      <c r="P20" s="199">
        <v>2179868.2734847101</v>
      </c>
      <c r="Q20" s="199">
        <v>749004.05777330196</v>
      </c>
      <c r="R20" s="199">
        <v>4589197.7266984098</v>
      </c>
      <c r="S20" s="199">
        <v>2973392.9987181802</v>
      </c>
      <c r="T20" s="199">
        <v>10940578.903406</v>
      </c>
      <c r="U20" s="199">
        <v>5253520.6804614495</v>
      </c>
      <c r="V20" s="199">
        <v>1105610.9659402999</v>
      </c>
      <c r="W20" s="199">
        <v>323336.129738143</v>
      </c>
      <c r="X20" s="199">
        <v>429364.965207837</v>
      </c>
    </row>
    <row r="21" spans="1:24">
      <c r="A21" s="1402">
        <v>311</v>
      </c>
      <c r="B21" s="1402" t="s">
        <v>4</v>
      </c>
      <c r="C21" s="198">
        <v>2017</v>
      </c>
      <c r="D21" s="199">
        <v>646674.35238095198</v>
      </c>
      <c r="E21" s="199">
        <v>441379.25714285701</v>
      </c>
      <c r="F21" s="199">
        <v>205295.08571428599</v>
      </c>
      <c r="G21" s="199">
        <v>170744.2</v>
      </c>
      <c r="H21" s="199">
        <v>34550.828571428603</v>
      </c>
      <c r="I21" s="199">
        <v>26872.285714285699</v>
      </c>
      <c r="J21" s="199">
        <v>7489.8571428571404</v>
      </c>
      <c r="K21" s="199">
        <v>53933.257142857103</v>
      </c>
      <c r="L21" s="199">
        <v>3051.1619047619001</v>
      </c>
      <c r="M21" s="199">
        <v>50882.1238095238</v>
      </c>
      <c r="N21" s="199">
        <v>4243.2</v>
      </c>
      <c r="O21" s="199">
        <v>436521.66666666698</v>
      </c>
      <c r="P21" s="199">
        <v>382864.18095238099</v>
      </c>
      <c r="Q21" s="199">
        <v>18399.4571428571</v>
      </c>
      <c r="R21" s="199">
        <v>400345.504761905</v>
      </c>
      <c r="S21" s="199">
        <v>315918.942857143</v>
      </c>
      <c r="T21" s="199">
        <v>836867.20952380996</v>
      </c>
      <c r="U21" s="199">
        <v>487608.83809523802</v>
      </c>
      <c r="V21" s="199">
        <v>33808.771428571403</v>
      </c>
      <c r="W21" s="199">
        <v>73394.057142857098</v>
      </c>
      <c r="X21" s="199">
        <v>17235.695238095199</v>
      </c>
    </row>
    <row r="22" spans="1:24">
      <c r="A22" s="1403"/>
      <c r="B22" s="1403"/>
      <c r="C22" s="198">
        <v>2018</v>
      </c>
      <c r="D22" s="199">
        <v>1184162.4214285701</v>
      </c>
      <c r="E22" s="199">
        <v>534043.25</v>
      </c>
      <c r="F22" s="199">
        <v>189538.82857142901</v>
      </c>
      <c r="G22" s="199">
        <v>244337.7</v>
      </c>
      <c r="H22" s="199">
        <v>15453.2642857143</v>
      </c>
      <c r="I22" s="199">
        <v>68214.735714285707</v>
      </c>
      <c r="J22" s="199">
        <v>21221.2214285714</v>
      </c>
      <c r="K22" s="199">
        <v>62446.7785714286</v>
      </c>
      <c r="L22" s="199">
        <v>5950.4142857142897</v>
      </c>
      <c r="M22" s="199">
        <v>56496.335714285698</v>
      </c>
      <c r="N22" s="199">
        <v>14945.2785714286</v>
      </c>
      <c r="O22" s="199">
        <v>521042.23571428598</v>
      </c>
      <c r="P22" s="199">
        <v>758032.37142857094</v>
      </c>
      <c r="Q22" s="199">
        <v>15332.785714285699</v>
      </c>
      <c r="R22" s="199">
        <v>516726.78571428597</v>
      </c>
      <c r="S22" s="199">
        <v>311296.23571428598</v>
      </c>
      <c r="T22" s="199">
        <v>3739918.15</v>
      </c>
      <c r="U22" s="199">
        <v>2844389.1214285698</v>
      </c>
      <c r="V22" s="199">
        <v>61028.714285714297</v>
      </c>
      <c r="W22" s="199">
        <v>106315.85</v>
      </c>
      <c r="X22" s="199">
        <v>26269.2642857143</v>
      </c>
    </row>
    <row r="23" spans="1:24">
      <c r="A23" s="1404"/>
      <c r="B23" s="1404"/>
      <c r="C23" s="198">
        <v>2019</v>
      </c>
      <c r="D23" s="199">
        <v>1549442.39855072</v>
      </c>
      <c r="E23" s="199">
        <v>457464.65942028997</v>
      </c>
      <c r="F23" s="199">
        <v>183856.21014492799</v>
      </c>
      <c r="G23" s="199">
        <v>307465.34782608697</v>
      </c>
      <c r="H23" s="199">
        <v>42945.0362318841</v>
      </c>
      <c r="I23" s="199">
        <v>68710.847826087003</v>
      </c>
      <c r="J23" s="199">
        <v>19924.6884057971</v>
      </c>
      <c r="K23" s="199">
        <v>91731.195652173905</v>
      </c>
      <c r="L23" s="199">
        <v>8424.1304347826099</v>
      </c>
      <c r="M23" s="199">
        <v>83307.144927536196</v>
      </c>
      <c r="N23" s="199">
        <v>10396.528985507201</v>
      </c>
      <c r="O23" s="199">
        <v>480491.38405797101</v>
      </c>
      <c r="P23" s="199">
        <v>962400.08695652196</v>
      </c>
      <c r="Q23" s="199">
        <v>17111.507246376801</v>
      </c>
      <c r="R23" s="199">
        <v>453823.85507246398</v>
      </c>
      <c r="S23" s="199">
        <v>250732.98550724599</v>
      </c>
      <c r="T23" s="199">
        <v>7700946.2898550704</v>
      </c>
      <c r="U23" s="199">
        <v>6300840.2536231903</v>
      </c>
      <c r="V23" s="199">
        <v>50935.557971014503</v>
      </c>
      <c r="W23" s="199">
        <v>71573.202898550706</v>
      </c>
      <c r="X23" s="199">
        <v>13746.615942029001</v>
      </c>
    </row>
    <row r="24" spans="1:24">
      <c r="A24" s="1402">
        <v>312</v>
      </c>
      <c r="B24" s="1402" t="s">
        <v>77</v>
      </c>
      <c r="C24" s="198">
        <v>2017</v>
      </c>
      <c r="D24" s="199">
        <v>3148099.57142857</v>
      </c>
      <c r="E24" s="199">
        <v>2847168.57142857</v>
      </c>
      <c r="F24" s="199">
        <v>300930.85714285698</v>
      </c>
      <c r="G24" s="199">
        <v>232755.14285714299</v>
      </c>
      <c r="H24" s="199">
        <v>68176</v>
      </c>
      <c r="I24" s="199">
        <v>6824</v>
      </c>
      <c r="J24" s="199">
        <v>2119.2857142857101</v>
      </c>
      <c r="K24" s="199">
        <v>72880.714285714304</v>
      </c>
      <c r="L24" s="199">
        <v>10122.285714285699</v>
      </c>
      <c r="M24" s="199">
        <v>62758.428571428602</v>
      </c>
      <c r="N24" s="199">
        <v>16965.428571428602</v>
      </c>
      <c r="O24" s="199">
        <v>59108.857142857101</v>
      </c>
      <c r="P24" s="199">
        <v>38477.428571428602</v>
      </c>
      <c r="Q24" s="199">
        <v>0</v>
      </c>
      <c r="R24" s="199">
        <v>776782.42857142899</v>
      </c>
      <c r="S24" s="199">
        <v>325667</v>
      </c>
      <c r="T24" s="199">
        <v>835891.14285714296</v>
      </c>
      <c r="U24" s="199">
        <v>352091</v>
      </c>
      <c r="V24" s="199">
        <v>196710</v>
      </c>
      <c r="W24" s="199">
        <v>79392</v>
      </c>
      <c r="X24" s="199">
        <v>122594.285714286</v>
      </c>
    </row>
    <row r="25" spans="1:24">
      <c r="A25" s="1403"/>
      <c r="B25" s="1403"/>
      <c r="C25" s="198">
        <v>2018</v>
      </c>
      <c r="D25" s="199">
        <v>1263578.16666667</v>
      </c>
      <c r="E25" s="199">
        <v>960195</v>
      </c>
      <c r="F25" s="199">
        <v>303383.33333333302</v>
      </c>
      <c r="G25" s="199">
        <v>246349.5</v>
      </c>
      <c r="H25" s="199">
        <v>57033.666666666701</v>
      </c>
      <c r="I25" s="199">
        <v>14753</v>
      </c>
      <c r="J25" s="199">
        <v>27523.166666666701</v>
      </c>
      <c r="K25" s="199">
        <v>44263.5</v>
      </c>
      <c r="L25" s="199">
        <v>1814.5</v>
      </c>
      <c r="M25" s="199">
        <v>42449</v>
      </c>
      <c r="N25" s="199">
        <v>38748.166666666701</v>
      </c>
      <c r="O25" s="199">
        <v>1374309.33333333</v>
      </c>
      <c r="P25" s="199">
        <v>1319189.83333333</v>
      </c>
      <c r="Q25" s="199">
        <v>0</v>
      </c>
      <c r="R25" s="199">
        <v>756685.83333333302</v>
      </c>
      <c r="S25" s="199">
        <v>333385.16666666698</v>
      </c>
      <c r="T25" s="199">
        <v>2130995.1666666698</v>
      </c>
      <c r="U25" s="199">
        <v>1143923.5</v>
      </c>
      <c r="V25" s="199">
        <v>199192</v>
      </c>
      <c r="W25" s="199">
        <v>148281</v>
      </c>
      <c r="X25" s="199">
        <v>55504</v>
      </c>
    </row>
    <row r="26" spans="1:24">
      <c r="A26" s="1404"/>
      <c r="B26" s="1404"/>
      <c r="C26" s="198">
        <v>2019</v>
      </c>
      <c r="D26" s="199">
        <v>1234510.375</v>
      </c>
      <c r="E26" s="199">
        <v>861790.25</v>
      </c>
      <c r="F26" s="199">
        <v>372720.125</v>
      </c>
      <c r="G26" s="199">
        <v>342017.125</v>
      </c>
      <c r="H26" s="199">
        <v>30702.875</v>
      </c>
      <c r="I26" s="199">
        <v>6051.5</v>
      </c>
      <c r="J26" s="199">
        <v>28150.5</v>
      </c>
      <c r="K26" s="199">
        <v>8603.875</v>
      </c>
      <c r="L26" s="199">
        <v>2935.875</v>
      </c>
      <c r="M26" s="199">
        <v>5668</v>
      </c>
      <c r="N26" s="199">
        <v>29289</v>
      </c>
      <c r="O26" s="199">
        <v>1208412.25</v>
      </c>
      <c r="P26" s="199">
        <v>1167755.75</v>
      </c>
      <c r="Q26" s="199">
        <v>0</v>
      </c>
      <c r="R26" s="199">
        <v>552271.625</v>
      </c>
      <c r="S26" s="199">
        <v>262803.25</v>
      </c>
      <c r="T26" s="199">
        <v>1760683.75</v>
      </c>
      <c r="U26" s="199">
        <v>1051685.125</v>
      </c>
      <c r="V26" s="199">
        <v>162240.125</v>
      </c>
      <c r="W26" s="199">
        <v>115373.875</v>
      </c>
      <c r="X26" s="199">
        <v>109622.75</v>
      </c>
    </row>
    <row r="27" spans="1:24">
      <c r="A27" s="1402">
        <v>390</v>
      </c>
      <c r="B27" s="1402" t="s">
        <v>1226</v>
      </c>
      <c r="C27" s="198">
        <v>2017</v>
      </c>
      <c r="D27" s="199">
        <v>229912.5</v>
      </c>
      <c r="E27" s="199">
        <v>142446</v>
      </c>
      <c r="F27" s="199">
        <v>87466.5</v>
      </c>
      <c r="G27" s="199">
        <v>77003</v>
      </c>
      <c r="H27" s="199">
        <v>10463.5</v>
      </c>
      <c r="I27" s="199">
        <v>15613</v>
      </c>
      <c r="J27" s="199">
        <v>12949</v>
      </c>
      <c r="K27" s="199">
        <v>13127.5</v>
      </c>
      <c r="L27" s="199">
        <v>1347</v>
      </c>
      <c r="M27" s="199">
        <v>11780.5</v>
      </c>
      <c r="N27" s="199">
        <v>0</v>
      </c>
      <c r="O27" s="199">
        <v>50164</v>
      </c>
      <c r="P27" s="199">
        <v>47488.5</v>
      </c>
      <c r="Q27" s="199">
        <v>0</v>
      </c>
      <c r="R27" s="199">
        <v>823151</v>
      </c>
      <c r="S27" s="199">
        <v>39852</v>
      </c>
      <c r="T27" s="199">
        <v>873315</v>
      </c>
      <c r="U27" s="199">
        <v>588587</v>
      </c>
      <c r="V27" s="199">
        <v>10000</v>
      </c>
      <c r="W27" s="199">
        <v>0</v>
      </c>
      <c r="X27" s="199">
        <v>0</v>
      </c>
    </row>
    <row r="28" spans="1:24">
      <c r="A28" s="1403"/>
      <c r="B28" s="1403"/>
      <c r="C28" s="198">
        <v>2018</v>
      </c>
      <c r="D28" s="199">
        <v>345537.75</v>
      </c>
      <c r="E28" s="199">
        <v>189878</v>
      </c>
      <c r="F28" s="199">
        <v>155659.75</v>
      </c>
      <c r="G28" s="199">
        <v>106031</v>
      </c>
      <c r="H28" s="199">
        <v>49628.5</v>
      </c>
      <c r="I28" s="199">
        <v>15283.5</v>
      </c>
      <c r="J28" s="199">
        <v>27927</v>
      </c>
      <c r="K28" s="199">
        <v>36985</v>
      </c>
      <c r="L28" s="199">
        <v>35074</v>
      </c>
      <c r="M28" s="199">
        <v>1911.25</v>
      </c>
      <c r="N28" s="199">
        <v>4391.25</v>
      </c>
      <c r="O28" s="199">
        <v>1659622.75</v>
      </c>
      <c r="P28" s="199">
        <v>1264597</v>
      </c>
      <c r="Q28" s="199">
        <v>0</v>
      </c>
      <c r="R28" s="199">
        <v>930080.25</v>
      </c>
      <c r="S28" s="199">
        <v>201982.75</v>
      </c>
      <c r="T28" s="199">
        <v>2589703</v>
      </c>
      <c r="U28" s="199">
        <v>417745.5</v>
      </c>
      <c r="V28" s="199">
        <v>22625</v>
      </c>
      <c r="W28" s="199">
        <v>157308.25</v>
      </c>
      <c r="X28" s="199">
        <v>3850</v>
      </c>
    </row>
    <row r="29" spans="1:24">
      <c r="A29" s="1404"/>
      <c r="B29" s="1404"/>
      <c r="C29" s="198">
        <v>2019</v>
      </c>
      <c r="D29" s="199">
        <v>294219.59999999998</v>
      </c>
      <c r="E29" s="199">
        <v>183059.8</v>
      </c>
      <c r="F29" s="199">
        <v>111160</v>
      </c>
      <c r="G29" s="199">
        <v>91714</v>
      </c>
      <c r="H29" s="199">
        <v>19446</v>
      </c>
      <c r="I29" s="199">
        <v>10879.8</v>
      </c>
      <c r="J29" s="199">
        <v>18719.400000000001</v>
      </c>
      <c r="K29" s="199">
        <v>11606.4</v>
      </c>
      <c r="L29" s="199">
        <v>974.2</v>
      </c>
      <c r="M29" s="199">
        <v>10632.2</v>
      </c>
      <c r="N29" s="199">
        <v>655</v>
      </c>
      <c r="O29" s="199">
        <v>1403678.6</v>
      </c>
      <c r="P29" s="199">
        <v>1086162.6000000001</v>
      </c>
      <c r="Q29" s="199">
        <v>0</v>
      </c>
      <c r="R29" s="199">
        <v>407000.6</v>
      </c>
      <c r="S29" s="199">
        <v>58806.400000000001</v>
      </c>
      <c r="T29" s="199">
        <v>1810679.4</v>
      </c>
      <c r="U29" s="199">
        <v>297840.40000000002</v>
      </c>
      <c r="V29" s="199">
        <v>12280</v>
      </c>
      <c r="W29" s="199">
        <v>114131.6</v>
      </c>
      <c r="X29" s="199">
        <v>4903.8</v>
      </c>
    </row>
    <row r="30" spans="1:24">
      <c r="A30" s="1402">
        <v>411</v>
      </c>
      <c r="B30" s="1402" t="s">
        <v>1227</v>
      </c>
      <c r="C30" s="198">
        <v>2017</v>
      </c>
      <c r="D30" s="199">
        <v>5387251.0372881396</v>
      </c>
      <c r="E30" s="199">
        <v>4703792.4847457604</v>
      </c>
      <c r="F30" s="199">
        <v>683458.51186440699</v>
      </c>
      <c r="G30" s="199">
        <v>593657.28474576306</v>
      </c>
      <c r="H30" s="199">
        <v>89801.169491525405</v>
      </c>
      <c r="I30" s="199">
        <v>102407.18644067799</v>
      </c>
      <c r="J30" s="199">
        <v>181685.55932203401</v>
      </c>
      <c r="K30" s="199">
        <v>10522.7966101695</v>
      </c>
      <c r="L30" s="199">
        <v>32738.511864406799</v>
      </c>
      <c r="M30" s="199">
        <v>-22215.722033898299</v>
      </c>
      <c r="N30" s="199">
        <v>25484.0779661017</v>
      </c>
      <c r="O30" s="199">
        <v>3524576.24067797</v>
      </c>
      <c r="P30" s="199">
        <v>2840982.73898305</v>
      </c>
      <c r="Q30" s="199">
        <v>36521.240677966103</v>
      </c>
      <c r="R30" s="199">
        <v>2162591.45762712</v>
      </c>
      <c r="S30" s="199">
        <v>2066097.7220339</v>
      </c>
      <c r="T30" s="199">
        <v>5687167.3728813604</v>
      </c>
      <c r="U30" s="199">
        <v>3537791.2440678002</v>
      </c>
      <c r="V30" s="199">
        <v>728769.69152542402</v>
      </c>
      <c r="W30" s="199">
        <v>695840.45762711903</v>
      </c>
      <c r="X30" s="199">
        <v>405403.779661017</v>
      </c>
    </row>
    <row r="31" spans="1:24">
      <c r="A31" s="1403"/>
      <c r="B31" s="1403"/>
      <c r="C31" s="198">
        <v>2018</v>
      </c>
      <c r="D31" s="199">
        <v>5174244.875</v>
      </c>
      <c r="E31" s="199">
        <v>4429437.80813953</v>
      </c>
      <c r="F31" s="199">
        <v>744807.00290697697</v>
      </c>
      <c r="G31" s="199">
        <v>512453.11337209301</v>
      </c>
      <c r="H31" s="199">
        <v>232353.91569767401</v>
      </c>
      <c r="I31" s="199">
        <v>78868.171511627894</v>
      </c>
      <c r="J31" s="199">
        <v>142305.19476744201</v>
      </c>
      <c r="K31" s="199">
        <v>168916.89244185999</v>
      </c>
      <c r="L31" s="199">
        <v>31170.0581395349</v>
      </c>
      <c r="M31" s="199">
        <v>137763.177325581</v>
      </c>
      <c r="N31" s="199">
        <v>84926.587209302306</v>
      </c>
      <c r="O31" s="199">
        <v>3131520.9156976701</v>
      </c>
      <c r="P31" s="199">
        <v>2371608.5872093001</v>
      </c>
      <c r="Q31" s="199">
        <v>41477.238372093001</v>
      </c>
      <c r="R31" s="199">
        <v>2163945.93313953</v>
      </c>
      <c r="S31" s="199">
        <v>1740343.2005814</v>
      </c>
      <c r="T31" s="199">
        <v>5295467.0755813997</v>
      </c>
      <c r="U31" s="199">
        <v>3163828.1482558101</v>
      </c>
      <c r="V31" s="199">
        <v>758833.20930232597</v>
      </c>
      <c r="W31" s="199">
        <v>748256.00872092997</v>
      </c>
      <c r="X31" s="199">
        <v>361487.39534883702</v>
      </c>
    </row>
    <row r="32" spans="1:24">
      <c r="A32" s="1404"/>
      <c r="B32" s="1404"/>
      <c r="C32" s="198">
        <v>2019</v>
      </c>
      <c r="D32" s="199">
        <v>5106095.9440789502</v>
      </c>
      <c r="E32" s="199">
        <v>4352820.2861842103</v>
      </c>
      <c r="F32" s="199">
        <v>753275.51644736796</v>
      </c>
      <c r="G32" s="199">
        <v>579505.11842105305</v>
      </c>
      <c r="H32" s="199">
        <v>173770.38157894701</v>
      </c>
      <c r="I32" s="199">
        <v>87280.476973684199</v>
      </c>
      <c r="J32" s="199">
        <v>166581.24342105299</v>
      </c>
      <c r="K32" s="199">
        <v>94469.615131578903</v>
      </c>
      <c r="L32" s="199">
        <v>13808.901315789501</v>
      </c>
      <c r="M32" s="199">
        <v>80660.700657894704</v>
      </c>
      <c r="N32" s="199">
        <v>84908.618421052597</v>
      </c>
      <c r="O32" s="199">
        <v>3450705.8026315798</v>
      </c>
      <c r="P32" s="199">
        <v>2597757.0394736798</v>
      </c>
      <c r="Q32" s="199">
        <v>33724.924342105303</v>
      </c>
      <c r="R32" s="199">
        <v>2354242.1743421098</v>
      </c>
      <c r="S32" s="199">
        <v>1952003.2302631601</v>
      </c>
      <c r="T32" s="199">
        <v>5804947.9046052601</v>
      </c>
      <c r="U32" s="199">
        <v>3408009.6776315798</v>
      </c>
      <c r="V32" s="199">
        <v>739002.63486842101</v>
      </c>
      <c r="W32" s="199">
        <v>813981.96381578897</v>
      </c>
      <c r="X32" s="199">
        <v>442146.121710526</v>
      </c>
    </row>
    <row r="33" spans="1:24">
      <c r="A33" s="1402">
        <v>412</v>
      </c>
      <c r="B33" s="1402" t="s">
        <v>1228</v>
      </c>
      <c r="C33" s="198">
        <v>2017</v>
      </c>
      <c r="D33" s="199">
        <v>19104041.577981699</v>
      </c>
      <c r="E33" s="199">
        <v>16250972.8348624</v>
      </c>
      <c r="F33" s="199">
        <v>2853068.1100917398</v>
      </c>
      <c r="G33" s="199">
        <v>1987548.0091743099</v>
      </c>
      <c r="H33" s="199">
        <v>865520.18348623905</v>
      </c>
      <c r="I33" s="199">
        <v>705907.788990826</v>
      </c>
      <c r="J33" s="199">
        <v>768845.65137614706</v>
      </c>
      <c r="K33" s="199">
        <v>802582.32110091695</v>
      </c>
      <c r="L33" s="199">
        <v>278449.587155963</v>
      </c>
      <c r="M33" s="199">
        <v>524132.770642202</v>
      </c>
      <c r="N33" s="199">
        <v>65089.366972477103</v>
      </c>
      <c r="O33" s="199">
        <v>20767448.8073394</v>
      </c>
      <c r="P33" s="199">
        <v>14148983.706421999</v>
      </c>
      <c r="Q33" s="199">
        <v>283247.119266055</v>
      </c>
      <c r="R33" s="199">
        <v>7680520.6697247699</v>
      </c>
      <c r="S33" s="199">
        <v>9011929.4403669704</v>
      </c>
      <c r="T33" s="199">
        <v>28447967.743119299</v>
      </c>
      <c r="U33" s="199">
        <v>13540307.064220199</v>
      </c>
      <c r="V33" s="199">
        <v>3548914.8440367002</v>
      </c>
      <c r="W33" s="199">
        <v>2535928.36697248</v>
      </c>
      <c r="X33" s="199">
        <v>1912691.9449541301</v>
      </c>
    </row>
    <row r="34" spans="1:24">
      <c r="A34" s="1403"/>
      <c r="B34" s="1403"/>
      <c r="C34" s="198">
        <v>2018</v>
      </c>
      <c r="D34" s="199">
        <v>16266708.5588235</v>
      </c>
      <c r="E34" s="199">
        <v>14119921.8529412</v>
      </c>
      <c r="F34" s="199">
        <v>2146786.9338235301</v>
      </c>
      <c r="G34" s="199">
        <v>1623049.25</v>
      </c>
      <c r="H34" s="199">
        <v>523737.75</v>
      </c>
      <c r="I34" s="199">
        <v>508696.84558823501</v>
      </c>
      <c r="J34" s="199">
        <v>545769.55882352905</v>
      </c>
      <c r="K34" s="199">
        <v>486665.03676470602</v>
      </c>
      <c r="L34" s="199">
        <v>117426.94117647099</v>
      </c>
      <c r="M34" s="199">
        <v>369238.05147058802</v>
      </c>
      <c r="N34" s="199">
        <v>411576.50735294097</v>
      </c>
      <c r="O34" s="199">
        <v>17447413.4632353</v>
      </c>
      <c r="P34" s="199">
        <v>12144190.9485294</v>
      </c>
      <c r="Q34" s="199">
        <v>281130.66911764699</v>
      </c>
      <c r="R34" s="199">
        <v>6447674.1838235296</v>
      </c>
      <c r="S34" s="199">
        <v>7532157.2720588204</v>
      </c>
      <c r="T34" s="199">
        <v>23895086.6470588</v>
      </c>
      <c r="U34" s="199">
        <v>11359834.6544118</v>
      </c>
      <c r="V34" s="199">
        <v>2675168.2426470602</v>
      </c>
      <c r="W34" s="199">
        <v>2166226.9705882398</v>
      </c>
      <c r="X34" s="199">
        <v>1539485.45588235</v>
      </c>
    </row>
    <row r="35" spans="1:24">
      <c r="A35" s="1404"/>
      <c r="B35" s="1404"/>
      <c r="C35" s="198">
        <v>2019</v>
      </c>
      <c r="D35" s="199">
        <v>15215359.322033901</v>
      </c>
      <c r="E35" s="199">
        <v>13206048.059322</v>
      </c>
      <c r="F35" s="199">
        <v>2009311.3389830501</v>
      </c>
      <c r="G35" s="199">
        <v>1848934.5</v>
      </c>
      <c r="H35" s="199">
        <v>160376.788135593</v>
      </c>
      <c r="I35" s="199">
        <v>612107.34745762695</v>
      </c>
      <c r="J35" s="199">
        <v>754451.01694915304</v>
      </c>
      <c r="K35" s="199">
        <v>18033.118644067799</v>
      </c>
      <c r="L35" s="199">
        <v>4749.5847457627096</v>
      </c>
      <c r="M35" s="199">
        <v>-34232.228813559297</v>
      </c>
      <c r="N35" s="199">
        <v>425070.61864406802</v>
      </c>
      <c r="O35" s="199">
        <v>21547755.652542401</v>
      </c>
      <c r="P35" s="199">
        <v>13561994.720339</v>
      </c>
      <c r="Q35" s="199">
        <v>309505.491525424</v>
      </c>
      <c r="R35" s="199">
        <v>6719430.4745762702</v>
      </c>
      <c r="S35" s="199">
        <v>7824611.3389830496</v>
      </c>
      <c r="T35" s="199">
        <v>28267186.203389801</v>
      </c>
      <c r="U35" s="199">
        <v>13816328.762711899</v>
      </c>
      <c r="V35" s="199">
        <v>2769528.3135593198</v>
      </c>
      <c r="W35" s="199">
        <v>2206886.1271186401</v>
      </c>
      <c r="X35" s="199">
        <v>1341190.5</v>
      </c>
    </row>
    <row r="36" spans="1:24">
      <c r="A36" s="1402">
        <v>413</v>
      </c>
      <c r="B36" s="1402" t="s">
        <v>1229</v>
      </c>
      <c r="C36" s="198">
        <v>2017</v>
      </c>
      <c r="D36" s="199">
        <v>5631801.5352941202</v>
      </c>
      <c r="E36" s="199">
        <v>4615617.9117647102</v>
      </c>
      <c r="F36" s="199">
        <v>1016183.91176471</v>
      </c>
      <c r="G36" s="199">
        <v>672138.49411764694</v>
      </c>
      <c r="H36" s="199">
        <v>344045.41764705902</v>
      </c>
      <c r="I36" s="199">
        <v>77895.205882352893</v>
      </c>
      <c r="J36" s="199">
        <v>89207.705882352893</v>
      </c>
      <c r="K36" s="199">
        <v>332732.91764705902</v>
      </c>
      <c r="L36" s="199">
        <v>62966.094117647102</v>
      </c>
      <c r="M36" s="199">
        <v>269766.84705882397</v>
      </c>
      <c r="N36" s="199">
        <v>25691.6117647059</v>
      </c>
      <c r="O36" s="199">
        <v>2740284.0647058799</v>
      </c>
      <c r="P36" s="199">
        <v>2382064.3235294102</v>
      </c>
      <c r="Q36" s="199">
        <v>41548.394117647098</v>
      </c>
      <c r="R36" s="199">
        <v>2164435.24705882</v>
      </c>
      <c r="S36" s="199">
        <v>1401816.49411765</v>
      </c>
      <c r="T36" s="199">
        <v>4904719.74705882</v>
      </c>
      <c r="U36" s="199">
        <v>2696271.25294118</v>
      </c>
      <c r="V36" s="199">
        <v>793141.81764705898</v>
      </c>
      <c r="W36" s="199">
        <v>595919.12352941197</v>
      </c>
      <c r="X36" s="199">
        <v>390027.93529411801</v>
      </c>
    </row>
    <row r="37" spans="1:24">
      <c r="A37" s="1403"/>
      <c r="B37" s="1403"/>
      <c r="C37" s="198">
        <v>2018</v>
      </c>
      <c r="D37" s="199">
        <v>6371456.6444444396</v>
      </c>
      <c r="E37" s="199">
        <v>5296804.7388888896</v>
      </c>
      <c r="F37" s="199">
        <v>1074651.8500000001</v>
      </c>
      <c r="G37" s="199">
        <v>735654.51111111103</v>
      </c>
      <c r="H37" s="199">
        <v>338997.32222222199</v>
      </c>
      <c r="I37" s="199">
        <v>69337.611111111095</v>
      </c>
      <c r="J37" s="199">
        <v>97737.761111111104</v>
      </c>
      <c r="K37" s="199">
        <v>310597.17222222203</v>
      </c>
      <c r="L37" s="199">
        <v>58854.6</v>
      </c>
      <c r="M37" s="199">
        <v>251742.55</v>
      </c>
      <c r="N37" s="199">
        <v>94604.0444444444</v>
      </c>
      <c r="O37" s="199">
        <v>2879864.0333333299</v>
      </c>
      <c r="P37" s="199">
        <v>2492642.0777777801</v>
      </c>
      <c r="Q37" s="199">
        <v>48899.9777777778</v>
      </c>
      <c r="R37" s="199">
        <v>2513150.2555555599</v>
      </c>
      <c r="S37" s="199">
        <v>1533416.0444444399</v>
      </c>
      <c r="T37" s="199">
        <v>5393014.3611111101</v>
      </c>
      <c r="U37" s="199">
        <v>2910664.95</v>
      </c>
      <c r="V37" s="199">
        <v>918735.66111111105</v>
      </c>
      <c r="W37" s="199">
        <v>672985.03333333298</v>
      </c>
      <c r="X37" s="199">
        <v>474837.47222222202</v>
      </c>
    </row>
    <row r="38" spans="1:24">
      <c r="A38" s="1404"/>
      <c r="B38" s="1404"/>
      <c r="C38" s="198">
        <v>2019</v>
      </c>
      <c r="D38" s="199">
        <v>5949539.1089743599</v>
      </c>
      <c r="E38" s="199">
        <v>4839819.6474358998</v>
      </c>
      <c r="F38" s="199">
        <v>1109719.7115384601</v>
      </c>
      <c r="G38" s="199">
        <v>804927.47435897402</v>
      </c>
      <c r="H38" s="199">
        <v>304792.282051282</v>
      </c>
      <c r="I38" s="199">
        <v>156574.79487179499</v>
      </c>
      <c r="J38" s="199">
        <v>109652.551282051</v>
      </c>
      <c r="K38" s="199">
        <v>351714.52564102598</v>
      </c>
      <c r="L38" s="199">
        <v>66649.044871794904</v>
      </c>
      <c r="M38" s="199">
        <v>285065.48717948701</v>
      </c>
      <c r="N38" s="199">
        <v>95464.634615384595</v>
      </c>
      <c r="O38" s="199">
        <v>3302943.5256410302</v>
      </c>
      <c r="P38" s="199">
        <v>2820957.1153846201</v>
      </c>
      <c r="Q38" s="199">
        <v>57256.641025641002</v>
      </c>
      <c r="R38" s="199">
        <v>2684909.3910256401</v>
      </c>
      <c r="S38" s="199">
        <v>1635604.5256410299</v>
      </c>
      <c r="T38" s="199">
        <v>5987853.1923076902</v>
      </c>
      <c r="U38" s="199">
        <v>2990088.9487179499</v>
      </c>
      <c r="V38" s="199">
        <v>850985.58333333302</v>
      </c>
      <c r="W38" s="199">
        <v>723435.467948718</v>
      </c>
      <c r="X38" s="199">
        <v>467705.56410256401</v>
      </c>
    </row>
    <row r="39" spans="1:24">
      <c r="A39" s="1402">
        <v>414</v>
      </c>
      <c r="B39" s="1402" t="s">
        <v>1230</v>
      </c>
      <c r="C39" s="198">
        <v>2017</v>
      </c>
      <c r="D39" s="199">
        <v>8107605.2601626003</v>
      </c>
      <c r="E39" s="199">
        <v>7001448.30894309</v>
      </c>
      <c r="F39" s="199">
        <v>1106157.0650406501</v>
      </c>
      <c r="G39" s="199">
        <v>669614.447154472</v>
      </c>
      <c r="H39" s="199">
        <v>436542.58536585403</v>
      </c>
      <c r="I39" s="199">
        <v>139916.47967479701</v>
      </c>
      <c r="J39" s="199">
        <v>154178.772357724</v>
      </c>
      <c r="K39" s="199">
        <v>422280.29268292699</v>
      </c>
      <c r="L39" s="199">
        <v>88680.447154471505</v>
      </c>
      <c r="M39" s="199">
        <v>333599.82926829299</v>
      </c>
      <c r="N39" s="199">
        <v>25905.853658536598</v>
      </c>
      <c r="O39" s="199">
        <v>5814107.0487804897</v>
      </c>
      <c r="P39" s="199">
        <v>4412044.69918699</v>
      </c>
      <c r="Q39" s="199">
        <v>62424.764227642299</v>
      </c>
      <c r="R39" s="199">
        <v>2897690.2926829299</v>
      </c>
      <c r="S39" s="199">
        <v>2762062.91056911</v>
      </c>
      <c r="T39" s="199">
        <v>8711797.4959349595</v>
      </c>
      <c r="U39" s="199">
        <v>4181955.27642276</v>
      </c>
      <c r="V39" s="199">
        <v>1199310.3495934999</v>
      </c>
      <c r="W39" s="199">
        <v>659739.03252032504</v>
      </c>
      <c r="X39" s="199">
        <v>603045.12195121998</v>
      </c>
    </row>
    <row r="40" spans="1:24">
      <c r="A40" s="1403"/>
      <c r="B40" s="1403"/>
      <c r="C40" s="198">
        <v>2018</v>
      </c>
      <c r="D40" s="199">
        <v>7995897.7846153798</v>
      </c>
      <c r="E40" s="199">
        <v>6952646.2384615401</v>
      </c>
      <c r="F40" s="199">
        <v>1043251.22307692</v>
      </c>
      <c r="G40" s="199">
        <v>650555</v>
      </c>
      <c r="H40" s="199">
        <v>392696.16153846198</v>
      </c>
      <c r="I40" s="199">
        <v>155407.430769231</v>
      </c>
      <c r="J40" s="199">
        <v>158006.461538462</v>
      </c>
      <c r="K40" s="199">
        <v>390097.13076923101</v>
      </c>
      <c r="L40" s="199">
        <v>67338.384615384595</v>
      </c>
      <c r="M40" s="199">
        <v>322758.73846153799</v>
      </c>
      <c r="N40" s="199">
        <v>72545.461538461503</v>
      </c>
      <c r="O40" s="199">
        <v>5751824.77692308</v>
      </c>
      <c r="P40" s="199">
        <v>4471187.4230769202</v>
      </c>
      <c r="Q40" s="199">
        <v>63811.1</v>
      </c>
      <c r="R40" s="199">
        <v>2994441.0615384602</v>
      </c>
      <c r="S40" s="199">
        <v>2711201.58461538</v>
      </c>
      <c r="T40" s="199">
        <v>8746265.8461538497</v>
      </c>
      <c r="U40" s="199">
        <v>4179037.1</v>
      </c>
      <c r="V40" s="199">
        <v>1275156.28461538</v>
      </c>
      <c r="W40" s="199">
        <v>682138.41538461496</v>
      </c>
      <c r="X40" s="199">
        <v>608312.65384615399</v>
      </c>
    </row>
    <row r="41" spans="1:24">
      <c r="A41" s="1404"/>
      <c r="B41" s="1404"/>
      <c r="C41" s="198">
        <v>2019</v>
      </c>
      <c r="D41" s="199">
        <v>7371779.25</v>
      </c>
      <c r="E41" s="199">
        <v>6372878.7954545496</v>
      </c>
      <c r="F41" s="199">
        <v>998900.09090909106</v>
      </c>
      <c r="G41" s="199">
        <v>673348.03787878796</v>
      </c>
      <c r="H41" s="199">
        <v>325552.12878787902</v>
      </c>
      <c r="I41" s="199">
        <v>192780.60606060599</v>
      </c>
      <c r="J41" s="199">
        <v>186453.818181818</v>
      </c>
      <c r="K41" s="199">
        <v>331878.91666666698</v>
      </c>
      <c r="L41" s="199">
        <v>83125.030303030304</v>
      </c>
      <c r="M41" s="199">
        <v>248753.909090909</v>
      </c>
      <c r="N41" s="199">
        <v>66996.613636363603</v>
      </c>
      <c r="O41" s="199">
        <v>5054003.8333333302</v>
      </c>
      <c r="P41" s="199">
        <v>4524939.6439393898</v>
      </c>
      <c r="Q41" s="199">
        <v>39260.621212121201</v>
      </c>
      <c r="R41" s="199">
        <v>2688765.9242424201</v>
      </c>
      <c r="S41" s="199">
        <v>2443906.2348484802</v>
      </c>
      <c r="T41" s="199">
        <v>7742769.5378787899</v>
      </c>
      <c r="U41" s="199">
        <v>4135737.7348484802</v>
      </c>
      <c r="V41" s="199">
        <v>1181941.9242424199</v>
      </c>
      <c r="W41" s="199">
        <v>679093.28030303004</v>
      </c>
      <c r="X41" s="199">
        <v>519102.21212121198</v>
      </c>
    </row>
    <row r="42" spans="1:24">
      <c r="A42" s="1402">
        <v>415</v>
      </c>
      <c r="B42" s="1402" t="s">
        <v>1231</v>
      </c>
      <c r="C42" s="198">
        <v>2017</v>
      </c>
      <c r="D42" s="199">
        <v>1526797.7142857099</v>
      </c>
      <c r="E42" s="199">
        <v>1233707.66666667</v>
      </c>
      <c r="F42" s="199">
        <v>293090.19047619001</v>
      </c>
      <c r="G42" s="199">
        <v>217919.80952380999</v>
      </c>
      <c r="H42" s="199">
        <v>75170.380952381005</v>
      </c>
      <c r="I42" s="199">
        <v>21940.428571428602</v>
      </c>
      <c r="J42" s="199">
        <v>28718.9523809524</v>
      </c>
      <c r="K42" s="199">
        <v>68391.857142857101</v>
      </c>
      <c r="L42" s="199">
        <v>16709.809523809501</v>
      </c>
      <c r="M42" s="199">
        <v>51682.142857142899</v>
      </c>
      <c r="N42" s="199">
        <v>8688.3333333333303</v>
      </c>
      <c r="O42" s="199">
        <v>784864</v>
      </c>
      <c r="P42" s="199">
        <v>626942.33333333302</v>
      </c>
      <c r="Q42" s="199">
        <v>16431.619047618999</v>
      </c>
      <c r="R42" s="199">
        <v>813803.42857142899</v>
      </c>
      <c r="S42" s="199">
        <v>691330.33333333302</v>
      </c>
      <c r="T42" s="199">
        <v>1598667.2857142901</v>
      </c>
      <c r="U42" s="199">
        <v>1113571.4761904799</v>
      </c>
      <c r="V42" s="199">
        <v>295849.85714285698</v>
      </c>
      <c r="W42" s="199">
        <v>192643.42857142899</v>
      </c>
      <c r="X42" s="199">
        <v>206807.47619047601</v>
      </c>
    </row>
    <row r="43" spans="1:24">
      <c r="A43" s="1403"/>
      <c r="B43" s="1403"/>
      <c r="C43" s="198">
        <v>2018</v>
      </c>
      <c r="D43" s="199">
        <v>1663754.76</v>
      </c>
      <c r="E43" s="199">
        <v>1337937.1599999999</v>
      </c>
      <c r="F43" s="199">
        <v>325817.64</v>
      </c>
      <c r="G43" s="199">
        <v>237062.2</v>
      </c>
      <c r="H43" s="199">
        <v>88755.44</v>
      </c>
      <c r="I43" s="199">
        <v>16875.36</v>
      </c>
      <c r="J43" s="199">
        <v>45079.040000000001</v>
      </c>
      <c r="K43" s="199">
        <v>60551.76</v>
      </c>
      <c r="L43" s="199">
        <v>8311.76</v>
      </c>
      <c r="M43" s="199">
        <v>52240.04</v>
      </c>
      <c r="N43" s="199">
        <v>28085.32</v>
      </c>
      <c r="O43" s="199">
        <v>854748.8</v>
      </c>
      <c r="P43" s="199">
        <v>671711.28</v>
      </c>
      <c r="Q43" s="199">
        <v>45691.44</v>
      </c>
      <c r="R43" s="199">
        <v>964398.04</v>
      </c>
      <c r="S43" s="199">
        <v>735353.72</v>
      </c>
      <c r="T43" s="199">
        <v>1819146.88</v>
      </c>
      <c r="U43" s="199">
        <v>1316177.9199999999</v>
      </c>
      <c r="V43" s="199">
        <v>337253.68</v>
      </c>
      <c r="W43" s="199">
        <v>232051.28</v>
      </c>
      <c r="X43" s="199">
        <v>169362.36</v>
      </c>
    </row>
    <row r="44" spans="1:24">
      <c r="A44" s="1404"/>
      <c r="B44" s="1404"/>
      <c r="C44" s="198">
        <v>2019</v>
      </c>
      <c r="D44" s="199">
        <v>1426984.3703703701</v>
      </c>
      <c r="E44" s="199">
        <v>1162265.7777777801</v>
      </c>
      <c r="F44" s="199">
        <v>264718.703703704</v>
      </c>
      <c r="G44" s="199">
        <v>213388.25925925901</v>
      </c>
      <c r="H44" s="199">
        <v>51330.370370370401</v>
      </c>
      <c r="I44" s="199">
        <v>40045.851851851898</v>
      </c>
      <c r="J44" s="199">
        <v>40047.148148148102</v>
      </c>
      <c r="K44" s="199">
        <v>51329.074074074102</v>
      </c>
      <c r="L44" s="199">
        <v>6584.8518518518504</v>
      </c>
      <c r="M44" s="199">
        <v>44744.148148148102</v>
      </c>
      <c r="N44" s="199">
        <v>31564.296296296299</v>
      </c>
      <c r="O44" s="199">
        <v>729654.96296296304</v>
      </c>
      <c r="P44" s="199">
        <v>570233.88888888899</v>
      </c>
      <c r="Q44" s="199">
        <v>38921.111111111102</v>
      </c>
      <c r="R44" s="199">
        <v>840548.70370370406</v>
      </c>
      <c r="S44" s="199">
        <v>593168.85185185203</v>
      </c>
      <c r="T44" s="199">
        <v>1570203.74074074</v>
      </c>
      <c r="U44" s="199">
        <v>1092604.1111111101</v>
      </c>
      <c r="V44" s="199">
        <v>353198.88888888899</v>
      </c>
      <c r="W44" s="199">
        <v>168883.444444444</v>
      </c>
      <c r="X44" s="199">
        <v>128268.222222222</v>
      </c>
    </row>
    <row r="45" spans="1:24">
      <c r="A45" s="1402">
        <v>416</v>
      </c>
      <c r="B45" s="1402" t="s">
        <v>1232</v>
      </c>
      <c r="C45" s="198">
        <v>2017</v>
      </c>
      <c r="D45" s="199">
        <v>10357366.6666667</v>
      </c>
      <c r="E45" s="199">
        <v>8408106.4000000004</v>
      </c>
      <c r="F45" s="199">
        <v>1949260.5355555599</v>
      </c>
      <c r="G45" s="199">
        <v>1491151.9088888899</v>
      </c>
      <c r="H45" s="199">
        <v>458108.69333333301</v>
      </c>
      <c r="I45" s="199">
        <v>117880.137777778</v>
      </c>
      <c r="J45" s="199">
        <v>152632.63555555599</v>
      </c>
      <c r="K45" s="199">
        <v>423356.19555555598</v>
      </c>
      <c r="L45" s="199">
        <v>89354.224444444393</v>
      </c>
      <c r="M45" s="199">
        <v>334001.94222222199</v>
      </c>
      <c r="N45" s="199">
        <v>57710.631111111099</v>
      </c>
      <c r="O45" s="199">
        <v>3909583.04</v>
      </c>
      <c r="P45" s="199">
        <v>2933353.5488888901</v>
      </c>
      <c r="Q45" s="199">
        <v>133297.775555556</v>
      </c>
      <c r="R45" s="199">
        <v>4094098.8733333298</v>
      </c>
      <c r="S45" s="199">
        <v>2800162.9933333299</v>
      </c>
      <c r="T45" s="199">
        <v>8003681.8288888903</v>
      </c>
      <c r="U45" s="199">
        <v>4116836.1666666698</v>
      </c>
      <c r="V45" s="199">
        <v>1765521.86</v>
      </c>
      <c r="W45" s="199">
        <v>1023952.9088888899</v>
      </c>
      <c r="X45" s="199">
        <v>1427031.59333333</v>
      </c>
    </row>
    <row r="46" spans="1:24">
      <c r="A46" s="1403"/>
      <c r="B46" s="1403"/>
      <c r="C46" s="198">
        <v>2018</v>
      </c>
      <c r="D46" s="199">
        <v>11295908.8356998</v>
      </c>
      <c r="E46" s="199">
        <v>9443892.4056795109</v>
      </c>
      <c r="F46" s="199">
        <v>1852016.1602434099</v>
      </c>
      <c r="G46" s="199">
        <v>1444431.9046653099</v>
      </c>
      <c r="H46" s="199">
        <v>407584.16632860003</v>
      </c>
      <c r="I46" s="199">
        <v>170472.90669371199</v>
      </c>
      <c r="J46" s="199">
        <v>155221.78093306301</v>
      </c>
      <c r="K46" s="199">
        <v>422835.29208924901</v>
      </c>
      <c r="L46" s="199">
        <v>90993.949290060904</v>
      </c>
      <c r="M46" s="199">
        <v>331841.36916835699</v>
      </c>
      <c r="N46" s="199">
        <v>112686.06693712001</v>
      </c>
      <c r="O46" s="199">
        <v>3912992.1480730199</v>
      </c>
      <c r="P46" s="199">
        <v>3015958.6977687599</v>
      </c>
      <c r="Q46" s="199">
        <v>126779.200811359</v>
      </c>
      <c r="R46" s="199">
        <v>4024372.3265720098</v>
      </c>
      <c r="S46" s="199">
        <v>2665666.3468559799</v>
      </c>
      <c r="T46" s="199">
        <v>7937364.6369168404</v>
      </c>
      <c r="U46" s="199">
        <v>4091564.6328600398</v>
      </c>
      <c r="V46" s="199">
        <v>1546864.7829614601</v>
      </c>
      <c r="W46" s="199">
        <v>1091534.51926978</v>
      </c>
      <c r="X46" s="199">
        <v>1240832.0344827599</v>
      </c>
    </row>
    <row r="47" spans="1:24">
      <c r="A47" s="1404"/>
      <c r="B47" s="1404"/>
      <c r="C47" s="198">
        <v>2019</v>
      </c>
      <c r="D47" s="199">
        <v>9464512.1436672993</v>
      </c>
      <c r="E47" s="199">
        <v>7813322.0604914902</v>
      </c>
      <c r="F47" s="199">
        <v>1651188.98487713</v>
      </c>
      <c r="G47" s="199">
        <v>1408820.76748582</v>
      </c>
      <c r="H47" s="199">
        <v>242368.30812854401</v>
      </c>
      <c r="I47" s="199">
        <v>135143.368620038</v>
      </c>
      <c r="J47" s="199">
        <v>147179.190926276</v>
      </c>
      <c r="K47" s="199">
        <v>230332.48582230599</v>
      </c>
      <c r="L47" s="199">
        <v>64211.5349716446</v>
      </c>
      <c r="M47" s="199">
        <v>166120.95463138001</v>
      </c>
      <c r="N47" s="199">
        <v>144480.300567108</v>
      </c>
      <c r="O47" s="199">
        <v>4193862.04914934</v>
      </c>
      <c r="P47" s="199">
        <v>3281323.2778828</v>
      </c>
      <c r="Q47" s="199">
        <v>125190.75614366699</v>
      </c>
      <c r="R47" s="199">
        <v>3634523.4574669199</v>
      </c>
      <c r="S47" s="199">
        <v>2640778.6030245698</v>
      </c>
      <c r="T47" s="199">
        <v>7828385.5633270303</v>
      </c>
      <c r="U47" s="199">
        <v>4112772.2759924401</v>
      </c>
      <c r="V47" s="199">
        <v>1317881.83175803</v>
      </c>
      <c r="W47" s="199">
        <v>926280.09262759902</v>
      </c>
      <c r="X47" s="199">
        <v>1049860.35727788</v>
      </c>
    </row>
    <row r="48" spans="1:24">
      <c r="A48" s="1402">
        <v>419</v>
      </c>
      <c r="B48" s="1402" t="s">
        <v>1233</v>
      </c>
      <c r="C48" s="198">
        <v>2017</v>
      </c>
      <c r="D48" s="199">
        <v>2814929.2531645601</v>
      </c>
      <c r="E48" s="199">
        <v>2304315.6202531601</v>
      </c>
      <c r="F48" s="199">
        <v>510613.65822784801</v>
      </c>
      <c r="G48" s="199">
        <v>402347.101265823</v>
      </c>
      <c r="H48" s="199">
        <v>108266.518987342</v>
      </c>
      <c r="I48" s="199">
        <v>65048.987341772197</v>
      </c>
      <c r="J48" s="199">
        <v>49544.075949367099</v>
      </c>
      <c r="K48" s="199">
        <v>123771.43037974701</v>
      </c>
      <c r="L48" s="199">
        <v>18455.924050632901</v>
      </c>
      <c r="M48" s="199">
        <v>105315.46835443001</v>
      </c>
      <c r="N48" s="199">
        <v>13232.2025316456</v>
      </c>
      <c r="O48" s="199">
        <v>1580724.9493670899</v>
      </c>
      <c r="P48" s="199">
        <v>1270662.0632911399</v>
      </c>
      <c r="Q48" s="199">
        <v>21107.670886075899</v>
      </c>
      <c r="R48" s="199">
        <v>1078204.43037975</v>
      </c>
      <c r="S48" s="199">
        <v>818139.18987341796</v>
      </c>
      <c r="T48" s="199">
        <v>2658929.3291139202</v>
      </c>
      <c r="U48" s="199">
        <v>1435920.35443038</v>
      </c>
      <c r="V48" s="199">
        <v>398466.46835442999</v>
      </c>
      <c r="W48" s="199">
        <v>284294.06329113903</v>
      </c>
      <c r="X48" s="199">
        <v>201646.670886076</v>
      </c>
    </row>
    <row r="49" spans="1:24">
      <c r="A49" s="1403"/>
      <c r="B49" s="1403"/>
      <c r="C49" s="198">
        <v>2018</v>
      </c>
      <c r="D49" s="199">
        <v>2737345.4807692301</v>
      </c>
      <c r="E49" s="199">
        <v>2215610.3173076902</v>
      </c>
      <c r="F49" s="199">
        <v>521735.16346153797</v>
      </c>
      <c r="G49" s="199">
        <v>375457.23076923098</v>
      </c>
      <c r="H49" s="199">
        <v>146277.90384615399</v>
      </c>
      <c r="I49" s="199">
        <v>28171.9230769231</v>
      </c>
      <c r="J49" s="199">
        <v>54427.0961538462</v>
      </c>
      <c r="K49" s="199">
        <v>120022.730769231</v>
      </c>
      <c r="L49" s="199">
        <v>672.65384615384596</v>
      </c>
      <c r="M49" s="199">
        <v>119350.038461538</v>
      </c>
      <c r="N49" s="199">
        <v>53632.0961538462</v>
      </c>
      <c r="O49" s="199">
        <v>1482922.25</v>
      </c>
      <c r="P49" s="199">
        <v>1284354.65384615</v>
      </c>
      <c r="Q49" s="199">
        <v>19420.009615384599</v>
      </c>
      <c r="R49" s="199">
        <v>1066541.04807692</v>
      </c>
      <c r="S49" s="199">
        <v>804269.69230769202</v>
      </c>
      <c r="T49" s="199">
        <v>2549463.2692307699</v>
      </c>
      <c r="U49" s="199">
        <v>1462138.9807692301</v>
      </c>
      <c r="V49" s="199">
        <v>386677.15384615399</v>
      </c>
      <c r="W49" s="199">
        <v>316864.88461538497</v>
      </c>
      <c r="X49" s="199">
        <v>169267.115384615</v>
      </c>
    </row>
    <row r="50" spans="1:24">
      <c r="A50" s="1404"/>
      <c r="B50" s="1404"/>
      <c r="C50" s="198">
        <v>2019</v>
      </c>
      <c r="D50" s="199">
        <v>2580158.1826923098</v>
      </c>
      <c r="E50" s="199">
        <v>2085904.82692308</v>
      </c>
      <c r="F50" s="199">
        <v>494253.41346153797</v>
      </c>
      <c r="G50" s="199">
        <v>415472.36538461503</v>
      </c>
      <c r="H50" s="199">
        <v>78781.067307692298</v>
      </c>
      <c r="I50" s="199">
        <v>31020.3461538462</v>
      </c>
      <c r="J50" s="199">
        <v>52760.75</v>
      </c>
      <c r="K50" s="199">
        <v>57040.663461538497</v>
      </c>
      <c r="L50" s="199">
        <v>5438.6057692307704</v>
      </c>
      <c r="M50" s="199">
        <v>51602.0480769231</v>
      </c>
      <c r="N50" s="199">
        <v>41473.519230769198</v>
      </c>
      <c r="O50" s="199">
        <v>1554471.65384615</v>
      </c>
      <c r="P50" s="199">
        <v>1358071.07692308</v>
      </c>
      <c r="Q50" s="199">
        <v>29240.567307692301</v>
      </c>
      <c r="R50" s="199">
        <v>1123235.7884615399</v>
      </c>
      <c r="S50" s="199">
        <v>901665.92307692301</v>
      </c>
      <c r="T50" s="199">
        <v>2677707.5288461498</v>
      </c>
      <c r="U50" s="199">
        <v>1617663.0673076899</v>
      </c>
      <c r="V50" s="199">
        <v>368023.55769230798</v>
      </c>
      <c r="W50" s="199">
        <v>354357.74038461503</v>
      </c>
      <c r="X50" s="199">
        <v>171309.509615385</v>
      </c>
    </row>
    <row r="51" spans="1:24">
      <c r="A51" s="1402">
        <v>421</v>
      </c>
      <c r="B51" s="1402" t="s">
        <v>1234</v>
      </c>
      <c r="C51" s="198">
        <v>2017</v>
      </c>
      <c r="D51" s="199">
        <v>95982678.571428597</v>
      </c>
      <c r="E51" s="199">
        <v>81512565</v>
      </c>
      <c r="F51" s="199">
        <v>14470106.857142899</v>
      </c>
      <c r="G51" s="199">
        <v>8105938.8571428601</v>
      </c>
      <c r="H51" s="199">
        <v>6364168.2857142901</v>
      </c>
      <c r="I51" s="199">
        <v>3405668.8571428601</v>
      </c>
      <c r="J51" s="199">
        <v>3038511</v>
      </c>
      <c r="K51" s="199">
        <v>6731326.1428571399</v>
      </c>
      <c r="L51" s="199">
        <v>1730896</v>
      </c>
      <c r="M51" s="199">
        <v>5000428.7142857099</v>
      </c>
      <c r="N51" s="199">
        <v>143007.14285714299</v>
      </c>
      <c r="O51" s="199">
        <v>122412263.571429</v>
      </c>
      <c r="P51" s="199">
        <v>113694235.571429</v>
      </c>
      <c r="Q51" s="199">
        <v>731476.14285714296</v>
      </c>
      <c r="R51" s="199">
        <v>43786541.714285702</v>
      </c>
      <c r="S51" s="199">
        <v>46920668.285714298</v>
      </c>
      <c r="T51" s="199">
        <v>166198775.42857099</v>
      </c>
      <c r="U51" s="199">
        <v>82096892</v>
      </c>
      <c r="V51" s="199">
        <v>15392770.571428601</v>
      </c>
      <c r="W51" s="199">
        <v>16278514.2857143</v>
      </c>
      <c r="X51" s="199">
        <v>4805696.7142857099</v>
      </c>
    </row>
    <row r="52" spans="1:24">
      <c r="A52" s="1403"/>
      <c r="B52" s="1403"/>
      <c r="C52" s="198">
        <v>2018</v>
      </c>
      <c r="D52" s="199">
        <v>101857313.428571</v>
      </c>
      <c r="E52" s="199">
        <v>80219300.142857105</v>
      </c>
      <c r="F52" s="199">
        <v>21638013.142857101</v>
      </c>
      <c r="G52" s="199">
        <v>7168714.8571428601</v>
      </c>
      <c r="H52" s="199">
        <v>14469308.428571399</v>
      </c>
      <c r="I52" s="199">
        <v>1262811.2857142901</v>
      </c>
      <c r="J52" s="199">
        <v>3561091.57142857</v>
      </c>
      <c r="K52" s="199">
        <v>12171028.142857101</v>
      </c>
      <c r="L52" s="199">
        <v>3339947.2857142901</v>
      </c>
      <c r="M52" s="199">
        <v>8831080.8571428601</v>
      </c>
      <c r="N52" s="199">
        <v>253467.285714286</v>
      </c>
      <c r="O52" s="199">
        <v>131231965.142857</v>
      </c>
      <c r="P52" s="199">
        <v>112378205.428571</v>
      </c>
      <c r="Q52" s="199">
        <v>576520.28571428603</v>
      </c>
      <c r="R52" s="199">
        <v>44714109.428571403</v>
      </c>
      <c r="S52" s="199">
        <v>48437811.142857097</v>
      </c>
      <c r="T52" s="199">
        <v>175946115.714286</v>
      </c>
      <c r="U52" s="199">
        <v>84838884.142857105</v>
      </c>
      <c r="V52" s="199">
        <v>17295616.857142899</v>
      </c>
      <c r="W52" s="199">
        <v>17845995.428571399</v>
      </c>
      <c r="X52" s="199">
        <v>4442717.42857143</v>
      </c>
    </row>
    <row r="53" spans="1:24">
      <c r="A53" s="1404"/>
      <c r="B53" s="1404"/>
      <c r="C53" s="198">
        <v>2019</v>
      </c>
      <c r="D53" s="199">
        <v>93111424.857142895</v>
      </c>
      <c r="E53" s="199">
        <v>79781484.142857105</v>
      </c>
      <c r="F53" s="199">
        <v>13329947</v>
      </c>
      <c r="G53" s="199">
        <v>7492842.1428571399</v>
      </c>
      <c r="H53" s="199">
        <v>5837105</v>
      </c>
      <c r="I53" s="199">
        <v>2428026.8571428601</v>
      </c>
      <c r="J53" s="199">
        <v>6448739.57142857</v>
      </c>
      <c r="K53" s="199">
        <v>1816392.2857142901</v>
      </c>
      <c r="L53" s="199">
        <v>1512981.7142857099</v>
      </c>
      <c r="M53" s="199">
        <v>303411.57142857101</v>
      </c>
      <c r="N53" s="199">
        <v>232037.14285714299</v>
      </c>
      <c r="O53" s="199">
        <v>126637015</v>
      </c>
      <c r="P53" s="199">
        <v>107725816</v>
      </c>
      <c r="Q53" s="199">
        <v>493498.85714285698</v>
      </c>
      <c r="R53" s="199">
        <v>41298681.285714298</v>
      </c>
      <c r="S53" s="199">
        <v>36233273.142857097</v>
      </c>
      <c r="T53" s="199">
        <v>167935752.14285699</v>
      </c>
      <c r="U53" s="199">
        <v>78030766.857142895</v>
      </c>
      <c r="V53" s="199">
        <v>13927469</v>
      </c>
      <c r="W53" s="199">
        <v>18887518.571428601</v>
      </c>
      <c r="X53" s="199">
        <v>4548523.8571428601</v>
      </c>
    </row>
    <row r="54" spans="1:24">
      <c r="A54" s="1402">
        <v>422</v>
      </c>
      <c r="B54" s="1402" t="s">
        <v>1235</v>
      </c>
      <c r="C54" s="198">
        <v>2017</v>
      </c>
      <c r="D54" s="199">
        <v>5674074.2857142901</v>
      </c>
      <c r="E54" s="199">
        <v>5155423.42857143</v>
      </c>
      <c r="F54" s="199">
        <v>518650.57142857101</v>
      </c>
      <c r="G54" s="199">
        <v>489181.14285714302</v>
      </c>
      <c r="H54" s="199">
        <v>29469.285714285699</v>
      </c>
      <c r="I54" s="199">
        <v>507637.85714285698</v>
      </c>
      <c r="J54" s="199">
        <v>178782</v>
      </c>
      <c r="K54" s="199">
        <v>358325.14285714302</v>
      </c>
      <c r="L54" s="199">
        <v>2054.7142857142899</v>
      </c>
      <c r="M54" s="199">
        <v>356270.42857142899</v>
      </c>
      <c r="N54" s="199">
        <v>14517.5714285714</v>
      </c>
      <c r="O54" s="199">
        <v>7098608.2857142901</v>
      </c>
      <c r="P54" s="199">
        <v>3787286.7142857099</v>
      </c>
      <c r="Q54" s="199">
        <v>43687.857142857101</v>
      </c>
      <c r="R54" s="199">
        <v>3775002.57142857</v>
      </c>
      <c r="S54" s="199">
        <v>2742702.2857142901</v>
      </c>
      <c r="T54" s="199">
        <v>10873611.428571399</v>
      </c>
      <c r="U54" s="199">
        <v>3944759.7142857099</v>
      </c>
      <c r="V54" s="199">
        <v>1232792.42857143</v>
      </c>
      <c r="W54" s="199">
        <v>1509106.57142857</v>
      </c>
      <c r="X54" s="199">
        <v>776423.42857142899</v>
      </c>
    </row>
    <row r="55" spans="1:24">
      <c r="A55" s="1403"/>
      <c r="B55" s="1403"/>
      <c r="C55" s="198">
        <v>2018</v>
      </c>
      <c r="D55" s="199">
        <v>6435136</v>
      </c>
      <c r="E55" s="199">
        <v>5732121.57142857</v>
      </c>
      <c r="F55" s="199">
        <v>703015.14285714296</v>
      </c>
      <c r="G55" s="199">
        <v>551087.85714285704</v>
      </c>
      <c r="H55" s="199">
        <v>151927.42857142899</v>
      </c>
      <c r="I55" s="199">
        <v>398313</v>
      </c>
      <c r="J55" s="199">
        <v>144592.42857142899</v>
      </c>
      <c r="K55" s="199">
        <v>405648</v>
      </c>
      <c r="L55" s="199">
        <v>17124.571428571398</v>
      </c>
      <c r="M55" s="199">
        <v>388523.42857142899</v>
      </c>
      <c r="N55" s="199">
        <v>79687.571428571406</v>
      </c>
      <c r="O55" s="199">
        <v>6701224.1428571399</v>
      </c>
      <c r="P55" s="199">
        <v>3194707</v>
      </c>
      <c r="Q55" s="199">
        <v>39421.142857142899</v>
      </c>
      <c r="R55" s="199">
        <v>4381597.1428571399</v>
      </c>
      <c r="S55" s="199">
        <v>2462307.57142857</v>
      </c>
      <c r="T55" s="199">
        <v>11082821.571428601</v>
      </c>
      <c r="U55" s="199">
        <v>3741906.2857142901</v>
      </c>
      <c r="V55" s="199">
        <v>1455797.8571428601</v>
      </c>
      <c r="W55" s="199">
        <v>1458622.7142857099</v>
      </c>
      <c r="X55" s="199">
        <v>683213.57142857101</v>
      </c>
    </row>
    <row r="56" spans="1:24">
      <c r="A56" s="1404"/>
      <c r="B56" s="1404"/>
      <c r="C56" s="198">
        <v>2019</v>
      </c>
      <c r="D56" s="199">
        <v>5086060.42857143</v>
      </c>
      <c r="E56" s="199">
        <v>4485677.2857142901</v>
      </c>
      <c r="F56" s="199">
        <v>600382.85714285704</v>
      </c>
      <c r="G56" s="199">
        <v>550831.28571428603</v>
      </c>
      <c r="H56" s="199">
        <v>49551.428571428602</v>
      </c>
      <c r="I56" s="199">
        <v>605604.85714285704</v>
      </c>
      <c r="J56" s="199">
        <v>181188.57142857101</v>
      </c>
      <c r="K56" s="199">
        <v>473967.71428571403</v>
      </c>
      <c r="L56" s="199">
        <v>67109.857142857101</v>
      </c>
      <c r="M56" s="199">
        <v>406858</v>
      </c>
      <c r="N56" s="199">
        <v>17308.285714285699</v>
      </c>
      <c r="O56" s="199">
        <v>7025071.8571428601</v>
      </c>
      <c r="P56" s="199">
        <v>3084440.2857142901</v>
      </c>
      <c r="Q56" s="199">
        <v>144574.57142857101</v>
      </c>
      <c r="R56" s="199">
        <v>4172202</v>
      </c>
      <c r="S56" s="199">
        <v>2131680.8571428601</v>
      </c>
      <c r="T56" s="199">
        <v>11197273.428571399</v>
      </c>
      <c r="U56" s="199">
        <v>3655434.8571428601</v>
      </c>
      <c r="V56" s="199">
        <v>1302262.8571428601</v>
      </c>
      <c r="W56" s="199">
        <v>1111605.1428571399</v>
      </c>
      <c r="X56" s="199">
        <v>808662.57142857101</v>
      </c>
    </row>
    <row r="57" spans="1:24">
      <c r="A57" s="1402">
        <v>423</v>
      </c>
      <c r="B57" s="1402" t="s">
        <v>1236</v>
      </c>
      <c r="C57" s="198">
        <v>2017</v>
      </c>
      <c r="D57" s="199">
        <v>47802087.8657718</v>
      </c>
      <c r="E57" s="199">
        <v>42106410.147651002</v>
      </c>
      <c r="F57" s="199">
        <v>5695681.3154362403</v>
      </c>
      <c r="G57" s="199">
        <v>4850740.7382550295</v>
      </c>
      <c r="H57" s="199">
        <v>844940.81879194605</v>
      </c>
      <c r="I57" s="199">
        <v>1504700.5167785201</v>
      </c>
      <c r="J57" s="199">
        <v>1704294.63758389</v>
      </c>
      <c r="K57" s="199">
        <v>645346.69798657706</v>
      </c>
      <c r="L57" s="199">
        <v>293132.08724832197</v>
      </c>
      <c r="M57" s="199">
        <v>321517.16107382602</v>
      </c>
      <c r="N57" s="199">
        <v>108853.416107383</v>
      </c>
      <c r="O57" s="199">
        <v>35058719.221476503</v>
      </c>
      <c r="P57" s="199">
        <v>26969667.832214799</v>
      </c>
      <c r="Q57" s="199">
        <v>180484.55033557001</v>
      </c>
      <c r="R57" s="199">
        <v>19763159.127516799</v>
      </c>
      <c r="S57" s="199">
        <v>20894598.335570499</v>
      </c>
      <c r="T57" s="199">
        <v>54821881.590604</v>
      </c>
      <c r="U57" s="199">
        <v>30259604.234899301</v>
      </c>
      <c r="V57" s="199">
        <v>8355337.8120805398</v>
      </c>
      <c r="W57" s="199">
        <v>7136335.0268456396</v>
      </c>
      <c r="X57" s="199">
        <v>3727932.5302013401</v>
      </c>
    </row>
    <row r="58" spans="1:24">
      <c r="A58" s="1403"/>
      <c r="B58" s="1403"/>
      <c r="C58" s="198">
        <v>2018</v>
      </c>
      <c r="D58" s="199">
        <v>43565991.080924898</v>
      </c>
      <c r="E58" s="199">
        <v>37561746.618497103</v>
      </c>
      <c r="F58" s="199">
        <v>6004242.9306358397</v>
      </c>
      <c r="G58" s="199">
        <v>3865206.9479768798</v>
      </c>
      <c r="H58" s="199">
        <v>2139035.9653179199</v>
      </c>
      <c r="I58" s="199">
        <v>956039.17919075105</v>
      </c>
      <c r="J58" s="199">
        <v>1803940.0346820799</v>
      </c>
      <c r="K58" s="199">
        <v>1291135.1098265899</v>
      </c>
      <c r="L58" s="199">
        <v>376329.17919075099</v>
      </c>
      <c r="M58" s="199">
        <v>904030.54913294804</v>
      </c>
      <c r="N58" s="199">
        <v>307576.81502890203</v>
      </c>
      <c r="O58" s="199">
        <v>29553406.369942199</v>
      </c>
      <c r="P58" s="199">
        <v>23022576.063583799</v>
      </c>
      <c r="Q58" s="199">
        <v>149849.89017341001</v>
      </c>
      <c r="R58" s="199">
        <v>18535497.393063601</v>
      </c>
      <c r="S58" s="199">
        <v>18015307.393063601</v>
      </c>
      <c r="T58" s="199">
        <v>48088906.774566501</v>
      </c>
      <c r="U58" s="199">
        <v>26396683.398843899</v>
      </c>
      <c r="V58" s="199">
        <v>7131346.1445086701</v>
      </c>
      <c r="W58" s="199">
        <v>6991603.1734103998</v>
      </c>
      <c r="X58" s="199">
        <v>2987720.13294798</v>
      </c>
    </row>
    <row r="59" spans="1:24">
      <c r="A59" s="1404"/>
      <c r="B59" s="1404"/>
      <c r="C59" s="198">
        <v>2019</v>
      </c>
      <c r="D59" s="199">
        <v>43743643.714285702</v>
      </c>
      <c r="E59" s="199">
        <v>37434579.559523799</v>
      </c>
      <c r="F59" s="199">
        <v>6309063.0416666698</v>
      </c>
      <c r="G59" s="199">
        <v>4070447.8809523801</v>
      </c>
      <c r="H59" s="199">
        <v>2238615.2142857099</v>
      </c>
      <c r="I59" s="199">
        <v>965940.94642857101</v>
      </c>
      <c r="J59" s="199">
        <v>1761269.57142857</v>
      </c>
      <c r="K59" s="199">
        <v>1443286.5892857099</v>
      </c>
      <c r="L59" s="199">
        <v>405627.39880952402</v>
      </c>
      <c r="M59" s="199">
        <v>1037659.1547619</v>
      </c>
      <c r="N59" s="199">
        <v>201439.56547619001</v>
      </c>
      <c r="O59" s="199">
        <v>32354106.886904798</v>
      </c>
      <c r="P59" s="199">
        <v>24487186.785714298</v>
      </c>
      <c r="Q59" s="199">
        <v>152970.89880952399</v>
      </c>
      <c r="R59" s="199">
        <v>18803319.964285702</v>
      </c>
      <c r="S59" s="199">
        <v>16309229.821428601</v>
      </c>
      <c r="T59" s="199">
        <v>51157425.047619</v>
      </c>
      <c r="U59" s="199">
        <v>26561835.541666701</v>
      </c>
      <c r="V59" s="199">
        <v>7165091.625</v>
      </c>
      <c r="W59" s="199">
        <v>6307216.5892857099</v>
      </c>
      <c r="X59" s="199">
        <v>2862778.6190476199</v>
      </c>
    </row>
    <row r="60" spans="1:24">
      <c r="A60" s="1402">
        <v>429</v>
      </c>
      <c r="B60" s="1402" t="s">
        <v>1237</v>
      </c>
      <c r="C60" s="198">
        <v>2017</v>
      </c>
      <c r="D60" s="199">
        <v>29050738.524288099</v>
      </c>
      <c r="E60" s="199">
        <v>14255147.859296501</v>
      </c>
      <c r="F60" s="199">
        <v>14795590.2546064</v>
      </c>
      <c r="G60" s="199">
        <v>11490784.4874372</v>
      </c>
      <c r="H60" s="199">
        <v>3304805.3768844199</v>
      </c>
      <c r="I60" s="199">
        <v>851338.23953098804</v>
      </c>
      <c r="J60" s="199">
        <v>771370.20770519297</v>
      </c>
      <c r="K60" s="199">
        <v>3384773.4087102199</v>
      </c>
      <c r="L60" s="199">
        <v>840272.17587939696</v>
      </c>
      <c r="M60" s="199">
        <v>2530237.66164154</v>
      </c>
      <c r="N60" s="199">
        <v>341052.710217755</v>
      </c>
      <c r="O60" s="199">
        <v>18237758.443886101</v>
      </c>
      <c r="P60" s="199">
        <v>9676076.6666666698</v>
      </c>
      <c r="Q60" s="199">
        <v>914473.79899497505</v>
      </c>
      <c r="R60" s="199">
        <v>12816537.747068699</v>
      </c>
      <c r="S60" s="199">
        <v>7295413.1943048602</v>
      </c>
      <c r="T60" s="199">
        <v>31054296.313232802</v>
      </c>
      <c r="U60" s="199">
        <v>10138544.8442211</v>
      </c>
      <c r="V60" s="199">
        <v>3713589.0201005</v>
      </c>
      <c r="W60" s="199">
        <v>2747659.4422110599</v>
      </c>
      <c r="X60" s="199">
        <v>2029318.7604690101</v>
      </c>
    </row>
    <row r="61" spans="1:24">
      <c r="A61" s="1403"/>
      <c r="B61" s="1403"/>
      <c r="C61" s="198">
        <v>2018</v>
      </c>
      <c r="D61" s="199">
        <v>26850180.527624302</v>
      </c>
      <c r="E61" s="199">
        <v>13678991.0013812</v>
      </c>
      <c r="F61" s="199">
        <v>13171189.156077299</v>
      </c>
      <c r="G61" s="199">
        <v>10520287.056629799</v>
      </c>
      <c r="H61" s="199">
        <v>2650901.1864640899</v>
      </c>
      <c r="I61" s="199">
        <v>542520.110497238</v>
      </c>
      <c r="J61" s="199">
        <v>593463.74585635401</v>
      </c>
      <c r="K61" s="199">
        <v>2599957.5511049698</v>
      </c>
      <c r="L61" s="199">
        <v>728037.35082872899</v>
      </c>
      <c r="M61" s="199">
        <v>1872951.83839779</v>
      </c>
      <c r="N61" s="199">
        <v>394086.36740331497</v>
      </c>
      <c r="O61" s="199">
        <v>17511130.368784498</v>
      </c>
      <c r="P61" s="199">
        <v>8898208.4723756891</v>
      </c>
      <c r="Q61" s="199">
        <v>807048.45718231995</v>
      </c>
      <c r="R61" s="199">
        <v>10840446.062154699</v>
      </c>
      <c r="S61" s="199">
        <v>6160969.6477900604</v>
      </c>
      <c r="T61" s="199">
        <v>28351577.7955801</v>
      </c>
      <c r="U61" s="199">
        <v>8947229.5359115992</v>
      </c>
      <c r="V61" s="199">
        <v>3297023.5676795598</v>
      </c>
      <c r="W61" s="199">
        <v>2694973.11049724</v>
      </c>
      <c r="X61" s="199">
        <v>1514386.7983425399</v>
      </c>
    </row>
    <row r="62" spans="1:24">
      <c r="A62" s="1404"/>
      <c r="B62" s="1404"/>
      <c r="C62" s="198">
        <v>2019</v>
      </c>
      <c r="D62" s="199">
        <v>29673370.2790015</v>
      </c>
      <c r="E62" s="199">
        <v>14805781.538913401</v>
      </c>
      <c r="F62" s="199">
        <v>14867590.164464001</v>
      </c>
      <c r="G62" s="199">
        <v>11974115.779735699</v>
      </c>
      <c r="H62" s="199">
        <v>2893472.8751835502</v>
      </c>
      <c r="I62" s="199">
        <v>729970.693098385</v>
      </c>
      <c r="J62" s="199">
        <v>941263.05139500694</v>
      </c>
      <c r="K62" s="199">
        <v>2682180.51688693</v>
      </c>
      <c r="L62" s="199">
        <v>851286.22466960398</v>
      </c>
      <c r="M62" s="199">
        <v>1829349.92070485</v>
      </c>
      <c r="N62" s="199">
        <v>670677.61674008798</v>
      </c>
      <c r="O62" s="199">
        <v>20314268.781204101</v>
      </c>
      <c r="P62" s="199">
        <v>10558590.622613801</v>
      </c>
      <c r="Q62" s="199">
        <v>842923.07488986803</v>
      </c>
      <c r="R62" s="199">
        <v>12294591.516886899</v>
      </c>
      <c r="S62" s="199">
        <v>7597850.34214391</v>
      </c>
      <c r="T62" s="199">
        <v>32608860.011747401</v>
      </c>
      <c r="U62" s="199">
        <v>10908182.164464001</v>
      </c>
      <c r="V62" s="199">
        <v>3712337.5403817901</v>
      </c>
      <c r="W62" s="199">
        <v>2845178.3773861998</v>
      </c>
      <c r="X62" s="199">
        <v>1658836.78854626</v>
      </c>
    </row>
    <row r="63" spans="1:24">
      <c r="A63" s="1402">
        <v>431</v>
      </c>
      <c r="B63" s="1402" t="s">
        <v>1238</v>
      </c>
      <c r="C63" s="198">
        <v>2017</v>
      </c>
      <c r="D63" s="199">
        <v>9203514.3424317595</v>
      </c>
      <c r="E63" s="199">
        <v>7106234.1166253099</v>
      </c>
      <c r="F63" s="199">
        <v>2097280.2059553298</v>
      </c>
      <c r="G63" s="199">
        <v>1255892.2630272999</v>
      </c>
      <c r="H63" s="199">
        <v>841387.93052109203</v>
      </c>
      <c r="I63" s="199">
        <v>303886</v>
      </c>
      <c r="J63" s="199">
        <v>333140.96526054601</v>
      </c>
      <c r="K63" s="199">
        <v>812132.96526054596</v>
      </c>
      <c r="L63" s="199">
        <v>148019.454094293</v>
      </c>
      <c r="M63" s="199">
        <v>697615.72704714595</v>
      </c>
      <c r="N63" s="199">
        <v>46927.868486352403</v>
      </c>
      <c r="O63" s="199">
        <v>5983010.87344913</v>
      </c>
      <c r="P63" s="199">
        <v>4211132.7121588103</v>
      </c>
      <c r="Q63" s="199">
        <v>55586.540942927997</v>
      </c>
      <c r="R63" s="199">
        <v>5252808.1315136496</v>
      </c>
      <c r="S63" s="199">
        <v>2953844.1985111702</v>
      </c>
      <c r="T63" s="199">
        <v>11235818.397022299</v>
      </c>
      <c r="U63" s="199">
        <v>4661840.47394541</v>
      </c>
      <c r="V63" s="199">
        <v>1951308.82133995</v>
      </c>
      <c r="W63" s="199">
        <v>1555311.1637717099</v>
      </c>
      <c r="X63" s="199">
        <v>798668.004962779</v>
      </c>
    </row>
    <row r="64" spans="1:24">
      <c r="A64" s="1403"/>
      <c r="B64" s="1403"/>
      <c r="C64" s="198">
        <v>2018</v>
      </c>
      <c r="D64" s="199">
        <v>7960958.8326771697</v>
      </c>
      <c r="E64" s="199">
        <v>6238034.7165354304</v>
      </c>
      <c r="F64" s="199">
        <v>1722924.0098425201</v>
      </c>
      <c r="G64" s="199">
        <v>1069370.50393701</v>
      </c>
      <c r="H64" s="199">
        <v>653553.55118110206</v>
      </c>
      <c r="I64" s="199">
        <v>233696.649606299</v>
      </c>
      <c r="J64" s="199">
        <v>245085.08661417299</v>
      </c>
      <c r="K64" s="199">
        <v>642165.11417322804</v>
      </c>
      <c r="L64" s="199">
        <v>127809.42519685</v>
      </c>
      <c r="M64" s="199">
        <v>517050.95275590598</v>
      </c>
      <c r="N64" s="199">
        <v>152449.82874015701</v>
      </c>
      <c r="O64" s="199">
        <v>5430875.0039370097</v>
      </c>
      <c r="P64" s="199">
        <v>3734430.7480314998</v>
      </c>
      <c r="Q64" s="199">
        <v>117264.372047244</v>
      </c>
      <c r="R64" s="199">
        <v>4628275.4232283495</v>
      </c>
      <c r="S64" s="199">
        <v>2633023.0629921299</v>
      </c>
      <c r="T64" s="199">
        <v>10059150.592519701</v>
      </c>
      <c r="U64" s="199">
        <v>4258256.81102362</v>
      </c>
      <c r="V64" s="199">
        <v>1754637.0078740199</v>
      </c>
      <c r="W64" s="199">
        <v>1429283.0433070899</v>
      </c>
      <c r="X64" s="199">
        <v>687595.33267716505</v>
      </c>
    </row>
    <row r="65" spans="1:24">
      <c r="A65" s="1404"/>
      <c r="B65" s="1404"/>
      <c r="C65" s="198">
        <v>2019</v>
      </c>
      <c r="D65" s="199">
        <v>8020473.2457983196</v>
      </c>
      <c r="E65" s="199">
        <v>6317209.4327731105</v>
      </c>
      <c r="F65" s="199">
        <v>1703263.9936974801</v>
      </c>
      <c r="G65" s="199">
        <v>1159419.99579832</v>
      </c>
      <c r="H65" s="199">
        <v>543844.05882352905</v>
      </c>
      <c r="I65" s="199">
        <v>327057.09873949602</v>
      </c>
      <c r="J65" s="199">
        <v>256338.85714285701</v>
      </c>
      <c r="K65" s="199">
        <v>614562.30042016797</v>
      </c>
      <c r="L65" s="199">
        <v>121094.731092437</v>
      </c>
      <c r="M65" s="199">
        <v>496478.48949579801</v>
      </c>
      <c r="N65" s="199">
        <v>126646.75</v>
      </c>
      <c r="O65" s="199">
        <v>5936819.51890756</v>
      </c>
      <c r="P65" s="199">
        <v>4044954.8445378202</v>
      </c>
      <c r="Q65" s="199">
        <v>88074.506302520997</v>
      </c>
      <c r="R65" s="199">
        <v>4977111.4957983196</v>
      </c>
      <c r="S65" s="199">
        <v>2667531.1890756302</v>
      </c>
      <c r="T65" s="199">
        <v>10913930.556722701</v>
      </c>
      <c r="U65" s="199">
        <v>4465794.0651260503</v>
      </c>
      <c r="V65" s="199">
        <v>1840978.49579832</v>
      </c>
      <c r="W65" s="199">
        <v>1491243.69957983</v>
      </c>
      <c r="X65" s="199">
        <v>615598.89495798305</v>
      </c>
    </row>
    <row r="66" spans="1:24">
      <c r="A66" s="1402">
        <v>432</v>
      </c>
      <c r="B66" s="1402" t="s">
        <v>1239</v>
      </c>
      <c r="C66" s="198">
        <v>2017</v>
      </c>
      <c r="D66" s="199">
        <v>6816127.98661312</v>
      </c>
      <c r="E66" s="199">
        <v>5819588.3779562702</v>
      </c>
      <c r="F66" s="199">
        <v>996539.59482373903</v>
      </c>
      <c r="G66" s="199">
        <v>674785.01026327501</v>
      </c>
      <c r="H66" s="199">
        <v>321754.603748327</v>
      </c>
      <c r="I66" s="199">
        <v>129559.732262383</v>
      </c>
      <c r="J66" s="199">
        <v>168645.316822847</v>
      </c>
      <c r="K66" s="199">
        <v>282669.01918786298</v>
      </c>
      <c r="L66" s="199">
        <v>59189.030343596598</v>
      </c>
      <c r="M66" s="199">
        <v>223479.997322624</v>
      </c>
      <c r="N66" s="199">
        <v>29640.529228023199</v>
      </c>
      <c r="O66" s="199">
        <v>3599332.0713967001</v>
      </c>
      <c r="P66" s="199">
        <v>2919942.6733601098</v>
      </c>
      <c r="Q66" s="199">
        <v>68419.149933065593</v>
      </c>
      <c r="R66" s="199">
        <v>3127693.6345381499</v>
      </c>
      <c r="S66" s="199">
        <v>2287001.6604194599</v>
      </c>
      <c r="T66" s="199">
        <v>6727025.7581436904</v>
      </c>
      <c r="U66" s="199">
        <v>3695175.5078090099</v>
      </c>
      <c r="V66" s="199">
        <v>1261884.86568496</v>
      </c>
      <c r="W66" s="199">
        <v>746303.42481035297</v>
      </c>
      <c r="X66" s="199">
        <v>751211.86791610904</v>
      </c>
    </row>
    <row r="67" spans="1:24">
      <c r="A67" s="1403"/>
      <c r="B67" s="1403"/>
      <c r="C67" s="198">
        <v>2018</v>
      </c>
      <c r="D67" s="199">
        <v>6425134.7489307104</v>
      </c>
      <c r="E67" s="199">
        <v>5494718.9978614198</v>
      </c>
      <c r="F67" s="199">
        <v>930415.73438836599</v>
      </c>
      <c r="G67" s="199">
        <v>649957.82207014505</v>
      </c>
      <c r="H67" s="199">
        <v>280457.89606501302</v>
      </c>
      <c r="I67" s="199">
        <v>112216.95337895599</v>
      </c>
      <c r="J67" s="199">
        <v>159745.80196749399</v>
      </c>
      <c r="K67" s="199">
        <v>232929.047476476</v>
      </c>
      <c r="L67" s="199">
        <v>43738.765183917902</v>
      </c>
      <c r="M67" s="199">
        <v>188101.53721129199</v>
      </c>
      <c r="N67" s="199">
        <v>119731.005988024</v>
      </c>
      <c r="O67" s="199">
        <v>3620766.17835757</v>
      </c>
      <c r="P67" s="199">
        <v>2897864.7724550902</v>
      </c>
      <c r="Q67" s="199">
        <v>73685.754063301996</v>
      </c>
      <c r="R67" s="199">
        <v>2983560.9046193301</v>
      </c>
      <c r="S67" s="199">
        <v>2165448.5337895602</v>
      </c>
      <c r="T67" s="199">
        <v>6604326.9760478996</v>
      </c>
      <c r="U67" s="199">
        <v>3569248.2074422599</v>
      </c>
      <c r="V67" s="199">
        <v>1169053.6787852901</v>
      </c>
      <c r="W67" s="199">
        <v>719660.53721129196</v>
      </c>
      <c r="X67" s="199">
        <v>672642.42001710902</v>
      </c>
    </row>
    <row r="68" spans="1:24">
      <c r="A68" s="1404"/>
      <c r="B68" s="1404"/>
      <c r="C68" s="198">
        <v>2019</v>
      </c>
      <c r="D68" s="199">
        <v>6936133.5011842698</v>
      </c>
      <c r="E68" s="199">
        <v>5946301.1155850301</v>
      </c>
      <c r="F68" s="199">
        <v>989832.41875888198</v>
      </c>
      <c r="G68" s="199">
        <v>708011.85551871196</v>
      </c>
      <c r="H68" s="199">
        <v>281820.56608242501</v>
      </c>
      <c r="I68" s="199">
        <v>122525.31643770701</v>
      </c>
      <c r="J68" s="199">
        <v>192064.40881098999</v>
      </c>
      <c r="K68" s="199">
        <v>212281.473709143</v>
      </c>
      <c r="L68" s="199">
        <v>42371.6570345808</v>
      </c>
      <c r="M68" s="199">
        <v>169909.81193746999</v>
      </c>
      <c r="N68" s="199">
        <v>130760.19564187599</v>
      </c>
      <c r="O68" s="199">
        <v>3995187.1250592102</v>
      </c>
      <c r="P68" s="199">
        <v>3176497.8574135499</v>
      </c>
      <c r="Q68" s="199">
        <v>84802.948839412595</v>
      </c>
      <c r="R68" s="199">
        <v>3300922.9734722902</v>
      </c>
      <c r="S68" s="199">
        <v>2411269.9535765001</v>
      </c>
      <c r="T68" s="199">
        <v>7296110.2619611602</v>
      </c>
      <c r="U68" s="199">
        <v>3921554.6835622899</v>
      </c>
      <c r="V68" s="199">
        <v>1235908.6224538099</v>
      </c>
      <c r="W68" s="199">
        <v>770744.56134533405</v>
      </c>
      <c r="X68" s="199">
        <v>694720.73377546202</v>
      </c>
    </row>
    <row r="69" spans="1:24">
      <c r="A69" s="1402">
        <v>433</v>
      </c>
      <c r="B69" s="1402" t="s">
        <v>1240</v>
      </c>
      <c r="C69" s="198">
        <v>2017</v>
      </c>
      <c r="D69" s="199">
        <v>8446801.9726027399</v>
      </c>
      <c r="E69" s="199">
        <v>6864829.2367906095</v>
      </c>
      <c r="F69" s="199">
        <v>1581972.6477495099</v>
      </c>
      <c r="G69" s="199">
        <v>1249648.4559686901</v>
      </c>
      <c r="H69" s="199">
        <v>332324.21917808201</v>
      </c>
      <c r="I69" s="199">
        <v>217416.77103718201</v>
      </c>
      <c r="J69" s="199">
        <v>290841.616438356</v>
      </c>
      <c r="K69" s="199">
        <v>258899.373776908</v>
      </c>
      <c r="L69" s="199">
        <v>34803.823874755399</v>
      </c>
      <c r="M69" s="199">
        <v>276291.90215264203</v>
      </c>
      <c r="N69" s="199">
        <v>77930.4892367906</v>
      </c>
      <c r="O69" s="199">
        <v>4464200.7827788601</v>
      </c>
      <c r="P69" s="199">
        <v>3041767.2622309201</v>
      </c>
      <c r="Q69" s="199">
        <v>256436.49510763201</v>
      </c>
      <c r="R69" s="199">
        <v>5288015.2954990203</v>
      </c>
      <c r="S69" s="199">
        <v>3428109.42074364</v>
      </c>
      <c r="T69" s="199">
        <v>9752215.3405088093</v>
      </c>
      <c r="U69" s="199">
        <v>5349044.6986301402</v>
      </c>
      <c r="V69" s="199">
        <v>2113267.1389432498</v>
      </c>
      <c r="W69" s="199">
        <v>1525534.34833659</v>
      </c>
      <c r="X69" s="199">
        <v>1115720.8493150701</v>
      </c>
    </row>
    <row r="70" spans="1:24">
      <c r="A70" s="1403"/>
      <c r="B70" s="1403"/>
      <c r="C70" s="198">
        <v>2018</v>
      </c>
      <c r="D70" s="199">
        <v>7414830.9771241797</v>
      </c>
      <c r="E70" s="199">
        <v>6147040.8006535899</v>
      </c>
      <c r="F70" s="199">
        <v>1267789.89542484</v>
      </c>
      <c r="G70" s="199">
        <v>1109309.0506535899</v>
      </c>
      <c r="H70" s="199">
        <v>158480.85294117601</v>
      </c>
      <c r="I70" s="199">
        <v>597959.69607843098</v>
      </c>
      <c r="J70" s="199">
        <v>411936.14542483701</v>
      </c>
      <c r="K70" s="199">
        <v>344504.40359477099</v>
      </c>
      <c r="L70" s="199">
        <v>19633.638888888901</v>
      </c>
      <c r="M70" s="199">
        <v>443712.810457516</v>
      </c>
      <c r="N70" s="199">
        <v>109403.965686275</v>
      </c>
      <c r="O70" s="199">
        <v>4114606.45588235</v>
      </c>
      <c r="P70" s="199">
        <v>2850693.7320261402</v>
      </c>
      <c r="Q70" s="199">
        <v>201005.19281045799</v>
      </c>
      <c r="R70" s="199">
        <v>4388740.7287581703</v>
      </c>
      <c r="S70" s="199">
        <v>2896864.4640522902</v>
      </c>
      <c r="T70" s="199">
        <v>8503347.6241830103</v>
      </c>
      <c r="U70" s="199">
        <v>4557087.4509803904</v>
      </c>
      <c r="V70" s="199">
        <v>1766580.8235294099</v>
      </c>
      <c r="W70" s="199">
        <v>1399102.1388888899</v>
      </c>
      <c r="X70" s="199">
        <v>918827.97222222202</v>
      </c>
    </row>
    <row r="71" spans="1:24">
      <c r="A71" s="1404"/>
      <c r="B71" s="1404"/>
      <c r="C71" s="198">
        <v>2019</v>
      </c>
      <c r="D71" s="199">
        <v>7545891.5508196699</v>
      </c>
      <c r="E71" s="199">
        <v>6176678.5311475396</v>
      </c>
      <c r="F71" s="199">
        <v>1369213.0606557401</v>
      </c>
      <c r="G71" s="199">
        <v>1177490.6655737699</v>
      </c>
      <c r="H71" s="199">
        <v>191722.393442623</v>
      </c>
      <c r="I71" s="199">
        <v>217710.92295082001</v>
      </c>
      <c r="J71" s="199">
        <v>463386.75409836101</v>
      </c>
      <c r="K71" s="199">
        <v>-53953.437704917997</v>
      </c>
      <c r="L71" s="199">
        <v>4575.18524590164</v>
      </c>
      <c r="M71" s="199">
        <v>-58942.981967213098</v>
      </c>
      <c r="N71" s="199">
        <v>133748.52459016399</v>
      </c>
      <c r="O71" s="199">
        <v>4183266.4524590201</v>
      </c>
      <c r="P71" s="199">
        <v>2964078.39180328</v>
      </c>
      <c r="Q71" s="199">
        <v>148669.30983606601</v>
      </c>
      <c r="R71" s="199">
        <v>4344055.8409836097</v>
      </c>
      <c r="S71" s="199">
        <v>2862571.93114754</v>
      </c>
      <c r="T71" s="199">
        <v>8527322.5131147504</v>
      </c>
      <c r="U71" s="199">
        <v>4705207.2344262302</v>
      </c>
      <c r="V71" s="199">
        <v>1832062.0950819701</v>
      </c>
      <c r="W71" s="199">
        <v>1367043.3639344301</v>
      </c>
      <c r="X71" s="199">
        <v>903374.41803278704</v>
      </c>
    </row>
    <row r="72" spans="1:24">
      <c r="A72" s="1402">
        <v>439</v>
      </c>
      <c r="B72" s="1402" t="s">
        <v>1241</v>
      </c>
      <c r="C72" s="198">
        <v>2017</v>
      </c>
      <c r="D72" s="199">
        <v>22088505.6794682</v>
      </c>
      <c r="E72" s="199">
        <v>17827859.067946799</v>
      </c>
      <c r="F72" s="199">
        <v>4260646.7577547999</v>
      </c>
      <c r="G72" s="199">
        <v>2951632.2451994098</v>
      </c>
      <c r="H72" s="199">
        <v>1309014.5672082701</v>
      </c>
      <c r="I72" s="199">
        <v>900171.93057607103</v>
      </c>
      <c r="J72" s="199">
        <v>1359924.4889217101</v>
      </c>
      <c r="K72" s="199">
        <v>849262.00886262895</v>
      </c>
      <c r="L72" s="199">
        <v>250309.74446085701</v>
      </c>
      <c r="M72" s="199">
        <v>600187.85672082705</v>
      </c>
      <c r="N72" s="199">
        <v>159119.02658788799</v>
      </c>
      <c r="O72" s="199">
        <v>21001928.407680899</v>
      </c>
      <c r="P72" s="199">
        <v>12691863.723781399</v>
      </c>
      <c r="Q72" s="199">
        <v>1275002.788774</v>
      </c>
      <c r="R72" s="199">
        <v>11822833.963072401</v>
      </c>
      <c r="S72" s="199">
        <v>9259624.8197932094</v>
      </c>
      <c r="T72" s="199">
        <v>32824761.704578999</v>
      </c>
      <c r="U72" s="199">
        <v>14674598.5450517</v>
      </c>
      <c r="V72" s="199">
        <v>4189934.02806499</v>
      </c>
      <c r="W72" s="199">
        <v>2830919.6322008902</v>
      </c>
      <c r="X72" s="199">
        <v>2068564.2082717901</v>
      </c>
    </row>
    <row r="73" spans="1:24">
      <c r="A73" s="1403"/>
      <c r="B73" s="1403"/>
      <c r="C73" s="198">
        <v>2018</v>
      </c>
      <c r="D73" s="199">
        <v>20745103.609618101</v>
      </c>
      <c r="E73" s="199">
        <v>16821696.669024002</v>
      </c>
      <c r="F73" s="199">
        <v>3923406.0466761002</v>
      </c>
      <c r="G73" s="199">
        <v>2781152.8359264499</v>
      </c>
      <c r="H73" s="199">
        <v>1142253.23055163</v>
      </c>
      <c r="I73" s="199">
        <v>1002526.05940594</v>
      </c>
      <c r="J73" s="199">
        <v>1073341.74115983</v>
      </c>
      <c r="K73" s="199">
        <v>1071437.5487977399</v>
      </c>
      <c r="L73" s="199">
        <v>274020.93635077798</v>
      </c>
      <c r="M73" s="199">
        <v>771815.16407355003</v>
      </c>
      <c r="N73" s="199">
        <v>321817.20226308302</v>
      </c>
      <c r="O73" s="199">
        <v>20235349.3182461</v>
      </c>
      <c r="P73" s="199">
        <v>12444750.101838799</v>
      </c>
      <c r="Q73" s="199">
        <v>1120560.7609618099</v>
      </c>
      <c r="R73" s="199">
        <v>11892781.632248901</v>
      </c>
      <c r="S73" s="199">
        <v>9100329.9321075007</v>
      </c>
      <c r="T73" s="199">
        <v>32128130.1683168</v>
      </c>
      <c r="U73" s="199">
        <v>13613186.7666195</v>
      </c>
      <c r="V73" s="199">
        <v>3940168.6874115998</v>
      </c>
      <c r="W73" s="199">
        <v>3185472.2885431401</v>
      </c>
      <c r="X73" s="199">
        <v>1979844.33097595</v>
      </c>
    </row>
    <row r="74" spans="1:24">
      <c r="A74" s="1404"/>
      <c r="B74" s="1404"/>
      <c r="C74" s="198">
        <v>2019</v>
      </c>
      <c r="D74" s="199">
        <v>20662638.565698501</v>
      </c>
      <c r="E74" s="199">
        <v>16680846.7289073</v>
      </c>
      <c r="F74" s="199">
        <v>3981792.2544951602</v>
      </c>
      <c r="G74" s="199">
        <v>2825927.89903181</v>
      </c>
      <c r="H74" s="199">
        <v>1155864.2655601699</v>
      </c>
      <c r="I74" s="199">
        <v>938466.30290456396</v>
      </c>
      <c r="J74" s="199">
        <v>2425839.9460580898</v>
      </c>
      <c r="K74" s="199">
        <v>-331509.37759336102</v>
      </c>
      <c r="L74" s="199">
        <v>27550.681881051201</v>
      </c>
      <c r="M74" s="199">
        <v>-369626.65006915602</v>
      </c>
      <c r="N74" s="199">
        <v>314634.72199170099</v>
      </c>
      <c r="O74" s="199">
        <v>17855236.348547701</v>
      </c>
      <c r="P74" s="199">
        <v>9670110.1839557402</v>
      </c>
      <c r="Q74" s="199">
        <v>1097008.9515905899</v>
      </c>
      <c r="R74" s="199">
        <v>13693586.0940526</v>
      </c>
      <c r="S74" s="199">
        <v>8732292.55739972</v>
      </c>
      <c r="T74" s="199">
        <v>31548822.495159101</v>
      </c>
      <c r="U74" s="199">
        <v>13441686.3388658</v>
      </c>
      <c r="V74" s="199">
        <v>3701323.6154910098</v>
      </c>
      <c r="W74" s="199">
        <v>4698181.06085754</v>
      </c>
      <c r="X74" s="199">
        <v>1712027.61410788</v>
      </c>
    </row>
    <row r="75" spans="1:24">
      <c r="A75" s="1402">
        <v>441</v>
      </c>
      <c r="B75" s="1402" t="s">
        <v>5</v>
      </c>
      <c r="C75" s="198">
        <v>2017</v>
      </c>
      <c r="D75" s="199">
        <v>437089.38554216898</v>
      </c>
      <c r="E75" s="199">
        <v>253286.49225473299</v>
      </c>
      <c r="F75" s="199">
        <v>183802.888123924</v>
      </c>
      <c r="G75" s="199">
        <v>155610.118760757</v>
      </c>
      <c r="H75" s="199">
        <v>28192.764199655801</v>
      </c>
      <c r="I75" s="199">
        <v>6799.4061962134301</v>
      </c>
      <c r="J75" s="199">
        <v>2226.5628227194502</v>
      </c>
      <c r="K75" s="199">
        <v>32765.6075731497</v>
      </c>
      <c r="L75" s="199">
        <v>2793.8898450946599</v>
      </c>
      <c r="M75" s="199">
        <v>29971.7401032702</v>
      </c>
      <c r="N75" s="199">
        <v>3215.7796901893298</v>
      </c>
      <c r="O75" s="199">
        <v>99886.382099827897</v>
      </c>
      <c r="P75" s="199">
        <v>72462.647160068795</v>
      </c>
      <c r="Q75" s="199">
        <v>1875.2633390705701</v>
      </c>
      <c r="R75" s="199">
        <v>322700.76075731497</v>
      </c>
      <c r="S75" s="199">
        <v>50806.4802065404</v>
      </c>
      <c r="T75" s="199">
        <v>422587.13253012003</v>
      </c>
      <c r="U75" s="199">
        <v>74777.426850258198</v>
      </c>
      <c r="V75" s="199">
        <v>8642.2271944922504</v>
      </c>
      <c r="W75" s="199">
        <v>12793.6884681583</v>
      </c>
      <c r="X75" s="199">
        <v>3009.3666092943199</v>
      </c>
    </row>
    <row r="76" spans="1:24">
      <c r="A76" s="1403"/>
      <c r="B76" s="1403"/>
      <c r="C76" s="198">
        <v>2018</v>
      </c>
      <c r="D76" s="199">
        <v>1047768.81433824</v>
      </c>
      <c r="E76" s="199">
        <v>258968.55698529401</v>
      </c>
      <c r="F76" s="199">
        <v>175094.81433823501</v>
      </c>
      <c r="G76" s="199">
        <v>253577.16911764699</v>
      </c>
      <c r="H76" s="199">
        <v>-27149.237132352901</v>
      </c>
      <c r="I76" s="199">
        <v>109315.591911765</v>
      </c>
      <c r="J76" s="199">
        <v>29621.386029411799</v>
      </c>
      <c r="K76" s="199">
        <v>52544.96875</v>
      </c>
      <c r="L76" s="199">
        <v>10543.6397058824</v>
      </c>
      <c r="M76" s="199">
        <v>42001.3602941176</v>
      </c>
      <c r="N76" s="199">
        <v>5069.2022058823504</v>
      </c>
      <c r="O76" s="199">
        <v>139549.20036764699</v>
      </c>
      <c r="P76" s="199">
        <v>303079.32536764699</v>
      </c>
      <c r="Q76" s="199">
        <v>18173.770220588201</v>
      </c>
      <c r="R76" s="199">
        <v>413774.90808823501</v>
      </c>
      <c r="S76" s="199">
        <v>139072.101102941</v>
      </c>
      <c r="T76" s="199">
        <v>6773112.35661765</v>
      </c>
      <c r="U76" s="199">
        <v>6107842.1525735296</v>
      </c>
      <c r="V76" s="199">
        <v>11747.7389705882</v>
      </c>
      <c r="W76" s="199">
        <v>16433.604779411799</v>
      </c>
      <c r="X76" s="199">
        <v>4067.6158088235302</v>
      </c>
    </row>
    <row r="77" spans="1:24">
      <c r="A77" s="1404"/>
      <c r="B77" s="1404"/>
      <c r="C77" s="198">
        <v>2019</v>
      </c>
      <c r="D77" s="199">
        <v>1063527.6413255399</v>
      </c>
      <c r="E77" s="199">
        <v>259317.39571150101</v>
      </c>
      <c r="F77" s="199">
        <v>187086.97660818699</v>
      </c>
      <c r="G77" s="199">
        <v>241967.57115009701</v>
      </c>
      <c r="H77" s="199">
        <v>48123.479532163699</v>
      </c>
      <c r="I77" s="199">
        <v>50786.048732943498</v>
      </c>
      <c r="J77" s="199">
        <v>75287.021442495097</v>
      </c>
      <c r="K77" s="199">
        <v>23622.5068226121</v>
      </c>
      <c r="L77" s="199">
        <v>-5200.1286549707602</v>
      </c>
      <c r="M77" s="199">
        <v>28822.6413255361</v>
      </c>
      <c r="N77" s="199">
        <v>5342.7504873294301</v>
      </c>
      <c r="O77" s="199">
        <v>222587.42300194901</v>
      </c>
      <c r="P77" s="199">
        <v>308607.83235867397</v>
      </c>
      <c r="Q77" s="199">
        <v>16609.5360623782</v>
      </c>
      <c r="R77" s="199">
        <v>475227.703703704</v>
      </c>
      <c r="S77" s="199">
        <v>175362.072124756</v>
      </c>
      <c r="T77" s="199">
        <v>8348455.6705652997</v>
      </c>
      <c r="U77" s="199">
        <v>7686467.3294347003</v>
      </c>
      <c r="V77" s="199">
        <v>14679.7914230019</v>
      </c>
      <c r="W77" s="199">
        <v>18652.483430799199</v>
      </c>
      <c r="X77" s="199">
        <v>4983.9571150097499</v>
      </c>
    </row>
    <row r="78" spans="1:24">
      <c r="A78" s="1402">
        <v>442</v>
      </c>
      <c r="B78" s="1402" t="s">
        <v>1463</v>
      </c>
      <c r="C78" s="198">
        <v>2017</v>
      </c>
      <c r="D78" s="199">
        <v>8385136.5883684698</v>
      </c>
      <c r="E78" s="199">
        <v>4704469.1700863196</v>
      </c>
      <c r="F78" s="199">
        <v>3680667.6612423901</v>
      </c>
      <c r="G78" s="199">
        <v>3135855.0725909201</v>
      </c>
      <c r="H78" s="199">
        <v>544812.52271119296</v>
      </c>
      <c r="I78" s="199">
        <v>283774.97481250903</v>
      </c>
      <c r="J78" s="199">
        <v>269909.17079383001</v>
      </c>
      <c r="K78" s="199">
        <v>558678.32672987098</v>
      </c>
      <c r="L78" s="199">
        <v>156725.51294750199</v>
      </c>
      <c r="M78" s="199">
        <v>399849.86854393699</v>
      </c>
      <c r="N78" s="199">
        <v>137558.83189472201</v>
      </c>
      <c r="O78" s="199">
        <v>4425603.0734399296</v>
      </c>
      <c r="P78" s="199">
        <v>1262651.31102306</v>
      </c>
      <c r="Q78" s="199">
        <v>825738.40370737202</v>
      </c>
      <c r="R78" s="199">
        <v>4773090.1993773896</v>
      </c>
      <c r="S78" s="199">
        <v>2844809.5705391299</v>
      </c>
      <c r="T78" s="199">
        <v>9208729.9289656095</v>
      </c>
      <c r="U78" s="199">
        <v>3768336.0274515399</v>
      </c>
      <c r="V78" s="199">
        <v>1402546.7447290199</v>
      </c>
      <c r="W78" s="199">
        <v>210284.920050941</v>
      </c>
      <c r="X78" s="199">
        <v>605854.37668034504</v>
      </c>
    </row>
    <row r="79" spans="1:24">
      <c r="A79" s="1403"/>
      <c r="B79" s="1403"/>
      <c r="C79" s="198">
        <v>2018</v>
      </c>
      <c r="D79" s="199">
        <v>8575298.6804951001</v>
      </c>
      <c r="E79" s="199">
        <v>4624795.6775027197</v>
      </c>
      <c r="F79" s="199">
        <v>3950256.5206746501</v>
      </c>
      <c r="G79" s="199">
        <v>3356231.0433895499</v>
      </c>
      <c r="H79" s="199">
        <v>594134.77475516906</v>
      </c>
      <c r="I79" s="199">
        <v>293602.04706202401</v>
      </c>
      <c r="J79" s="199">
        <v>302818.32480957598</v>
      </c>
      <c r="K79" s="199">
        <v>584918.49700761703</v>
      </c>
      <c r="L79" s="199">
        <v>179221.62568008699</v>
      </c>
      <c r="M79" s="199">
        <v>406437.388601741</v>
      </c>
      <c r="N79" s="199">
        <v>191332.65846028301</v>
      </c>
      <c r="O79" s="199">
        <v>4811260.4526659399</v>
      </c>
      <c r="P79" s="199">
        <v>1316177.2457834601</v>
      </c>
      <c r="Q79" s="199">
        <v>977824.55331882497</v>
      </c>
      <c r="R79" s="199">
        <v>4952086.8321545199</v>
      </c>
      <c r="S79" s="199">
        <v>2910886.8200489702</v>
      </c>
      <c r="T79" s="199">
        <v>9841467.8375952095</v>
      </c>
      <c r="U79" s="199">
        <v>3966791.9876224198</v>
      </c>
      <c r="V79" s="199">
        <v>1350338.60065288</v>
      </c>
      <c r="W79" s="199">
        <v>222553.00584874899</v>
      </c>
      <c r="X79" s="199">
        <v>589730.27774755203</v>
      </c>
    </row>
    <row r="80" spans="1:24">
      <c r="A80" s="1404"/>
      <c r="B80" s="1404"/>
      <c r="C80" s="198">
        <v>2019</v>
      </c>
      <c r="D80" s="199">
        <v>10053681.6363365</v>
      </c>
      <c r="E80" s="199">
        <v>5382159.3957866402</v>
      </c>
      <c r="F80" s="199">
        <v>4671105.3566412702</v>
      </c>
      <c r="G80" s="199">
        <v>3992916.2741670399</v>
      </c>
      <c r="H80" s="199">
        <v>678519.482593755</v>
      </c>
      <c r="I80" s="199">
        <v>343747.92828328098</v>
      </c>
      <c r="J80" s="199">
        <v>434114.37591513502</v>
      </c>
      <c r="K80" s="199">
        <v>588153.03496189998</v>
      </c>
      <c r="L80" s="199">
        <v>201212.979381443</v>
      </c>
      <c r="M80" s="199">
        <v>384110.79650380998</v>
      </c>
      <c r="N80" s="199">
        <v>278766.12012550398</v>
      </c>
      <c r="O80" s="199">
        <v>6166966.2025997303</v>
      </c>
      <c r="P80" s="199">
        <v>1798541.90019423</v>
      </c>
      <c r="Q80" s="199">
        <v>991444.073808457</v>
      </c>
      <c r="R80" s="199">
        <v>5731274.0927835098</v>
      </c>
      <c r="S80" s="199">
        <v>3617271.0658897399</v>
      </c>
      <c r="T80" s="199">
        <v>11918311.738980999</v>
      </c>
      <c r="U80" s="199">
        <v>4919534.22904527</v>
      </c>
      <c r="V80" s="199">
        <v>1565969.3252652001</v>
      </c>
      <c r="W80" s="199">
        <v>245050.954728821</v>
      </c>
      <c r="X80" s="199">
        <v>629855.24249215599</v>
      </c>
    </row>
    <row r="81" spans="1:24">
      <c r="A81" s="1402">
        <v>443</v>
      </c>
      <c r="B81" s="1402" t="s">
        <v>1243</v>
      </c>
      <c r="C81" s="198">
        <v>2017</v>
      </c>
      <c r="D81" s="199">
        <v>2765920.7936865799</v>
      </c>
      <c r="E81" s="199">
        <v>2398390.3100338201</v>
      </c>
      <c r="F81" s="199">
        <v>367530.54227733897</v>
      </c>
      <c r="G81" s="199">
        <v>273346.597519729</v>
      </c>
      <c r="H81" s="199">
        <v>94183.948139797096</v>
      </c>
      <c r="I81" s="199">
        <v>35525.243517474599</v>
      </c>
      <c r="J81" s="199">
        <v>18363.514092446399</v>
      </c>
      <c r="K81" s="199">
        <v>111345.677564825</v>
      </c>
      <c r="L81" s="199">
        <v>14723.4611048478</v>
      </c>
      <c r="M81" s="199">
        <v>96622.206313415998</v>
      </c>
      <c r="N81" s="199">
        <v>8672.5659526493801</v>
      </c>
      <c r="O81" s="199">
        <v>612876.63585118402</v>
      </c>
      <c r="P81" s="199">
        <v>299744.49154453201</v>
      </c>
      <c r="Q81" s="199">
        <v>10964.9492671928</v>
      </c>
      <c r="R81" s="199">
        <v>1278174.7655016901</v>
      </c>
      <c r="S81" s="199">
        <v>389269.954904171</v>
      </c>
      <c r="T81" s="199">
        <v>1891051.3855693301</v>
      </c>
      <c r="U81" s="199">
        <v>544982.75648252503</v>
      </c>
      <c r="V81" s="199">
        <v>206396.468996618</v>
      </c>
      <c r="W81" s="199">
        <v>263301.80608793697</v>
      </c>
      <c r="X81" s="199">
        <v>119915.445321308</v>
      </c>
    </row>
    <row r="82" spans="1:24">
      <c r="A82" s="1403"/>
      <c r="B82" s="1403"/>
      <c r="C82" s="198">
        <v>2018</v>
      </c>
      <c r="D82" s="199">
        <v>2788426.7672413802</v>
      </c>
      <c r="E82" s="199">
        <v>2437634.9655172401</v>
      </c>
      <c r="F82" s="199">
        <v>345730.35668103403</v>
      </c>
      <c r="G82" s="199">
        <v>265354.529094828</v>
      </c>
      <c r="H82" s="199">
        <v>81618.313577586203</v>
      </c>
      <c r="I82" s="199">
        <v>31513.133620689699</v>
      </c>
      <c r="J82" s="199">
        <v>18487.627155172398</v>
      </c>
      <c r="K82" s="199">
        <v>94643.820043103406</v>
      </c>
      <c r="L82" s="199">
        <v>14591.506465517199</v>
      </c>
      <c r="M82" s="199">
        <v>80052.328663793101</v>
      </c>
      <c r="N82" s="199">
        <v>14006.8146551724</v>
      </c>
      <c r="O82" s="199">
        <v>634813.32758620696</v>
      </c>
      <c r="P82" s="199">
        <v>304110.96336206899</v>
      </c>
      <c r="Q82" s="199">
        <v>9308.5560344827609</v>
      </c>
      <c r="R82" s="199">
        <v>1233947.0581896601</v>
      </c>
      <c r="S82" s="199">
        <v>387794.978448276</v>
      </c>
      <c r="T82" s="199">
        <v>1902187.2704741401</v>
      </c>
      <c r="U82" s="199">
        <v>591792.79849137901</v>
      </c>
      <c r="V82" s="199">
        <v>211669.93103448299</v>
      </c>
      <c r="W82" s="199">
        <v>236285.11099137901</v>
      </c>
      <c r="X82" s="199">
        <v>136037.581896552</v>
      </c>
    </row>
    <row r="83" spans="1:24">
      <c r="A83" s="1404"/>
      <c r="B83" s="1404"/>
      <c r="C83" s="198">
        <v>2019</v>
      </c>
      <c r="D83" s="199">
        <v>2395593.9356597601</v>
      </c>
      <c r="E83" s="199">
        <v>2075462.1515812399</v>
      </c>
      <c r="F83" s="199">
        <v>320131.745910578</v>
      </c>
      <c r="G83" s="199">
        <v>256511.16466739401</v>
      </c>
      <c r="H83" s="199">
        <v>63620.5779716467</v>
      </c>
      <c r="I83" s="199">
        <v>29035.990185387102</v>
      </c>
      <c r="J83" s="199">
        <v>16139.768811341301</v>
      </c>
      <c r="K83" s="199">
        <v>76516.799345692503</v>
      </c>
      <c r="L83" s="199">
        <v>10945.4863685932</v>
      </c>
      <c r="M83" s="199">
        <v>65571.307524536503</v>
      </c>
      <c r="N83" s="199">
        <v>15174.539803707699</v>
      </c>
      <c r="O83" s="199">
        <v>617462.16030534403</v>
      </c>
      <c r="P83" s="199">
        <v>294750.48418756801</v>
      </c>
      <c r="Q83" s="199">
        <v>10891.035986913799</v>
      </c>
      <c r="R83" s="199">
        <v>1112584.4176663</v>
      </c>
      <c r="S83" s="199">
        <v>302282.10141766601</v>
      </c>
      <c r="T83" s="199">
        <v>1730046.6030534401</v>
      </c>
      <c r="U83" s="199">
        <v>465018.17775354401</v>
      </c>
      <c r="V83" s="199">
        <v>173575.07415485301</v>
      </c>
      <c r="W83" s="199">
        <v>208006.517993457</v>
      </c>
      <c r="X83" s="199">
        <v>105322.489640131</v>
      </c>
    </row>
    <row r="84" spans="1:24">
      <c r="A84" s="1402">
        <v>444</v>
      </c>
      <c r="B84" s="1402" t="s">
        <v>1244</v>
      </c>
      <c r="C84" s="198">
        <v>2017</v>
      </c>
      <c r="D84" s="199">
        <v>3138715.6666666698</v>
      </c>
      <c r="E84" s="199">
        <v>979960</v>
      </c>
      <c r="F84" s="199">
        <v>2158755.4444444398</v>
      </c>
      <c r="G84" s="199">
        <v>2204817.8888888899</v>
      </c>
      <c r="H84" s="199">
        <v>-46062.777777777803</v>
      </c>
      <c r="I84" s="199">
        <v>75327.444444444394</v>
      </c>
      <c r="J84" s="199">
        <v>13299.4444444444</v>
      </c>
      <c r="K84" s="199">
        <v>15965.222222222201</v>
      </c>
      <c r="L84" s="199">
        <v>3655.8888888888901</v>
      </c>
      <c r="M84" s="199">
        <v>12309.333333333299</v>
      </c>
      <c r="N84" s="199">
        <v>24361</v>
      </c>
      <c r="O84" s="199">
        <v>551309.88888888899</v>
      </c>
      <c r="P84" s="199">
        <v>100576.444444444</v>
      </c>
      <c r="Q84" s="199">
        <v>3927.1111111111099</v>
      </c>
      <c r="R84" s="199">
        <v>934654.55555555597</v>
      </c>
      <c r="S84" s="199">
        <v>640886</v>
      </c>
      <c r="T84" s="199">
        <v>1485964.5555555599</v>
      </c>
      <c r="U84" s="199">
        <v>806688.11111111101</v>
      </c>
      <c r="V84" s="199">
        <v>212019.77777777801</v>
      </c>
      <c r="W84" s="199">
        <v>124420.66666666701</v>
      </c>
      <c r="X84" s="199">
        <v>82307.777777777796</v>
      </c>
    </row>
    <row r="85" spans="1:24">
      <c r="A85" s="1403"/>
      <c r="B85" s="1403"/>
      <c r="C85" s="198">
        <v>2018</v>
      </c>
      <c r="D85" s="199">
        <v>2459961.3333333302</v>
      </c>
      <c r="E85" s="199">
        <v>1062460</v>
      </c>
      <c r="F85" s="199">
        <v>1397500.7777777801</v>
      </c>
      <c r="G85" s="199">
        <v>1501408.33333333</v>
      </c>
      <c r="H85" s="199">
        <v>-103907.11111111099</v>
      </c>
      <c r="I85" s="199">
        <v>178390</v>
      </c>
      <c r="J85" s="199">
        <v>149449.33333333299</v>
      </c>
      <c r="K85" s="199">
        <v>-74966.444444444394</v>
      </c>
      <c r="L85" s="199">
        <v>-37495.333333333299</v>
      </c>
      <c r="M85" s="199">
        <v>-37471.333333333299</v>
      </c>
      <c r="N85" s="199">
        <v>25819.444444444402</v>
      </c>
      <c r="O85" s="199">
        <v>2398694</v>
      </c>
      <c r="P85" s="199">
        <v>167709.77777777801</v>
      </c>
      <c r="Q85" s="199">
        <v>3927.1111111111099</v>
      </c>
      <c r="R85" s="199">
        <v>666647.55555555597</v>
      </c>
      <c r="S85" s="199">
        <v>544404.33333333302</v>
      </c>
      <c r="T85" s="199">
        <v>3065341.7777777798</v>
      </c>
      <c r="U85" s="199">
        <v>981776.11111111101</v>
      </c>
      <c r="V85" s="199">
        <v>175228.444444444</v>
      </c>
      <c r="W85" s="199">
        <v>121162.555555556</v>
      </c>
      <c r="X85" s="199">
        <v>47534</v>
      </c>
    </row>
    <row r="86" spans="1:24">
      <c r="A86" s="1404"/>
      <c r="B86" s="1404"/>
      <c r="C86" s="198">
        <v>2019</v>
      </c>
      <c r="D86" s="199">
        <v>1627686.42857143</v>
      </c>
      <c r="E86" s="199">
        <v>1239717.2857142901</v>
      </c>
      <c r="F86" s="199">
        <v>387969.14285714302</v>
      </c>
      <c r="G86" s="199">
        <v>349450.28571428597</v>
      </c>
      <c r="H86" s="199">
        <v>38518.571428571398</v>
      </c>
      <c r="I86" s="199">
        <v>127593.857142857</v>
      </c>
      <c r="J86" s="199">
        <v>219789.42857142899</v>
      </c>
      <c r="K86" s="199">
        <v>-53677</v>
      </c>
      <c r="L86" s="199">
        <v>44321</v>
      </c>
      <c r="M86" s="199">
        <v>-97998</v>
      </c>
      <c r="N86" s="199">
        <v>11431.142857142901</v>
      </c>
      <c r="O86" s="199">
        <v>2964605.42857143</v>
      </c>
      <c r="P86" s="199">
        <v>194587.85714285701</v>
      </c>
      <c r="Q86" s="199">
        <v>5049.1428571428596</v>
      </c>
      <c r="R86" s="199">
        <v>434061.71428571403</v>
      </c>
      <c r="S86" s="199">
        <v>626150.71428571397</v>
      </c>
      <c r="T86" s="199">
        <v>3398666.1428571399</v>
      </c>
      <c r="U86" s="199">
        <v>855390.14285714296</v>
      </c>
      <c r="V86" s="199">
        <v>96063.285714285696</v>
      </c>
      <c r="W86" s="199">
        <v>74256.142857142899</v>
      </c>
      <c r="X86" s="199">
        <v>41783.714285714297</v>
      </c>
    </row>
    <row r="87" spans="1:24">
      <c r="A87" s="1402">
        <v>445</v>
      </c>
      <c r="B87" s="1402" t="s">
        <v>1245</v>
      </c>
      <c r="C87" s="198">
        <v>2017</v>
      </c>
      <c r="D87" s="199">
        <v>2978726.07194245</v>
      </c>
      <c r="E87" s="199">
        <v>931120.71942445997</v>
      </c>
      <c r="F87" s="199">
        <v>2047605.1510791399</v>
      </c>
      <c r="G87" s="199">
        <v>906436.56834532402</v>
      </c>
      <c r="H87" s="199">
        <v>1141168.5035971201</v>
      </c>
      <c r="I87" s="199">
        <v>1505461.9928057599</v>
      </c>
      <c r="J87" s="199">
        <v>282095.05035971198</v>
      </c>
      <c r="K87" s="199">
        <v>2364535.4460431701</v>
      </c>
      <c r="L87" s="199">
        <v>293821.02877697803</v>
      </c>
      <c r="M87" s="199">
        <v>2070714.2805755399</v>
      </c>
      <c r="N87" s="199">
        <v>19239.4748201439</v>
      </c>
      <c r="O87" s="199">
        <v>2397223.28776978</v>
      </c>
      <c r="P87" s="199">
        <v>2068185.10071942</v>
      </c>
      <c r="Q87" s="199">
        <v>58105.741007194199</v>
      </c>
      <c r="R87" s="199">
        <v>8927744.0215827301</v>
      </c>
      <c r="S87" s="199">
        <v>4834696.7913669096</v>
      </c>
      <c r="T87" s="199">
        <v>11324969.7625899</v>
      </c>
      <c r="U87" s="199">
        <v>4977864.7913669096</v>
      </c>
      <c r="V87" s="199">
        <v>73111.733812949606</v>
      </c>
      <c r="W87" s="199">
        <v>4718795.4316546796</v>
      </c>
      <c r="X87" s="199">
        <v>6795.1798561151099</v>
      </c>
    </row>
    <row r="88" spans="1:24">
      <c r="A88" s="1403"/>
      <c r="B88" s="1403"/>
      <c r="C88" s="198">
        <v>2018</v>
      </c>
      <c r="D88" s="199">
        <v>1565155.88405797</v>
      </c>
      <c r="E88" s="199">
        <v>576155.76811594202</v>
      </c>
      <c r="F88" s="199">
        <v>989000.23188405798</v>
      </c>
      <c r="G88" s="199">
        <v>837980.83333333302</v>
      </c>
      <c r="H88" s="199">
        <v>151019.405797101</v>
      </c>
      <c r="I88" s="199">
        <v>175562.528985507</v>
      </c>
      <c r="J88" s="199">
        <v>166705.64492753599</v>
      </c>
      <c r="K88" s="199">
        <v>159876.28985507201</v>
      </c>
      <c r="L88" s="199">
        <v>35938.565217391297</v>
      </c>
      <c r="M88" s="199">
        <v>123937.731884058</v>
      </c>
      <c r="N88" s="199">
        <v>29011.137681159398</v>
      </c>
      <c r="O88" s="199">
        <v>3591979.89130435</v>
      </c>
      <c r="P88" s="199">
        <v>2322544.0942028998</v>
      </c>
      <c r="Q88" s="199">
        <v>52264.101449275397</v>
      </c>
      <c r="R88" s="199">
        <v>8093734.2753623202</v>
      </c>
      <c r="S88" s="199">
        <v>3576483.9782608701</v>
      </c>
      <c r="T88" s="199">
        <v>11685711.478260901</v>
      </c>
      <c r="U88" s="199">
        <v>4074222.9637681199</v>
      </c>
      <c r="V88" s="199">
        <v>76867.731884057997</v>
      </c>
      <c r="W88" s="199">
        <v>5250084.3695652196</v>
      </c>
      <c r="X88" s="199">
        <v>6682.5289855072497</v>
      </c>
    </row>
    <row r="89" spans="1:24">
      <c r="A89" s="1404"/>
      <c r="B89" s="1404"/>
      <c r="C89" s="198">
        <v>2019</v>
      </c>
      <c r="D89" s="199">
        <v>985961.24590163899</v>
      </c>
      <c r="E89" s="199">
        <v>137188.13934426199</v>
      </c>
      <c r="F89" s="199">
        <v>848773.12295082002</v>
      </c>
      <c r="G89" s="199">
        <v>751750.14754098398</v>
      </c>
      <c r="H89" s="199">
        <v>97022.942622950795</v>
      </c>
      <c r="I89" s="199">
        <v>88080.844262295097</v>
      </c>
      <c r="J89" s="199">
        <v>14588.409836065601</v>
      </c>
      <c r="K89" s="199">
        <v>170515.37704918001</v>
      </c>
      <c r="L89" s="199">
        <v>19375.573770491799</v>
      </c>
      <c r="M89" s="199">
        <v>151139.79508196699</v>
      </c>
      <c r="N89" s="199">
        <v>15622.975409836101</v>
      </c>
      <c r="O89" s="199">
        <v>1852694.6639344301</v>
      </c>
      <c r="P89" s="199">
        <v>1512599.1147541001</v>
      </c>
      <c r="Q89" s="199">
        <v>28464.2868852459</v>
      </c>
      <c r="R89" s="199">
        <v>796466.20491803298</v>
      </c>
      <c r="S89" s="199">
        <v>2707749.2786885202</v>
      </c>
      <c r="T89" s="199">
        <v>2649160.4508196702</v>
      </c>
      <c r="U89" s="199">
        <v>2806525.3360655699</v>
      </c>
      <c r="V89" s="199">
        <v>105015.93442623</v>
      </c>
      <c r="W89" s="199">
        <v>30064.2131147541</v>
      </c>
      <c r="X89" s="199">
        <v>7283.3934426229498</v>
      </c>
    </row>
    <row r="90" spans="1:24">
      <c r="A90" s="1402">
        <v>446</v>
      </c>
      <c r="B90" s="1402" t="s">
        <v>1246</v>
      </c>
      <c r="C90" s="198">
        <v>2017</v>
      </c>
      <c r="D90" s="199">
        <v>5968790.8756345203</v>
      </c>
      <c r="E90" s="199">
        <v>4189372.9827411198</v>
      </c>
      <c r="F90" s="199">
        <v>1779417.8649746201</v>
      </c>
      <c r="G90" s="199">
        <v>1278830.1172588801</v>
      </c>
      <c r="H90" s="199">
        <v>500587.74720812199</v>
      </c>
      <c r="I90" s="199">
        <v>122372.874111675</v>
      </c>
      <c r="J90" s="199">
        <v>216856.95786801999</v>
      </c>
      <c r="K90" s="199">
        <v>406103.66345177701</v>
      </c>
      <c r="L90" s="199">
        <v>80405.528934010203</v>
      </c>
      <c r="M90" s="199">
        <v>333225.473604061</v>
      </c>
      <c r="N90" s="199">
        <v>70437.883248730999</v>
      </c>
      <c r="O90" s="199">
        <v>5567233.4923857898</v>
      </c>
      <c r="P90" s="199">
        <v>3156943.3258883199</v>
      </c>
      <c r="Q90" s="199">
        <v>410898.37664974597</v>
      </c>
      <c r="R90" s="199">
        <v>2406702.3187817298</v>
      </c>
      <c r="S90" s="199">
        <v>1814329.4299492401</v>
      </c>
      <c r="T90" s="199">
        <v>7973935.8314720802</v>
      </c>
      <c r="U90" s="199">
        <v>4672516.9020304596</v>
      </c>
      <c r="V90" s="199">
        <v>587568.49847715697</v>
      </c>
      <c r="W90" s="199">
        <v>232074.67817258899</v>
      </c>
      <c r="X90" s="199">
        <v>189188.17512690401</v>
      </c>
    </row>
    <row r="91" spans="1:24">
      <c r="A91" s="1403"/>
      <c r="B91" s="1403"/>
      <c r="C91" s="198">
        <v>2018</v>
      </c>
      <c r="D91" s="199">
        <v>6392063.1835081</v>
      </c>
      <c r="E91" s="199">
        <v>4440177.3460438503</v>
      </c>
      <c r="F91" s="199">
        <v>1951885.6620591001</v>
      </c>
      <c r="G91" s="199">
        <v>1360237.0085795999</v>
      </c>
      <c r="H91" s="199">
        <v>591648.65919923701</v>
      </c>
      <c r="I91" s="199">
        <v>183471.41897044799</v>
      </c>
      <c r="J91" s="199">
        <v>261366.49571019999</v>
      </c>
      <c r="K91" s="199">
        <v>513753.58245948498</v>
      </c>
      <c r="L91" s="199">
        <v>104118.255958055</v>
      </c>
      <c r="M91" s="199">
        <v>408946.17540514801</v>
      </c>
      <c r="N91" s="199">
        <v>155271.04432793101</v>
      </c>
      <c r="O91" s="199">
        <v>5675484.0247855103</v>
      </c>
      <c r="P91" s="199">
        <v>3279425.2521449002</v>
      </c>
      <c r="Q91" s="199">
        <v>326535.443755958</v>
      </c>
      <c r="R91" s="199">
        <v>2580333.0376549098</v>
      </c>
      <c r="S91" s="199">
        <v>1848379.5457578599</v>
      </c>
      <c r="T91" s="199">
        <v>8255817.1234509097</v>
      </c>
      <c r="U91" s="199">
        <v>4513571.2616777904</v>
      </c>
      <c r="V91" s="199">
        <v>558636.36987607204</v>
      </c>
      <c r="W91" s="199">
        <v>216159.91611058201</v>
      </c>
      <c r="X91" s="199">
        <v>165151.84032411801</v>
      </c>
    </row>
    <row r="92" spans="1:24">
      <c r="A92" s="1404"/>
      <c r="B92" s="1404"/>
      <c r="C92" s="198">
        <v>2019</v>
      </c>
      <c r="D92" s="199">
        <v>6619490.5961538497</v>
      </c>
      <c r="E92" s="199">
        <v>4555877.2030542996</v>
      </c>
      <c r="F92" s="199">
        <v>2063613.39536199</v>
      </c>
      <c r="G92" s="199">
        <v>1436497.0701357501</v>
      </c>
      <c r="H92" s="199">
        <v>627116.31787330296</v>
      </c>
      <c r="I92" s="199">
        <v>237430.59162895899</v>
      </c>
      <c r="J92" s="199">
        <v>279625.87104072399</v>
      </c>
      <c r="K92" s="199">
        <v>584921.03846153803</v>
      </c>
      <c r="L92" s="199">
        <v>134697.23076923101</v>
      </c>
      <c r="M92" s="199">
        <v>447522.18552036199</v>
      </c>
      <c r="N92" s="199">
        <v>181266.647624434</v>
      </c>
      <c r="O92" s="199">
        <v>7647423.4490950201</v>
      </c>
      <c r="P92" s="199">
        <v>4470737.1001131199</v>
      </c>
      <c r="Q92" s="199">
        <v>558709.30316742102</v>
      </c>
      <c r="R92" s="199">
        <v>3033497.5175339398</v>
      </c>
      <c r="S92" s="199">
        <v>2141282.4835972898</v>
      </c>
      <c r="T92" s="199">
        <v>10680920.7794118</v>
      </c>
      <c r="U92" s="199">
        <v>6195152.2929864302</v>
      </c>
      <c r="V92" s="199">
        <v>596994.96153846197</v>
      </c>
      <c r="W92" s="199">
        <v>260655.87047511301</v>
      </c>
      <c r="X92" s="199">
        <v>174664.44796380101</v>
      </c>
    </row>
    <row r="93" spans="1:24">
      <c r="A93" s="1402">
        <v>447</v>
      </c>
      <c r="B93" s="1402" t="s">
        <v>1247</v>
      </c>
      <c r="C93" s="198">
        <v>2017</v>
      </c>
      <c r="D93" s="199">
        <v>6020731.0221606595</v>
      </c>
      <c r="E93" s="199">
        <v>3674263.6204986102</v>
      </c>
      <c r="F93" s="199">
        <v>2346467.4459833801</v>
      </c>
      <c r="G93" s="199">
        <v>3690885.1108033201</v>
      </c>
      <c r="H93" s="199">
        <v>-1344417.5900276999</v>
      </c>
      <c r="I93" s="199">
        <v>567705.36842105305</v>
      </c>
      <c r="J93" s="199">
        <v>671773.10249307496</v>
      </c>
      <c r="K93" s="199">
        <v>-1448485.32409972</v>
      </c>
      <c r="L93" s="199">
        <v>28833.149584487499</v>
      </c>
      <c r="M93" s="199">
        <v>-1477318.4819944601</v>
      </c>
      <c r="N93" s="199">
        <v>213696.92797783899</v>
      </c>
      <c r="O93" s="199">
        <v>10582097.224376701</v>
      </c>
      <c r="P93" s="199">
        <v>5108041.5096952897</v>
      </c>
      <c r="Q93" s="199">
        <v>1915616.33795014</v>
      </c>
      <c r="R93" s="199">
        <v>6174336.4709141301</v>
      </c>
      <c r="S93" s="199">
        <v>4065757.62603878</v>
      </c>
      <c r="T93" s="199">
        <v>16756433.324099701</v>
      </c>
      <c r="U93" s="199">
        <v>6440536.5457063699</v>
      </c>
      <c r="V93" s="199">
        <v>547091.24930747901</v>
      </c>
      <c r="W93" s="199">
        <v>1380393.4487534601</v>
      </c>
      <c r="X93" s="199">
        <v>147029.05817174501</v>
      </c>
    </row>
    <row r="94" spans="1:24">
      <c r="A94" s="1403"/>
      <c r="B94" s="1403"/>
      <c r="C94" s="198">
        <v>2018</v>
      </c>
      <c r="D94" s="199">
        <v>7236942.8761682203</v>
      </c>
      <c r="E94" s="199">
        <v>5319057.9182243003</v>
      </c>
      <c r="F94" s="199">
        <v>1917884.96728972</v>
      </c>
      <c r="G94" s="199">
        <v>3576005.08878505</v>
      </c>
      <c r="H94" s="199">
        <v>-1658120.07476636</v>
      </c>
      <c r="I94" s="199">
        <v>1220802.9299065401</v>
      </c>
      <c r="J94" s="199">
        <v>1272005.2663551399</v>
      </c>
      <c r="K94" s="199">
        <v>-1709322.41121495</v>
      </c>
      <c r="L94" s="199">
        <v>67408.105140186904</v>
      </c>
      <c r="M94" s="199">
        <v>-1777837.1775700899</v>
      </c>
      <c r="N94" s="199">
        <v>195288.579439252</v>
      </c>
      <c r="O94" s="199">
        <v>10592262.6892523</v>
      </c>
      <c r="P94" s="199">
        <v>5231577.2032710304</v>
      </c>
      <c r="Q94" s="199">
        <v>1457873.6635513999</v>
      </c>
      <c r="R94" s="199">
        <v>9484291.7850467302</v>
      </c>
      <c r="S94" s="199">
        <v>5995900.2242990704</v>
      </c>
      <c r="T94" s="199">
        <v>20076556.387850501</v>
      </c>
      <c r="U94" s="199">
        <v>8839318.4626168199</v>
      </c>
      <c r="V94" s="199">
        <v>742995.43925233604</v>
      </c>
      <c r="W94" s="199">
        <v>2107533.8037383198</v>
      </c>
      <c r="X94" s="199">
        <v>144231.72429906501</v>
      </c>
    </row>
    <row r="95" spans="1:24">
      <c r="A95" s="1404"/>
      <c r="B95" s="1404"/>
      <c r="C95" s="198">
        <v>2019</v>
      </c>
      <c r="D95" s="199">
        <v>10826367.591259601</v>
      </c>
      <c r="E95" s="199">
        <v>7681437.6401028298</v>
      </c>
      <c r="F95" s="199">
        <v>3144929.7789203101</v>
      </c>
      <c r="G95" s="199">
        <v>5140098.3907455001</v>
      </c>
      <c r="H95" s="199">
        <v>-1995168.4575835499</v>
      </c>
      <c r="I95" s="199">
        <v>1334541.2904884301</v>
      </c>
      <c r="J95" s="199">
        <v>2521037.9871465298</v>
      </c>
      <c r="K95" s="199">
        <v>-3181665.1542416499</v>
      </c>
      <c r="L95" s="199">
        <v>-417059.87146529602</v>
      </c>
      <c r="M95" s="199">
        <v>-2764799.6966581</v>
      </c>
      <c r="N95" s="199">
        <v>294606.69922879199</v>
      </c>
      <c r="O95" s="199">
        <v>14263166.6503856</v>
      </c>
      <c r="P95" s="199">
        <v>7953213.6632390702</v>
      </c>
      <c r="Q95" s="199">
        <v>1353605.7429305899</v>
      </c>
      <c r="R95" s="199">
        <v>12320168.670951201</v>
      </c>
      <c r="S95" s="199">
        <v>9479108.0128534697</v>
      </c>
      <c r="T95" s="199">
        <v>26583336.465295602</v>
      </c>
      <c r="U95" s="199">
        <v>12437943.5784062</v>
      </c>
      <c r="V95" s="199">
        <v>902953.69665809802</v>
      </c>
      <c r="W95" s="199">
        <v>3127106.7814910002</v>
      </c>
      <c r="X95" s="199">
        <v>159951.015424165</v>
      </c>
    </row>
    <row r="96" spans="1:24">
      <c r="A96" s="1402">
        <v>449</v>
      </c>
      <c r="B96" s="1402" t="s">
        <v>1248</v>
      </c>
      <c r="C96" s="198">
        <v>2017</v>
      </c>
      <c r="D96" s="199">
        <v>437089.38554216898</v>
      </c>
      <c r="E96" s="199">
        <v>253286.49225473299</v>
      </c>
      <c r="F96" s="199">
        <v>183802.888123924</v>
      </c>
      <c r="G96" s="199">
        <v>155610.118760757</v>
      </c>
      <c r="H96" s="199">
        <v>28192.764199655801</v>
      </c>
      <c r="I96" s="199">
        <v>6799.4061962134301</v>
      </c>
      <c r="J96" s="199">
        <v>2226.5628227194502</v>
      </c>
      <c r="K96" s="199">
        <v>32765.6075731497</v>
      </c>
      <c r="L96" s="199">
        <v>2793.8898450946599</v>
      </c>
      <c r="M96" s="199">
        <v>29971.7401032702</v>
      </c>
      <c r="N96" s="199">
        <v>3215.7796901893298</v>
      </c>
      <c r="O96" s="199">
        <v>99886.382099827897</v>
      </c>
      <c r="P96" s="199">
        <v>72462.647160068795</v>
      </c>
      <c r="Q96" s="199">
        <v>1875.2633390705701</v>
      </c>
      <c r="R96" s="199">
        <v>322700.76075731497</v>
      </c>
      <c r="S96" s="199">
        <v>50806.4802065404</v>
      </c>
      <c r="T96" s="199">
        <v>422587.13253012003</v>
      </c>
      <c r="U96" s="199">
        <v>74777.426850258198</v>
      </c>
      <c r="V96" s="199">
        <v>8642.2271944922504</v>
      </c>
      <c r="W96" s="199">
        <v>12793.6884681583</v>
      </c>
      <c r="X96" s="199">
        <v>3009.3666092943199</v>
      </c>
    </row>
    <row r="97" spans="1:24">
      <c r="A97" s="1403"/>
      <c r="B97" s="1403"/>
      <c r="C97" s="198">
        <v>2018</v>
      </c>
      <c r="D97" s="199">
        <v>1047768.81433824</v>
      </c>
      <c r="E97" s="199">
        <v>258968.55698529401</v>
      </c>
      <c r="F97" s="199">
        <v>175094.81433823501</v>
      </c>
      <c r="G97" s="199">
        <v>253577.16911764699</v>
      </c>
      <c r="H97" s="199">
        <v>-27149.237132352901</v>
      </c>
      <c r="I97" s="199">
        <v>109315.591911765</v>
      </c>
      <c r="J97" s="199">
        <v>29621.386029411799</v>
      </c>
      <c r="K97" s="199">
        <v>52544.96875</v>
      </c>
      <c r="L97" s="199">
        <v>10543.6397058824</v>
      </c>
      <c r="M97" s="199">
        <v>42001.3602941176</v>
      </c>
      <c r="N97" s="199">
        <v>5069.2022058823504</v>
      </c>
      <c r="O97" s="199">
        <v>139549.20036764699</v>
      </c>
      <c r="P97" s="199">
        <v>303079.32536764699</v>
      </c>
      <c r="Q97" s="199">
        <v>18173.770220588201</v>
      </c>
      <c r="R97" s="199">
        <v>413774.90808823501</v>
      </c>
      <c r="S97" s="199">
        <v>139072.101102941</v>
      </c>
      <c r="T97" s="199">
        <v>6773112.35661765</v>
      </c>
      <c r="U97" s="199">
        <v>6107842.1525735296</v>
      </c>
      <c r="V97" s="199">
        <v>11747.7389705882</v>
      </c>
      <c r="W97" s="199">
        <v>16433.604779411799</v>
      </c>
      <c r="X97" s="199">
        <v>4067.6158088235302</v>
      </c>
    </row>
    <row r="98" spans="1:24">
      <c r="A98" s="1404"/>
      <c r="B98" s="1404"/>
      <c r="C98" s="198">
        <v>2019</v>
      </c>
      <c r="D98" s="199">
        <v>1063527.6413255399</v>
      </c>
      <c r="E98" s="199">
        <v>259317.39571150101</v>
      </c>
      <c r="F98" s="199">
        <v>187086.97660818699</v>
      </c>
      <c r="G98" s="199">
        <v>241967.57115009701</v>
      </c>
      <c r="H98" s="199">
        <v>48123.479532163699</v>
      </c>
      <c r="I98" s="199">
        <v>50786.048732943498</v>
      </c>
      <c r="J98" s="199">
        <v>75287.021442495097</v>
      </c>
      <c r="K98" s="199">
        <v>23622.5068226121</v>
      </c>
      <c r="L98" s="199">
        <v>-5200.1286549707602</v>
      </c>
      <c r="M98" s="199">
        <v>28822.6413255361</v>
      </c>
      <c r="N98" s="199">
        <v>5342.7504873294301</v>
      </c>
      <c r="O98" s="199">
        <v>222587.42300194901</v>
      </c>
      <c r="P98" s="199">
        <v>308607.83235867397</v>
      </c>
      <c r="Q98" s="199">
        <v>16609.5360623782</v>
      </c>
      <c r="R98" s="199">
        <v>475227.703703704</v>
      </c>
      <c r="S98" s="199">
        <v>175362.072124756</v>
      </c>
      <c r="T98" s="199">
        <v>8348455.6705652997</v>
      </c>
      <c r="U98" s="199">
        <v>7686467.3294347003</v>
      </c>
      <c r="V98" s="199">
        <v>14679.7914230019</v>
      </c>
      <c r="W98" s="199">
        <v>18652.483430799199</v>
      </c>
      <c r="X98" s="199">
        <v>4983.9571150097499</v>
      </c>
    </row>
  </sheetData>
  <mergeCells count="69">
    <mergeCell ref="A84:A86"/>
    <mergeCell ref="B84:B86"/>
    <mergeCell ref="A96:A98"/>
    <mergeCell ref="B96:B98"/>
    <mergeCell ref="A87:A89"/>
    <mergeCell ref="B87:B89"/>
    <mergeCell ref="A90:A92"/>
    <mergeCell ref="B90:B92"/>
    <mergeCell ref="A93:A95"/>
    <mergeCell ref="B93:B95"/>
    <mergeCell ref="A75:A77"/>
    <mergeCell ref="B75:B77"/>
    <mergeCell ref="A78:A80"/>
    <mergeCell ref="B78:B80"/>
    <mergeCell ref="A81:A83"/>
    <mergeCell ref="B81:B83"/>
    <mergeCell ref="A66:A68"/>
    <mergeCell ref="B66:B68"/>
    <mergeCell ref="A69:A71"/>
    <mergeCell ref="B69:B71"/>
    <mergeCell ref="A72:A74"/>
    <mergeCell ref="B72:B74"/>
    <mergeCell ref="A57:A59"/>
    <mergeCell ref="B57:B59"/>
    <mergeCell ref="A60:A62"/>
    <mergeCell ref="B60:B62"/>
    <mergeCell ref="A63:A65"/>
    <mergeCell ref="B63:B65"/>
    <mergeCell ref="A48:A50"/>
    <mergeCell ref="B48:B50"/>
    <mergeCell ref="A51:A53"/>
    <mergeCell ref="B51:B53"/>
    <mergeCell ref="A54:A56"/>
    <mergeCell ref="B54:B56"/>
    <mergeCell ref="A39:A41"/>
    <mergeCell ref="B39:B41"/>
    <mergeCell ref="A42:A44"/>
    <mergeCell ref="B42:B44"/>
    <mergeCell ref="A45:A47"/>
    <mergeCell ref="B45:B47"/>
    <mergeCell ref="A30:A32"/>
    <mergeCell ref="B30:B32"/>
    <mergeCell ref="A33:A35"/>
    <mergeCell ref="B33:B35"/>
    <mergeCell ref="A36:A38"/>
    <mergeCell ref="B36:B38"/>
    <mergeCell ref="A21:A23"/>
    <mergeCell ref="B21:B23"/>
    <mergeCell ref="A24:A26"/>
    <mergeCell ref="B24:B26"/>
    <mergeCell ref="A27:A29"/>
    <mergeCell ref="B27:B29"/>
    <mergeCell ref="A12:A14"/>
    <mergeCell ref="B12:B14"/>
    <mergeCell ref="A15:A17"/>
    <mergeCell ref="B15:B17"/>
    <mergeCell ref="A18:A20"/>
    <mergeCell ref="B18:B20"/>
    <mergeCell ref="D1:N1"/>
    <mergeCell ref="O1:X1"/>
    <mergeCell ref="A6:A8"/>
    <mergeCell ref="B6:B8"/>
    <mergeCell ref="A9:A11"/>
    <mergeCell ref="B9:B11"/>
    <mergeCell ref="A3:A5"/>
    <mergeCell ref="B3:B5"/>
    <mergeCell ref="A1:A2"/>
    <mergeCell ref="B1:B2"/>
    <mergeCell ref="C1:C2"/>
  </mergeCells>
  <phoneticPr fontId="11"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4">
    <tabColor theme="1"/>
  </sheetPr>
  <dimension ref="A1:X86"/>
  <sheetViews>
    <sheetView workbookViewId="0">
      <selection activeCell="H20" sqref="H20"/>
    </sheetView>
  </sheetViews>
  <sheetFormatPr defaultRowHeight="13.5"/>
  <sheetData>
    <row r="1" spans="1:24">
      <c r="A1" t="s">
        <v>1192</v>
      </c>
      <c r="B1" t="s">
        <v>2452</v>
      </c>
      <c r="C1" t="s">
        <v>2453</v>
      </c>
      <c r="D1" t="s">
        <v>2454</v>
      </c>
      <c r="O1" t="s">
        <v>2455</v>
      </c>
    </row>
    <row r="2" spans="1:24">
      <c r="D2" t="s">
        <v>164</v>
      </c>
      <c r="E2" t="s">
        <v>2456</v>
      </c>
      <c r="F2" t="s">
        <v>2457</v>
      </c>
      <c r="G2" t="s">
        <v>2458</v>
      </c>
      <c r="H2" t="s">
        <v>2459</v>
      </c>
      <c r="I2" t="s">
        <v>2460</v>
      </c>
      <c r="J2" t="s">
        <v>2461</v>
      </c>
      <c r="K2" t="s">
        <v>2462</v>
      </c>
      <c r="L2" t="s">
        <v>2463</v>
      </c>
      <c r="M2" t="s">
        <v>2464</v>
      </c>
      <c r="N2" t="s">
        <v>2465</v>
      </c>
      <c r="O2" t="s">
        <v>2466</v>
      </c>
      <c r="P2" t="s">
        <v>2467</v>
      </c>
      <c r="Q2" t="s">
        <v>2468</v>
      </c>
      <c r="R2" t="s">
        <v>2469</v>
      </c>
      <c r="S2" t="s">
        <v>2470</v>
      </c>
      <c r="T2" t="s">
        <v>2471</v>
      </c>
      <c r="U2" t="s">
        <v>2472</v>
      </c>
      <c r="V2" t="s">
        <v>2473</v>
      </c>
      <c r="W2" t="s">
        <v>2474</v>
      </c>
      <c r="X2" t="s">
        <v>2475</v>
      </c>
    </row>
    <row r="3" spans="1:24">
      <c r="A3">
        <v>51</v>
      </c>
      <c r="B3" t="s">
        <v>2350</v>
      </c>
      <c r="C3">
        <v>2017</v>
      </c>
      <c r="D3" s="200">
        <v>44399815</v>
      </c>
      <c r="E3" s="200">
        <v>38260775</v>
      </c>
      <c r="F3" s="200">
        <v>6139040</v>
      </c>
      <c r="G3" s="200">
        <v>3290052</v>
      </c>
      <c r="H3" s="200">
        <v>2848988</v>
      </c>
      <c r="I3" s="200">
        <v>1993273</v>
      </c>
      <c r="J3" s="200">
        <v>1973789</v>
      </c>
      <c r="K3" s="200">
        <v>2868472</v>
      </c>
      <c r="L3" s="200">
        <v>740496</v>
      </c>
      <c r="M3" s="200">
        <v>2127975</v>
      </c>
      <c r="N3" s="200">
        <v>65070</v>
      </c>
      <c r="O3" s="200">
        <v>39349615</v>
      </c>
      <c r="P3" s="200">
        <v>16839861</v>
      </c>
      <c r="Q3" s="200">
        <v>373931</v>
      </c>
      <c r="R3" s="200">
        <v>19895122</v>
      </c>
      <c r="S3" s="200">
        <v>18931016</v>
      </c>
      <c r="T3" s="200">
        <v>59244752</v>
      </c>
      <c r="U3" s="200">
        <v>29386443</v>
      </c>
      <c r="V3" s="200">
        <v>4313120</v>
      </c>
      <c r="W3" s="200">
        <v>5283953</v>
      </c>
      <c r="X3" s="200">
        <v>2770025</v>
      </c>
    </row>
    <row r="4" spans="1:24">
      <c r="C4">
        <v>2018</v>
      </c>
      <c r="D4" s="200">
        <v>35945787</v>
      </c>
      <c r="E4" s="200">
        <v>32481353</v>
      </c>
      <c r="F4" s="200">
        <v>3464436</v>
      </c>
      <c r="G4" s="200">
        <v>2208543</v>
      </c>
      <c r="H4" s="200">
        <v>1255892</v>
      </c>
      <c r="I4" s="200">
        <v>2431916</v>
      </c>
      <c r="J4" s="200">
        <v>1553427</v>
      </c>
      <c r="K4" s="200">
        <v>2134382</v>
      </c>
      <c r="L4" s="200">
        <v>491828</v>
      </c>
      <c r="M4" s="200">
        <v>1642554</v>
      </c>
      <c r="N4" s="200">
        <v>241292</v>
      </c>
      <c r="O4" s="200">
        <v>34401768</v>
      </c>
      <c r="P4" s="200">
        <v>15367866</v>
      </c>
      <c r="Q4" s="200">
        <v>430811</v>
      </c>
      <c r="R4" s="200">
        <v>18239340</v>
      </c>
      <c r="S4" s="200">
        <v>17046994</v>
      </c>
      <c r="T4" s="200">
        <v>52641117</v>
      </c>
      <c r="U4" s="200">
        <v>26035730</v>
      </c>
      <c r="V4" s="200">
        <v>3141525</v>
      </c>
      <c r="W4" s="200">
        <v>6045709</v>
      </c>
      <c r="X4" s="200">
        <v>1936850</v>
      </c>
    </row>
    <row r="5" spans="1:24">
      <c r="C5">
        <v>2019</v>
      </c>
      <c r="D5" s="200">
        <v>31257699</v>
      </c>
      <c r="E5" s="200">
        <v>29289579</v>
      </c>
      <c r="F5" s="200">
        <v>1968121</v>
      </c>
      <c r="G5" s="200">
        <v>2293961</v>
      </c>
      <c r="H5" s="200">
        <v>-325840</v>
      </c>
      <c r="I5" s="200">
        <v>1882376</v>
      </c>
      <c r="J5" s="200">
        <v>1697025</v>
      </c>
      <c r="K5" s="200">
        <v>-140489</v>
      </c>
      <c r="L5" s="200">
        <v>147712</v>
      </c>
      <c r="M5" s="200">
        <v>-204121</v>
      </c>
      <c r="N5" s="200">
        <v>238084</v>
      </c>
      <c r="O5" s="200">
        <v>36576630</v>
      </c>
      <c r="P5" s="200">
        <v>16171743</v>
      </c>
      <c r="Q5" s="200">
        <v>412353</v>
      </c>
      <c r="R5" s="200">
        <v>16391456</v>
      </c>
      <c r="S5" s="200">
        <v>15014438</v>
      </c>
      <c r="T5" s="200">
        <v>52968088</v>
      </c>
      <c r="U5" s="200">
        <v>26956967</v>
      </c>
      <c r="V5" s="200">
        <v>2290955</v>
      </c>
      <c r="W5" s="200">
        <v>5519737</v>
      </c>
      <c r="X5" s="200">
        <v>1489652</v>
      </c>
    </row>
    <row r="6" spans="1:24">
      <c r="A6">
        <v>52</v>
      </c>
      <c r="B6" t="s">
        <v>1251</v>
      </c>
      <c r="C6">
        <v>2017</v>
      </c>
      <c r="D6" s="200">
        <v>1422193</v>
      </c>
      <c r="E6" s="200">
        <v>1214554</v>
      </c>
      <c r="F6" s="200">
        <v>207639</v>
      </c>
      <c r="G6" s="200">
        <v>136297</v>
      </c>
      <c r="H6" s="200">
        <v>71342</v>
      </c>
      <c r="I6" s="200">
        <v>17098</v>
      </c>
      <c r="J6" s="200">
        <v>51318</v>
      </c>
      <c r="K6" s="200">
        <v>37122</v>
      </c>
      <c r="L6" s="200">
        <v>6103</v>
      </c>
      <c r="M6" s="200">
        <v>31019</v>
      </c>
      <c r="N6" s="200">
        <v>15164</v>
      </c>
      <c r="O6" s="200">
        <v>1438936</v>
      </c>
      <c r="P6" s="200">
        <v>1328361</v>
      </c>
      <c r="Q6" s="200">
        <v>67668</v>
      </c>
      <c r="R6" s="200">
        <v>1507645</v>
      </c>
      <c r="S6" s="200">
        <v>652594</v>
      </c>
      <c r="T6" s="200">
        <v>2946581</v>
      </c>
      <c r="U6" s="200">
        <v>1539762</v>
      </c>
      <c r="V6" s="200">
        <v>152827</v>
      </c>
      <c r="W6" s="200">
        <v>944664</v>
      </c>
      <c r="X6" s="200">
        <v>82671</v>
      </c>
    </row>
    <row r="7" spans="1:24">
      <c r="C7">
        <v>2018</v>
      </c>
      <c r="D7" s="200">
        <v>2051206</v>
      </c>
      <c r="E7" s="200">
        <v>1764164</v>
      </c>
      <c r="F7" s="200">
        <v>287042</v>
      </c>
      <c r="G7" s="200">
        <v>167096</v>
      </c>
      <c r="H7" s="200">
        <v>119947</v>
      </c>
      <c r="I7" s="200">
        <v>26540</v>
      </c>
      <c r="J7" s="200">
        <v>49552</v>
      </c>
      <c r="K7" s="200">
        <v>96935</v>
      </c>
      <c r="L7" s="200">
        <v>14709</v>
      </c>
      <c r="M7" s="200">
        <v>82226</v>
      </c>
      <c r="N7" s="200">
        <v>69990</v>
      </c>
      <c r="O7" s="200">
        <v>1363702</v>
      </c>
      <c r="P7" s="200">
        <v>1275870</v>
      </c>
      <c r="Q7" s="200">
        <v>14398</v>
      </c>
      <c r="R7" s="200">
        <v>1509785</v>
      </c>
      <c r="S7" s="200">
        <v>727120</v>
      </c>
      <c r="T7" s="200">
        <v>2873487</v>
      </c>
      <c r="U7" s="200">
        <v>1847964</v>
      </c>
      <c r="V7" s="200">
        <v>198847</v>
      </c>
      <c r="W7" s="200">
        <v>780769</v>
      </c>
      <c r="X7" s="200">
        <v>112345</v>
      </c>
    </row>
    <row r="8" spans="1:24">
      <c r="C8">
        <v>2019</v>
      </c>
      <c r="D8" s="200">
        <v>1884284</v>
      </c>
      <c r="E8" s="200">
        <v>1677734</v>
      </c>
      <c r="F8" s="200">
        <v>206550</v>
      </c>
      <c r="G8" s="200">
        <v>157587</v>
      </c>
      <c r="H8" s="200">
        <v>48963</v>
      </c>
      <c r="I8" s="200">
        <v>37509</v>
      </c>
      <c r="J8" s="200">
        <v>50506</v>
      </c>
      <c r="K8" s="200">
        <v>35966</v>
      </c>
      <c r="L8" s="200">
        <v>11531</v>
      </c>
      <c r="M8" s="200">
        <v>24435</v>
      </c>
      <c r="N8" s="200">
        <v>63123</v>
      </c>
      <c r="O8" s="200">
        <v>1325360</v>
      </c>
      <c r="P8" s="200">
        <v>1224514</v>
      </c>
      <c r="Q8" s="200">
        <v>31117</v>
      </c>
      <c r="R8" s="200">
        <v>1660009</v>
      </c>
      <c r="S8" s="200">
        <v>753158</v>
      </c>
      <c r="T8" s="200">
        <v>2985369</v>
      </c>
      <c r="U8" s="200">
        <v>1910553</v>
      </c>
      <c r="V8" s="200">
        <v>222768</v>
      </c>
      <c r="W8" s="200">
        <v>852076</v>
      </c>
      <c r="X8" s="200">
        <v>119512</v>
      </c>
    </row>
    <row r="9" spans="1:24">
      <c r="A9">
        <v>61</v>
      </c>
      <c r="B9" t="s">
        <v>2476</v>
      </c>
      <c r="C9">
        <v>2017</v>
      </c>
      <c r="D9" s="200">
        <v>68526722</v>
      </c>
      <c r="E9" s="200">
        <v>50752359</v>
      </c>
      <c r="F9" s="200">
        <v>17774360</v>
      </c>
      <c r="G9" s="200">
        <v>8441291</v>
      </c>
      <c r="H9" s="200">
        <v>9333068</v>
      </c>
      <c r="I9" s="200">
        <v>2060219</v>
      </c>
      <c r="J9" s="200">
        <v>2301806</v>
      </c>
      <c r="K9" s="200">
        <v>9091481</v>
      </c>
      <c r="L9" s="200">
        <v>2119741</v>
      </c>
      <c r="M9" s="200">
        <v>6964573</v>
      </c>
      <c r="N9" s="200">
        <v>250159</v>
      </c>
      <c r="O9" s="200">
        <v>41279445</v>
      </c>
      <c r="P9" s="200">
        <v>20934350</v>
      </c>
      <c r="Q9" s="200">
        <v>1212490</v>
      </c>
      <c r="R9" s="200">
        <v>25389258</v>
      </c>
      <c r="S9" s="200">
        <v>15285846</v>
      </c>
      <c r="T9" s="200">
        <v>66668702</v>
      </c>
      <c r="U9" s="200">
        <v>23154920</v>
      </c>
      <c r="V9" s="200">
        <v>8705474</v>
      </c>
      <c r="W9" s="200">
        <v>5926470</v>
      </c>
      <c r="X9" s="200">
        <v>5616245</v>
      </c>
    </row>
    <row r="10" spans="1:24">
      <c r="C10">
        <v>2018</v>
      </c>
      <c r="D10" s="200">
        <v>65551388</v>
      </c>
      <c r="E10" s="200">
        <v>51046915</v>
      </c>
      <c r="F10" s="200">
        <v>14504476</v>
      </c>
      <c r="G10" s="200">
        <v>7704008</v>
      </c>
      <c r="H10" s="200">
        <v>6800468</v>
      </c>
      <c r="I10" s="200">
        <v>2182426</v>
      </c>
      <c r="J10" s="200">
        <v>1633261</v>
      </c>
      <c r="K10" s="200">
        <v>7349633</v>
      </c>
      <c r="L10" s="200">
        <v>1722081</v>
      </c>
      <c r="M10" s="200">
        <v>5628090</v>
      </c>
      <c r="N10" s="200">
        <v>583667</v>
      </c>
      <c r="O10" s="200">
        <v>37662491</v>
      </c>
      <c r="P10" s="200">
        <v>18857985</v>
      </c>
      <c r="Q10" s="200">
        <v>1077216</v>
      </c>
      <c r="R10" s="200">
        <v>22021238</v>
      </c>
      <c r="S10" s="200">
        <v>12872753</v>
      </c>
      <c r="T10" s="200">
        <v>59683732</v>
      </c>
      <c r="U10" s="200">
        <v>19350023</v>
      </c>
      <c r="V10" s="200">
        <v>7253192</v>
      </c>
      <c r="W10" s="200">
        <v>5784639</v>
      </c>
      <c r="X10" s="200">
        <v>3965624</v>
      </c>
    </row>
    <row r="11" spans="1:24">
      <c r="C11">
        <v>2019</v>
      </c>
      <c r="D11" s="200">
        <v>60935474</v>
      </c>
      <c r="E11" s="200">
        <v>48394900</v>
      </c>
      <c r="F11" s="200">
        <v>12540576</v>
      </c>
      <c r="G11" s="200">
        <v>8147498</v>
      </c>
      <c r="H11" s="200">
        <v>4393077</v>
      </c>
      <c r="I11" s="200">
        <v>1898428</v>
      </c>
      <c r="J11" s="200">
        <v>2269666</v>
      </c>
      <c r="K11" s="200">
        <v>4021839</v>
      </c>
      <c r="L11" s="200">
        <v>1111195</v>
      </c>
      <c r="M11" s="200">
        <v>2909879</v>
      </c>
      <c r="N11" s="200">
        <v>603420</v>
      </c>
      <c r="O11" s="200">
        <v>40297128</v>
      </c>
      <c r="P11" s="200">
        <v>20527685</v>
      </c>
      <c r="Q11" s="200">
        <v>1014736</v>
      </c>
      <c r="R11" s="200">
        <v>21182712</v>
      </c>
      <c r="S11" s="200">
        <v>12177899</v>
      </c>
      <c r="T11" s="200">
        <v>61479839</v>
      </c>
      <c r="U11" s="200">
        <v>20286890</v>
      </c>
      <c r="V11" s="200">
        <v>6780525</v>
      </c>
      <c r="W11" s="200">
        <v>5536545</v>
      </c>
      <c r="X11" s="200">
        <v>4388274</v>
      </c>
    </row>
    <row r="12" spans="1:24">
      <c r="A12">
        <v>62</v>
      </c>
      <c r="B12" t="s">
        <v>2477</v>
      </c>
      <c r="C12">
        <v>2017</v>
      </c>
      <c r="D12" s="200">
        <v>12818366</v>
      </c>
      <c r="E12" s="200">
        <v>10698451</v>
      </c>
      <c r="F12" s="200">
        <v>2119915</v>
      </c>
      <c r="G12" s="200">
        <v>1438290</v>
      </c>
      <c r="H12" s="200">
        <v>681625</v>
      </c>
      <c r="I12" s="200">
        <v>712224</v>
      </c>
      <c r="J12" s="200">
        <v>807609</v>
      </c>
      <c r="K12" s="200">
        <v>586240</v>
      </c>
      <c r="L12" s="200">
        <v>134760</v>
      </c>
      <c r="M12" s="200">
        <v>629833</v>
      </c>
      <c r="N12" s="200">
        <v>69508</v>
      </c>
      <c r="O12" s="200">
        <v>8361340</v>
      </c>
      <c r="P12" s="200">
        <v>5473209</v>
      </c>
      <c r="Q12" s="200">
        <v>295354</v>
      </c>
      <c r="R12" s="200">
        <v>6895654</v>
      </c>
      <c r="S12" s="200">
        <v>5339216</v>
      </c>
      <c r="T12" s="200">
        <v>15257407</v>
      </c>
      <c r="U12" s="200">
        <v>7815965</v>
      </c>
      <c r="V12" s="200">
        <v>2181765</v>
      </c>
      <c r="W12" s="200">
        <v>1385323</v>
      </c>
      <c r="X12" s="200">
        <v>1403374</v>
      </c>
    </row>
    <row r="13" spans="1:24">
      <c r="C13">
        <v>2018</v>
      </c>
      <c r="D13" s="200">
        <v>11893203</v>
      </c>
      <c r="E13" s="200">
        <v>9969532</v>
      </c>
      <c r="F13" s="200">
        <v>1923671</v>
      </c>
      <c r="G13" s="200">
        <v>1353906</v>
      </c>
      <c r="H13" s="200">
        <v>569765</v>
      </c>
      <c r="I13" s="200">
        <v>473240</v>
      </c>
      <c r="J13" s="200">
        <v>576970</v>
      </c>
      <c r="K13" s="200">
        <v>466034</v>
      </c>
      <c r="L13" s="200">
        <v>112389</v>
      </c>
      <c r="M13" s="200">
        <v>361040</v>
      </c>
      <c r="N13" s="200">
        <v>153222</v>
      </c>
      <c r="O13" s="200">
        <v>7952268</v>
      </c>
      <c r="P13" s="200">
        <v>5238507</v>
      </c>
      <c r="Q13" s="200">
        <v>268994</v>
      </c>
      <c r="R13" s="200">
        <v>6590053</v>
      </c>
      <c r="S13" s="200">
        <v>4860847</v>
      </c>
      <c r="T13" s="200">
        <v>14542716</v>
      </c>
      <c r="U13" s="200">
        <v>7361686</v>
      </c>
      <c r="V13" s="200">
        <v>2049921</v>
      </c>
      <c r="W13" s="200">
        <v>1456440</v>
      </c>
      <c r="X13" s="200">
        <v>1241560</v>
      </c>
    </row>
    <row r="14" spans="1:24">
      <c r="C14">
        <v>2019</v>
      </c>
      <c r="D14" s="200">
        <v>12625894</v>
      </c>
      <c r="E14" s="200">
        <v>10554405</v>
      </c>
      <c r="F14" s="200">
        <v>2071490</v>
      </c>
      <c r="G14" s="200">
        <v>1504938</v>
      </c>
      <c r="H14" s="200">
        <v>566552</v>
      </c>
      <c r="I14" s="200">
        <v>544720</v>
      </c>
      <c r="J14" s="200">
        <v>676148</v>
      </c>
      <c r="K14" s="200">
        <v>435124</v>
      </c>
      <c r="L14" s="200">
        <v>123551</v>
      </c>
      <c r="M14" s="200">
        <v>311373</v>
      </c>
      <c r="N14" s="200">
        <v>173051</v>
      </c>
      <c r="O14" s="200">
        <v>9137652</v>
      </c>
      <c r="P14" s="200">
        <v>5764339</v>
      </c>
      <c r="Q14" s="200">
        <v>300827</v>
      </c>
      <c r="R14" s="200">
        <v>7238822</v>
      </c>
      <c r="S14" s="200">
        <v>5442413</v>
      </c>
      <c r="T14" s="200">
        <v>16379049</v>
      </c>
      <c r="U14" s="200">
        <v>8142118</v>
      </c>
      <c r="V14" s="200">
        <v>2167387</v>
      </c>
      <c r="W14" s="200">
        <v>1660042</v>
      </c>
      <c r="X14" s="200">
        <v>1286753</v>
      </c>
    </row>
    <row r="15" spans="1:24">
      <c r="A15">
        <v>63</v>
      </c>
      <c r="B15" t="s">
        <v>2478</v>
      </c>
      <c r="C15">
        <v>2017</v>
      </c>
      <c r="D15" s="200">
        <v>7628471</v>
      </c>
      <c r="E15" s="200">
        <v>5077030</v>
      </c>
      <c r="F15" s="200">
        <v>2551441</v>
      </c>
      <c r="G15" s="200">
        <v>2162493</v>
      </c>
      <c r="H15" s="200">
        <v>388948</v>
      </c>
      <c r="I15" s="200">
        <v>243238</v>
      </c>
      <c r="J15" s="200">
        <v>253664</v>
      </c>
      <c r="K15" s="200">
        <v>378522</v>
      </c>
      <c r="L15" s="200">
        <v>102722</v>
      </c>
      <c r="M15" s="200">
        <v>275427</v>
      </c>
      <c r="N15" s="200">
        <v>98858</v>
      </c>
      <c r="O15" s="200">
        <v>3796580</v>
      </c>
      <c r="P15" s="200">
        <v>1568316</v>
      </c>
      <c r="Q15" s="200">
        <v>531379</v>
      </c>
      <c r="R15" s="200">
        <v>3969116</v>
      </c>
      <c r="S15" s="200">
        <v>2409624</v>
      </c>
      <c r="T15" s="200">
        <v>7769833</v>
      </c>
      <c r="U15" s="200">
        <v>3528509</v>
      </c>
      <c r="V15" s="200">
        <v>1171003</v>
      </c>
      <c r="W15" s="200">
        <v>237982</v>
      </c>
      <c r="X15" s="200">
        <v>543966</v>
      </c>
    </row>
    <row r="16" spans="1:24">
      <c r="C16">
        <v>2018</v>
      </c>
      <c r="D16" s="200">
        <v>7753400</v>
      </c>
      <c r="E16" s="200">
        <v>5077664</v>
      </c>
      <c r="F16" s="200">
        <v>2675636</v>
      </c>
      <c r="G16" s="200">
        <v>2275940</v>
      </c>
      <c r="H16" s="200">
        <v>399739</v>
      </c>
      <c r="I16" s="200">
        <v>269396</v>
      </c>
      <c r="J16" s="200">
        <v>274223</v>
      </c>
      <c r="K16" s="200">
        <v>394912</v>
      </c>
      <c r="L16" s="200">
        <v>126772</v>
      </c>
      <c r="M16" s="200">
        <v>268314</v>
      </c>
      <c r="N16" s="200">
        <v>138064</v>
      </c>
      <c r="O16" s="200">
        <v>4040865</v>
      </c>
      <c r="P16" s="200">
        <v>1606650</v>
      </c>
      <c r="Q16" s="200">
        <v>568946</v>
      </c>
      <c r="R16" s="200">
        <v>4052289</v>
      </c>
      <c r="S16" s="200">
        <v>2407168</v>
      </c>
      <c r="T16" s="200">
        <v>8124912</v>
      </c>
      <c r="U16" s="200">
        <v>3560772</v>
      </c>
      <c r="V16" s="200">
        <v>1031413</v>
      </c>
      <c r="W16" s="200">
        <v>262088</v>
      </c>
      <c r="X16" s="200">
        <v>455577</v>
      </c>
    </row>
    <row r="17" spans="1:24">
      <c r="C17">
        <v>2019</v>
      </c>
      <c r="D17" s="200">
        <v>8564122</v>
      </c>
      <c r="E17" s="200">
        <v>5432844</v>
      </c>
      <c r="F17" s="200">
        <v>3131110</v>
      </c>
      <c r="G17" s="200">
        <v>2674074</v>
      </c>
      <c r="H17" s="200">
        <v>457169</v>
      </c>
      <c r="I17" s="200">
        <v>295255</v>
      </c>
      <c r="J17" s="200">
        <v>363429</v>
      </c>
      <c r="K17" s="200">
        <v>388995</v>
      </c>
      <c r="L17" s="200">
        <v>118850</v>
      </c>
      <c r="M17" s="200">
        <v>284895</v>
      </c>
      <c r="N17" s="200">
        <v>181046</v>
      </c>
      <c r="O17" s="200">
        <v>4938774</v>
      </c>
      <c r="P17" s="200">
        <v>2104295</v>
      </c>
      <c r="Q17" s="200">
        <v>598509</v>
      </c>
      <c r="R17" s="200">
        <v>4675605</v>
      </c>
      <c r="S17" s="200">
        <v>2912354</v>
      </c>
      <c r="T17" s="200">
        <v>9622445</v>
      </c>
      <c r="U17" s="200">
        <v>4322164</v>
      </c>
      <c r="V17" s="200">
        <v>1154724</v>
      </c>
      <c r="W17" s="200">
        <v>296197</v>
      </c>
      <c r="X17" s="200">
        <v>498704</v>
      </c>
    </row>
    <row r="18" spans="1:24">
      <c r="A18">
        <v>511</v>
      </c>
      <c r="B18" t="s">
        <v>1249</v>
      </c>
      <c r="C18">
        <v>2017</v>
      </c>
      <c r="D18" s="200">
        <v>45169294</v>
      </c>
      <c r="E18" s="200">
        <v>38919379</v>
      </c>
      <c r="F18" s="200">
        <v>6249915</v>
      </c>
      <c r="G18" s="200">
        <v>3337877</v>
      </c>
      <c r="H18" s="200">
        <v>2912037</v>
      </c>
      <c r="I18" s="200">
        <v>2029198</v>
      </c>
      <c r="J18" s="200">
        <v>2008573</v>
      </c>
      <c r="K18" s="200">
        <v>2932662</v>
      </c>
      <c r="L18" s="200">
        <v>753960</v>
      </c>
      <c r="M18" s="200">
        <v>2178702</v>
      </c>
      <c r="N18" s="200">
        <v>64131</v>
      </c>
      <c r="O18" s="200">
        <v>40048830</v>
      </c>
      <c r="P18" s="200">
        <v>17130354</v>
      </c>
      <c r="Q18" s="200">
        <v>380730</v>
      </c>
      <c r="R18" s="200">
        <v>20210315</v>
      </c>
      <c r="S18" s="200">
        <v>19262869</v>
      </c>
      <c r="T18" s="200">
        <v>60259160</v>
      </c>
      <c r="U18" s="200">
        <v>29868486</v>
      </c>
      <c r="V18" s="200">
        <v>4391540</v>
      </c>
      <c r="W18" s="200">
        <v>5340867</v>
      </c>
      <c r="X18" s="200">
        <v>2808439</v>
      </c>
    </row>
    <row r="19" spans="1:24">
      <c r="C19">
        <v>2018</v>
      </c>
      <c r="D19" s="200">
        <v>37610667</v>
      </c>
      <c r="E19" s="200">
        <v>33985839</v>
      </c>
      <c r="F19" s="200">
        <v>3624829</v>
      </c>
      <c r="G19" s="200">
        <v>2305869</v>
      </c>
      <c r="H19" s="200">
        <v>1318960</v>
      </c>
      <c r="I19" s="200">
        <v>2547327</v>
      </c>
      <c r="J19" s="200">
        <v>1625977</v>
      </c>
      <c r="K19" s="200">
        <v>2240309</v>
      </c>
      <c r="L19" s="200">
        <v>515223</v>
      </c>
      <c r="M19" s="200">
        <v>1725087</v>
      </c>
      <c r="N19" s="200">
        <v>250951</v>
      </c>
      <c r="O19" s="200">
        <v>36017218</v>
      </c>
      <c r="P19" s="200">
        <v>16077544</v>
      </c>
      <c r="Q19" s="200">
        <v>451326</v>
      </c>
      <c r="R19" s="200">
        <v>19040366</v>
      </c>
      <c r="S19" s="200">
        <v>17821645</v>
      </c>
      <c r="T19" s="200">
        <v>55057593</v>
      </c>
      <c r="U19" s="200">
        <v>27208336</v>
      </c>
      <c r="V19" s="200">
        <v>3288547</v>
      </c>
      <c r="W19" s="200">
        <v>6271778</v>
      </c>
      <c r="X19" s="200">
        <v>2015713</v>
      </c>
    </row>
    <row r="20" spans="1:24">
      <c r="C20">
        <v>2019</v>
      </c>
      <c r="D20" s="200">
        <v>32169909</v>
      </c>
      <c r="E20" s="200">
        <v>30145176</v>
      </c>
      <c r="F20" s="200">
        <v>2024733</v>
      </c>
      <c r="G20" s="200">
        <v>2355946</v>
      </c>
      <c r="H20" s="200">
        <v>-331212</v>
      </c>
      <c r="I20" s="200">
        <v>1939562</v>
      </c>
      <c r="J20" s="200">
        <v>1747428</v>
      </c>
      <c r="K20" s="200">
        <v>-139079</v>
      </c>
      <c r="L20" s="200">
        <v>152157</v>
      </c>
      <c r="M20" s="200">
        <v>-204568</v>
      </c>
      <c r="N20" s="200">
        <v>243649</v>
      </c>
      <c r="O20" s="200">
        <v>37683317</v>
      </c>
      <c r="P20" s="200">
        <v>16650710</v>
      </c>
      <c r="Q20" s="200">
        <v>425041</v>
      </c>
      <c r="R20" s="200">
        <v>16873949</v>
      </c>
      <c r="S20" s="200">
        <v>15471475</v>
      </c>
      <c r="T20" s="200">
        <v>54557269</v>
      </c>
      <c r="U20" s="200">
        <v>27752547</v>
      </c>
      <c r="V20" s="200">
        <v>2354292</v>
      </c>
      <c r="W20" s="200">
        <v>5675967</v>
      </c>
      <c r="X20" s="200">
        <v>1532461</v>
      </c>
    </row>
    <row r="21" spans="1:24">
      <c r="A21">
        <v>512</v>
      </c>
      <c r="B21" t="s">
        <v>1250</v>
      </c>
      <c r="C21">
        <v>2017</v>
      </c>
      <c r="D21" s="200">
        <v>2078488</v>
      </c>
      <c r="E21" s="200">
        <v>2037562</v>
      </c>
      <c r="F21" s="200">
        <v>40926</v>
      </c>
      <c r="G21" s="200">
        <v>659646</v>
      </c>
      <c r="H21" s="200">
        <v>-618720</v>
      </c>
      <c r="I21" s="200">
        <v>17380</v>
      </c>
      <c r="J21" s="200">
        <v>60684</v>
      </c>
      <c r="K21" s="200">
        <v>-662024</v>
      </c>
      <c r="L21">
        <v>0</v>
      </c>
      <c r="M21" s="200">
        <v>-662024</v>
      </c>
      <c r="N21" s="200">
        <v>116705</v>
      </c>
      <c r="O21" s="200">
        <v>892813</v>
      </c>
      <c r="P21" s="200">
        <v>862747</v>
      </c>
      <c r="Q21">
        <v>0</v>
      </c>
      <c r="R21" s="200">
        <v>2559483</v>
      </c>
      <c r="S21" s="200">
        <v>679063</v>
      </c>
      <c r="T21" s="200">
        <v>3452296</v>
      </c>
      <c r="U21" s="200">
        <v>2874063</v>
      </c>
      <c r="V21">
        <v>0</v>
      </c>
      <c r="W21" s="200">
        <v>2153694</v>
      </c>
      <c r="X21" s="200">
        <v>657298</v>
      </c>
    </row>
    <row r="22" spans="1:24">
      <c r="C22">
        <v>2018</v>
      </c>
      <c r="D22" s="200">
        <v>983322</v>
      </c>
      <c r="E22" s="200">
        <v>887140</v>
      </c>
      <c r="F22" s="200">
        <v>96183</v>
      </c>
      <c r="G22" s="200">
        <v>164702</v>
      </c>
      <c r="H22" s="200">
        <v>-68519</v>
      </c>
      <c r="I22" s="200">
        <v>8296</v>
      </c>
      <c r="J22" s="200">
        <v>29878</v>
      </c>
      <c r="K22" s="200">
        <v>-90101</v>
      </c>
      <c r="L22">
        <v>539</v>
      </c>
      <c r="M22" s="200">
        <v>-90640</v>
      </c>
      <c r="N22" s="200">
        <v>38453</v>
      </c>
      <c r="O22" s="200">
        <v>477310</v>
      </c>
      <c r="P22" s="200">
        <v>464629</v>
      </c>
      <c r="Q22">
        <v>0</v>
      </c>
      <c r="R22" s="200">
        <v>1417811</v>
      </c>
      <c r="S22" s="200">
        <v>779337</v>
      </c>
      <c r="T22" s="200">
        <v>1895121</v>
      </c>
      <c r="U22" s="200">
        <v>1411004</v>
      </c>
      <c r="V22" s="200">
        <v>54082</v>
      </c>
      <c r="W22" s="200">
        <v>1298255</v>
      </c>
      <c r="X22" s="200">
        <v>280723</v>
      </c>
    </row>
    <row r="23" spans="1:24">
      <c r="C23">
        <v>2019</v>
      </c>
      <c r="D23" s="200">
        <v>1610889</v>
      </c>
      <c r="E23" s="200">
        <v>1482659</v>
      </c>
      <c r="F23" s="200">
        <v>128231</v>
      </c>
      <c r="G23" s="200">
        <v>279480</v>
      </c>
      <c r="H23" s="200">
        <v>-151250</v>
      </c>
      <c r="I23" s="200">
        <v>23843</v>
      </c>
      <c r="J23" s="200">
        <v>58914</v>
      </c>
      <c r="K23" s="200">
        <v>-186321</v>
      </c>
      <c r="L23" s="200">
        <v>3264</v>
      </c>
      <c r="M23" s="200">
        <v>-189584</v>
      </c>
      <c r="N23" s="200">
        <v>57218</v>
      </c>
      <c r="O23" s="200">
        <v>609301</v>
      </c>
      <c r="P23" s="200">
        <v>605313</v>
      </c>
      <c r="Q23">
        <v>0</v>
      </c>
      <c r="R23" s="200">
        <v>710414</v>
      </c>
      <c r="S23" s="200">
        <v>160731</v>
      </c>
      <c r="T23" s="200">
        <v>1319714</v>
      </c>
      <c r="U23" s="200">
        <v>1100630</v>
      </c>
      <c r="V23" s="200">
        <v>232508</v>
      </c>
      <c r="W23" s="200">
        <v>442276</v>
      </c>
      <c r="X23" s="200">
        <v>98358</v>
      </c>
    </row>
    <row r="24" spans="1:24">
      <c r="A24">
        <v>520</v>
      </c>
      <c r="B24" t="s">
        <v>1251</v>
      </c>
      <c r="C24">
        <v>2017</v>
      </c>
      <c r="D24" s="200">
        <v>1422193</v>
      </c>
      <c r="E24" s="200">
        <v>1214554</v>
      </c>
      <c r="F24" s="200">
        <v>207639</v>
      </c>
      <c r="G24" s="200">
        <v>136297</v>
      </c>
      <c r="H24" s="200">
        <v>71342</v>
      </c>
      <c r="I24" s="200">
        <v>17098</v>
      </c>
      <c r="J24" s="200">
        <v>51318</v>
      </c>
      <c r="K24" s="200">
        <v>37122</v>
      </c>
      <c r="L24" s="200">
        <v>6103</v>
      </c>
      <c r="M24" s="200">
        <v>31019</v>
      </c>
      <c r="N24" s="200">
        <v>15164</v>
      </c>
      <c r="O24" s="200">
        <v>1438936</v>
      </c>
      <c r="P24" s="200">
        <v>1328361</v>
      </c>
      <c r="Q24" s="200">
        <v>67668</v>
      </c>
      <c r="R24" s="200">
        <v>1507645</v>
      </c>
      <c r="S24" s="200">
        <v>652594</v>
      </c>
      <c r="T24" s="200">
        <v>2946581</v>
      </c>
      <c r="U24" s="200">
        <v>1539762</v>
      </c>
      <c r="V24" s="200">
        <v>152827</v>
      </c>
      <c r="W24" s="200">
        <v>944664</v>
      </c>
      <c r="X24" s="200">
        <v>82671</v>
      </c>
    </row>
    <row r="25" spans="1:24">
      <c r="C25">
        <v>2018</v>
      </c>
      <c r="D25" s="200">
        <v>2051206</v>
      </c>
      <c r="E25" s="200">
        <v>1764164</v>
      </c>
      <c r="F25" s="200">
        <v>287042</v>
      </c>
      <c r="G25" s="200">
        <v>167096</v>
      </c>
      <c r="H25" s="200">
        <v>119947</v>
      </c>
      <c r="I25" s="200">
        <v>26540</v>
      </c>
      <c r="J25" s="200">
        <v>49552</v>
      </c>
      <c r="K25" s="200">
        <v>96935</v>
      </c>
      <c r="L25" s="200">
        <v>14709</v>
      </c>
      <c r="M25" s="200">
        <v>82226</v>
      </c>
      <c r="N25" s="200">
        <v>69990</v>
      </c>
      <c r="O25" s="200">
        <v>1363702</v>
      </c>
      <c r="P25" s="200">
        <v>1275870</v>
      </c>
      <c r="Q25" s="200">
        <v>14398</v>
      </c>
      <c r="R25" s="200">
        <v>1509785</v>
      </c>
      <c r="S25" s="200">
        <v>727120</v>
      </c>
      <c r="T25" s="200">
        <v>2873487</v>
      </c>
      <c r="U25" s="200">
        <v>1847964</v>
      </c>
      <c r="V25" s="200">
        <v>198847</v>
      </c>
      <c r="W25" s="200">
        <v>780769</v>
      </c>
      <c r="X25" s="200">
        <v>112345</v>
      </c>
    </row>
    <row r="26" spans="1:24">
      <c r="C26">
        <v>2019</v>
      </c>
      <c r="D26" s="200">
        <v>1884284</v>
      </c>
      <c r="E26" s="200">
        <v>1677734</v>
      </c>
      <c r="F26" s="200">
        <v>206550</v>
      </c>
      <c r="G26" s="200">
        <v>157587</v>
      </c>
      <c r="H26" s="200">
        <v>48963</v>
      </c>
      <c r="I26" s="200">
        <v>37509</v>
      </c>
      <c r="J26" s="200">
        <v>50506</v>
      </c>
      <c r="K26" s="200">
        <v>35966</v>
      </c>
      <c r="L26" s="200">
        <v>11531</v>
      </c>
      <c r="M26" s="200">
        <v>24435</v>
      </c>
      <c r="N26" s="200">
        <v>63123</v>
      </c>
      <c r="O26" s="200">
        <v>1325360</v>
      </c>
      <c r="P26" s="200">
        <v>1224514</v>
      </c>
      <c r="Q26" s="200">
        <v>31117</v>
      </c>
      <c r="R26" s="200">
        <v>1660009</v>
      </c>
      <c r="S26" s="200">
        <v>753158</v>
      </c>
      <c r="T26" s="200">
        <v>2985369</v>
      </c>
      <c r="U26" s="200">
        <v>1910553</v>
      </c>
      <c r="V26" s="200">
        <v>222768</v>
      </c>
      <c r="W26" s="200">
        <v>852076</v>
      </c>
      <c r="X26" s="200">
        <v>119512</v>
      </c>
    </row>
    <row r="27" spans="1:24">
      <c r="A27">
        <v>611</v>
      </c>
      <c r="B27" t="s">
        <v>1252</v>
      </c>
      <c r="C27">
        <v>2017</v>
      </c>
      <c r="D27" s="200">
        <v>12077834</v>
      </c>
      <c r="E27" s="200">
        <v>8488292</v>
      </c>
      <c r="F27" s="200">
        <v>3589540</v>
      </c>
      <c r="G27" s="200">
        <v>3252664</v>
      </c>
      <c r="H27" s="200">
        <v>336876</v>
      </c>
      <c r="I27" s="200">
        <v>155162</v>
      </c>
      <c r="J27" s="200">
        <v>212926</v>
      </c>
      <c r="K27" s="200">
        <v>279112</v>
      </c>
      <c r="L27" s="200">
        <v>44984</v>
      </c>
      <c r="M27" s="200">
        <v>234128</v>
      </c>
      <c r="N27" s="200">
        <v>134727</v>
      </c>
      <c r="O27" s="200">
        <v>2176692</v>
      </c>
      <c r="P27" s="200">
        <v>1388003</v>
      </c>
      <c r="Q27" s="200">
        <v>155576</v>
      </c>
      <c r="R27" s="200">
        <v>4549356</v>
      </c>
      <c r="S27" s="200">
        <v>2181199</v>
      </c>
      <c r="T27" s="200">
        <v>6726049</v>
      </c>
      <c r="U27" s="200">
        <v>3459861</v>
      </c>
      <c r="V27" s="200">
        <v>1115170</v>
      </c>
      <c r="W27" s="200">
        <v>2546534</v>
      </c>
      <c r="X27" s="200">
        <v>192667</v>
      </c>
    </row>
    <row r="28" spans="1:24">
      <c r="C28">
        <v>2018</v>
      </c>
      <c r="D28" s="200">
        <v>10176023</v>
      </c>
      <c r="E28" s="200">
        <v>7498830</v>
      </c>
      <c r="F28" s="200">
        <v>2677193</v>
      </c>
      <c r="G28" s="200">
        <v>2476525</v>
      </c>
      <c r="H28" s="200">
        <v>200668</v>
      </c>
      <c r="I28" s="200">
        <v>164680</v>
      </c>
      <c r="J28" s="200">
        <v>120983</v>
      </c>
      <c r="K28" s="200">
        <v>244365</v>
      </c>
      <c r="L28" s="200">
        <v>60491</v>
      </c>
      <c r="M28" s="200">
        <v>183875</v>
      </c>
      <c r="N28" s="200">
        <v>147052</v>
      </c>
      <c r="O28" s="200">
        <v>2300521</v>
      </c>
      <c r="P28" s="200">
        <v>1743060</v>
      </c>
      <c r="Q28" s="200">
        <v>113556</v>
      </c>
      <c r="R28" s="200">
        <v>4066021</v>
      </c>
      <c r="S28" s="200">
        <v>2401901</v>
      </c>
      <c r="T28" s="200">
        <v>6366543</v>
      </c>
      <c r="U28" s="200">
        <v>3280275</v>
      </c>
      <c r="V28" s="200">
        <v>827356</v>
      </c>
      <c r="W28" s="200">
        <v>2253967</v>
      </c>
      <c r="X28" s="200">
        <v>186098</v>
      </c>
    </row>
    <row r="29" spans="1:24">
      <c r="C29">
        <v>2019</v>
      </c>
      <c r="D29" s="200">
        <v>12351997</v>
      </c>
      <c r="E29" s="200">
        <v>9596302</v>
      </c>
      <c r="F29" s="200">
        <v>2755696</v>
      </c>
      <c r="G29" s="200">
        <v>2846964</v>
      </c>
      <c r="H29" s="200">
        <v>-91268</v>
      </c>
      <c r="I29" s="200">
        <v>117633</v>
      </c>
      <c r="J29" s="200">
        <v>242293</v>
      </c>
      <c r="K29" s="200">
        <v>-215928</v>
      </c>
      <c r="L29" s="200">
        <v>138421</v>
      </c>
      <c r="M29" s="200">
        <v>-354349</v>
      </c>
      <c r="N29" s="200">
        <v>127211</v>
      </c>
      <c r="O29" s="200">
        <v>1859463</v>
      </c>
      <c r="P29" s="200">
        <v>1236069</v>
      </c>
      <c r="Q29" s="200">
        <v>115542</v>
      </c>
      <c r="R29" s="200">
        <v>4443724</v>
      </c>
      <c r="S29" s="200">
        <v>2406474</v>
      </c>
      <c r="T29" s="200">
        <v>6303188</v>
      </c>
      <c r="U29" s="200">
        <v>3413867</v>
      </c>
      <c r="V29" s="200">
        <v>750966</v>
      </c>
      <c r="W29" s="200">
        <v>2560009</v>
      </c>
      <c r="X29" s="200">
        <v>272575</v>
      </c>
    </row>
    <row r="30" spans="1:24">
      <c r="A30">
        <v>612</v>
      </c>
      <c r="B30" t="s">
        <v>1253</v>
      </c>
      <c r="C30">
        <v>2017</v>
      </c>
      <c r="D30" s="200">
        <v>9278251</v>
      </c>
      <c r="E30" s="200">
        <v>7422227</v>
      </c>
      <c r="F30" s="200">
        <v>1856024</v>
      </c>
      <c r="G30" s="200">
        <v>1429497</v>
      </c>
      <c r="H30" s="200">
        <v>426527</v>
      </c>
      <c r="I30" s="200">
        <v>101832</v>
      </c>
      <c r="J30" s="200">
        <v>145301</v>
      </c>
      <c r="K30" s="200">
        <v>383058</v>
      </c>
      <c r="L30" s="200">
        <v>81878</v>
      </c>
      <c r="M30" s="200">
        <v>301180</v>
      </c>
      <c r="N30" s="200">
        <v>56440</v>
      </c>
      <c r="O30" s="200">
        <v>3599592</v>
      </c>
      <c r="P30" s="200">
        <v>2751426</v>
      </c>
      <c r="Q30" s="200">
        <v>144345</v>
      </c>
      <c r="R30" s="200">
        <v>3932644</v>
      </c>
      <c r="S30" s="200">
        <v>2467215</v>
      </c>
      <c r="T30" s="200">
        <v>7532236</v>
      </c>
      <c r="U30" s="200">
        <v>3712620</v>
      </c>
      <c r="V30" s="200">
        <v>1582845</v>
      </c>
      <c r="W30" s="200">
        <v>995990</v>
      </c>
      <c r="X30" s="200">
        <v>1213353</v>
      </c>
    </row>
    <row r="31" spans="1:24">
      <c r="C31">
        <v>2018</v>
      </c>
      <c r="D31" s="200">
        <v>10371362</v>
      </c>
      <c r="E31" s="200">
        <v>8520013</v>
      </c>
      <c r="F31" s="200">
        <v>1851349</v>
      </c>
      <c r="G31" s="200">
        <v>1441860</v>
      </c>
      <c r="H31" s="200">
        <v>409489</v>
      </c>
      <c r="I31" s="200">
        <v>179661</v>
      </c>
      <c r="J31" s="200">
        <v>153550</v>
      </c>
      <c r="K31" s="200">
        <v>435600</v>
      </c>
      <c r="L31" s="200">
        <v>93116</v>
      </c>
      <c r="M31" s="200">
        <v>342485</v>
      </c>
      <c r="N31" s="200">
        <v>109148</v>
      </c>
      <c r="O31" s="200">
        <v>3596340</v>
      </c>
      <c r="P31" s="200">
        <v>2748695</v>
      </c>
      <c r="Q31" s="200">
        <v>138413</v>
      </c>
      <c r="R31" s="200">
        <v>3829834</v>
      </c>
      <c r="S31" s="200">
        <v>2382985</v>
      </c>
      <c r="T31" s="200">
        <v>7426174</v>
      </c>
      <c r="U31" s="200">
        <v>3629274</v>
      </c>
      <c r="V31" s="200">
        <v>1371164</v>
      </c>
      <c r="W31" s="200">
        <v>1073721</v>
      </c>
      <c r="X31" s="200">
        <v>1064443</v>
      </c>
    </row>
    <row r="32" spans="1:24">
      <c r="C32">
        <v>2019</v>
      </c>
      <c r="D32" s="200">
        <v>8706511</v>
      </c>
      <c r="E32" s="200">
        <v>7051030</v>
      </c>
      <c r="F32" s="200">
        <v>1655479</v>
      </c>
      <c r="G32" s="200">
        <v>1401897</v>
      </c>
      <c r="H32" s="200">
        <v>253583</v>
      </c>
      <c r="I32" s="200">
        <v>128200</v>
      </c>
      <c r="J32" s="200">
        <v>133192</v>
      </c>
      <c r="K32" s="200">
        <v>248591</v>
      </c>
      <c r="L32" s="200">
        <v>64741</v>
      </c>
      <c r="M32" s="200">
        <v>183850</v>
      </c>
      <c r="N32" s="200">
        <v>131576</v>
      </c>
      <c r="O32" s="200">
        <v>3733910</v>
      </c>
      <c r="P32" s="200">
        <v>2957390</v>
      </c>
      <c r="Q32" s="200">
        <v>133196</v>
      </c>
      <c r="R32" s="200">
        <v>3550437</v>
      </c>
      <c r="S32" s="200">
        <v>2440203</v>
      </c>
      <c r="T32" s="200">
        <v>7284346</v>
      </c>
      <c r="U32" s="200">
        <v>3691868</v>
      </c>
      <c r="V32" s="200">
        <v>1176419</v>
      </c>
      <c r="W32" s="200">
        <v>932766</v>
      </c>
      <c r="X32" s="200">
        <v>913858</v>
      </c>
    </row>
    <row r="33" spans="1:24">
      <c r="A33">
        <v>619</v>
      </c>
      <c r="B33" t="s">
        <v>1254</v>
      </c>
      <c r="C33">
        <v>2017</v>
      </c>
      <c r="D33" s="200">
        <v>105040888</v>
      </c>
      <c r="E33" s="200">
        <v>77548609</v>
      </c>
      <c r="F33" s="200">
        <v>27492273</v>
      </c>
      <c r="G33" s="200">
        <v>12622148</v>
      </c>
      <c r="H33" s="200">
        <v>14870124</v>
      </c>
      <c r="I33" s="200">
        <v>3270843</v>
      </c>
      <c r="J33" s="200">
        <v>3634063</v>
      </c>
      <c r="K33" s="200">
        <v>14506904</v>
      </c>
      <c r="L33" s="200">
        <v>3388191</v>
      </c>
      <c r="M33" s="200">
        <v>11107098</v>
      </c>
      <c r="N33" s="200">
        <v>363038</v>
      </c>
      <c r="O33" s="200">
        <v>64802655</v>
      </c>
      <c r="P33" s="200">
        <v>32349501</v>
      </c>
      <c r="Q33" s="200">
        <v>1874469</v>
      </c>
      <c r="R33" s="200">
        <v>38650112</v>
      </c>
      <c r="S33" s="200">
        <v>23269764</v>
      </c>
      <c r="T33" s="200">
        <v>103452766</v>
      </c>
      <c r="U33" s="200">
        <v>35247263</v>
      </c>
      <c r="V33" s="200">
        <v>13170775</v>
      </c>
      <c r="W33" s="200">
        <v>8841042</v>
      </c>
      <c r="X33" s="200">
        <v>8445363</v>
      </c>
    </row>
    <row r="34" spans="1:24">
      <c r="C34">
        <v>2018</v>
      </c>
      <c r="D34" s="200">
        <v>97833286</v>
      </c>
      <c r="E34" s="200">
        <v>76015029</v>
      </c>
      <c r="F34" s="200">
        <v>21818261</v>
      </c>
      <c r="G34" s="200">
        <v>11259926</v>
      </c>
      <c r="H34" s="200">
        <v>10558334</v>
      </c>
      <c r="I34" s="200">
        <v>3354904</v>
      </c>
      <c r="J34" s="200">
        <v>2501717</v>
      </c>
      <c r="K34" s="200">
        <v>11411522</v>
      </c>
      <c r="L34" s="200">
        <v>2677808</v>
      </c>
      <c r="M34" s="200">
        <v>8734567</v>
      </c>
      <c r="N34" s="200">
        <v>857243</v>
      </c>
      <c r="O34" s="200">
        <v>57711840</v>
      </c>
      <c r="P34" s="200">
        <v>28378979</v>
      </c>
      <c r="Q34" s="200">
        <v>1628636</v>
      </c>
      <c r="R34" s="200">
        <v>32633122</v>
      </c>
      <c r="S34" s="200">
        <v>19003861</v>
      </c>
      <c r="T34" s="200">
        <v>90344966</v>
      </c>
      <c r="U34" s="200">
        <v>28576984</v>
      </c>
      <c r="V34" s="200">
        <v>10747603</v>
      </c>
      <c r="W34" s="200">
        <v>8418777</v>
      </c>
      <c r="X34" s="200">
        <v>5751295</v>
      </c>
    </row>
    <row r="35" spans="1:24">
      <c r="C35">
        <v>2019</v>
      </c>
      <c r="D35" s="200">
        <v>94478840</v>
      </c>
      <c r="E35" s="200">
        <v>74978890</v>
      </c>
      <c r="F35" s="200">
        <v>19499953</v>
      </c>
      <c r="G35" s="200">
        <v>12389825</v>
      </c>
      <c r="H35" s="200">
        <v>7110127</v>
      </c>
      <c r="I35" s="200">
        <v>3047718</v>
      </c>
      <c r="J35" s="200">
        <v>3645483</v>
      </c>
      <c r="K35" s="200">
        <v>6512361</v>
      </c>
      <c r="L35" s="200">
        <v>1783208</v>
      </c>
      <c r="M35" s="200">
        <v>4727892</v>
      </c>
      <c r="N35" s="200">
        <v>909900</v>
      </c>
      <c r="O35" s="200">
        <v>64188055</v>
      </c>
      <c r="P35" s="200">
        <v>32084125</v>
      </c>
      <c r="Q35" s="200">
        <v>1588204</v>
      </c>
      <c r="R35" s="200">
        <v>32537961</v>
      </c>
      <c r="S35" s="200">
        <v>18497671</v>
      </c>
      <c r="T35" s="200">
        <v>96726014</v>
      </c>
      <c r="U35" s="200">
        <v>31077432</v>
      </c>
      <c r="V35" s="200">
        <v>10455082</v>
      </c>
      <c r="W35" s="200">
        <v>8372692</v>
      </c>
      <c r="X35" s="200">
        <v>6701268</v>
      </c>
    </row>
    <row r="36" spans="1:24">
      <c r="A36">
        <v>621</v>
      </c>
      <c r="B36" t="s">
        <v>1255</v>
      </c>
      <c r="C36">
        <v>2017</v>
      </c>
      <c r="D36" s="200">
        <v>44821872</v>
      </c>
      <c r="E36" s="200">
        <v>41482102</v>
      </c>
      <c r="F36" s="200">
        <v>3339773</v>
      </c>
      <c r="G36" s="200">
        <v>3040005</v>
      </c>
      <c r="H36" s="200">
        <v>299768</v>
      </c>
      <c r="I36" s="200">
        <v>8579189</v>
      </c>
      <c r="J36" s="200">
        <v>8649711</v>
      </c>
      <c r="K36" s="200">
        <v>229246</v>
      </c>
      <c r="L36" s="200">
        <v>421624</v>
      </c>
      <c r="M36" s="200">
        <v>4598371</v>
      </c>
      <c r="N36" s="200">
        <v>162528</v>
      </c>
      <c r="O36" s="200">
        <v>40165076</v>
      </c>
      <c r="P36" s="200">
        <v>29869438</v>
      </c>
      <c r="Q36" s="200">
        <v>319661</v>
      </c>
      <c r="R36" s="200">
        <v>32346179</v>
      </c>
      <c r="S36" s="200">
        <v>32563037</v>
      </c>
      <c r="T36" s="200">
        <v>72511250</v>
      </c>
      <c r="U36" s="200">
        <v>43717337</v>
      </c>
      <c r="V36" s="200">
        <v>3000767</v>
      </c>
      <c r="W36" s="200">
        <v>3626818</v>
      </c>
      <c r="X36" s="200">
        <v>3692744</v>
      </c>
    </row>
    <row r="37" spans="1:24">
      <c r="C37">
        <v>2018</v>
      </c>
      <c r="D37" s="200">
        <v>39383782</v>
      </c>
      <c r="E37" s="200">
        <v>37478138</v>
      </c>
      <c r="F37" s="200">
        <v>1905643</v>
      </c>
      <c r="G37" s="200">
        <v>1856747</v>
      </c>
      <c r="H37" s="200">
        <v>48896</v>
      </c>
      <c r="I37" s="200">
        <v>3893262</v>
      </c>
      <c r="J37" s="200">
        <v>4643718</v>
      </c>
      <c r="K37" s="200">
        <v>-701560</v>
      </c>
      <c r="L37" s="200">
        <v>-177227</v>
      </c>
      <c r="M37" s="200">
        <v>-375729</v>
      </c>
      <c r="N37" s="200">
        <v>289038</v>
      </c>
      <c r="O37" s="200">
        <v>39784209</v>
      </c>
      <c r="P37" s="200">
        <v>30253991</v>
      </c>
      <c r="Q37" s="200">
        <v>248239</v>
      </c>
      <c r="R37" s="200">
        <v>35169780</v>
      </c>
      <c r="S37" s="200">
        <v>30267318</v>
      </c>
      <c r="T37" s="200">
        <v>74953988</v>
      </c>
      <c r="U37" s="200">
        <v>43407561</v>
      </c>
      <c r="V37" s="200">
        <v>3301754</v>
      </c>
      <c r="W37" s="200">
        <v>5182589</v>
      </c>
      <c r="X37" s="200">
        <v>3859994</v>
      </c>
    </row>
    <row r="38" spans="1:24">
      <c r="C38">
        <v>2019</v>
      </c>
      <c r="D38" s="200">
        <v>49976702</v>
      </c>
      <c r="E38" s="200">
        <v>47052803</v>
      </c>
      <c r="F38" s="200">
        <v>2923898</v>
      </c>
      <c r="G38" s="200">
        <v>2838628</v>
      </c>
      <c r="H38" s="200">
        <v>85270</v>
      </c>
      <c r="I38" s="200">
        <v>5660064</v>
      </c>
      <c r="J38" s="200">
        <v>7187515</v>
      </c>
      <c r="K38" s="200">
        <v>-1442182</v>
      </c>
      <c r="L38" s="200">
        <v>473379</v>
      </c>
      <c r="M38" s="200">
        <v>-1924456</v>
      </c>
      <c r="N38" s="200">
        <v>397100</v>
      </c>
      <c r="O38" s="200">
        <v>51756534</v>
      </c>
      <c r="P38" s="200">
        <v>33763619</v>
      </c>
      <c r="Q38" s="200">
        <v>268722</v>
      </c>
      <c r="R38" s="200">
        <v>39175074</v>
      </c>
      <c r="S38" s="200">
        <v>36816734</v>
      </c>
      <c r="T38" s="200">
        <v>90931607</v>
      </c>
      <c r="U38" s="200">
        <v>49309281</v>
      </c>
      <c r="V38" s="200">
        <v>3557372</v>
      </c>
      <c r="W38" s="200">
        <v>7033201</v>
      </c>
      <c r="X38" s="200">
        <v>4564866</v>
      </c>
    </row>
    <row r="39" spans="1:24">
      <c r="A39">
        <v>622</v>
      </c>
      <c r="B39" t="s">
        <v>1256</v>
      </c>
      <c r="C39">
        <v>2017</v>
      </c>
      <c r="D39" s="200">
        <v>1111177</v>
      </c>
      <c r="E39" s="200">
        <v>855268</v>
      </c>
      <c r="F39" s="200">
        <v>255909</v>
      </c>
      <c r="G39" s="200">
        <v>358504</v>
      </c>
      <c r="H39" s="200">
        <v>-102595</v>
      </c>
      <c r="I39" s="200">
        <v>40612</v>
      </c>
      <c r="J39" s="200">
        <v>149402</v>
      </c>
      <c r="K39" s="200">
        <v>-211385</v>
      </c>
      <c r="L39" s="200">
        <v>1666</v>
      </c>
      <c r="M39" s="200">
        <v>-213050</v>
      </c>
      <c r="N39" s="200">
        <v>16841</v>
      </c>
      <c r="O39" s="200">
        <v>1844572</v>
      </c>
      <c r="P39" s="200">
        <v>1081824</v>
      </c>
      <c r="Q39" s="200">
        <v>149977</v>
      </c>
      <c r="R39" s="200">
        <v>1760352</v>
      </c>
      <c r="S39" s="200">
        <v>2401800</v>
      </c>
      <c r="T39" s="200">
        <v>3604925</v>
      </c>
      <c r="U39" s="200">
        <v>3086473</v>
      </c>
      <c r="V39" s="200">
        <v>486335</v>
      </c>
      <c r="W39" s="200">
        <v>600660</v>
      </c>
      <c r="X39" s="200">
        <v>220202</v>
      </c>
    </row>
    <row r="40" spans="1:24">
      <c r="C40">
        <v>2018</v>
      </c>
      <c r="D40" s="200">
        <v>1899732</v>
      </c>
      <c r="E40" s="200">
        <v>1544005</v>
      </c>
      <c r="F40" s="200">
        <v>355727</v>
      </c>
      <c r="G40" s="200">
        <v>311980</v>
      </c>
      <c r="H40" s="200">
        <v>43748</v>
      </c>
      <c r="I40" s="200">
        <v>19276</v>
      </c>
      <c r="J40" s="200">
        <v>122366</v>
      </c>
      <c r="K40" s="200">
        <v>-59343</v>
      </c>
      <c r="L40">
        <v>428</v>
      </c>
      <c r="M40" s="200">
        <v>-59770</v>
      </c>
      <c r="N40" s="200">
        <v>73991</v>
      </c>
      <c r="O40" s="200">
        <v>2174106</v>
      </c>
      <c r="P40" s="200">
        <v>1642497</v>
      </c>
      <c r="Q40" s="200">
        <v>82450</v>
      </c>
      <c r="R40" s="200">
        <v>1624248</v>
      </c>
      <c r="S40" s="200">
        <v>2142105</v>
      </c>
      <c r="T40" s="200">
        <v>3798354</v>
      </c>
      <c r="U40" s="200">
        <v>2984276</v>
      </c>
      <c r="V40" s="200">
        <v>447331</v>
      </c>
      <c r="W40" s="200">
        <v>862350</v>
      </c>
      <c r="X40" s="200">
        <v>183350</v>
      </c>
    </row>
    <row r="41" spans="1:24">
      <c r="C41">
        <v>2019</v>
      </c>
      <c r="D41" s="200">
        <v>1984896</v>
      </c>
      <c r="E41" s="200">
        <v>1450396</v>
      </c>
      <c r="F41" s="200">
        <v>534500</v>
      </c>
      <c r="G41" s="200">
        <v>344469</v>
      </c>
      <c r="H41" s="200">
        <v>190031</v>
      </c>
      <c r="I41" s="200">
        <v>36623</v>
      </c>
      <c r="J41" s="200">
        <v>169811</v>
      </c>
      <c r="K41" s="200">
        <v>56843</v>
      </c>
      <c r="L41">
        <v>0</v>
      </c>
      <c r="M41" s="200">
        <v>56843</v>
      </c>
      <c r="N41" s="200">
        <v>25377</v>
      </c>
      <c r="O41" s="200">
        <v>2907894</v>
      </c>
      <c r="P41" s="200">
        <v>2111069</v>
      </c>
      <c r="Q41" s="200">
        <v>196741</v>
      </c>
      <c r="R41" s="200">
        <v>2682414</v>
      </c>
      <c r="S41" s="200">
        <v>2821063</v>
      </c>
      <c r="T41" s="200">
        <v>5590307</v>
      </c>
      <c r="U41" s="200">
        <v>4003996</v>
      </c>
      <c r="V41" s="200">
        <v>646651</v>
      </c>
      <c r="W41" s="200">
        <v>1592653</v>
      </c>
      <c r="X41" s="200">
        <v>337713</v>
      </c>
    </row>
    <row r="42" spans="1:24">
      <c r="A42">
        <v>623</v>
      </c>
      <c r="B42" t="s">
        <v>1257</v>
      </c>
      <c r="C42">
        <v>2017</v>
      </c>
      <c r="D42" s="200">
        <v>8794626</v>
      </c>
      <c r="E42" s="200">
        <v>7750927</v>
      </c>
      <c r="F42" s="200">
        <v>1043699</v>
      </c>
      <c r="G42" s="200">
        <v>964200</v>
      </c>
      <c r="H42" s="200">
        <v>79499</v>
      </c>
      <c r="I42" s="200">
        <v>357361</v>
      </c>
      <c r="J42" s="200">
        <v>700241</v>
      </c>
      <c r="K42" s="200">
        <v>-263380</v>
      </c>
      <c r="L42" s="200">
        <v>52146</v>
      </c>
      <c r="M42" s="200">
        <v>-321619</v>
      </c>
      <c r="N42" s="200">
        <v>44547</v>
      </c>
      <c r="O42" s="200">
        <v>9929016</v>
      </c>
      <c r="P42" s="200">
        <v>8440387</v>
      </c>
      <c r="Q42" s="200">
        <v>111579</v>
      </c>
      <c r="R42" s="200">
        <v>4648202</v>
      </c>
      <c r="S42" s="200">
        <v>5718498</v>
      </c>
      <c r="T42" s="200">
        <v>14577219</v>
      </c>
      <c r="U42" s="200">
        <v>8468857</v>
      </c>
      <c r="V42" s="200">
        <v>1074137</v>
      </c>
      <c r="W42" s="200">
        <v>956129</v>
      </c>
      <c r="X42" s="200">
        <v>787465</v>
      </c>
    </row>
    <row r="43" spans="1:24">
      <c r="C43">
        <v>2018</v>
      </c>
      <c r="D43" s="200">
        <v>8703028</v>
      </c>
      <c r="E43" s="200">
        <v>7657714</v>
      </c>
      <c r="F43" s="200">
        <v>1045313</v>
      </c>
      <c r="G43" s="200">
        <v>896658</v>
      </c>
      <c r="H43" s="200">
        <v>148655</v>
      </c>
      <c r="I43" s="200">
        <v>417133</v>
      </c>
      <c r="J43" s="200">
        <v>567495</v>
      </c>
      <c r="K43" s="200">
        <v>-1707</v>
      </c>
      <c r="L43" s="200">
        <v>213781</v>
      </c>
      <c r="M43" s="200">
        <v>-207035</v>
      </c>
      <c r="N43" s="200">
        <v>123980</v>
      </c>
      <c r="O43" s="200">
        <v>10192384</v>
      </c>
      <c r="P43" s="200">
        <v>8665337</v>
      </c>
      <c r="Q43" s="200">
        <v>80360</v>
      </c>
      <c r="R43" s="200">
        <v>5193833</v>
      </c>
      <c r="S43" s="200">
        <v>6242174</v>
      </c>
      <c r="T43" s="200">
        <v>15386216</v>
      </c>
      <c r="U43" s="200">
        <v>8808643</v>
      </c>
      <c r="V43" s="200">
        <v>1354354</v>
      </c>
      <c r="W43" s="200">
        <v>1291410</v>
      </c>
      <c r="X43" s="200">
        <v>952646</v>
      </c>
    </row>
    <row r="44" spans="1:24">
      <c r="C44">
        <v>2019</v>
      </c>
      <c r="D44" s="200">
        <v>10691426</v>
      </c>
      <c r="E44" s="200">
        <v>9400286</v>
      </c>
      <c r="F44" s="200">
        <v>1291140</v>
      </c>
      <c r="G44" s="200">
        <v>980053</v>
      </c>
      <c r="H44" s="200">
        <v>311087</v>
      </c>
      <c r="I44" s="200">
        <v>335474</v>
      </c>
      <c r="J44" s="200">
        <v>551162</v>
      </c>
      <c r="K44" s="200">
        <v>95399</v>
      </c>
      <c r="L44" s="200">
        <v>76774</v>
      </c>
      <c r="M44" s="200">
        <v>7251</v>
      </c>
      <c r="N44" s="200">
        <v>133651</v>
      </c>
      <c r="O44" s="200">
        <v>10740017</v>
      </c>
      <c r="P44" s="200">
        <v>9161755</v>
      </c>
      <c r="Q44" s="200">
        <v>83093</v>
      </c>
      <c r="R44" s="200">
        <v>5664498</v>
      </c>
      <c r="S44" s="200">
        <v>6464328</v>
      </c>
      <c r="T44" s="200">
        <v>16404515</v>
      </c>
      <c r="U44" s="200">
        <v>9697583</v>
      </c>
      <c r="V44" s="200">
        <v>1301326</v>
      </c>
      <c r="W44" s="200">
        <v>1376390</v>
      </c>
      <c r="X44" s="200">
        <v>1003520</v>
      </c>
    </row>
    <row r="45" spans="1:24">
      <c r="A45">
        <v>624</v>
      </c>
      <c r="B45" t="s">
        <v>1258</v>
      </c>
      <c r="C45">
        <v>2017</v>
      </c>
      <c r="D45" s="200">
        <v>7382401</v>
      </c>
      <c r="E45" s="200">
        <v>5578993</v>
      </c>
      <c r="F45" s="200">
        <v>1803408</v>
      </c>
      <c r="G45" s="200">
        <v>1207199</v>
      </c>
      <c r="H45" s="200">
        <v>596209</v>
      </c>
      <c r="I45" s="200">
        <v>230143</v>
      </c>
      <c r="J45" s="200">
        <v>270527</v>
      </c>
      <c r="K45" s="200">
        <v>555825</v>
      </c>
      <c r="L45" s="200">
        <v>92188</v>
      </c>
      <c r="M45" s="200">
        <v>483626</v>
      </c>
      <c r="N45" s="200">
        <v>68543</v>
      </c>
      <c r="O45" s="200">
        <v>3702525</v>
      </c>
      <c r="P45" s="200">
        <v>2389675</v>
      </c>
      <c r="Q45" s="200">
        <v>282906</v>
      </c>
      <c r="R45" s="200">
        <v>4556437</v>
      </c>
      <c r="S45" s="200">
        <v>2473578</v>
      </c>
      <c r="T45" s="200">
        <v>8258963</v>
      </c>
      <c r="U45" s="200">
        <v>3605020</v>
      </c>
      <c r="V45" s="200">
        <v>1544292</v>
      </c>
      <c r="W45" s="200">
        <v>925266</v>
      </c>
      <c r="X45" s="200">
        <v>770473</v>
      </c>
    </row>
    <row r="46" spans="1:24">
      <c r="C46">
        <v>2018</v>
      </c>
      <c r="D46" s="200">
        <v>7259405</v>
      </c>
      <c r="E46" s="200">
        <v>5451295</v>
      </c>
      <c r="F46" s="200">
        <v>1808110</v>
      </c>
      <c r="G46" s="200">
        <v>1244150</v>
      </c>
      <c r="H46" s="200">
        <v>563960</v>
      </c>
      <c r="I46" s="200">
        <v>398800</v>
      </c>
      <c r="J46" s="200">
        <v>263451</v>
      </c>
      <c r="K46" s="200">
        <v>699309</v>
      </c>
      <c r="L46" s="200">
        <v>143531</v>
      </c>
      <c r="M46" s="200">
        <v>556475</v>
      </c>
      <c r="N46" s="200">
        <v>123551</v>
      </c>
      <c r="O46" s="200">
        <v>4033172</v>
      </c>
      <c r="P46" s="200">
        <v>2506418</v>
      </c>
      <c r="Q46" s="200">
        <v>267723</v>
      </c>
      <c r="R46" s="200">
        <v>4501059</v>
      </c>
      <c r="S46" s="200">
        <v>2429553</v>
      </c>
      <c r="T46" s="200">
        <v>8534231</v>
      </c>
      <c r="U46" s="200">
        <v>3612900</v>
      </c>
      <c r="V46" s="200">
        <v>1506292</v>
      </c>
      <c r="W46" s="200">
        <v>930660</v>
      </c>
      <c r="X46" s="200">
        <v>682065</v>
      </c>
    </row>
    <row r="47" spans="1:24">
      <c r="C47">
        <v>2019</v>
      </c>
      <c r="D47" s="200">
        <v>7767069</v>
      </c>
      <c r="E47" s="200">
        <v>5752814</v>
      </c>
      <c r="F47" s="200">
        <v>2014255</v>
      </c>
      <c r="G47" s="200">
        <v>1410738</v>
      </c>
      <c r="H47" s="200">
        <v>603516</v>
      </c>
      <c r="I47" s="200">
        <v>375543</v>
      </c>
      <c r="J47" s="200">
        <v>297480</v>
      </c>
      <c r="K47" s="200">
        <v>681580</v>
      </c>
      <c r="L47" s="200">
        <v>112820</v>
      </c>
      <c r="M47" s="200">
        <v>567961</v>
      </c>
      <c r="N47" s="200">
        <v>144574</v>
      </c>
      <c r="O47" s="200">
        <v>4572717</v>
      </c>
      <c r="P47" s="200">
        <v>2786592</v>
      </c>
      <c r="Q47" s="200">
        <v>271918</v>
      </c>
      <c r="R47" s="200">
        <v>5319533</v>
      </c>
      <c r="S47" s="200">
        <v>2937514</v>
      </c>
      <c r="T47" s="200">
        <v>9892250</v>
      </c>
      <c r="U47" s="200">
        <v>4237437</v>
      </c>
      <c r="V47" s="200">
        <v>1668018</v>
      </c>
      <c r="W47" s="200">
        <v>1220941</v>
      </c>
      <c r="X47" s="200">
        <v>769471</v>
      </c>
    </row>
    <row r="48" spans="1:24">
      <c r="A48">
        <v>625</v>
      </c>
      <c r="B48" t="s">
        <v>1259</v>
      </c>
      <c r="C48">
        <v>2017</v>
      </c>
      <c r="D48" s="200">
        <v>4385277</v>
      </c>
      <c r="E48" s="200">
        <v>3691353</v>
      </c>
      <c r="F48" s="200">
        <v>693925</v>
      </c>
      <c r="G48" s="200">
        <v>472879</v>
      </c>
      <c r="H48" s="200">
        <v>221046</v>
      </c>
      <c r="I48" s="200">
        <v>59032</v>
      </c>
      <c r="J48" s="200">
        <v>131253</v>
      </c>
      <c r="K48" s="200">
        <v>148825</v>
      </c>
      <c r="L48" s="200">
        <v>20522</v>
      </c>
      <c r="M48" s="200">
        <v>128303</v>
      </c>
      <c r="N48" s="200">
        <v>16024</v>
      </c>
      <c r="O48" s="200">
        <v>1605620</v>
      </c>
      <c r="P48" s="200">
        <v>1427640</v>
      </c>
      <c r="Q48" s="200">
        <v>7403</v>
      </c>
      <c r="R48" s="200">
        <v>1795039</v>
      </c>
      <c r="S48" s="200">
        <v>1077405</v>
      </c>
      <c r="T48" s="200">
        <v>3400659</v>
      </c>
      <c r="U48" s="200">
        <v>1924161</v>
      </c>
      <c r="V48" s="200">
        <v>796233</v>
      </c>
      <c r="W48" s="200">
        <v>512459</v>
      </c>
      <c r="X48" s="200">
        <v>295795</v>
      </c>
    </row>
    <row r="49" spans="1:24">
      <c r="C49">
        <v>2018</v>
      </c>
      <c r="D49" s="200">
        <v>4199007</v>
      </c>
      <c r="E49" s="200">
        <v>3480780</v>
      </c>
      <c r="F49" s="200">
        <v>718227</v>
      </c>
      <c r="G49" s="200">
        <v>536734</v>
      </c>
      <c r="H49" s="200">
        <v>181493</v>
      </c>
      <c r="I49" s="200">
        <v>53673</v>
      </c>
      <c r="J49" s="200">
        <v>71338</v>
      </c>
      <c r="K49" s="200">
        <v>163828</v>
      </c>
      <c r="L49" s="200">
        <v>14822</v>
      </c>
      <c r="M49" s="200">
        <v>149006</v>
      </c>
      <c r="N49" s="200">
        <v>50997</v>
      </c>
      <c r="O49" s="200">
        <v>2035292</v>
      </c>
      <c r="P49" s="200">
        <v>1778811</v>
      </c>
      <c r="Q49" s="200">
        <v>33233</v>
      </c>
      <c r="R49" s="200">
        <v>1873119</v>
      </c>
      <c r="S49" s="200">
        <v>1023953</v>
      </c>
      <c r="T49" s="200">
        <v>3908411</v>
      </c>
      <c r="U49" s="200">
        <v>1999327</v>
      </c>
      <c r="V49" s="200">
        <v>817275</v>
      </c>
      <c r="W49" s="200">
        <v>610617</v>
      </c>
      <c r="X49" s="200">
        <v>275582</v>
      </c>
    </row>
    <row r="50" spans="1:24">
      <c r="C50">
        <v>2019</v>
      </c>
      <c r="D50" s="200">
        <v>4553528</v>
      </c>
      <c r="E50" s="200">
        <v>3759909</v>
      </c>
      <c r="F50" s="200">
        <v>793619</v>
      </c>
      <c r="G50" s="200">
        <v>539044</v>
      </c>
      <c r="H50" s="200">
        <v>254575</v>
      </c>
      <c r="I50" s="200">
        <v>182458</v>
      </c>
      <c r="J50" s="200">
        <v>100916</v>
      </c>
      <c r="K50" s="200">
        <v>336117</v>
      </c>
      <c r="L50" s="200">
        <v>58432</v>
      </c>
      <c r="M50" s="200">
        <v>277685</v>
      </c>
      <c r="N50" s="200">
        <v>42457</v>
      </c>
      <c r="O50" s="200">
        <v>2392882</v>
      </c>
      <c r="P50" s="200">
        <v>2036818</v>
      </c>
      <c r="Q50" s="200">
        <v>24008</v>
      </c>
      <c r="R50" s="200">
        <v>3185009</v>
      </c>
      <c r="S50" s="200">
        <v>1711948</v>
      </c>
      <c r="T50" s="200">
        <v>5577892</v>
      </c>
      <c r="U50" s="200">
        <v>2683146</v>
      </c>
      <c r="V50" s="200">
        <v>1374930</v>
      </c>
      <c r="W50" s="200">
        <v>661314</v>
      </c>
      <c r="X50" s="200">
        <v>331941</v>
      </c>
    </row>
    <row r="51" spans="1:24">
      <c r="A51">
        <v>626</v>
      </c>
      <c r="B51" t="s">
        <v>1260</v>
      </c>
      <c r="C51">
        <v>2017</v>
      </c>
      <c r="D51" s="200">
        <v>6816128</v>
      </c>
      <c r="E51" s="200">
        <v>5819588</v>
      </c>
      <c r="F51" s="200">
        <v>996540</v>
      </c>
      <c r="G51" s="200">
        <v>674785</v>
      </c>
      <c r="H51" s="200">
        <v>321755</v>
      </c>
      <c r="I51" s="200">
        <v>129560</v>
      </c>
      <c r="J51" s="200">
        <v>168645</v>
      </c>
      <c r="K51" s="200">
        <v>282669</v>
      </c>
      <c r="L51" s="200">
        <v>59189</v>
      </c>
      <c r="M51" s="200">
        <v>223480</v>
      </c>
      <c r="N51" s="200">
        <v>29641</v>
      </c>
      <c r="O51" s="200">
        <v>3599332</v>
      </c>
      <c r="P51" s="200">
        <v>2919943</v>
      </c>
      <c r="Q51" s="200">
        <v>68419</v>
      </c>
      <c r="R51" s="200">
        <v>3127694</v>
      </c>
      <c r="S51" s="200">
        <v>2287002</v>
      </c>
      <c r="T51" s="200">
        <v>6727026</v>
      </c>
      <c r="U51" s="200">
        <v>3695176</v>
      </c>
      <c r="V51" s="200">
        <v>1261885</v>
      </c>
      <c r="W51" s="200">
        <v>746303</v>
      </c>
      <c r="X51" s="200">
        <v>751212</v>
      </c>
    </row>
    <row r="52" spans="1:24">
      <c r="C52">
        <v>2018</v>
      </c>
      <c r="D52" s="200">
        <v>6425135</v>
      </c>
      <c r="E52" s="200">
        <v>5494719</v>
      </c>
      <c r="F52" s="200">
        <v>930416</v>
      </c>
      <c r="G52" s="200">
        <v>649958</v>
      </c>
      <c r="H52" s="200">
        <v>280458</v>
      </c>
      <c r="I52" s="200">
        <v>112217</v>
      </c>
      <c r="J52" s="200">
        <v>159746</v>
      </c>
      <c r="K52" s="200">
        <v>232929</v>
      </c>
      <c r="L52" s="200">
        <v>43739</v>
      </c>
      <c r="M52" s="200">
        <v>188102</v>
      </c>
      <c r="N52" s="200">
        <v>119731</v>
      </c>
      <c r="O52" s="200">
        <v>3620766</v>
      </c>
      <c r="P52" s="200">
        <v>2897865</v>
      </c>
      <c r="Q52" s="200">
        <v>73686</v>
      </c>
      <c r="R52" s="200">
        <v>2983561</v>
      </c>
      <c r="S52" s="200">
        <v>2165449</v>
      </c>
      <c r="T52" s="200">
        <v>6604327</v>
      </c>
      <c r="U52" s="200">
        <v>3569248</v>
      </c>
      <c r="V52" s="200">
        <v>1169054</v>
      </c>
      <c r="W52" s="200">
        <v>719661</v>
      </c>
      <c r="X52" s="200">
        <v>672642</v>
      </c>
    </row>
    <row r="53" spans="1:24">
      <c r="C53">
        <v>2019</v>
      </c>
      <c r="D53" s="200">
        <v>6936134</v>
      </c>
      <c r="E53" s="200">
        <v>5946301</v>
      </c>
      <c r="F53" s="200">
        <v>989832</v>
      </c>
      <c r="G53" s="200">
        <v>708012</v>
      </c>
      <c r="H53" s="200">
        <v>281821</v>
      </c>
      <c r="I53" s="200">
        <v>122525</v>
      </c>
      <c r="J53" s="200">
        <v>192064</v>
      </c>
      <c r="K53" s="200">
        <v>212281</v>
      </c>
      <c r="L53" s="200">
        <v>42372</v>
      </c>
      <c r="M53" s="200">
        <v>169910</v>
      </c>
      <c r="N53" s="200">
        <v>130760</v>
      </c>
      <c r="O53" s="200">
        <v>3995187</v>
      </c>
      <c r="P53" s="200">
        <v>3176498</v>
      </c>
      <c r="Q53" s="200">
        <v>84803</v>
      </c>
      <c r="R53" s="200">
        <v>3300923</v>
      </c>
      <c r="S53" s="200">
        <v>2411270</v>
      </c>
      <c r="T53" s="200">
        <v>7296110</v>
      </c>
      <c r="U53" s="200">
        <v>3921555</v>
      </c>
      <c r="V53" s="200">
        <v>1235909</v>
      </c>
      <c r="W53" s="200">
        <v>770745</v>
      </c>
      <c r="X53" s="200">
        <v>694721</v>
      </c>
    </row>
    <row r="54" spans="1:24">
      <c r="A54">
        <v>627</v>
      </c>
      <c r="B54" t="s">
        <v>1261</v>
      </c>
      <c r="C54">
        <v>2017</v>
      </c>
      <c r="D54" s="200">
        <v>3718109</v>
      </c>
      <c r="E54" s="200">
        <v>3106594</v>
      </c>
      <c r="F54" s="200">
        <v>611516</v>
      </c>
      <c r="G54" s="200">
        <v>339725</v>
      </c>
      <c r="H54" s="200">
        <v>271791</v>
      </c>
      <c r="I54" s="200">
        <v>22472</v>
      </c>
      <c r="J54" s="200">
        <v>76672</v>
      </c>
      <c r="K54" s="200">
        <v>217591</v>
      </c>
      <c r="L54" s="200">
        <v>25028</v>
      </c>
      <c r="M54" s="200">
        <v>192562</v>
      </c>
      <c r="N54" s="200">
        <v>12272</v>
      </c>
      <c r="O54" s="200">
        <v>2099837</v>
      </c>
      <c r="P54" s="200">
        <v>1913171</v>
      </c>
      <c r="Q54" s="200">
        <v>14680</v>
      </c>
      <c r="R54" s="200">
        <v>1301915</v>
      </c>
      <c r="S54" s="200">
        <v>955571</v>
      </c>
      <c r="T54" s="200">
        <v>3401751</v>
      </c>
      <c r="U54" s="200">
        <v>2237162</v>
      </c>
      <c r="V54" s="200">
        <v>528527</v>
      </c>
      <c r="W54" s="200">
        <v>210950</v>
      </c>
      <c r="X54" s="200">
        <v>208759</v>
      </c>
    </row>
    <row r="55" spans="1:24">
      <c r="C55">
        <v>2018</v>
      </c>
      <c r="D55" s="200">
        <v>2996260</v>
      </c>
      <c r="E55" s="200">
        <v>2567097</v>
      </c>
      <c r="F55" s="200">
        <v>429163</v>
      </c>
      <c r="G55" s="200">
        <v>273593</v>
      </c>
      <c r="H55" s="200">
        <v>155569</v>
      </c>
      <c r="I55" s="200">
        <v>20238</v>
      </c>
      <c r="J55" s="200">
        <v>59658</v>
      </c>
      <c r="K55" s="200">
        <v>116150</v>
      </c>
      <c r="L55" s="200">
        <v>14662</v>
      </c>
      <c r="M55" s="200">
        <v>101488</v>
      </c>
      <c r="N55" s="200">
        <v>111994</v>
      </c>
      <c r="O55" s="200">
        <v>1947082</v>
      </c>
      <c r="P55" s="200">
        <v>1756234</v>
      </c>
      <c r="Q55" s="200">
        <v>49923</v>
      </c>
      <c r="R55" s="200">
        <v>962367</v>
      </c>
      <c r="S55" s="200">
        <v>644818</v>
      </c>
      <c r="T55" s="200">
        <v>2909449</v>
      </c>
      <c r="U55" s="200">
        <v>1923510</v>
      </c>
      <c r="V55" s="200">
        <v>367855</v>
      </c>
      <c r="W55" s="200">
        <v>225997</v>
      </c>
      <c r="X55" s="200">
        <v>121979</v>
      </c>
    </row>
    <row r="56" spans="1:24">
      <c r="C56">
        <v>2019</v>
      </c>
      <c r="D56" s="200">
        <v>2994586</v>
      </c>
      <c r="E56" s="200">
        <v>2551446</v>
      </c>
      <c r="F56" s="200">
        <v>443140</v>
      </c>
      <c r="G56" s="200">
        <v>356331</v>
      </c>
      <c r="H56" s="200">
        <v>86809</v>
      </c>
      <c r="I56" s="200">
        <v>35661</v>
      </c>
      <c r="J56" s="200">
        <v>73262</v>
      </c>
      <c r="K56" s="200">
        <v>49209</v>
      </c>
      <c r="L56" s="200">
        <v>4717</v>
      </c>
      <c r="M56" s="200">
        <v>44492</v>
      </c>
      <c r="N56" s="200">
        <v>98798</v>
      </c>
      <c r="O56" s="200">
        <v>4894808</v>
      </c>
      <c r="P56" s="200">
        <v>4402473</v>
      </c>
      <c r="Q56" s="200">
        <v>162939</v>
      </c>
      <c r="R56" s="200">
        <v>4685876</v>
      </c>
      <c r="S56" s="200">
        <v>2618529</v>
      </c>
      <c r="T56" s="200">
        <v>9580684</v>
      </c>
      <c r="U56" s="200">
        <v>3896897</v>
      </c>
      <c r="V56" s="200">
        <v>895387</v>
      </c>
      <c r="W56" s="200">
        <v>1639636</v>
      </c>
      <c r="X56" s="200">
        <v>478933</v>
      </c>
    </row>
    <row r="57" spans="1:24">
      <c r="A57">
        <v>628</v>
      </c>
      <c r="B57" t="s">
        <v>1262</v>
      </c>
      <c r="C57">
        <v>2017</v>
      </c>
      <c r="D57" s="200">
        <v>15768847</v>
      </c>
      <c r="E57" s="200">
        <v>12798508</v>
      </c>
      <c r="F57" s="200">
        <v>2970338</v>
      </c>
      <c r="G57" s="200">
        <v>1631839</v>
      </c>
      <c r="H57" s="200">
        <v>1338499</v>
      </c>
      <c r="I57" s="200">
        <v>328217</v>
      </c>
      <c r="J57" s="200">
        <v>520362</v>
      </c>
      <c r="K57" s="200">
        <v>1146354</v>
      </c>
      <c r="L57" s="200">
        <v>283878</v>
      </c>
      <c r="M57" s="200">
        <v>871638</v>
      </c>
      <c r="N57" s="200">
        <v>49210</v>
      </c>
      <c r="O57" s="200">
        <v>9636529</v>
      </c>
      <c r="P57" s="200">
        <v>6346953</v>
      </c>
      <c r="Q57" s="200">
        <v>144036</v>
      </c>
      <c r="R57" s="200">
        <v>7840314</v>
      </c>
      <c r="S57" s="200">
        <v>5751332</v>
      </c>
      <c r="T57" s="200">
        <v>17476843</v>
      </c>
      <c r="U57" s="200">
        <v>8031506</v>
      </c>
      <c r="V57" s="200">
        <v>2572819</v>
      </c>
      <c r="W57" s="200">
        <v>1385746</v>
      </c>
      <c r="X57" s="200">
        <v>2024437</v>
      </c>
    </row>
    <row r="58" spans="1:24">
      <c r="C58">
        <v>2018</v>
      </c>
      <c r="D58" s="200">
        <v>15052608</v>
      </c>
      <c r="E58" s="200">
        <v>12273448</v>
      </c>
      <c r="F58" s="200">
        <v>2779160</v>
      </c>
      <c r="G58" s="200">
        <v>1622101</v>
      </c>
      <c r="H58" s="200">
        <v>1157059</v>
      </c>
      <c r="I58" s="200">
        <v>369379</v>
      </c>
      <c r="J58" s="200">
        <v>408860</v>
      </c>
      <c r="K58" s="200">
        <v>1117578</v>
      </c>
      <c r="L58" s="200">
        <v>260320</v>
      </c>
      <c r="M58" s="200">
        <v>862449</v>
      </c>
      <c r="N58" s="200">
        <v>205756</v>
      </c>
      <c r="O58" s="200">
        <v>10555338</v>
      </c>
      <c r="P58" s="200">
        <v>6770874</v>
      </c>
      <c r="Q58" s="200">
        <v>153290</v>
      </c>
      <c r="R58" s="200">
        <v>7238980</v>
      </c>
      <c r="S58" s="200">
        <v>5549077</v>
      </c>
      <c r="T58" s="200">
        <v>17794319</v>
      </c>
      <c r="U58" s="200">
        <v>7908713</v>
      </c>
      <c r="V58" s="200">
        <v>2455584</v>
      </c>
      <c r="W58" s="200">
        <v>1636767</v>
      </c>
      <c r="X58" s="200">
        <v>1750170</v>
      </c>
    </row>
    <row r="59" spans="1:24">
      <c r="C59">
        <v>2019</v>
      </c>
      <c r="D59" s="200">
        <v>15371683</v>
      </c>
      <c r="E59" s="200">
        <v>12861443</v>
      </c>
      <c r="F59" s="200">
        <v>2510240</v>
      </c>
      <c r="G59" s="200">
        <v>1789716</v>
      </c>
      <c r="H59" s="200">
        <v>720525</v>
      </c>
      <c r="I59" s="200">
        <v>458812</v>
      </c>
      <c r="J59" s="200">
        <v>449446</v>
      </c>
      <c r="K59" s="200">
        <v>729891</v>
      </c>
      <c r="L59" s="200">
        <v>172252</v>
      </c>
      <c r="M59" s="200">
        <v>559145</v>
      </c>
      <c r="N59" s="200">
        <v>224814</v>
      </c>
      <c r="O59" s="200">
        <v>12338604</v>
      </c>
      <c r="P59" s="200">
        <v>7868494</v>
      </c>
      <c r="Q59" s="200">
        <v>157662</v>
      </c>
      <c r="R59" s="200">
        <v>8555252</v>
      </c>
      <c r="S59" s="200">
        <v>5794898</v>
      </c>
      <c r="T59" s="200">
        <v>20947970</v>
      </c>
      <c r="U59" s="200">
        <v>9574590</v>
      </c>
      <c r="V59" s="200">
        <v>2581761</v>
      </c>
      <c r="W59" s="200">
        <v>1902747</v>
      </c>
      <c r="X59" s="200">
        <v>1837640</v>
      </c>
    </row>
    <row r="60" spans="1:24">
      <c r="A60">
        <v>629</v>
      </c>
      <c r="B60" t="s">
        <v>1263</v>
      </c>
      <c r="C60">
        <v>2017</v>
      </c>
      <c r="D60" s="200">
        <v>12358998</v>
      </c>
      <c r="E60" s="200">
        <v>10148101</v>
      </c>
      <c r="F60" s="200">
        <v>2210896</v>
      </c>
      <c r="G60" s="200">
        <v>1476545</v>
      </c>
      <c r="H60" s="200">
        <v>734351</v>
      </c>
      <c r="I60" s="200">
        <v>466642</v>
      </c>
      <c r="J60" s="200">
        <v>559457</v>
      </c>
      <c r="K60" s="200">
        <v>641535</v>
      </c>
      <c r="L60" s="200">
        <v>127370</v>
      </c>
      <c r="M60" s="200">
        <v>515060</v>
      </c>
      <c r="N60" s="200">
        <v>72026</v>
      </c>
      <c r="O60" s="200">
        <v>7594648</v>
      </c>
      <c r="P60" s="200">
        <v>4657261</v>
      </c>
      <c r="Q60" s="200">
        <v>338515</v>
      </c>
      <c r="R60" s="200">
        <v>6305456</v>
      </c>
      <c r="S60" s="200">
        <v>4547659</v>
      </c>
      <c r="T60" s="200">
        <v>13900658</v>
      </c>
      <c r="U60" s="200">
        <v>6829707</v>
      </c>
      <c r="V60" s="200">
        <v>2320317</v>
      </c>
      <c r="W60" s="200">
        <v>1403663</v>
      </c>
      <c r="X60" s="200">
        <v>1404662</v>
      </c>
    </row>
    <row r="61" spans="1:24">
      <c r="C61">
        <v>2018</v>
      </c>
      <c r="D61" s="200">
        <v>11621173</v>
      </c>
      <c r="E61" s="200">
        <v>9591649</v>
      </c>
      <c r="F61" s="200">
        <v>2029523</v>
      </c>
      <c r="G61" s="200">
        <v>1421773</v>
      </c>
      <c r="H61" s="200">
        <v>607750</v>
      </c>
      <c r="I61" s="200">
        <v>383080</v>
      </c>
      <c r="J61" s="200">
        <v>484267</v>
      </c>
      <c r="K61" s="200">
        <v>506563</v>
      </c>
      <c r="L61" s="200">
        <v>119599</v>
      </c>
      <c r="M61" s="200">
        <v>389913</v>
      </c>
      <c r="N61" s="200">
        <v>151687</v>
      </c>
      <c r="O61" s="200">
        <v>7175701</v>
      </c>
      <c r="P61" s="200">
        <v>4458448</v>
      </c>
      <c r="Q61" s="200">
        <v>304312</v>
      </c>
      <c r="R61" s="200">
        <v>5956439</v>
      </c>
      <c r="S61" s="200">
        <v>4191512</v>
      </c>
      <c r="T61" s="200">
        <v>13132656</v>
      </c>
      <c r="U61" s="200">
        <v>6466238</v>
      </c>
      <c r="V61" s="200">
        <v>2137601</v>
      </c>
      <c r="W61" s="200">
        <v>1416193</v>
      </c>
      <c r="X61" s="200">
        <v>1218707</v>
      </c>
    </row>
    <row r="62" spans="1:24">
      <c r="C62">
        <v>2019</v>
      </c>
      <c r="D62" s="200">
        <v>12032535</v>
      </c>
      <c r="E62" s="200">
        <v>9863184</v>
      </c>
      <c r="F62" s="200">
        <v>2169351</v>
      </c>
      <c r="G62" s="200">
        <v>1552257</v>
      </c>
      <c r="H62" s="200">
        <v>617095</v>
      </c>
      <c r="I62" s="200">
        <v>407825</v>
      </c>
      <c r="J62" s="200">
        <v>508974</v>
      </c>
      <c r="K62" s="200">
        <v>515946</v>
      </c>
      <c r="L62" s="200">
        <v>118427</v>
      </c>
      <c r="M62" s="200">
        <v>397959</v>
      </c>
      <c r="N62" s="200">
        <v>169765</v>
      </c>
      <c r="O62" s="200">
        <v>8096864</v>
      </c>
      <c r="P62" s="200">
        <v>4912824</v>
      </c>
      <c r="Q62" s="200">
        <v>343104</v>
      </c>
      <c r="R62" s="200">
        <v>6504051</v>
      </c>
      <c r="S62" s="200">
        <v>4637259</v>
      </c>
      <c r="T62" s="200">
        <v>14601522</v>
      </c>
      <c r="U62" s="200">
        <v>7101451</v>
      </c>
      <c r="V62" s="200">
        <v>2258788</v>
      </c>
      <c r="W62" s="200">
        <v>1568454</v>
      </c>
      <c r="X62" s="200">
        <v>1239537</v>
      </c>
    </row>
    <row r="63" spans="1:24">
      <c r="A63">
        <v>631</v>
      </c>
      <c r="B63" t="s">
        <v>1264</v>
      </c>
      <c r="C63">
        <v>2017</v>
      </c>
      <c r="D63" s="200">
        <v>2624286</v>
      </c>
      <c r="E63" s="200">
        <v>2227861</v>
      </c>
      <c r="F63" s="200">
        <v>396425</v>
      </c>
      <c r="G63" s="200">
        <v>294454</v>
      </c>
      <c r="H63" s="200">
        <v>101971</v>
      </c>
      <c r="I63" s="200">
        <v>33320</v>
      </c>
      <c r="J63" s="200">
        <v>34879</v>
      </c>
      <c r="K63" s="200">
        <v>100411</v>
      </c>
      <c r="L63" s="200">
        <v>11789</v>
      </c>
      <c r="M63" s="200">
        <v>88622</v>
      </c>
      <c r="N63" s="200">
        <v>10812</v>
      </c>
      <c r="O63" s="200">
        <v>670255</v>
      </c>
      <c r="P63" s="200">
        <v>397350</v>
      </c>
      <c r="Q63" s="200">
        <v>13956</v>
      </c>
      <c r="R63" s="200">
        <v>1172441</v>
      </c>
      <c r="S63" s="200">
        <v>432870</v>
      </c>
      <c r="T63" s="200">
        <v>1842697</v>
      </c>
      <c r="U63" s="200">
        <v>726046</v>
      </c>
      <c r="V63" s="200">
        <v>219937</v>
      </c>
      <c r="W63" s="200">
        <v>185149</v>
      </c>
      <c r="X63" s="200">
        <v>98279</v>
      </c>
    </row>
    <row r="64" spans="1:24">
      <c r="C64">
        <v>2018</v>
      </c>
      <c r="D64" s="200">
        <v>2859943</v>
      </c>
      <c r="E64" s="200">
        <v>2445089</v>
      </c>
      <c r="F64" s="200">
        <v>414854</v>
      </c>
      <c r="G64" s="200">
        <v>307105</v>
      </c>
      <c r="H64" s="200">
        <v>107749</v>
      </c>
      <c r="I64" s="200">
        <v>39028</v>
      </c>
      <c r="J64" s="200">
        <v>33430</v>
      </c>
      <c r="K64" s="200">
        <v>113347</v>
      </c>
      <c r="L64" s="200">
        <v>15326</v>
      </c>
      <c r="M64" s="200">
        <v>98021</v>
      </c>
      <c r="N64" s="200">
        <v>23591</v>
      </c>
      <c r="O64" s="200">
        <v>726281</v>
      </c>
      <c r="P64" s="200">
        <v>412550</v>
      </c>
      <c r="Q64" s="200">
        <v>13942</v>
      </c>
      <c r="R64" s="200">
        <v>1319916</v>
      </c>
      <c r="S64" s="200">
        <v>461469</v>
      </c>
      <c r="T64" s="200">
        <v>2046197</v>
      </c>
      <c r="U64" s="200">
        <v>759362</v>
      </c>
      <c r="V64" s="200">
        <v>247227</v>
      </c>
      <c r="W64" s="200">
        <v>221354</v>
      </c>
      <c r="X64" s="200">
        <v>128538</v>
      </c>
    </row>
    <row r="65" spans="1:24">
      <c r="C65">
        <v>2019</v>
      </c>
      <c r="D65" s="200">
        <v>2701113</v>
      </c>
      <c r="E65" s="200">
        <v>2300182</v>
      </c>
      <c r="F65" s="200">
        <v>400931</v>
      </c>
      <c r="G65" s="200">
        <v>311195</v>
      </c>
      <c r="H65" s="200">
        <v>89735</v>
      </c>
      <c r="I65" s="200">
        <v>39393</v>
      </c>
      <c r="J65" s="200">
        <v>30234</v>
      </c>
      <c r="K65" s="200">
        <v>98895</v>
      </c>
      <c r="L65" s="200">
        <v>12915</v>
      </c>
      <c r="M65" s="200">
        <v>85980</v>
      </c>
      <c r="N65" s="200">
        <v>21050</v>
      </c>
      <c r="O65" s="200">
        <v>683072</v>
      </c>
      <c r="P65" s="200">
        <v>364608</v>
      </c>
      <c r="Q65" s="200">
        <v>17118</v>
      </c>
      <c r="R65" s="200">
        <v>1230617</v>
      </c>
      <c r="S65" s="200">
        <v>391567</v>
      </c>
      <c r="T65" s="200">
        <v>1913689</v>
      </c>
      <c r="U65" s="200">
        <v>663956</v>
      </c>
      <c r="V65" s="200">
        <v>208442</v>
      </c>
      <c r="W65" s="200">
        <v>196647</v>
      </c>
      <c r="X65" s="200">
        <v>94522</v>
      </c>
    </row>
    <row r="66" spans="1:24">
      <c r="A66">
        <v>632</v>
      </c>
      <c r="B66" t="s">
        <v>1265</v>
      </c>
      <c r="C66">
        <v>2017</v>
      </c>
      <c r="D66" s="200">
        <v>8385137</v>
      </c>
      <c r="E66" s="200">
        <v>4704469</v>
      </c>
      <c r="F66" s="200">
        <v>3680668</v>
      </c>
      <c r="G66" s="200">
        <v>3135855</v>
      </c>
      <c r="H66" s="200">
        <v>544813</v>
      </c>
      <c r="I66" s="200">
        <v>283775</v>
      </c>
      <c r="J66" s="200">
        <v>269909</v>
      </c>
      <c r="K66" s="200">
        <v>558678</v>
      </c>
      <c r="L66" s="200">
        <v>156726</v>
      </c>
      <c r="M66" s="200">
        <v>399850</v>
      </c>
      <c r="N66" s="200">
        <v>137559</v>
      </c>
      <c r="O66" s="200">
        <v>4425603</v>
      </c>
      <c r="P66" s="200">
        <v>1262651</v>
      </c>
      <c r="Q66" s="200">
        <v>825738</v>
      </c>
      <c r="R66" s="200">
        <v>4773090</v>
      </c>
      <c r="S66" s="200">
        <v>2844810</v>
      </c>
      <c r="T66" s="200">
        <v>9208730</v>
      </c>
      <c r="U66" s="200">
        <v>3768336</v>
      </c>
      <c r="V66" s="200">
        <v>1402547</v>
      </c>
      <c r="W66" s="200">
        <v>210285</v>
      </c>
      <c r="X66" s="200">
        <v>605854</v>
      </c>
    </row>
    <row r="67" spans="1:24">
      <c r="C67">
        <v>2018</v>
      </c>
      <c r="D67" s="200">
        <v>8575299</v>
      </c>
      <c r="E67" s="200">
        <v>4624796</v>
      </c>
      <c r="F67" s="200">
        <v>3950257</v>
      </c>
      <c r="G67" s="200">
        <v>3356231</v>
      </c>
      <c r="H67" s="200">
        <v>594135</v>
      </c>
      <c r="I67" s="200">
        <v>293602</v>
      </c>
      <c r="J67" s="200">
        <v>302818</v>
      </c>
      <c r="K67" s="200">
        <v>584918</v>
      </c>
      <c r="L67" s="200">
        <v>179222</v>
      </c>
      <c r="M67" s="200">
        <v>406437</v>
      </c>
      <c r="N67" s="200">
        <v>191333</v>
      </c>
      <c r="O67" s="200">
        <v>4811260</v>
      </c>
      <c r="P67" s="200">
        <v>1316177</v>
      </c>
      <c r="Q67" s="200">
        <v>977825</v>
      </c>
      <c r="R67" s="200">
        <v>4952087</v>
      </c>
      <c r="S67" s="200">
        <v>2910887</v>
      </c>
      <c r="T67" s="200">
        <v>9841468</v>
      </c>
      <c r="U67" s="200">
        <v>3966792</v>
      </c>
      <c r="V67" s="200">
        <v>1350339</v>
      </c>
      <c r="W67" s="200">
        <v>222553</v>
      </c>
      <c r="X67" s="200">
        <v>589730</v>
      </c>
    </row>
    <row r="68" spans="1:24">
      <c r="C68">
        <v>2019</v>
      </c>
      <c r="D68" s="200">
        <v>10053682</v>
      </c>
      <c r="E68" s="200">
        <v>5382159</v>
      </c>
      <c r="F68" s="200">
        <v>4671105</v>
      </c>
      <c r="G68" s="200">
        <v>3992916</v>
      </c>
      <c r="H68" s="200">
        <v>678519</v>
      </c>
      <c r="I68" s="200">
        <v>343748</v>
      </c>
      <c r="J68" s="200">
        <v>434114</v>
      </c>
      <c r="K68" s="200">
        <v>588153</v>
      </c>
      <c r="L68" s="200">
        <v>201213</v>
      </c>
      <c r="M68" s="200">
        <v>384111</v>
      </c>
      <c r="N68" s="200">
        <v>278766</v>
      </c>
      <c r="O68" s="200">
        <v>6166966</v>
      </c>
      <c r="P68" s="200">
        <v>1798542</v>
      </c>
      <c r="Q68" s="200">
        <v>991444</v>
      </c>
      <c r="R68" s="200">
        <v>5731274</v>
      </c>
      <c r="S68" s="200">
        <v>3617271</v>
      </c>
      <c r="T68" s="200">
        <v>11918312</v>
      </c>
      <c r="U68" s="200">
        <v>4919534</v>
      </c>
      <c r="V68" s="200">
        <v>1565969</v>
      </c>
      <c r="W68" s="200">
        <v>245051</v>
      </c>
      <c r="X68" s="200">
        <v>629855</v>
      </c>
    </row>
    <row r="69" spans="1:24">
      <c r="A69">
        <v>633</v>
      </c>
      <c r="B69" t="s">
        <v>1266</v>
      </c>
      <c r="C69">
        <v>2017</v>
      </c>
      <c r="D69" s="200">
        <v>13261334</v>
      </c>
      <c r="E69" s="200">
        <v>10869190</v>
      </c>
      <c r="F69" s="200">
        <v>2392144</v>
      </c>
      <c r="G69" s="200">
        <v>3140933</v>
      </c>
      <c r="H69" s="200">
        <v>-748789</v>
      </c>
      <c r="I69" s="200">
        <v>647219</v>
      </c>
      <c r="J69" s="200">
        <v>744246</v>
      </c>
      <c r="K69" s="200">
        <v>-845815</v>
      </c>
      <c r="L69" s="200">
        <v>26618</v>
      </c>
      <c r="M69" s="200">
        <v>-873443</v>
      </c>
      <c r="N69" s="200">
        <v>255684</v>
      </c>
      <c r="O69" s="200">
        <v>11374781</v>
      </c>
      <c r="P69" s="200">
        <v>6953546</v>
      </c>
      <c r="Q69" s="200">
        <v>1460882</v>
      </c>
      <c r="R69" s="200">
        <v>7289591</v>
      </c>
      <c r="S69" s="200">
        <v>4862909</v>
      </c>
      <c r="T69" s="200">
        <v>18664370</v>
      </c>
      <c r="U69" s="200">
        <v>6971375</v>
      </c>
      <c r="V69" s="200">
        <v>873420</v>
      </c>
      <c r="W69" s="200">
        <v>887963</v>
      </c>
      <c r="X69" s="200">
        <v>214900</v>
      </c>
    </row>
    <row r="70" spans="1:24">
      <c r="C70">
        <v>2018</v>
      </c>
      <c r="D70" s="200">
        <v>15650766</v>
      </c>
      <c r="E70" s="200">
        <v>13258219</v>
      </c>
      <c r="F70" s="200">
        <v>2392547</v>
      </c>
      <c r="G70" s="200">
        <v>3379321</v>
      </c>
      <c r="H70" s="200">
        <v>-986774</v>
      </c>
      <c r="I70" s="200">
        <v>1100833</v>
      </c>
      <c r="J70" s="200">
        <v>1096332</v>
      </c>
      <c r="K70" s="200">
        <v>-982273</v>
      </c>
      <c r="L70" s="200">
        <v>68273</v>
      </c>
      <c r="M70" s="200">
        <v>-1051246</v>
      </c>
      <c r="N70" s="200">
        <v>257380</v>
      </c>
      <c r="O70" s="200">
        <v>10966076</v>
      </c>
      <c r="P70" s="200">
        <v>6587534</v>
      </c>
      <c r="Q70" s="200">
        <v>1122103</v>
      </c>
      <c r="R70" s="200">
        <v>9013706</v>
      </c>
      <c r="S70" s="200">
        <v>5698459</v>
      </c>
      <c r="T70" s="200">
        <v>19979783</v>
      </c>
      <c r="U70" s="200">
        <v>8191755</v>
      </c>
      <c r="V70" s="200">
        <v>935882</v>
      </c>
      <c r="W70" s="200">
        <v>1402894</v>
      </c>
      <c r="X70" s="200">
        <v>229334</v>
      </c>
    </row>
    <row r="71" spans="1:24">
      <c r="C71">
        <v>2019</v>
      </c>
      <c r="D71" s="200">
        <v>17585711</v>
      </c>
      <c r="E71" s="200">
        <v>13910819</v>
      </c>
      <c r="F71" s="200">
        <v>3674892</v>
      </c>
      <c r="G71" s="200">
        <v>4839423</v>
      </c>
      <c r="H71" s="200">
        <v>-1164531</v>
      </c>
      <c r="I71" s="200">
        <v>1268430</v>
      </c>
      <c r="J71" s="200">
        <v>1898982</v>
      </c>
      <c r="K71" s="200">
        <v>-1795083</v>
      </c>
      <c r="L71" s="200">
        <v>-230048</v>
      </c>
      <c r="M71" s="200">
        <v>-1565151</v>
      </c>
      <c r="N71" s="200">
        <v>332207</v>
      </c>
      <c r="O71" s="200">
        <v>14895915</v>
      </c>
      <c r="P71" s="200">
        <v>9563855</v>
      </c>
      <c r="Q71" s="200">
        <v>1205260</v>
      </c>
      <c r="R71" s="200">
        <v>11714980</v>
      </c>
      <c r="S71" s="200">
        <v>8826808</v>
      </c>
      <c r="T71" s="200">
        <v>26610896</v>
      </c>
      <c r="U71" s="200">
        <v>11918192</v>
      </c>
      <c r="V71" s="200">
        <v>1375801</v>
      </c>
      <c r="W71" s="200">
        <v>1943859</v>
      </c>
      <c r="X71" s="200">
        <v>405127</v>
      </c>
    </row>
    <row r="72" spans="1:24">
      <c r="A72">
        <v>634</v>
      </c>
      <c r="B72" t="s">
        <v>1267</v>
      </c>
      <c r="C72">
        <v>2017</v>
      </c>
      <c r="D72" s="200">
        <v>5866957</v>
      </c>
      <c r="E72" s="200">
        <v>2111775</v>
      </c>
      <c r="F72" s="200">
        <v>3755182</v>
      </c>
      <c r="G72" s="200">
        <v>3384913</v>
      </c>
      <c r="H72" s="200">
        <v>370269</v>
      </c>
      <c r="I72" s="200">
        <v>157705</v>
      </c>
      <c r="J72" s="200">
        <v>135092</v>
      </c>
      <c r="K72" s="200">
        <v>392882</v>
      </c>
      <c r="L72" s="200">
        <v>73692</v>
      </c>
      <c r="M72" s="200">
        <v>308730</v>
      </c>
      <c r="N72" s="200">
        <v>205885</v>
      </c>
      <c r="O72" s="200">
        <v>4386627</v>
      </c>
      <c r="P72" s="200">
        <v>3372787</v>
      </c>
      <c r="Q72" s="200">
        <v>191677</v>
      </c>
      <c r="R72" s="200">
        <v>2663412</v>
      </c>
      <c r="S72" s="200">
        <v>1611876</v>
      </c>
      <c r="T72" s="200">
        <v>7050039</v>
      </c>
      <c r="U72" s="200">
        <v>2844259</v>
      </c>
      <c r="V72" s="200">
        <v>764326</v>
      </c>
      <c r="W72" s="200">
        <v>66197</v>
      </c>
      <c r="X72" s="200">
        <v>75933</v>
      </c>
    </row>
    <row r="73" spans="1:24">
      <c r="C73">
        <v>2018</v>
      </c>
      <c r="D73" s="200">
        <v>5986134</v>
      </c>
      <c r="E73" s="200">
        <v>2187484</v>
      </c>
      <c r="F73" s="200">
        <v>3798650</v>
      </c>
      <c r="G73" s="200">
        <v>3441172</v>
      </c>
      <c r="H73" s="200">
        <v>357479</v>
      </c>
      <c r="I73" s="200">
        <v>264865</v>
      </c>
      <c r="J73" s="200">
        <v>218558</v>
      </c>
      <c r="K73" s="200">
        <v>403786</v>
      </c>
      <c r="L73" s="200">
        <v>78046</v>
      </c>
      <c r="M73" s="200">
        <v>325067</v>
      </c>
      <c r="N73" s="200">
        <v>257129</v>
      </c>
      <c r="O73" s="200">
        <v>4836196</v>
      </c>
      <c r="P73" s="200">
        <v>3520750</v>
      </c>
      <c r="Q73" s="200">
        <v>194467</v>
      </c>
      <c r="R73" s="200">
        <v>2811390</v>
      </c>
      <c r="S73" s="200">
        <v>1671188</v>
      </c>
      <c r="T73" s="200">
        <v>7647586</v>
      </c>
      <c r="U73" s="200">
        <v>3284609</v>
      </c>
      <c r="V73" s="200">
        <v>701202</v>
      </c>
      <c r="W73" s="200">
        <v>94118</v>
      </c>
      <c r="X73" s="200">
        <v>106522</v>
      </c>
    </row>
    <row r="74" spans="1:24">
      <c r="C74">
        <v>2019</v>
      </c>
      <c r="D74" s="200">
        <v>8352909</v>
      </c>
      <c r="E74" s="200">
        <v>3258140</v>
      </c>
      <c r="F74" s="200">
        <v>5094769</v>
      </c>
      <c r="G74" s="200">
        <v>4486676</v>
      </c>
      <c r="H74" s="200">
        <v>608093</v>
      </c>
      <c r="I74" s="200">
        <v>255577</v>
      </c>
      <c r="J74" s="200">
        <v>247953</v>
      </c>
      <c r="K74" s="200">
        <v>615717</v>
      </c>
      <c r="L74" s="200">
        <v>104478</v>
      </c>
      <c r="M74" s="200">
        <v>511239</v>
      </c>
      <c r="N74" s="200">
        <v>339328</v>
      </c>
      <c r="O74" s="200">
        <v>6125546</v>
      </c>
      <c r="P74" s="200">
        <v>4753713</v>
      </c>
      <c r="Q74" s="200">
        <v>211037</v>
      </c>
      <c r="R74" s="200">
        <v>3788730</v>
      </c>
      <c r="S74" s="200">
        <v>2287172</v>
      </c>
      <c r="T74" s="200">
        <v>9914277</v>
      </c>
      <c r="U74" s="200">
        <v>4475406</v>
      </c>
      <c r="V74" s="200">
        <v>922841</v>
      </c>
      <c r="W74" s="200">
        <v>110845</v>
      </c>
      <c r="X74" s="200">
        <v>133415</v>
      </c>
    </row>
    <row r="75" spans="1:24">
      <c r="A75">
        <v>635</v>
      </c>
      <c r="B75" t="s">
        <v>1268</v>
      </c>
      <c r="C75">
        <v>2017</v>
      </c>
      <c r="D75" s="200">
        <v>10070046</v>
      </c>
      <c r="E75" s="200">
        <v>7636269</v>
      </c>
      <c r="F75" s="200">
        <v>2433777</v>
      </c>
      <c r="G75" s="200">
        <v>1995675</v>
      </c>
      <c r="H75" s="200">
        <v>438103</v>
      </c>
      <c r="I75" s="200">
        <v>396182</v>
      </c>
      <c r="J75" s="200">
        <v>406475</v>
      </c>
      <c r="K75" s="200">
        <v>427810</v>
      </c>
      <c r="L75" s="200">
        <v>102188</v>
      </c>
      <c r="M75" s="200">
        <v>325622</v>
      </c>
      <c r="N75" s="200">
        <v>78242</v>
      </c>
      <c r="O75" s="200">
        <v>3333396</v>
      </c>
      <c r="P75" s="200">
        <v>1356124</v>
      </c>
      <c r="Q75" s="200">
        <v>386463</v>
      </c>
      <c r="R75" s="200">
        <v>5505705</v>
      </c>
      <c r="S75" s="200">
        <v>3466401</v>
      </c>
      <c r="T75" s="200">
        <v>8839102</v>
      </c>
      <c r="U75" s="200">
        <v>4626275</v>
      </c>
      <c r="V75" s="200">
        <v>2116877</v>
      </c>
      <c r="W75" s="200">
        <v>250402</v>
      </c>
      <c r="X75" s="200">
        <v>1095444</v>
      </c>
    </row>
    <row r="76" spans="1:24">
      <c r="C76">
        <v>2018</v>
      </c>
      <c r="D76" s="200">
        <v>9481578</v>
      </c>
      <c r="E76" s="200">
        <v>7079386</v>
      </c>
      <c r="F76" s="200">
        <v>2402192</v>
      </c>
      <c r="G76" s="200">
        <v>1995581</v>
      </c>
      <c r="H76" s="200">
        <v>406610</v>
      </c>
      <c r="I76" s="200">
        <v>378439</v>
      </c>
      <c r="J76" s="200">
        <v>341462</v>
      </c>
      <c r="K76" s="200">
        <v>443588</v>
      </c>
      <c r="L76" s="200">
        <v>166063</v>
      </c>
      <c r="M76" s="200">
        <v>277525</v>
      </c>
      <c r="N76" s="200">
        <v>99705</v>
      </c>
      <c r="O76" s="200">
        <v>3679172</v>
      </c>
      <c r="P76" s="200">
        <v>1312204</v>
      </c>
      <c r="Q76" s="200">
        <v>382859</v>
      </c>
      <c r="R76" s="200">
        <v>5063676</v>
      </c>
      <c r="S76" s="200">
        <v>3140048</v>
      </c>
      <c r="T76" s="200">
        <v>8742848</v>
      </c>
      <c r="U76" s="200">
        <v>4182120</v>
      </c>
      <c r="V76" s="200">
        <v>1550588</v>
      </c>
      <c r="W76" s="200">
        <v>227813</v>
      </c>
      <c r="X76" s="200">
        <v>687757</v>
      </c>
    </row>
    <row r="77" spans="1:24">
      <c r="C77">
        <v>2019</v>
      </c>
      <c r="D77" s="200">
        <v>9380216</v>
      </c>
      <c r="E77" s="200">
        <v>6720115</v>
      </c>
      <c r="F77" s="200">
        <v>2660101</v>
      </c>
      <c r="G77" s="200">
        <v>2156017</v>
      </c>
      <c r="H77" s="200">
        <v>504084</v>
      </c>
      <c r="I77" s="200">
        <v>324013</v>
      </c>
      <c r="J77" s="200">
        <v>331169</v>
      </c>
      <c r="K77" s="200">
        <v>496928</v>
      </c>
      <c r="L77" s="200">
        <v>111174</v>
      </c>
      <c r="M77" s="200">
        <v>471657</v>
      </c>
      <c r="N77" s="200">
        <v>91091</v>
      </c>
      <c r="O77" s="200">
        <v>3446518</v>
      </c>
      <c r="P77" s="200">
        <v>1451120</v>
      </c>
      <c r="Q77" s="200">
        <v>374757</v>
      </c>
      <c r="R77" s="200">
        <v>5373697</v>
      </c>
      <c r="S77" s="200">
        <v>3178199</v>
      </c>
      <c r="T77" s="200">
        <v>8820215</v>
      </c>
      <c r="U77" s="200">
        <v>4104801</v>
      </c>
      <c r="V77" s="200">
        <v>1524686</v>
      </c>
      <c r="W77" s="200">
        <v>231382</v>
      </c>
      <c r="X77" s="200">
        <v>722364</v>
      </c>
    </row>
    <row r="78" spans="1:24">
      <c r="A78">
        <v>636</v>
      </c>
      <c r="B78" t="s">
        <v>1269</v>
      </c>
      <c r="C78">
        <v>2017</v>
      </c>
      <c r="D78" s="200">
        <v>890144</v>
      </c>
      <c r="E78" s="200">
        <v>182934</v>
      </c>
      <c r="F78" s="200">
        <v>707211</v>
      </c>
      <c r="G78" s="200">
        <v>610589</v>
      </c>
      <c r="H78" s="200">
        <v>96622</v>
      </c>
      <c r="I78" s="200">
        <v>6336</v>
      </c>
      <c r="J78" s="200">
        <v>17441</v>
      </c>
      <c r="K78" s="200">
        <v>85518</v>
      </c>
      <c r="L78" s="200">
        <v>3911</v>
      </c>
      <c r="M78" s="200">
        <v>81606</v>
      </c>
      <c r="N78" s="200">
        <v>49486</v>
      </c>
      <c r="O78" s="200">
        <v>1148561</v>
      </c>
      <c r="P78" s="200">
        <v>1079242</v>
      </c>
      <c r="Q78">
        <v>62</v>
      </c>
      <c r="R78" s="200">
        <v>249257</v>
      </c>
      <c r="S78" s="200">
        <v>212622</v>
      </c>
      <c r="T78" s="200">
        <v>1397818</v>
      </c>
      <c r="U78" s="200">
        <v>1074559</v>
      </c>
      <c r="V78" s="200">
        <v>22266</v>
      </c>
      <c r="W78" s="200">
        <v>23117</v>
      </c>
      <c r="X78" s="200">
        <v>8198</v>
      </c>
    </row>
    <row r="79" spans="1:24">
      <c r="C79">
        <v>2018</v>
      </c>
      <c r="D79" s="200">
        <v>1254112</v>
      </c>
      <c r="E79" s="200">
        <v>261148</v>
      </c>
      <c r="F79" s="200">
        <v>992964</v>
      </c>
      <c r="G79" s="200">
        <v>876373</v>
      </c>
      <c r="H79" s="200">
        <v>116591</v>
      </c>
      <c r="I79" s="200">
        <v>40645</v>
      </c>
      <c r="J79" s="200">
        <v>42099</v>
      </c>
      <c r="K79" s="200">
        <v>115137</v>
      </c>
      <c r="L79">
        <v>556</v>
      </c>
      <c r="M79" s="200">
        <v>114582</v>
      </c>
      <c r="N79" s="200">
        <v>46254</v>
      </c>
      <c r="O79" s="200">
        <v>1141595</v>
      </c>
      <c r="P79" s="200">
        <v>1013305</v>
      </c>
      <c r="Q79">
        <v>135</v>
      </c>
      <c r="R79" s="200">
        <v>325103</v>
      </c>
      <c r="S79" s="200">
        <v>365835</v>
      </c>
      <c r="T79" s="200">
        <v>1466698</v>
      </c>
      <c r="U79" s="200">
        <v>1118143</v>
      </c>
      <c r="V79" s="200">
        <v>11736</v>
      </c>
      <c r="W79" s="200">
        <v>81920</v>
      </c>
      <c r="X79" s="200">
        <v>14339</v>
      </c>
    </row>
    <row r="80" spans="1:24">
      <c r="C80">
        <v>2019</v>
      </c>
      <c r="D80" s="200">
        <v>1504085</v>
      </c>
      <c r="E80" s="200">
        <v>297466</v>
      </c>
      <c r="F80" s="200">
        <v>1206618</v>
      </c>
      <c r="G80" s="200">
        <v>1025552</v>
      </c>
      <c r="H80" s="200">
        <v>181067</v>
      </c>
      <c r="I80" s="200">
        <v>30862</v>
      </c>
      <c r="J80" s="200">
        <v>31141</v>
      </c>
      <c r="K80" s="200">
        <v>180787</v>
      </c>
      <c r="L80" s="200">
        <v>4980</v>
      </c>
      <c r="M80" s="200">
        <v>175808</v>
      </c>
      <c r="N80" s="200">
        <v>59635</v>
      </c>
      <c r="O80" s="200">
        <v>983836</v>
      </c>
      <c r="P80" s="200">
        <v>869729</v>
      </c>
      <c r="Q80">
        <v>319</v>
      </c>
      <c r="R80" s="200">
        <v>397733</v>
      </c>
      <c r="S80" s="200">
        <v>272550</v>
      </c>
      <c r="T80" s="200">
        <v>1381568</v>
      </c>
      <c r="U80" s="200">
        <v>930899</v>
      </c>
      <c r="V80" s="200">
        <v>16568</v>
      </c>
      <c r="W80" s="200">
        <v>66314</v>
      </c>
      <c r="X80" s="200">
        <v>30309</v>
      </c>
    </row>
    <row r="81" spans="1:24">
      <c r="A81">
        <v>637</v>
      </c>
      <c r="B81" t="s">
        <v>1270</v>
      </c>
      <c r="C81">
        <v>2017</v>
      </c>
      <c r="D81" s="200">
        <v>5968791</v>
      </c>
      <c r="E81" s="200">
        <v>4189373</v>
      </c>
      <c r="F81" s="200">
        <v>1779418</v>
      </c>
      <c r="G81" s="200">
        <v>1278830</v>
      </c>
      <c r="H81" s="200">
        <v>500588</v>
      </c>
      <c r="I81" s="200">
        <v>122373</v>
      </c>
      <c r="J81" s="200">
        <v>216857</v>
      </c>
      <c r="K81" s="200">
        <v>406104</v>
      </c>
      <c r="L81" s="200">
        <v>80406</v>
      </c>
      <c r="M81" s="200">
        <v>333225</v>
      </c>
      <c r="N81" s="200">
        <v>70438</v>
      </c>
      <c r="O81" s="200">
        <v>5567233</v>
      </c>
      <c r="P81" s="200">
        <v>3156943</v>
      </c>
      <c r="Q81" s="200">
        <v>410898</v>
      </c>
      <c r="R81" s="200">
        <v>2406702</v>
      </c>
      <c r="S81" s="200">
        <v>1814329</v>
      </c>
      <c r="T81" s="200">
        <v>7973936</v>
      </c>
      <c r="U81" s="200">
        <v>4672517</v>
      </c>
      <c r="V81" s="200">
        <v>587568</v>
      </c>
      <c r="W81" s="200">
        <v>232075</v>
      </c>
      <c r="X81" s="200">
        <v>189188</v>
      </c>
    </row>
    <row r="82" spans="1:24">
      <c r="C82">
        <v>2018</v>
      </c>
      <c r="D82" s="200">
        <v>6392063</v>
      </c>
      <c r="E82" s="200">
        <v>4440177</v>
      </c>
      <c r="F82" s="200">
        <v>1951886</v>
      </c>
      <c r="G82" s="200">
        <v>1360237</v>
      </c>
      <c r="H82" s="200">
        <v>591649</v>
      </c>
      <c r="I82" s="200">
        <v>183471</v>
      </c>
      <c r="J82" s="200">
        <v>261366</v>
      </c>
      <c r="K82" s="200">
        <v>513754</v>
      </c>
      <c r="L82" s="200">
        <v>104118</v>
      </c>
      <c r="M82" s="200">
        <v>408946</v>
      </c>
      <c r="N82" s="200">
        <v>155271</v>
      </c>
      <c r="O82" s="200">
        <v>5675484</v>
      </c>
      <c r="P82" s="200">
        <v>3279425</v>
      </c>
      <c r="Q82" s="200">
        <v>326535</v>
      </c>
      <c r="R82" s="200">
        <v>2580333</v>
      </c>
      <c r="S82" s="200">
        <v>1848380</v>
      </c>
      <c r="T82" s="200">
        <v>8255817</v>
      </c>
      <c r="U82" s="200">
        <v>4513571</v>
      </c>
      <c r="V82" s="200">
        <v>558636</v>
      </c>
      <c r="W82" s="200">
        <v>216160</v>
      </c>
      <c r="X82" s="200">
        <v>165152</v>
      </c>
    </row>
    <row r="83" spans="1:24">
      <c r="C83">
        <v>2019</v>
      </c>
      <c r="D83" s="200">
        <v>6619491</v>
      </c>
      <c r="E83" s="200">
        <v>4555877</v>
      </c>
      <c r="F83" s="200">
        <v>2063613</v>
      </c>
      <c r="G83" s="200">
        <v>1436497</v>
      </c>
      <c r="H83" s="200">
        <v>627116</v>
      </c>
      <c r="I83" s="200">
        <v>237431</v>
      </c>
      <c r="J83" s="200">
        <v>279626</v>
      </c>
      <c r="K83" s="200">
        <v>584921</v>
      </c>
      <c r="L83" s="200">
        <v>134697</v>
      </c>
      <c r="M83" s="200">
        <v>447522</v>
      </c>
      <c r="N83" s="200">
        <v>181267</v>
      </c>
      <c r="O83" s="200">
        <v>7647423</v>
      </c>
      <c r="P83" s="200">
        <v>4470737</v>
      </c>
      <c r="Q83" s="200">
        <v>558709</v>
      </c>
      <c r="R83" s="200">
        <v>3033498</v>
      </c>
      <c r="S83" s="200">
        <v>2141282</v>
      </c>
      <c r="T83" s="200">
        <v>10680921</v>
      </c>
      <c r="U83" s="200">
        <v>6195152</v>
      </c>
      <c r="V83" s="200">
        <v>596995</v>
      </c>
      <c r="W83" s="200">
        <v>260656</v>
      </c>
      <c r="X83" s="200">
        <v>174664</v>
      </c>
    </row>
    <row r="84" spans="1:24">
      <c r="A84">
        <v>639</v>
      </c>
      <c r="B84" t="s">
        <v>1271</v>
      </c>
      <c r="C84">
        <v>2017</v>
      </c>
      <c r="D84" s="200">
        <v>4912482</v>
      </c>
      <c r="E84" s="200">
        <v>3996560</v>
      </c>
      <c r="F84" s="200">
        <v>915921</v>
      </c>
      <c r="G84" s="200">
        <v>707849</v>
      </c>
      <c r="H84" s="200">
        <v>208072</v>
      </c>
      <c r="I84" s="200">
        <v>60577</v>
      </c>
      <c r="J84" s="200">
        <v>64037</v>
      </c>
      <c r="K84" s="200">
        <v>204612</v>
      </c>
      <c r="L84" s="200">
        <v>36084</v>
      </c>
      <c r="M84" s="200">
        <v>168528</v>
      </c>
      <c r="N84" s="200">
        <v>20520</v>
      </c>
      <c r="O84" s="200">
        <v>856888</v>
      </c>
      <c r="P84" s="200">
        <v>370373</v>
      </c>
      <c r="Q84" s="200">
        <v>83621</v>
      </c>
      <c r="R84" s="200">
        <v>1839927</v>
      </c>
      <c r="S84" s="200">
        <v>869309</v>
      </c>
      <c r="T84" s="200">
        <v>2696815</v>
      </c>
      <c r="U84" s="200">
        <v>1267904</v>
      </c>
      <c r="V84" s="200">
        <v>424196</v>
      </c>
      <c r="W84" s="200">
        <v>208579</v>
      </c>
      <c r="X84" s="200">
        <v>329074</v>
      </c>
    </row>
    <row r="85" spans="1:24">
      <c r="C85">
        <v>2018</v>
      </c>
      <c r="D85" s="200">
        <v>4952360</v>
      </c>
      <c r="E85" s="200">
        <v>3982851</v>
      </c>
      <c r="F85" s="200">
        <v>969509</v>
      </c>
      <c r="G85" s="200">
        <v>769936</v>
      </c>
      <c r="H85" s="200">
        <v>199573</v>
      </c>
      <c r="I85" s="200">
        <v>50036</v>
      </c>
      <c r="J85" s="200">
        <v>53132</v>
      </c>
      <c r="K85" s="200">
        <v>196478</v>
      </c>
      <c r="L85" s="200">
        <v>33519</v>
      </c>
      <c r="M85" s="200">
        <v>162959</v>
      </c>
      <c r="N85" s="200">
        <v>28989</v>
      </c>
      <c r="O85" s="200">
        <v>900185</v>
      </c>
      <c r="P85" s="200">
        <v>415083</v>
      </c>
      <c r="Q85" s="200">
        <v>84872</v>
      </c>
      <c r="R85" s="200">
        <v>1861510</v>
      </c>
      <c r="S85" s="200">
        <v>847898</v>
      </c>
      <c r="T85" s="200">
        <v>2761695</v>
      </c>
      <c r="U85" s="200">
        <v>1220307</v>
      </c>
      <c r="V85" s="200">
        <v>380569</v>
      </c>
      <c r="W85" s="200">
        <v>220290</v>
      </c>
      <c r="X85" s="200">
        <v>298129</v>
      </c>
    </row>
    <row r="86" spans="1:24">
      <c r="C86">
        <v>2019</v>
      </c>
      <c r="D86" s="200">
        <v>5171163</v>
      </c>
      <c r="E86" s="200">
        <v>4072286</v>
      </c>
      <c r="F86" s="200">
        <v>1098877</v>
      </c>
      <c r="G86" s="200">
        <v>859926</v>
      </c>
      <c r="H86" s="200">
        <v>238951</v>
      </c>
      <c r="I86" s="200">
        <v>59642</v>
      </c>
      <c r="J86" s="200">
        <v>69202</v>
      </c>
      <c r="K86" s="200">
        <v>229391</v>
      </c>
      <c r="L86" s="200">
        <v>41741</v>
      </c>
      <c r="M86" s="200">
        <v>187932</v>
      </c>
      <c r="N86" s="200">
        <v>41055</v>
      </c>
      <c r="O86" s="200">
        <v>1001032</v>
      </c>
      <c r="P86" s="200">
        <v>475630</v>
      </c>
      <c r="Q86" s="200">
        <v>81206</v>
      </c>
      <c r="R86" s="200">
        <v>2138830</v>
      </c>
      <c r="S86" s="200">
        <v>1034960</v>
      </c>
      <c r="T86" s="200">
        <v>3139862</v>
      </c>
      <c r="U86" s="200">
        <v>1447210</v>
      </c>
      <c r="V86" s="200">
        <v>437442</v>
      </c>
      <c r="W86" s="200">
        <v>201761</v>
      </c>
      <c r="X86" s="200">
        <v>351057</v>
      </c>
    </row>
  </sheetData>
  <phoneticPr fontId="1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tabColor theme="1"/>
  </sheetPr>
  <dimension ref="A1:X131"/>
  <sheetViews>
    <sheetView workbookViewId="0">
      <selection activeCell="H10" sqref="H10"/>
    </sheetView>
  </sheetViews>
  <sheetFormatPr defaultRowHeight="13.5"/>
  <sheetData>
    <row r="1" spans="1:24">
      <c r="A1" s="1401" t="s">
        <v>2479</v>
      </c>
      <c r="B1" s="1401" t="s">
        <v>2480</v>
      </c>
      <c r="C1" s="1405" t="s">
        <v>2481</v>
      </c>
      <c r="D1" s="1401" t="s">
        <v>2482</v>
      </c>
      <c r="E1" s="1401"/>
      <c r="F1" s="1401"/>
      <c r="G1" s="1401"/>
      <c r="H1" s="1401"/>
      <c r="I1" s="1401"/>
      <c r="J1" s="1401"/>
      <c r="K1" s="1401"/>
      <c r="L1" s="1401"/>
      <c r="M1" s="1401"/>
      <c r="N1" s="1401"/>
      <c r="O1" s="1401" t="s">
        <v>2483</v>
      </c>
      <c r="P1" s="1401"/>
      <c r="Q1" s="1401"/>
      <c r="R1" s="1401"/>
      <c r="S1" s="1401"/>
      <c r="T1" s="1401"/>
      <c r="U1" s="1401"/>
      <c r="V1" s="1401"/>
      <c r="W1" s="1401"/>
      <c r="X1" s="1401"/>
    </row>
    <row r="2" spans="1:24">
      <c r="A2" s="1401"/>
      <c r="B2" s="1401"/>
      <c r="C2" s="1406"/>
      <c r="D2" s="197" t="s">
        <v>2484</v>
      </c>
      <c r="E2" s="197" t="s">
        <v>2485</v>
      </c>
      <c r="F2" s="197" t="s">
        <v>2486</v>
      </c>
      <c r="G2" s="197" t="s">
        <v>2487</v>
      </c>
      <c r="H2" s="197" t="s">
        <v>2488</v>
      </c>
      <c r="I2" s="197" t="s">
        <v>2489</v>
      </c>
      <c r="J2" s="197" t="s">
        <v>2490</v>
      </c>
      <c r="K2" s="197" t="s">
        <v>2491</v>
      </c>
      <c r="L2" s="197" t="s">
        <v>2492</v>
      </c>
      <c r="M2" s="197" t="s">
        <v>2493</v>
      </c>
      <c r="N2" s="197" t="s">
        <v>2494</v>
      </c>
      <c r="O2" s="197" t="s">
        <v>2495</v>
      </c>
      <c r="P2" s="197" t="s">
        <v>2496</v>
      </c>
      <c r="Q2" s="197" t="s">
        <v>2497</v>
      </c>
      <c r="R2" s="197" t="s">
        <v>2498</v>
      </c>
      <c r="S2" s="197" t="s">
        <v>2499</v>
      </c>
      <c r="T2" s="197" t="s">
        <v>2500</v>
      </c>
      <c r="U2" s="197" t="s">
        <v>2501</v>
      </c>
      <c r="V2" s="197" t="s">
        <v>2502</v>
      </c>
      <c r="W2" s="197" t="s">
        <v>2503</v>
      </c>
      <c r="X2" s="197" t="s">
        <v>2504</v>
      </c>
    </row>
    <row r="3" spans="1:24">
      <c r="A3" s="1402">
        <v>71</v>
      </c>
      <c r="B3" s="1402" t="s">
        <v>2355</v>
      </c>
      <c r="C3" s="198">
        <v>2017</v>
      </c>
      <c r="D3" s="199">
        <v>12313315.5957285</v>
      </c>
      <c r="E3" s="199">
        <v>10881749.641495001</v>
      </c>
      <c r="F3" s="199">
        <v>1431565.79099924</v>
      </c>
      <c r="G3" s="199">
        <v>1063604.2639206699</v>
      </c>
      <c r="H3" s="199">
        <v>367961.52860411903</v>
      </c>
      <c r="I3" s="199">
        <v>148124.16552250201</v>
      </c>
      <c r="J3" s="199">
        <v>155018.307398932</v>
      </c>
      <c r="K3" s="199">
        <v>361067.38672768901</v>
      </c>
      <c r="L3" s="199">
        <v>64826.273073989301</v>
      </c>
      <c r="M3" s="199">
        <v>299380.48283752898</v>
      </c>
      <c r="N3" s="199">
        <v>38897.2097635393</v>
      </c>
      <c r="O3" s="199">
        <v>3594772.7246376802</v>
      </c>
      <c r="P3" s="199">
        <v>2807015.3104500398</v>
      </c>
      <c r="Q3" s="199">
        <v>61942.723874904703</v>
      </c>
      <c r="R3" s="199">
        <v>2871600.7429443202</v>
      </c>
      <c r="S3" s="199">
        <v>2238312.6819222001</v>
      </c>
      <c r="T3" s="199">
        <v>6466373.4622425605</v>
      </c>
      <c r="U3" s="199">
        <v>3797715.16475973</v>
      </c>
      <c r="V3" s="199">
        <v>1129457.42639207</v>
      </c>
      <c r="W3" s="199">
        <v>764302.32875667396</v>
      </c>
      <c r="X3" s="199">
        <v>422899.20900076302</v>
      </c>
    </row>
    <row r="4" spans="1:24">
      <c r="A4" s="1403"/>
      <c r="B4" s="1403"/>
      <c r="C4" s="198">
        <v>2018</v>
      </c>
      <c r="D4" s="199">
        <v>12888510.170014299</v>
      </c>
      <c r="E4" s="199">
        <v>11164937.408895301</v>
      </c>
      <c r="F4" s="199">
        <v>1426340.2015781901</v>
      </c>
      <c r="G4" s="199">
        <v>1131635.08536585</v>
      </c>
      <c r="H4" s="199">
        <v>365881.703730273</v>
      </c>
      <c r="I4" s="199">
        <v>106528.393113343</v>
      </c>
      <c r="J4" s="199">
        <v>165638.75896700099</v>
      </c>
      <c r="K4" s="199">
        <v>306771.33787661401</v>
      </c>
      <c r="L4" s="199">
        <v>54223.571736011501</v>
      </c>
      <c r="M4" s="199">
        <v>252547.77833572499</v>
      </c>
      <c r="N4" s="199">
        <v>121422.61262553799</v>
      </c>
      <c r="O4" s="199">
        <v>3779469.5078909602</v>
      </c>
      <c r="P4" s="199">
        <v>2996392.4289813498</v>
      </c>
      <c r="Q4" s="199">
        <v>57144.055236728796</v>
      </c>
      <c r="R4" s="199">
        <v>3233067.12123386</v>
      </c>
      <c r="S4" s="199">
        <v>2425380.9139167899</v>
      </c>
      <c r="T4" s="199">
        <v>8590490.7704447601</v>
      </c>
      <c r="U4" s="199">
        <v>5641977.2711621197</v>
      </c>
      <c r="V4" s="199">
        <v>1164111.45839311</v>
      </c>
      <c r="W4" s="199">
        <v>924170.45480631304</v>
      </c>
      <c r="X4" s="199">
        <v>460855.64849354402</v>
      </c>
    </row>
    <row r="5" spans="1:24">
      <c r="A5" s="1404"/>
      <c r="B5" s="1404"/>
      <c r="C5" s="198">
        <v>2019</v>
      </c>
      <c r="D5" s="199">
        <v>13671443.351199999</v>
      </c>
      <c r="E5" s="199">
        <v>12233191.294399999</v>
      </c>
      <c r="F5" s="199">
        <v>1438252.1447999999</v>
      </c>
      <c r="G5" s="199">
        <v>1237475.6416</v>
      </c>
      <c r="H5" s="199">
        <v>200776.47039999999</v>
      </c>
      <c r="I5" s="199">
        <v>117572.2648</v>
      </c>
      <c r="J5" s="199">
        <v>200283.70800000001</v>
      </c>
      <c r="K5" s="199">
        <v>118065.0272</v>
      </c>
      <c r="L5" s="199">
        <v>32640.6744</v>
      </c>
      <c r="M5" s="199">
        <v>85424.343200000003</v>
      </c>
      <c r="N5" s="199">
        <v>125549.65119999999</v>
      </c>
      <c r="O5" s="199">
        <v>4373760.852</v>
      </c>
      <c r="P5" s="199">
        <v>3455414.5288</v>
      </c>
      <c r="Q5" s="199">
        <v>52756.343200000003</v>
      </c>
      <c r="R5" s="199">
        <v>3551222.3160000001</v>
      </c>
      <c r="S5" s="199">
        <v>2876624.3487999998</v>
      </c>
      <c r="T5" s="199">
        <v>7924983.2847999996</v>
      </c>
      <c r="U5" s="199">
        <v>4845869.1648000004</v>
      </c>
      <c r="V5" s="199">
        <v>1251835.7744</v>
      </c>
      <c r="W5" s="199">
        <v>1131809.2768000001</v>
      </c>
      <c r="X5" s="199">
        <v>532341.03839999996</v>
      </c>
    </row>
    <row r="6" spans="1:24">
      <c r="A6" s="1402">
        <v>72</v>
      </c>
      <c r="B6" s="1402" t="s">
        <v>2505</v>
      </c>
      <c r="C6" s="198">
        <v>2017</v>
      </c>
      <c r="D6" s="199">
        <v>10155624.7900552</v>
      </c>
      <c r="E6" s="199">
        <v>8302605.2693370199</v>
      </c>
      <c r="F6" s="199">
        <v>1853019.84392265</v>
      </c>
      <c r="G6" s="199">
        <v>1454221.5925414399</v>
      </c>
      <c r="H6" s="199">
        <v>398798.22513812198</v>
      </c>
      <c r="I6" s="199">
        <v>148393.39917127101</v>
      </c>
      <c r="J6" s="199">
        <v>192757.61464088401</v>
      </c>
      <c r="K6" s="199">
        <v>354434.00966850802</v>
      </c>
      <c r="L6" s="199">
        <v>66615.171270718201</v>
      </c>
      <c r="M6" s="199">
        <v>287818.78591160203</v>
      </c>
      <c r="N6" s="199">
        <v>35524.088397790103</v>
      </c>
      <c r="O6" s="199">
        <v>4112143.5055248602</v>
      </c>
      <c r="P6" s="199">
        <v>2784374.7541436502</v>
      </c>
      <c r="Q6" s="199">
        <v>58428.625690607703</v>
      </c>
      <c r="R6" s="199">
        <v>3464456.9254143601</v>
      </c>
      <c r="S6" s="199">
        <v>2488024.8908839799</v>
      </c>
      <c r="T6" s="199">
        <v>7577423.3991712704</v>
      </c>
      <c r="U6" s="199">
        <v>4399367.5676795598</v>
      </c>
      <c r="V6" s="199">
        <v>1055039.54972376</v>
      </c>
      <c r="W6" s="199">
        <v>1485393.5649171299</v>
      </c>
      <c r="X6" s="199">
        <v>624459.67403314903</v>
      </c>
    </row>
    <row r="7" spans="1:24">
      <c r="A7" s="1403"/>
      <c r="B7" s="1403"/>
      <c r="C7" s="198">
        <v>2018</v>
      </c>
      <c r="D7" s="199">
        <v>8902486.0195227806</v>
      </c>
      <c r="E7" s="199">
        <v>7367788.4967462001</v>
      </c>
      <c r="F7" s="199">
        <v>1534696.6442516299</v>
      </c>
      <c r="G7" s="199">
        <v>1165385.1464208199</v>
      </c>
      <c r="H7" s="199">
        <v>369311.52169197402</v>
      </c>
      <c r="I7" s="199">
        <v>100587.063991323</v>
      </c>
      <c r="J7" s="199">
        <v>169298.75813449</v>
      </c>
      <c r="K7" s="199">
        <v>300599.82754880702</v>
      </c>
      <c r="L7" s="199">
        <v>52180.5401301518</v>
      </c>
      <c r="M7" s="199">
        <v>248419.28416485901</v>
      </c>
      <c r="N7" s="199">
        <v>102811.367678959</v>
      </c>
      <c r="O7" s="199">
        <v>3669840.53253796</v>
      </c>
      <c r="P7" s="199">
        <v>2585781.3633405599</v>
      </c>
      <c r="Q7" s="199">
        <v>57057.356832971796</v>
      </c>
      <c r="R7" s="199">
        <v>3209730.4219088899</v>
      </c>
      <c r="S7" s="199">
        <v>2258008.4696312398</v>
      </c>
      <c r="T7" s="199">
        <v>6879571.10954447</v>
      </c>
      <c r="U7" s="199">
        <v>3963999.7310195202</v>
      </c>
      <c r="V7" s="199">
        <v>928124.40563991305</v>
      </c>
      <c r="W7" s="199">
        <v>1478966.3069414301</v>
      </c>
      <c r="X7" s="199">
        <v>504094.352494577</v>
      </c>
    </row>
    <row r="8" spans="1:24">
      <c r="A8" s="1404"/>
      <c r="B8" s="1404"/>
      <c r="C8" s="198">
        <v>2019</v>
      </c>
      <c r="D8" s="199">
        <v>9804880.8909299709</v>
      </c>
      <c r="E8" s="199">
        <v>8061315.3708381196</v>
      </c>
      <c r="F8" s="199">
        <v>1743566.25717566</v>
      </c>
      <c r="G8" s="199">
        <v>1343005.28702641</v>
      </c>
      <c r="H8" s="199">
        <v>400561.04018369701</v>
      </c>
      <c r="I8" s="199">
        <v>205063.41676234201</v>
      </c>
      <c r="J8" s="199">
        <v>218684.432835821</v>
      </c>
      <c r="K8" s="199">
        <v>386940.02411021799</v>
      </c>
      <c r="L8" s="199">
        <v>59147.118254879402</v>
      </c>
      <c r="M8" s="199">
        <v>327792.87370838103</v>
      </c>
      <c r="N8" s="199">
        <v>104901.92307692301</v>
      </c>
      <c r="O8" s="199">
        <v>4091249.97244546</v>
      </c>
      <c r="P8" s="199">
        <v>2902498.17910448</v>
      </c>
      <c r="Q8" s="199">
        <v>68441.118254879402</v>
      </c>
      <c r="R8" s="199">
        <v>3630249.8438576302</v>
      </c>
      <c r="S8" s="199">
        <v>2582806.6727899001</v>
      </c>
      <c r="T8" s="199">
        <v>7721499.5005740495</v>
      </c>
      <c r="U8" s="199">
        <v>4463586.5660160696</v>
      </c>
      <c r="V8" s="199">
        <v>1064639.0803673901</v>
      </c>
      <c r="W8" s="199">
        <v>1623372.01262916</v>
      </c>
      <c r="X8" s="199">
        <v>650336.928817451</v>
      </c>
    </row>
    <row r="9" spans="1:24">
      <c r="A9" s="1402">
        <v>73</v>
      </c>
      <c r="B9" s="1402" t="s">
        <v>1275</v>
      </c>
      <c r="C9" s="198">
        <v>2017</v>
      </c>
      <c r="D9" s="199">
        <v>5115631.9299719902</v>
      </c>
      <c r="E9" s="199">
        <v>4213002.9929972002</v>
      </c>
      <c r="F9" s="199">
        <v>902628.95098039205</v>
      </c>
      <c r="G9" s="199">
        <v>714402.17927170906</v>
      </c>
      <c r="H9" s="199">
        <v>188226.79551820701</v>
      </c>
      <c r="I9" s="199">
        <v>37049.382352941197</v>
      </c>
      <c r="J9" s="199">
        <v>84919.476190476198</v>
      </c>
      <c r="K9" s="199">
        <v>140356.70168067201</v>
      </c>
      <c r="L9" s="199">
        <v>19648.443977591</v>
      </c>
      <c r="M9" s="199">
        <v>120708.27310924399</v>
      </c>
      <c r="N9" s="199">
        <v>38384.852941176498</v>
      </c>
      <c r="O9" s="199">
        <v>2083523.65266106</v>
      </c>
      <c r="P9" s="199">
        <v>1760701.55322129</v>
      </c>
      <c r="Q9" s="199">
        <v>125229.215686275</v>
      </c>
      <c r="R9" s="199">
        <v>1701153.4019607799</v>
      </c>
      <c r="S9" s="199">
        <v>1221833.4299719899</v>
      </c>
      <c r="T9" s="199">
        <v>3784677.1232492998</v>
      </c>
      <c r="U9" s="199">
        <v>2416664.62044818</v>
      </c>
      <c r="V9" s="199">
        <v>591702.87815126101</v>
      </c>
      <c r="W9" s="199">
        <v>591304.47338935605</v>
      </c>
      <c r="X9" s="199">
        <v>285833.02661064401</v>
      </c>
    </row>
    <row r="10" spans="1:24">
      <c r="A10" s="1403"/>
      <c r="B10" s="1403"/>
      <c r="C10" s="198">
        <v>2018</v>
      </c>
      <c r="D10" s="199">
        <v>4626831.0551351402</v>
      </c>
      <c r="E10" s="199">
        <v>3836756.1913513499</v>
      </c>
      <c r="F10" s="199">
        <v>772259.85729729699</v>
      </c>
      <c r="G10" s="199">
        <v>630985.86270270299</v>
      </c>
      <c r="H10" s="199">
        <v>145800.71891891901</v>
      </c>
      <c r="I10" s="199">
        <v>57395.451891891898</v>
      </c>
      <c r="J10" s="199">
        <v>100567.397837838</v>
      </c>
      <c r="K10" s="199">
        <v>102628.77297297301</v>
      </c>
      <c r="L10" s="199">
        <v>18516.512432432399</v>
      </c>
      <c r="M10" s="199">
        <v>84112.257297297299</v>
      </c>
      <c r="N10" s="199">
        <v>85032.385945945905</v>
      </c>
      <c r="O10" s="199">
        <v>1904911.09081081</v>
      </c>
      <c r="P10" s="199">
        <v>1667052.8540540501</v>
      </c>
      <c r="Q10" s="199">
        <v>80946.684324324306</v>
      </c>
      <c r="R10" s="199">
        <v>1685067.8475675699</v>
      </c>
      <c r="S10" s="199">
        <v>1140815.92216216</v>
      </c>
      <c r="T10" s="199">
        <v>3692002.2054054099</v>
      </c>
      <c r="U10" s="199">
        <v>2379753.3275675699</v>
      </c>
      <c r="V10" s="199">
        <v>521715.15351351397</v>
      </c>
      <c r="W10" s="199">
        <v>583410.09189189202</v>
      </c>
      <c r="X10" s="199">
        <v>260901.85729729701</v>
      </c>
    </row>
    <row r="11" spans="1:24">
      <c r="A11" s="1404"/>
      <c r="B11" s="1404"/>
      <c r="C11" s="198">
        <v>2019</v>
      </c>
      <c r="D11" s="199">
        <v>4736388.6185446</v>
      </c>
      <c r="E11" s="199">
        <v>3898479.7042253502</v>
      </c>
      <c r="F11" s="199">
        <v>837908.79225352104</v>
      </c>
      <c r="G11" s="199">
        <v>690514.035211268</v>
      </c>
      <c r="H11" s="199">
        <v>147394.74530516399</v>
      </c>
      <c r="I11" s="199">
        <v>100480.52230046901</v>
      </c>
      <c r="J11" s="199">
        <v>106295.21713614999</v>
      </c>
      <c r="K11" s="199">
        <v>141580.05046948401</v>
      </c>
      <c r="L11" s="199">
        <v>26399.3169014085</v>
      </c>
      <c r="M11" s="199">
        <v>115180.73826291101</v>
      </c>
      <c r="N11" s="199">
        <v>90437.201877934305</v>
      </c>
      <c r="O11" s="199">
        <v>2060002.7582159601</v>
      </c>
      <c r="P11" s="199">
        <v>1792321.7934272301</v>
      </c>
      <c r="Q11" s="199">
        <v>85807.300469483598</v>
      </c>
      <c r="R11" s="199">
        <v>1799560.29694836</v>
      </c>
      <c r="S11" s="199">
        <v>1180965.9624413101</v>
      </c>
      <c r="T11" s="199">
        <v>3859563.0281690098</v>
      </c>
      <c r="U11" s="199">
        <v>2406604.3051643199</v>
      </c>
      <c r="V11" s="199">
        <v>539882.61619718303</v>
      </c>
      <c r="W11" s="199">
        <v>621453.96361502295</v>
      </c>
      <c r="X11" s="199">
        <v>278877.11854460102</v>
      </c>
    </row>
    <row r="12" spans="1:24">
      <c r="A12" s="1402">
        <v>74</v>
      </c>
      <c r="B12" s="1402" t="s">
        <v>1276</v>
      </c>
      <c r="C12" s="198">
        <v>2017</v>
      </c>
      <c r="D12" s="199">
        <v>17428303.1089109</v>
      </c>
      <c r="E12" s="199">
        <v>15336962.069306901</v>
      </c>
      <c r="F12" s="199">
        <v>2091341.1089108901</v>
      </c>
      <c r="G12" s="199">
        <v>1546343.0099009899</v>
      </c>
      <c r="H12" s="199">
        <v>544998.11881188105</v>
      </c>
      <c r="I12" s="199">
        <v>378033.52475247497</v>
      </c>
      <c r="J12" s="199">
        <v>265452.09900990099</v>
      </c>
      <c r="K12" s="199">
        <v>657579.54455445497</v>
      </c>
      <c r="L12" s="199">
        <v>114452.60396039599</v>
      </c>
      <c r="M12" s="199">
        <v>543126.88118811895</v>
      </c>
      <c r="N12" s="199">
        <v>37410.257425742602</v>
      </c>
      <c r="O12" s="199">
        <v>6465861.3762376197</v>
      </c>
      <c r="P12" s="199">
        <v>3710195.7722772299</v>
      </c>
      <c r="Q12" s="199">
        <v>141808.18811881199</v>
      </c>
      <c r="R12" s="199">
        <v>6171260.6237623803</v>
      </c>
      <c r="S12" s="199">
        <v>4752702.2673267303</v>
      </c>
      <c r="T12" s="199">
        <v>12637121.920792099</v>
      </c>
      <c r="U12" s="199">
        <v>6339641.3663366297</v>
      </c>
      <c r="V12" s="199">
        <v>1819491.7722772299</v>
      </c>
      <c r="W12" s="199">
        <v>2039810.8712871301</v>
      </c>
      <c r="X12" s="199">
        <v>1269529.5049505001</v>
      </c>
    </row>
    <row r="13" spans="1:24">
      <c r="A13" s="1403"/>
      <c r="B13" s="1403"/>
      <c r="C13" s="198">
        <v>2018</v>
      </c>
      <c r="D13" s="199">
        <v>14106289.2790698</v>
      </c>
      <c r="E13" s="199">
        <v>12349685.558139499</v>
      </c>
      <c r="F13" s="199">
        <v>1756604.0852713201</v>
      </c>
      <c r="G13" s="199">
        <v>1100559.70542636</v>
      </c>
      <c r="H13" s="199">
        <v>656044.30232558097</v>
      </c>
      <c r="I13" s="199">
        <v>162085.67441860499</v>
      </c>
      <c r="J13" s="199">
        <v>284846.612403101</v>
      </c>
      <c r="K13" s="199">
        <v>533283.36434108496</v>
      </c>
      <c r="L13" s="199">
        <v>109582.565891473</v>
      </c>
      <c r="M13" s="199">
        <v>423700.84496124001</v>
      </c>
      <c r="N13" s="199">
        <v>133659.07751937999</v>
      </c>
      <c r="O13" s="199">
        <v>5479957.9612403102</v>
      </c>
      <c r="P13" s="199">
        <v>3300727.1627906999</v>
      </c>
      <c r="Q13" s="199">
        <v>121075.93798449601</v>
      </c>
      <c r="R13" s="199">
        <v>5458492.5813953504</v>
      </c>
      <c r="S13" s="199">
        <v>3931854.3798449598</v>
      </c>
      <c r="T13" s="199">
        <v>10938450.821705399</v>
      </c>
      <c r="U13" s="199">
        <v>5511936.3023255803</v>
      </c>
      <c r="V13" s="199">
        <v>1531824.3100775201</v>
      </c>
      <c r="W13" s="199">
        <v>1795823.5736434101</v>
      </c>
      <c r="X13" s="199">
        <v>1070723.7131782901</v>
      </c>
    </row>
    <row r="14" spans="1:24">
      <c r="A14" s="1404"/>
      <c r="B14" s="1404"/>
      <c r="C14" s="198">
        <v>2019</v>
      </c>
      <c r="D14" s="199">
        <v>10072894.629310301</v>
      </c>
      <c r="E14" s="199">
        <v>8820348.0086206906</v>
      </c>
      <c r="F14" s="199">
        <v>1252546.8534482799</v>
      </c>
      <c r="G14" s="199">
        <v>698894.53448275896</v>
      </c>
      <c r="H14" s="199">
        <v>553652.35344827594</v>
      </c>
      <c r="I14" s="199">
        <v>125771.586206897</v>
      </c>
      <c r="J14" s="199">
        <v>195846.344827586</v>
      </c>
      <c r="K14" s="199">
        <v>483577.59482758603</v>
      </c>
      <c r="L14" s="199">
        <v>100062.801724138</v>
      </c>
      <c r="M14" s="199">
        <v>383514.80172413797</v>
      </c>
      <c r="N14" s="199">
        <v>118196.336206897</v>
      </c>
      <c r="O14" s="199">
        <v>5345976.6034482801</v>
      </c>
      <c r="P14" s="199">
        <v>3178479.3017241401</v>
      </c>
      <c r="Q14" s="199">
        <v>110539.965517241</v>
      </c>
      <c r="R14" s="199">
        <v>4579902.2327586198</v>
      </c>
      <c r="S14" s="199">
        <v>2785008.7586206901</v>
      </c>
      <c r="T14" s="199">
        <v>9925878.1982758604</v>
      </c>
      <c r="U14" s="199">
        <v>4471067.5344827604</v>
      </c>
      <c r="V14" s="199">
        <v>1348044.1206896601</v>
      </c>
      <c r="W14" s="199">
        <v>1115438.68103448</v>
      </c>
      <c r="X14" s="199">
        <v>570025.77586206899</v>
      </c>
    </row>
    <row r="15" spans="1:24">
      <c r="A15" s="1402">
        <v>75</v>
      </c>
      <c r="B15" s="1402" t="s">
        <v>1277</v>
      </c>
      <c r="C15" s="198">
        <v>2017</v>
      </c>
      <c r="D15" s="199">
        <v>114503277.85294101</v>
      </c>
      <c r="E15" s="199">
        <v>78545688.6029412</v>
      </c>
      <c r="F15" s="199">
        <v>35957581.2058824</v>
      </c>
      <c r="G15" s="199">
        <v>31009225.3088235</v>
      </c>
      <c r="H15" s="199">
        <v>4948354.8823529398</v>
      </c>
      <c r="I15" s="199">
        <v>3157202.6764705898</v>
      </c>
      <c r="J15" s="199">
        <v>2703173.7794117602</v>
      </c>
      <c r="K15" s="199">
        <v>5402383.7794117602</v>
      </c>
      <c r="L15" s="199">
        <v>1429242.88235294</v>
      </c>
      <c r="M15" s="199">
        <v>6731752.9705882398</v>
      </c>
      <c r="N15" s="199">
        <v>1183042.9852941199</v>
      </c>
      <c r="O15" s="199">
        <v>54265259.808823504</v>
      </c>
      <c r="P15" s="199">
        <v>32391788.6764706</v>
      </c>
      <c r="Q15" s="199">
        <v>1342160.7794117599</v>
      </c>
      <c r="R15" s="199">
        <v>43212011.8235294</v>
      </c>
      <c r="S15" s="199">
        <v>20601714.6764706</v>
      </c>
      <c r="T15" s="199">
        <v>97477269.073529407</v>
      </c>
      <c r="U15" s="199">
        <v>28212346.4705882</v>
      </c>
      <c r="V15" s="199">
        <v>12708275.25</v>
      </c>
      <c r="W15" s="199">
        <v>9476812.9117647093</v>
      </c>
      <c r="X15" s="199">
        <v>6636753.1764705898</v>
      </c>
    </row>
    <row r="16" spans="1:24">
      <c r="A16" s="1403"/>
      <c r="B16" s="1403"/>
      <c r="C16" s="198">
        <v>2018</v>
      </c>
      <c r="D16" s="199">
        <v>122512798.722892</v>
      </c>
      <c r="E16" s="199">
        <v>86157262.903614506</v>
      </c>
      <c r="F16" s="199">
        <v>34172311</v>
      </c>
      <c r="G16" s="199">
        <v>29272578.469879501</v>
      </c>
      <c r="H16" s="199">
        <v>5240423.7590361396</v>
      </c>
      <c r="I16" s="199">
        <v>3412028.84337349</v>
      </c>
      <c r="J16" s="199">
        <v>2461012.6987951798</v>
      </c>
      <c r="K16" s="199">
        <v>6191439.9036144596</v>
      </c>
      <c r="L16" s="199">
        <v>1546527.6506024101</v>
      </c>
      <c r="M16" s="199">
        <v>4644913.2409638604</v>
      </c>
      <c r="N16" s="199">
        <v>1874016.02409639</v>
      </c>
      <c r="O16" s="199">
        <v>50032847.4939759</v>
      </c>
      <c r="P16" s="199">
        <v>32060110.771084301</v>
      </c>
      <c r="Q16" s="199">
        <v>1099495.6265060201</v>
      </c>
      <c r="R16" s="199">
        <v>56558470.734939799</v>
      </c>
      <c r="S16" s="199">
        <v>32825940.638554201</v>
      </c>
      <c r="T16" s="199">
        <v>112550080.36144599</v>
      </c>
      <c r="U16" s="199">
        <v>47647089.409638599</v>
      </c>
      <c r="V16" s="199">
        <v>11613900.204819299</v>
      </c>
      <c r="W16" s="199">
        <v>9471567.0722891595</v>
      </c>
      <c r="X16" s="199">
        <v>6040337.08433735</v>
      </c>
    </row>
    <row r="17" spans="1:24">
      <c r="A17" s="1404"/>
      <c r="B17" s="1404"/>
      <c r="C17" s="198">
        <v>2019</v>
      </c>
      <c r="D17" s="199">
        <v>122108201.626506</v>
      </c>
      <c r="E17" s="199">
        <v>87083188.6506024</v>
      </c>
      <c r="F17" s="199">
        <v>35025011.132530101</v>
      </c>
      <c r="G17" s="199">
        <v>29749819.915662698</v>
      </c>
      <c r="H17" s="199">
        <v>5275192.8554216903</v>
      </c>
      <c r="I17" s="199">
        <v>2825809.3855421701</v>
      </c>
      <c r="J17" s="199">
        <v>3078889.0240963902</v>
      </c>
      <c r="K17" s="199">
        <v>5022113.2168674702</v>
      </c>
      <c r="L17" s="199">
        <v>1303572.6265060201</v>
      </c>
      <c r="M17" s="199">
        <v>3718540.3132530102</v>
      </c>
      <c r="N17" s="199">
        <v>1637366.5662650601</v>
      </c>
      <c r="O17" s="199">
        <v>55521707.686747</v>
      </c>
      <c r="P17" s="199">
        <v>35387091.313253</v>
      </c>
      <c r="Q17" s="199">
        <v>1264325.5421686701</v>
      </c>
      <c r="R17" s="199">
        <v>58704677.120481901</v>
      </c>
      <c r="S17" s="199">
        <v>38852193.746987998</v>
      </c>
      <c r="T17" s="199">
        <v>114226382.566265</v>
      </c>
      <c r="U17" s="199">
        <v>47013932.421686701</v>
      </c>
      <c r="V17" s="199">
        <v>11806271.3253012</v>
      </c>
      <c r="W17" s="199">
        <v>10266330.746988</v>
      </c>
      <c r="X17" s="199">
        <v>5865946.4216867499</v>
      </c>
    </row>
    <row r="18" spans="1:24">
      <c r="A18" s="1402">
        <v>76</v>
      </c>
      <c r="B18" s="1402" t="s">
        <v>2357</v>
      </c>
      <c r="C18" s="198">
        <v>2017</v>
      </c>
      <c r="D18" s="199">
        <v>14733263.805699499</v>
      </c>
      <c r="E18" s="199">
        <v>11572574.015543999</v>
      </c>
      <c r="F18" s="199">
        <v>3160689.2875647699</v>
      </c>
      <c r="G18" s="199">
        <v>2446089.2279792698</v>
      </c>
      <c r="H18" s="199">
        <v>714599.810880829</v>
      </c>
      <c r="I18" s="199">
        <v>294143.02849740902</v>
      </c>
      <c r="J18" s="199">
        <v>384045.51036269398</v>
      </c>
      <c r="K18" s="199">
        <v>624697.32901554403</v>
      </c>
      <c r="L18" s="199">
        <v>143660.12953367899</v>
      </c>
      <c r="M18" s="199">
        <v>481037.18652849703</v>
      </c>
      <c r="N18" s="199">
        <v>57978.3989637306</v>
      </c>
      <c r="O18" s="199">
        <v>8014989.7694300497</v>
      </c>
      <c r="P18" s="199">
        <v>5052437.7253885996</v>
      </c>
      <c r="Q18" s="199">
        <v>253707.96373056999</v>
      </c>
      <c r="R18" s="199">
        <v>5655696.2357513001</v>
      </c>
      <c r="S18" s="199">
        <v>4018127.6839378201</v>
      </c>
      <c r="T18" s="199">
        <v>13670686.738342</v>
      </c>
      <c r="U18" s="199">
        <v>6824661.2150259102</v>
      </c>
      <c r="V18" s="199">
        <v>1645707.7849740901</v>
      </c>
      <c r="W18" s="199">
        <v>1948962.1839378199</v>
      </c>
      <c r="X18" s="199">
        <v>768790.32642487006</v>
      </c>
    </row>
    <row r="19" spans="1:24">
      <c r="A19" s="1403"/>
      <c r="B19" s="1403"/>
      <c r="C19" s="198">
        <v>2018</v>
      </c>
      <c r="D19" s="199">
        <v>13040904.385542201</v>
      </c>
      <c r="E19" s="199">
        <v>10904353.586919099</v>
      </c>
      <c r="F19" s="199">
        <v>2094992.5989673</v>
      </c>
      <c r="G19" s="199">
        <v>1578128.47504303</v>
      </c>
      <c r="H19" s="199">
        <v>525412.37005163496</v>
      </c>
      <c r="I19" s="199">
        <v>325883.13769363199</v>
      </c>
      <c r="J19" s="199">
        <v>321165.44750430301</v>
      </c>
      <c r="K19" s="199">
        <v>530130.06024096406</v>
      </c>
      <c r="L19" s="199">
        <v>118915.662650602</v>
      </c>
      <c r="M19" s="199">
        <v>393358.648881239</v>
      </c>
      <c r="N19" s="199">
        <v>139538.600688468</v>
      </c>
      <c r="O19" s="199">
        <v>5627641.08433735</v>
      </c>
      <c r="P19" s="199">
        <v>3676732.6798623102</v>
      </c>
      <c r="Q19" s="199">
        <v>168997.831325301</v>
      </c>
      <c r="R19" s="199">
        <v>5855797.8313253</v>
      </c>
      <c r="S19" s="199">
        <v>4203136.2753872601</v>
      </c>
      <c r="T19" s="199">
        <v>11706800.8296041</v>
      </c>
      <c r="U19" s="199">
        <v>6512314.2409638604</v>
      </c>
      <c r="V19" s="199">
        <v>1312154.4337349399</v>
      </c>
      <c r="W19" s="199">
        <v>2390971.74354561</v>
      </c>
      <c r="X19" s="199">
        <v>525303.74010327004</v>
      </c>
    </row>
    <row r="20" spans="1:24">
      <c r="A20" s="1404"/>
      <c r="B20" s="1404"/>
      <c r="C20" s="198">
        <v>2019</v>
      </c>
      <c r="D20" s="199">
        <v>13616884.7302977</v>
      </c>
      <c r="E20" s="199">
        <v>11535135.327495599</v>
      </c>
      <c r="F20" s="199">
        <v>2081750.26795096</v>
      </c>
      <c r="G20" s="199">
        <v>1679288.23117338</v>
      </c>
      <c r="H20" s="199">
        <v>402462.05429071799</v>
      </c>
      <c r="I20" s="199">
        <v>366677.352014011</v>
      </c>
      <c r="J20" s="199">
        <v>363295.38528896699</v>
      </c>
      <c r="K20" s="199">
        <v>405844.021015762</v>
      </c>
      <c r="L20" s="199">
        <v>91620.126094570893</v>
      </c>
      <c r="M20" s="199">
        <v>315449.05078809097</v>
      </c>
      <c r="N20" s="199">
        <v>161054.36252189099</v>
      </c>
      <c r="O20" s="199">
        <v>6050158</v>
      </c>
      <c r="P20" s="199">
        <v>3856609.4430823098</v>
      </c>
      <c r="Q20" s="199">
        <v>230766.08931698799</v>
      </c>
      <c r="R20" s="199">
        <v>6167729.9754816098</v>
      </c>
      <c r="S20" s="199">
        <v>4049732.3415061301</v>
      </c>
      <c r="T20" s="199">
        <v>12217888.5183888</v>
      </c>
      <c r="U20" s="199">
        <v>6763347.5323992996</v>
      </c>
      <c r="V20" s="199">
        <v>1348642.6042031499</v>
      </c>
      <c r="W20" s="199">
        <v>2470620.3380034999</v>
      </c>
      <c r="X20" s="199">
        <v>622938.66374781099</v>
      </c>
    </row>
    <row r="21" spans="1:24">
      <c r="A21" s="1402">
        <v>77</v>
      </c>
      <c r="B21" s="1402" t="s">
        <v>1280</v>
      </c>
      <c r="C21" s="198">
        <v>2017</v>
      </c>
      <c r="D21" s="199">
        <v>36812703.8601695</v>
      </c>
      <c r="E21" s="199">
        <v>31141471.3813559</v>
      </c>
      <c r="F21" s="199">
        <v>5671231.99152542</v>
      </c>
      <c r="G21" s="199">
        <v>4359488.5042372895</v>
      </c>
      <c r="H21" s="199">
        <v>1311743</v>
      </c>
      <c r="I21" s="199">
        <v>1194454.1991525399</v>
      </c>
      <c r="J21" s="199">
        <v>1092820.3516949201</v>
      </c>
      <c r="K21" s="199">
        <v>1413376.8474576301</v>
      </c>
      <c r="L21" s="199">
        <v>387392.36440677999</v>
      </c>
      <c r="M21" s="199">
        <v>1025984.5</v>
      </c>
      <c r="N21" s="199">
        <v>92122.792372881406</v>
      </c>
      <c r="O21" s="199">
        <v>15709077.029661</v>
      </c>
      <c r="P21" s="199">
        <v>8400256.0084745791</v>
      </c>
      <c r="Q21" s="199">
        <v>316671.64830508502</v>
      </c>
      <c r="R21" s="199">
        <v>14410244.9957627</v>
      </c>
      <c r="S21" s="199">
        <v>13681168.351694901</v>
      </c>
      <c r="T21" s="199">
        <v>30119322.194915298</v>
      </c>
      <c r="U21" s="199">
        <v>15723267.5889831</v>
      </c>
      <c r="V21" s="199">
        <v>4814473.4788135597</v>
      </c>
      <c r="W21" s="199">
        <v>4024246.4745762702</v>
      </c>
      <c r="X21" s="199">
        <v>2035040.8474576301</v>
      </c>
    </row>
    <row r="22" spans="1:24">
      <c r="A22" s="1403"/>
      <c r="B22" s="1403"/>
      <c r="C22" s="198">
        <v>2018</v>
      </c>
      <c r="D22" s="199">
        <v>29813831.860248402</v>
      </c>
      <c r="E22" s="199">
        <v>24937491.3167702</v>
      </c>
      <c r="F22" s="199">
        <v>4291124.6987577602</v>
      </c>
      <c r="G22" s="199">
        <v>3571805.0031055901</v>
      </c>
      <c r="H22" s="199">
        <v>840261.92236024805</v>
      </c>
      <c r="I22" s="199">
        <v>766204.67701863404</v>
      </c>
      <c r="J22" s="199">
        <v>898133.13664596295</v>
      </c>
      <c r="K22" s="199">
        <v>708333.46273291903</v>
      </c>
      <c r="L22" s="199">
        <v>186261.23602484501</v>
      </c>
      <c r="M22" s="199">
        <v>522072.23602484498</v>
      </c>
      <c r="N22" s="199">
        <v>166579.51242236001</v>
      </c>
      <c r="O22" s="199">
        <v>13243882.127329201</v>
      </c>
      <c r="P22" s="199">
        <v>6765149.8167701904</v>
      </c>
      <c r="Q22" s="199">
        <v>260715.83229813699</v>
      </c>
      <c r="R22" s="199">
        <v>12592117.1552795</v>
      </c>
      <c r="S22" s="199">
        <v>12312173.049689399</v>
      </c>
      <c r="T22" s="199">
        <v>29759624.751552802</v>
      </c>
      <c r="U22" s="199">
        <v>18169807.6304348</v>
      </c>
      <c r="V22" s="199">
        <v>4000257.3509316798</v>
      </c>
      <c r="W22" s="199">
        <v>3837739.0683229798</v>
      </c>
      <c r="X22" s="199">
        <v>1791961.42236025</v>
      </c>
    </row>
    <row r="23" spans="1:24">
      <c r="A23" s="1404"/>
      <c r="B23" s="1404"/>
      <c r="C23" s="198">
        <v>2019</v>
      </c>
      <c r="D23" s="199">
        <v>32747447.800000001</v>
      </c>
      <c r="E23" s="199">
        <v>27812063.124137901</v>
      </c>
      <c r="F23" s="199">
        <v>4935386.8551724097</v>
      </c>
      <c r="G23" s="199">
        <v>3994894.29310345</v>
      </c>
      <c r="H23" s="199">
        <v>940492.17241379304</v>
      </c>
      <c r="I23" s="199">
        <v>971686.76206896605</v>
      </c>
      <c r="J23" s="199">
        <v>1332979.09310345</v>
      </c>
      <c r="K23" s="199">
        <v>579199.84137931</v>
      </c>
      <c r="L23" s="199">
        <v>233332.613793103</v>
      </c>
      <c r="M23" s="199">
        <v>345867.24827586202</v>
      </c>
      <c r="N23" s="199">
        <v>277089.96551724098</v>
      </c>
      <c r="O23" s="199">
        <v>14757706.7758621</v>
      </c>
      <c r="P23" s="199">
        <v>7558039.1310344804</v>
      </c>
      <c r="Q23" s="199">
        <v>282727.16206896602</v>
      </c>
      <c r="R23" s="199">
        <v>14973985.762069</v>
      </c>
      <c r="S23" s="199">
        <v>14051437.4068966</v>
      </c>
      <c r="T23" s="199">
        <v>29731692.720689699</v>
      </c>
      <c r="U23" s="199">
        <v>16307578.2517241</v>
      </c>
      <c r="V23" s="199">
        <v>4888561.70689655</v>
      </c>
      <c r="W23" s="199">
        <v>4437156.8</v>
      </c>
      <c r="X23" s="199">
        <v>2055093.36206897</v>
      </c>
    </row>
    <row r="24" spans="1:24">
      <c r="A24" s="1402">
        <v>79</v>
      </c>
      <c r="B24" s="1402" t="s">
        <v>2358</v>
      </c>
      <c r="C24" s="198">
        <v>2017</v>
      </c>
      <c r="D24" s="199">
        <v>18037464.8221277</v>
      </c>
      <c r="E24" s="199">
        <v>12664852.908936201</v>
      </c>
      <c r="F24" s="199">
        <v>5372612.2055319101</v>
      </c>
      <c r="G24" s="199">
        <v>4264098.3251063796</v>
      </c>
      <c r="H24" s="199">
        <v>1108513.6387234</v>
      </c>
      <c r="I24" s="199">
        <v>513328.47489361698</v>
      </c>
      <c r="J24" s="199">
        <v>514338.86723404302</v>
      </c>
      <c r="K24" s="199">
        <v>1107503.2463829799</v>
      </c>
      <c r="L24" s="199">
        <v>233804.15872340399</v>
      </c>
      <c r="M24" s="199">
        <v>875667.16</v>
      </c>
      <c r="N24" s="199">
        <v>146209.99957446801</v>
      </c>
      <c r="O24" s="199">
        <v>13610744.591063799</v>
      </c>
      <c r="P24" s="199">
        <v>7418206.4553191504</v>
      </c>
      <c r="Q24" s="199">
        <v>397623.625106383</v>
      </c>
      <c r="R24" s="199">
        <v>7457997.8548936201</v>
      </c>
      <c r="S24" s="199">
        <v>5254702.1748936204</v>
      </c>
      <c r="T24" s="199">
        <v>21068742.3417021</v>
      </c>
      <c r="U24" s="199">
        <v>8830582.8655319102</v>
      </c>
      <c r="V24" s="199">
        <v>2078989.8668085099</v>
      </c>
      <c r="W24" s="199">
        <v>2858146.1791489399</v>
      </c>
      <c r="X24" s="199">
        <v>1338575.6710638299</v>
      </c>
    </row>
    <row r="25" spans="1:24">
      <c r="A25" s="1403"/>
      <c r="B25" s="1403"/>
      <c r="C25" s="198">
        <v>2018</v>
      </c>
      <c r="D25" s="199">
        <v>15897349.7219791</v>
      </c>
      <c r="E25" s="199">
        <v>11238720.655334899</v>
      </c>
      <c r="F25" s="199">
        <v>4658629.4890609197</v>
      </c>
      <c r="G25" s="199">
        <v>3668624.3752945098</v>
      </c>
      <c r="H25" s="199">
        <v>990004.97206327796</v>
      </c>
      <c r="I25" s="199">
        <v>728351.18243015802</v>
      </c>
      <c r="J25" s="199">
        <v>443129.58902726398</v>
      </c>
      <c r="K25" s="199">
        <v>1275226.56546617</v>
      </c>
      <c r="L25" s="199">
        <v>308186.76977448701</v>
      </c>
      <c r="M25" s="199">
        <v>965367.97677549603</v>
      </c>
      <c r="N25" s="199">
        <v>228356.47829013801</v>
      </c>
      <c r="O25" s="199">
        <v>11957239.733423101</v>
      </c>
      <c r="P25" s="199">
        <v>6586293.2107034698</v>
      </c>
      <c r="Q25" s="199">
        <v>340738.72534500202</v>
      </c>
      <c r="R25" s="199">
        <v>6524127.6061931998</v>
      </c>
      <c r="S25" s="199">
        <v>4560658.4419387402</v>
      </c>
      <c r="T25" s="199">
        <v>18481367.2302255</v>
      </c>
      <c r="U25" s="199">
        <v>7451010.9565802803</v>
      </c>
      <c r="V25" s="199">
        <v>1659287.7674183799</v>
      </c>
      <c r="W25" s="199">
        <v>2519006.22820599</v>
      </c>
      <c r="X25" s="199">
        <v>1117884.25210367</v>
      </c>
    </row>
    <row r="26" spans="1:24">
      <c r="A26" s="1404"/>
      <c r="B26" s="1404"/>
      <c r="C26" s="198">
        <v>2019</v>
      </c>
      <c r="D26" s="199">
        <v>17380442.7307963</v>
      </c>
      <c r="E26" s="199">
        <v>12187839.196265001</v>
      </c>
      <c r="F26" s="199">
        <v>5192603.4524312904</v>
      </c>
      <c r="G26" s="199">
        <v>4094135.1349541899</v>
      </c>
      <c r="H26" s="199">
        <v>1098468.3957012</v>
      </c>
      <c r="I26" s="199">
        <v>384547.29809725197</v>
      </c>
      <c r="J26" s="199">
        <v>580027.49859055702</v>
      </c>
      <c r="K26" s="199">
        <v>902988.19520789303</v>
      </c>
      <c r="L26" s="199">
        <v>224009.69661733601</v>
      </c>
      <c r="M26" s="199">
        <v>652906.31747709704</v>
      </c>
      <c r="N26" s="199">
        <v>274781.37667371402</v>
      </c>
      <c r="O26" s="199">
        <v>13659762.588442599</v>
      </c>
      <c r="P26" s="199">
        <v>7418044.8847780097</v>
      </c>
      <c r="Q26" s="199">
        <v>372274.49577167002</v>
      </c>
      <c r="R26" s="199">
        <v>7513510.1670190301</v>
      </c>
      <c r="S26" s="199">
        <v>5237825.3241719501</v>
      </c>
      <c r="T26" s="199">
        <v>21173273.7406624</v>
      </c>
      <c r="U26" s="199">
        <v>9131472.0669485591</v>
      </c>
      <c r="V26" s="199">
        <v>1784849.58386187</v>
      </c>
      <c r="W26" s="199">
        <v>2717581.5694150799</v>
      </c>
      <c r="X26" s="199">
        <v>1323687.78717407</v>
      </c>
    </row>
    <row r="27" spans="1:24">
      <c r="A27" s="1402">
        <v>81</v>
      </c>
      <c r="B27" s="1402" t="s">
        <v>2506</v>
      </c>
      <c r="C27" s="198">
        <v>2017</v>
      </c>
      <c r="D27" s="199">
        <v>50148143.519230798</v>
      </c>
      <c r="E27" s="199">
        <v>24910484.403846201</v>
      </c>
      <c r="F27" s="199">
        <v>25237663.134615399</v>
      </c>
      <c r="G27" s="199">
        <v>17153865.971153799</v>
      </c>
      <c r="H27" s="199">
        <v>8083797.7596153803</v>
      </c>
      <c r="I27" s="199">
        <v>1886246.8846153801</v>
      </c>
      <c r="J27" s="199">
        <v>1923776.0096153801</v>
      </c>
      <c r="K27" s="199">
        <v>8046268.6346153803</v>
      </c>
      <c r="L27" s="199">
        <v>2301894.9230769202</v>
      </c>
      <c r="M27" s="199">
        <v>5744373.4423076902</v>
      </c>
      <c r="N27" s="199">
        <v>399597.04807692301</v>
      </c>
      <c r="O27" s="199">
        <v>63172243.288461499</v>
      </c>
      <c r="P27" s="199">
        <v>34635297.663461499</v>
      </c>
      <c r="Q27" s="199">
        <v>16540372.413461501</v>
      </c>
      <c r="R27" s="199">
        <v>34612958.269230798</v>
      </c>
      <c r="S27" s="199">
        <v>31044947.586538501</v>
      </c>
      <c r="T27" s="199">
        <v>97785199.019230798</v>
      </c>
      <c r="U27" s="199">
        <v>42694575.423076898</v>
      </c>
      <c r="V27" s="199">
        <v>11051524.740384599</v>
      </c>
      <c r="W27" s="199">
        <v>3891705.4807692301</v>
      </c>
      <c r="X27" s="199">
        <v>3205264.1442307699</v>
      </c>
    </row>
    <row r="28" spans="1:24">
      <c r="A28" s="1403"/>
      <c r="B28" s="1403"/>
      <c r="C28" s="198">
        <v>2018</v>
      </c>
      <c r="D28" s="199">
        <v>36676052.035211302</v>
      </c>
      <c r="E28" s="199">
        <v>18683338.690140799</v>
      </c>
      <c r="F28" s="199">
        <v>17992710.098591499</v>
      </c>
      <c r="G28" s="199">
        <v>12609834.767605601</v>
      </c>
      <c r="H28" s="199">
        <v>5382873.7042253502</v>
      </c>
      <c r="I28" s="199">
        <v>1022035.23239437</v>
      </c>
      <c r="J28" s="199">
        <v>1335252.4436619701</v>
      </c>
      <c r="K28" s="199">
        <v>5069656.4929577503</v>
      </c>
      <c r="L28" s="199">
        <v>1411466.4084507001</v>
      </c>
      <c r="M28" s="199">
        <v>3658189.8732394399</v>
      </c>
      <c r="N28" s="199">
        <v>555195.49295774603</v>
      </c>
      <c r="O28" s="199">
        <v>47166310.028168999</v>
      </c>
      <c r="P28" s="199">
        <v>25375258</v>
      </c>
      <c r="Q28" s="199">
        <v>12133436.183098599</v>
      </c>
      <c r="R28" s="199">
        <v>21970919.514084499</v>
      </c>
      <c r="S28" s="199">
        <v>21588335.887323901</v>
      </c>
      <c r="T28" s="199">
        <v>69137230.943662003</v>
      </c>
      <c r="U28" s="199">
        <v>31263946.626760598</v>
      </c>
      <c r="V28" s="199">
        <v>7407984.0422535203</v>
      </c>
      <c r="W28" s="199">
        <v>3162737.5211267602</v>
      </c>
      <c r="X28" s="199">
        <v>2191232.51408451</v>
      </c>
    </row>
    <row r="29" spans="1:24">
      <c r="A29" s="1404"/>
      <c r="B29" s="1404"/>
      <c r="C29" s="198">
        <v>2019</v>
      </c>
      <c r="D29" s="199">
        <v>37671393.735294104</v>
      </c>
      <c r="E29" s="199">
        <v>19695029.2867647</v>
      </c>
      <c r="F29" s="199">
        <v>17976368.9852941</v>
      </c>
      <c r="G29" s="199">
        <v>13505232.4191176</v>
      </c>
      <c r="H29" s="199">
        <v>4471137.375</v>
      </c>
      <c r="I29" s="199">
        <v>1091094.1102941199</v>
      </c>
      <c r="J29" s="199">
        <v>1564378.0147058801</v>
      </c>
      <c r="K29" s="199">
        <v>3997853.4705882398</v>
      </c>
      <c r="L29" s="199">
        <v>1701909.3088235301</v>
      </c>
      <c r="M29" s="199">
        <v>2295944.8602941199</v>
      </c>
      <c r="N29" s="199">
        <v>648728.01470588194</v>
      </c>
      <c r="O29" s="199">
        <v>49247803.9705882</v>
      </c>
      <c r="P29" s="199">
        <v>27177203.5220588</v>
      </c>
      <c r="Q29" s="199">
        <v>12627580.3823529</v>
      </c>
      <c r="R29" s="199">
        <v>19743211.4632353</v>
      </c>
      <c r="S29" s="199">
        <v>19648027.7205882</v>
      </c>
      <c r="T29" s="199">
        <v>68991026.161764696</v>
      </c>
      <c r="U29" s="199">
        <v>31865437.7426471</v>
      </c>
      <c r="V29" s="199">
        <v>7037738.8014705898</v>
      </c>
      <c r="W29" s="199">
        <v>3577219.4264705898</v>
      </c>
      <c r="X29" s="199">
        <v>2767664.8382352898</v>
      </c>
    </row>
    <row r="30" spans="1:24">
      <c r="A30" s="1402">
        <v>82</v>
      </c>
      <c r="B30" s="1402" t="s">
        <v>2507</v>
      </c>
      <c r="C30" s="198">
        <v>2017</v>
      </c>
      <c r="D30" s="199">
        <v>52614469.405405402</v>
      </c>
      <c r="E30" s="199">
        <v>32930566.189189199</v>
      </c>
      <c r="F30" s="199">
        <v>19683906.378378399</v>
      </c>
      <c r="G30" s="199">
        <v>17119179.423423398</v>
      </c>
      <c r="H30" s="199">
        <v>2564726.02702703</v>
      </c>
      <c r="I30" s="199">
        <v>4751540.4054054096</v>
      </c>
      <c r="J30" s="199">
        <v>3927948.7657657699</v>
      </c>
      <c r="K30" s="199">
        <v>3388317.6666666698</v>
      </c>
      <c r="L30" s="199">
        <v>627016.54054054106</v>
      </c>
      <c r="M30" s="199">
        <v>2761301.3243243201</v>
      </c>
      <c r="N30" s="199">
        <v>850608.49549549504</v>
      </c>
      <c r="O30" s="199">
        <v>48741902.486486502</v>
      </c>
      <c r="P30" s="199">
        <v>37639670.225225203</v>
      </c>
      <c r="Q30" s="199">
        <v>1561442.8468468499</v>
      </c>
      <c r="R30" s="199">
        <v>16452420.5135135</v>
      </c>
      <c r="S30" s="199">
        <v>17849749.117117099</v>
      </c>
      <c r="T30" s="199">
        <v>65194318.981982</v>
      </c>
      <c r="U30" s="199">
        <v>34303865.657657698</v>
      </c>
      <c r="V30" s="199">
        <v>5524494.9279279299</v>
      </c>
      <c r="W30" s="199">
        <v>5605920.9189189197</v>
      </c>
      <c r="X30" s="199">
        <v>3702969.6396396402</v>
      </c>
    </row>
    <row r="31" spans="1:24">
      <c r="A31" s="1403"/>
      <c r="B31" s="1403"/>
      <c r="C31" s="198">
        <v>2018</v>
      </c>
      <c r="D31" s="199">
        <v>48037630.578125</v>
      </c>
      <c r="E31" s="199">
        <v>30989748.8984375</v>
      </c>
      <c r="F31" s="199">
        <v>17047887.296875</v>
      </c>
      <c r="G31" s="199">
        <v>14211174.828125</v>
      </c>
      <c r="H31" s="199">
        <v>2836712.890625</v>
      </c>
      <c r="I31" s="199">
        <v>510726.34375</v>
      </c>
      <c r="J31" s="199">
        <v>1918511.1328125</v>
      </c>
      <c r="K31" s="199">
        <v>1428928.1015625</v>
      </c>
      <c r="L31" s="199">
        <v>382974.21875</v>
      </c>
      <c r="M31" s="199">
        <v>1045953.6484375</v>
      </c>
      <c r="N31" s="199">
        <v>908643.984375</v>
      </c>
      <c r="O31" s="199">
        <v>41662661.609375</v>
      </c>
      <c r="P31" s="199">
        <v>33174972.8203125</v>
      </c>
      <c r="Q31" s="199">
        <v>1154466.1171875</v>
      </c>
      <c r="R31" s="199">
        <v>13680090.765625</v>
      </c>
      <c r="S31" s="199">
        <v>14255603.2109375</v>
      </c>
      <c r="T31" s="199">
        <v>55342747.1015625</v>
      </c>
      <c r="U31" s="199">
        <v>28921032.671875</v>
      </c>
      <c r="V31" s="199">
        <v>4963944.984375</v>
      </c>
      <c r="W31" s="199">
        <v>4645450.90625</v>
      </c>
      <c r="X31" s="199">
        <v>2888117.2578125</v>
      </c>
    </row>
    <row r="32" spans="1:24">
      <c r="A32" s="1404"/>
      <c r="B32" s="1404"/>
      <c r="C32" s="198">
        <v>2019</v>
      </c>
      <c r="D32" s="199">
        <v>58487844.068376102</v>
      </c>
      <c r="E32" s="199">
        <v>37238628.931623898</v>
      </c>
      <c r="F32" s="199">
        <v>21249216.658119701</v>
      </c>
      <c r="G32" s="199">
        <v>17081415.965812001</v>
      </c>
      <c r="H32" s="199">
        <v>4167799.8034187998</v>
      </c>
      <c r="I32" s="199">
        <v>865199.89743589703</v>
      </c>
      <c r="J32" s="199">
        <v>2903689.7777777798</v>
      </c>
      <c r="K32" s="199">
        <v>2129309.9230769202</v>
      </c>
      <c r="L32" s="199">
        <v>928668.89743589703</v>
      </c>
      <c r="M32" s="199">
        <v>1200640.8974359001</v>
      </c>
      <c r="N32" s="199">
        <v>1401897.4444444401</v>
      </c>
      <c r="O32" s="199">
        <v>47823575.025641002</v>
      </c>
      <c r="P32" s="199">
        <v>39884719.230769202</v>
      </c>
      <c r="Q32" s="199">
        <v>1263205.3247863201</v>
      </c>
      <c r="R32" s="199">
        <v>21083963.982905999</v>
      </c>
      <c r="S32" s="199">
        <v>19588084.188034199</v>
      </c>
      <c r="T32" s="199">
        <v>68907539.940170899</v>
      </c>
      <c r="U32" s="199">
        <v>33951143.188034199</v>
      </c>
      <c r="V32" s="199">
        <v>5860235.5982905999</v>
      </c>
      <c r="W32" s="199">
        <v>5425276.7179487199</v>
      </c>
      <c r="X32" s="199">
        <v>3034456.6068376098</v>
      </c>
    </row>
    <row r="33" spans="1:24">
      <c r="A33" s="1402">
        <v>91</v>
      </c>
      <c r="B33" s="1402" t="s">
        <v>2508</v>
      </c>
      <c r="C33" s="198">
        <v>2017</v>
      </c>
      <c r="D33" s="199">
        <v>9820640.2548038699</v>
      </c>
      <c r="E33" s="199">
        <v>8088702.9698692402</v>
      </c>
      <c r="F33" s="199">
        <v>1731937.24786811</v>
      </c>
      <c r="G33" s="199">
        <v>1235998.1180215999</v>
      </c>
      <c r="H33" s="199">
        <v>495939.10903922701</v>
      </c>
      <c r="I33" s="199">
        <v>219700.13496304699</v>
      </c>
      <c r="J33" s="199">
        <v>331950.689596362</v>
      </c>
      <c r="K33" s="199">
        <v>383688.554405912</v>
      </c>
      <c r="L33" s="199">
        <v>89062.074360432103</v>
      </c>
      <c r="M33" s="199">
        <v>295775.84036384302</v>
      </c>
      <c r="N33" s="199">
        <v>49880.638430926701</v>
      </c>
      <c r="O33" s="199">
        <v>6856805.8264923301</v>
      </c>
      <c r="P33" s="199">
        <v>4781398.72552587</v>
      </c>
      <c r="Q33" s="199">
        <v>178993.62660602599</v>
      </c>
      <c r="R33" s="199">
        <v>4776132.7799886297</v>
      </c>
      <c r="S33" s="199">
        <v>3722472.0892552598</v>
      </c>
      <c r="T33" s="199">
        <v>11635333.069584999</v>
      </c>
      <c r="U33" s="199">
        <v>5859365.9605457596</v>
      </c>
      <c r="V33" s="199">
        <v>1754400.2924388901</v>
      </c>
      <c r="W33" s="199">
        <v>1167287.28504832</v>
      </c>
      <c r="X33" s="199">
        <v>1006904.8005685</v>
      </c>
    </row>
    <row r="34" spans="1:24">
      <c r="A34" s="1403"/>
      <c r="B34" s="1403"/>
      <c r="C34" s="198">
        <v>2018</v>
      </c>
      <c r="D34" s="199">
        <v>9159456.7868076507</v>
      </c>
      <c r="E34" s="199">
        <v>7597275.62286002</v>
      </c>
      <c r="F34" s="199">
        <v>1562181.02114804</v>
      </c>
      <c r="G34" s="199">
        <v>1161365.3368580099</v>
      </c>
      <c r="H34" s="199">
        <v>400815.66414904298</v>
      </c>
      <c r="I34" s="199">
        <v>247795.403423968</v>
      </c>
      <c r="J34" s="199">
        <v>278320.843806647</v>
      </c>
      <c r="K34" s="199">
        <v>370290.22376636497</v>
      </c>
      <c r="L34" s="199">
        <v>89031.614199395801</v>
      </c>
      <c r="M34" s="199">
        <v>280108.21661631402</v>
      </c>
      <c r="N34" s="199">
        <v>164354.18489425999</v>
      </c>
      <c r="O34" s="199">
        <v>6209272.4980866099</v>
      </c>
      <c r="P34" s="199">
        <v>4494681.2839879198</v>
      </c>
      <c r="Q34" s="199">
        <v>161673.979355488</v>
      </c>
      <c r="R34" s="199">
        <v>4573999.33444109</v>
      </c>
      <c r="S34" s="199">
        <v>3298673.7287009102</v>
      </c>
      <c r="T34" s="199">
        <v>10785486.52286</v>
      </c>
      <c r="U34" s="199">
        <v>5375576.0931520602</v>
      </c>
      <c r="V34" s="199">
        <v>1603135.4630412899</v>
      </c>
      <c r="W34" s="199">
        <v>1128228.8274924499</v>
      </c>
      <c r="X34" s="199">
        <v>882248.93585095694</v>
      </c>
    </row>
    <row r="35" spans="1:24">
      <c r="A35" s="1404"/>
      <c r="B35" s="1404"/>
      <c r="C35" s="198">
        <v>2019</v>
      </c>
      <c r="D35" s="199">
        <v>9641785.1961323004</v>
      </c>
      <c r="E35" s="199">
        <v>7968185.3804290397</v>
      </c>
      <c r="F35" s="199">
        <v>1673599.62580577</v>
      </c>
      <c r="G35" s="199">
        <v>1241888.2237134101</v>
      </c>
      <c r="H35" s="199">
        <v>431711.41403360502</v>
      </c>
      <c r="I35" s="199">
        <v>261127.58607207</v>
      </c>
      <c r="J35" s="199">
        <v>305257.98996089998</v>
      </c>
      <c r="K35" s="199">
        <v>387581.01014477399</v>
      </c>
      <c r="L35" s="199">
        <v>81996.461798584001</v>
      </c>
      <c r="M35" s="199">
        <v>306615.37852689403</v>
      </c>
      <c r="N35" s="199">
        <v>170863.945577512</v>
      </c>
      <c r="O35" s="199">
        <v>6776634.1410757704</v>
      </c>
      <c r="P35" s="199">
        <v>4855665.6034027301</v>
      </c>
      <c r="Q35" s="199">
        <v>232466.77565254099</v>
      </c>
      <c r="R35" s="199">
        <v>4933589.0774595803</v>
      </c>
      <c r="S35" s="199">
        <v>3547235.5170664699</v>
      </c>
      <c r="T35" s="199">
        <v>11712710.8878791</v>
      </c>
      <c r="U35" s="199">
        <v>5784352.6318292301</v>
      </c>
      <c r="V35" s="199">
        <v>1672809.11529113</v>
      </c>
      <c r="W35" s="199">
        <v>1235874.1276550801</v>
      </c>
      <c r="X35" s="199">
        <v>896729.88122159999</v>
      </c>
    </row>
    <row r="36" spans="1:24">
      <c r="A36" s="1402">
        <v>92</v>
      </c>
      <c r="B36" s="1402" t="s">
        <v>2509</v>
      </c>
      <c r="C36" s="198">
        <v>2017</v>
      </c>
      <c r="D36" s="199">
        <v>7951340.5761754299</v>
      </c>
      <c r="E36" s="199">
        <v>4749890.7965144096</v>
      </c>
      <c r="F36" s="199">
        <v>3201449.9340227898</v>
      </c>
      <c r="G36" s="199">
        <v>2757826.4927702802</v>
      </c>
      <c r="H36" s="199">
        <v>443623.39921478502</v>
      </c>
      <c r="I36" s="199">
        <v>264869.27923010598</v>
      </c>
      <c r="J36" s="199">
        <v>275498.51345398801</v>
      </c>
      <c r="K36" s="199">
        <v>432994.16499090299</v>
      </c>
      <c r="L36" s="199">
        <v>127603.18931341601</v>
      </c>
      <c r="M36" s="199">
        <v>304779.11557981401</v>
      </c>
      <c r="N36" s="199">
        <v>133033.688307957</v>
      </c>
      <c r="O36" s="199">
        <v>4967768.9118069503</v>
      </c>
      <c r="P36" s="199">
        <v>2043416.4650004799</v>
      </c>
      <c r="Q36" s="199">
        <v>733523.80302594998</v>
      </c>
      <c r="R36" s="199">
        <v>4291945.5858469801</v>
      </c>
      <c r="S36" s="199">
        <v>2654080.8103035502</v>
      </c>
      <c r="T36" s="199">
        <v>9266506.4502537604</v>
      </c>
      <c r="U36" s="199">
        <v>4013868.00268122</v>
      </c>
      <c r="V36" s="199">
        <v>1159833.0537202</v>
      </c>
      <c r="W36" s="199">
        <v>243365.949439816</v>
      </c>
      <c r="X36" s="199">
        <v>464577.62922531803</v>
      </c>
    </row>
    <row r="37" spans="1:24">
      <c r="A37" s="1403"/>
      <c r="B37" s="1403"/>
      <c r="C37" s="198">
        <v>2018</v>
      </c>
      <c r="D37" s="199">
        <v>8332954.1510070199</v>
      </c>
      <c r="E37" s="199">
        <v>4923581.4920258801</v>
      </c>
      <c r="F37" s="199">
        <v>3409207.5129864202</v>
      </c>
      <c r="G37" s="199">
        <v>2935530.91952975</v>
      </c>
      <c r="H37" s="199">
        <v>473749.83331814501</v>
      </c>
      <c r="I37" s="199">
        <v>316599.16422127001</v>
      </c>
      <c r="J37" s="199">
        <v>333898.65588262101</v>
      </c>
      <c r="K37" s="199">
        <v>456450.34165679401</v>
      </c>
      <c r="L37" s="199">
        <v>148984.09350223301</v>
      </c>
      <c r="M37" s="199">
        <v>307751.68814362498</v>
      </c>
      <c r="N37" s="199">
        <v>188611.091952975</v>
      </c>
      <c r="O37" s="199">
        <v>5272745.97156657</v>
      </c>
      <c r="P37" s="199">
        <v>2114656.1142805102</v>
      </c>
      <c r="Q37" s="199">
        <v>800873.27075549099</v>
      </c>
      <c r="R37" s="199">
        <v>4566826.3819374796</v>
      </c>
      <c r="S37" s="199">
        <v>2765329.7176706502</v>
      </c>
      <c r="T37" s="199">
        <v>9891913.8303107601</v>
      </c>
      <c r="U37" s="199">
        <v>4229598.9901576601</v>
      </c>
      <c r="V37" s="199">
        <v>1115662.9269115101</v>
      </c>
      <c r="W37" s="199">
        <v>285644.66180625203</v>
      </c>
      <c r="X37" s="199">
        <v>449304.69242686598</v>
      </c>
    </row>
    <row r="38" spans="1:24">
      <c r="A38" s="1404"/>
      <c r="B38" s="1404"/>
      <c r="C38" s="198">
        <v>2019</v>
      </c>
      <c r="D38" s="199">
        <v>9676126.8188413102</v>
      </c>
      <c r="E38" s="199">
        <v>5585235.4953148598</v>
      </c>
      <c r="F38" s="199">
        <v>4090610.1956675099</v>
      </c>
      <c r="G38" s="199">
        <v>3554265.8085642299</v>
      </c>
      <c r="H38" s="199">
        <v>536567.19455919403</v>
      </c>
      <c r="I38" s="199">
        <v>376144.20685138501</v>
      </c>
      <c r="J38" s="199">
        <v>484060.69471032702</v>
      </c>
      <c r="K38" s="199">
        <v>428650.70670025202</v>
      </c>
      <c r="L38" s="199">
        <v>151718.229420655</v>
      </c>
      <c r="M38" s="199">
        <v>274535.66559193999</v>
      </c>
      <c r="N38" s="199">
        <v>262828.27204030199</v>
      </c>
      <c r="O38" s="199">
        <v>6890409.9901259402</v>
      </c>
      <c r="P38" s="199">
        <v>2911654.8880604501</v>
      </c>
      <c r="Q38" s="199">
        <v>862672.73198992398</v>
      </c>
      <c r="R38" s="199">
        <v>5465633.3718891703</v>
      </c>
      <c r="S38" s="199">
        <v>3574547.1649370301</v>
      </c>
      <c r="T38" s="199">
        <v>12369578.7275567</v>
      </c>
      <c r="U38" s="199">
        <v>5509977.7500251904</v>
      </c>
      <c r="V38" s="199">
        <v>1313537.71586902</v>
      </c>
      <c r="W38" s="199">
        <v>348318.36191435799</v>
      </c>
      <c r="X38" s="199">
        <v>493709.27264483599</v>
      </c>
    </row>
    <row r="39" spans="1:24">
      <c r="A39" s="1402">
        <v>711</v>
      </c>
      <c r="B39" s="1402" t="s">
        <v>6</v>
      </c>
      <c r="C39" s="198">
        <v>2017</v>
      </c>
      <c r="D39" s="199">
        <v>21017029.026315801</v>
      </c>
      <c r="E39" s="199">
        <v>18357235.914473701</v>
      </c>
      <c r="F39" s="199">
        <v>2659793.2302631601</v>
      </c>
      <c r="G39" s="199">
        <v>1940958.7236842101</v>
      </c>
      <c r="H39" s="199">
        <v>718834.54605263204</v>
      </c>
      <c r="I39" s="199">
        <v>364791.61184210499</v>
      </c>
      <c r="J39" s="199">
        <v>312987.35526315798</v>
      </c>
      <c r="K39" s="199">
        <v>770638.80263157899</v>
      </c>
      <c r="L39" s="199">
        <v>150437.53947368401</v>
      </c>
      <c r="M39" s="199">
        <v>620201.28947368404</v>
      </c>
      <c r="N39" s="199">
        <v>79678.592105263204</v>
      </c>
      <c r="O39" s="199">
        <v>8313275.1644736798</v>
      </c>
      <c r="P39" s="199">
        <v>6763012.4736842103</v>
      </c>
      <c r="Q39" s="199">
        <v>119430.848684211</v>
      </c>
      <c r="R39" s="199">
        <v>6026871.7368421098</v>
      </c>
      <c r="S39" s="199">
        <v>5153412.5065789502</v>
      </c>
      <c r="T39" s="199">
        <v>14340146.335526301</v>
      </c>
      <c r="U39" s="199">
        <v>7639867.5131578902</v>
      </c>
      <c r="V39" s="199">
        <v>1917714.4605263199</v>
      </c>
      <c r="W39" s="199">
        <v>1582899.75</v>
      </c>
      <c r="X39" s="199">
        <v>663571.65131578897</v>
      </c>
    </row>
    <row r="40" spans="1:24">
      <c r="A40" s="1403"/>
      <c r="B40" s="1403"/>
      <c r="C40" s="198">
        <v>2018</v>
      </c>
      <c r="D40" s="199">
        <v>19639707.4438776</v>
      </c>
      <c r="E40" s="199">
        <v>17480148.979591802</v>
      </c>
      <c r="F40" s="199">
        <v>2159558.8265306102</v>
      </c>
      <c r="G40" s="199">
        <v>1709727.7959183699</v>
      </c>
      <c r="H40" s="199">
        <v>449830.94387755101</v>
      </c>
      <c r="I40" s="199">
        <v>292918.63265306101</v>
      </c>
      <c r="J40" s="199">
        <v>319781.15306122397</v>
      </c>
      <c r="K40" s="199">
        <v>422968.42346938798</v>
      </c>
      <c r="L40" s="199">
        <v>70506.943877551006</v>
      </c>
      <c r="M40" s="199">
        <v>352461.47959183698</v>
      </c>
      <c r="N40" s="199">
        <v>223002.933673469</v>
      </c>
      <c r="O40" s="199">
        <v>7577291.0612244904</v>
      </c>
      <c r="P40" s="199">
        <v>6138733.1224489799</v>
      </c>
      <c r="Q40" s="199">
        <v>94195.540816326495</v>
      </c>
      <c r="R40" s="199">
        <v>6142834.5102040796</v>
      </c>
      <c r="S40" s="199">
        <v>5130852.6887755096</v>
      </c>
      <c r="T40" s="199">
        <v>13720126.2704082</v>
      </c>
      <c r="U40" s="199">
        <v>7950439.7040816303</v>
      </c>
      <c r="V40" s="199">
        <v>1724386.91326531</v>
      </c>
      <c r="W40" s="199">
        <v>1544346.6479591799</v>
      </c>
      <c r="X40" s="199">
        <v>593803.67857142899</v>
      </c>
    </row>
    <row r="41" spans="1:24">
      <c r="A41" s="1404"/>
      <c r="B41" s="1404"/>
      <c r="C41" s="198">
        <v>2019</v>
      </c>
      <c r="D41" s="199">
        <v>20312930.288888901</v>
      </c>
      <c r="E41" s="199">
        <v>18465795.116666701</v>
      </c>
      <c r="F41" s="199">
        <v>1847135.7055555601</v>
      </c>
      <c r="G41" s="199">
        <v>1853096.2055555601</v>
      </c>
      <c r="H41" s="199">
        <v>-5960.6666666666697</v>
      </c>
      <c r="I41" s="199">
        <v>290468.161111111</v>
      </c>
      <c r="J41" s="199">
        <v>406851.05</v>
      </c>
      <c r="K41" s="199">
        <v>-122343.555555556</v>
      </c>
      <c r="L41" s="199">
        <v>-17912.061111111099</v>
      </c>
      <c r="M41" s="199">
        <v>-104431.522222222</v>
      </c>
      <c r="N41" s="199">
        <v>250469.172222222</v>
      </c>
      <c r="O41" s="199">
        <v>8509309.4388888907</v>
      </c>
      <c r="P41" s="199">
        <v>6816593.11666667</v>
      </c>
      <c r="Q41" s="199">
        <v>84301.366666666698</v>
      </c>
      <c r="R41" s="199">
        <v>6250969.2000000002</v>
      </c>
      <c r="S41" s="199">
        <v>5626726.0499999998</v>
      </c>
      <c r="T41" s="199">
        <v>14760278.705555599</v>
      </c>
      <c r="U41" s="199">
        <v>8598135.2944444399</v>
      </c>
      <c r="V41" s="199">
        <v>1855854.27222222</v>
      </c>
      <c r="W41" s="199">
        <v>1653588.6222222201</v>
      </c>
      <c r="X41" s="199">
        <v>726740.53888888902</v>
      </c>
    </row>
    <row r="42" spans="1:24">
      <c r="A42" s="1402">
        <v>712</v>
      </c>
      <c r="B42" s="1402" t="s">
        <v>1272</v>
      </c>
      <c r="C42" s="198">
        <v>2017</v>
      </c>
      <c r="D42" s="199">
        <v>11171844.9818809</v>
      </c>
      <c r="E42" s="199">
        <v>9901357.9991371892</v>
      </c>
      <c r="F42" s="199">
        <v>1270486.78257118</v>
      </c>
      <c r="G42" s="199">
        <v>948541.38395168202</v>
      </c>
      <c r="H42" s="199">
        <v>321945.39516824798</v>
      </c>
      <c r="I42" s="199">
        <v>119708.762726488</v>
      </c>
      <c r="J42" s="199">
        <v>134301.05522001701</v>
      </c>
      <c r="K42" s="199">
        <v>307353.10267471999</v>
      </c>
      <c r="L42" s="199">
        <v>53598.566005176901</v>
      </c>
      <c r="M42" s="199">
        <v>257305.62295081999</v>
      </c>
      <c r="N42" s="199">
        <v>33548.831751509897</v>
      </c>
      <c r="O42" s="199">
        <v>2975952.7325280402</v>
      </c>
      <c r="P42" s="199">
        <v>2288196.0103537501</v>
      </c>
      <c r="Q42" s="199">
        <v>54403.297670405504</v>
      </c>
      <c r="R42" s="199">
        <v>2457794.7109577199</v>
      </c>
      <c r="S42" s="199">
        <v>1856004.5081967199</v>
      </c>
      <c r="T42" s="199">
        <v>5433747.5116479704</v>
      </c>
      <c r="U42" s="199">
        <v>3293826.3321829201</v>
      </c>
      <c r="V42" s="199">
        <v>1026079.4547023301</v>
      </c>
      <c r="W42" s="199">
        <v>656945.28990509105</v>
      </c>
      <c r="X42" s="199">
        <v>391335.61000862799</v>
      </c>
    </row>
    <row r="43" spans="1:24">
      <c r="A43" s="1403"/>
      <c r="B43" s="1403"/>
      <c r="C43" s="198">
        <v>2018</v>
      </c>
      <c r="D43" s="199">
        <v>11783973.721201999</v>
      </c>
      <c r="E43" s="199">
        <v>10131730.8414023</v>
      </c>
      <c r="F43" s="199">
        <v>1306381.2278797999</v>
      </c>
      <c r="G43" s="199">
        <v>1037055.64357262</v>
      </c>
      <c r="H43" s="199">
        <v>352147.10350584303</v>
      </c>
      <c r="I43" s="199">
        <v>76033.829716193693</v>
      </c>
      <c r="J43" s="199">
        <v>140420.136894825</v>
      </c>
      <c r="K43" s="199">
        <v>287760.79632721201</v>
      </c>
      <c r="L43" s="199">
        <v>51559.514190317197</v>
      </c>
      <c r="M43" s="199">
        <v>236201.29632721201</v>
      </c>
      <c r="N43" s="199">
        <v>104803.461602671</v>
      </c>
      <c r="O43" s="199">
        <v>3158123.0767946602</v>
      </c>
      <c r="P43" s="199">
        <v>2482286.6060100198</v>
      </c>
      <c r="Q43" s="199">
        <v>51082.209515859802</v>
      </c>
      <c r="R43" s="199">
        <v>2757011.6886477498</v>
      </c>
      <c r="S43" s="199">
        <v>1982749.4716193699</v>
      </c>
      <c r="T43" s="199">
        <v>7751251.5734557603</v>
      </c>
      <c r="U43" s="199">
        <v>5264298.9432387296</v>
      </c>
      <c r="V43" s="199">
        <v>1072447.0267111899</v>
      </c>
      <c r="W43" s="199">
        <v>822705.902337229</v>
      </c>
      <c r="X43" s="199">
        <v>439104.55175292201</v>
      </c>
    </row>
    <row r="44" spans="1:24">
      <c r="A44" s="1404"/>
      <c r="B44" s="1404"/>
      <c r="C44" s="198">
        <v>2019</v>
      </c>
      <c r="D44" s="199">
        <v>12554183.866355101</v>
      </c>
      <c r="E44" s="199">
        <v>11184715.8850467</v>
      </c>
      <c r="F44" s="199">
        <v>1369467.99439252</v>
      </c>
      <c r="G44" s="199">
        <v>1133913.30373832</v>
      </c>
      <c r="H44" s="199">
        <v>235554.680373832</v>
      </c>
      <c r="I44" s="199">
        <v>88486.9738317757</v>
      </c>
      <c r="J44" s="199">
        <v>165534.06168224299</v>
      </c>
      <c r="K44" s="199">
        <v>158507.592523364</v>
      </c>
      <c r="L44" s="199">
        <v>41144.872897196299</v>
      </c>
      <c r="M44" s="199">
        <v>117362.71308411199</v>
      </c>
      <c r="N44" s="199">
        <v>104535.152336449</v>
      </c>
      <c r="O44" s="199">
        <v>3678061.0897196298</v>
      </c>
      <c r="P44" s="199">
        <v>2889982.6168224299</v>
      </c>
      <c r="Q44" s="199">
        <v>47449.703738317803</v>
      </c>
      <c r="R44" s="199">
        <v>3097059.2887850502</v>
      </c>
      <c r="S44" s="199">
        <v>2413990.4177570101</v>
      </c>
      <c r="T44" s="199">
        <v>6775120.5037383204</v>
      </c>
      <c r="U44" s="199">
        <v>4214646.8252336401</v>
      </c>
      <c r="V44" s="199">
        <v>1150225.18598131</v>
      </c>
      <c r="W44" s="199">
        <v>1044033.31214953</v>
      </c>
      <c r="X44" s="199">
        <v>499638.318691589</v>
      </c>
    </row>
    <row r="45" spans="1:24">
      <c r="A45" s="1402">
        <v>721</v>
      </c>
      <c r="B45" s="1402" t="s">
        <v>1464</v>
      </c>
      <c r="C45" s="198">
        <v>2017</v>
      </c>
      <c r="D45" s="199">
        <v>11386516.6021898</v>
      </c>
      <c r="E45" s="199">
        <v>9277363.6916058399</v>
      </c>
      <c r="F45" s="199">
        <v>2109153.3339416101</v>
      </c>
      <c r="G45" s="199">
        <v>1710979.5346715299</v>
      </c>
      <c r="H45" s="199">
        <v>398173.775547445</v>
      </c>
      <c r="I45" s="199">
        <v>169327.576642336</v>
      </c>
      <c r="J45" s="199">
        <v>207116.25729926999</v>
      </c>
      <c r="K45" s="199">
        <v>360385.09489051101</v>
      </c>
      <c r="L45" s="199">
        <v>72519.972627737196</v>
      </c>
      <c r="M45" s="199">
        <v>287865.07846715301</v>
      </c>
      <c r="N45" s="199">
        <v>39056.558394160602</v>
      </c>
      <c r="O45" s="199">
        <v>4660141.2554744501</v>
      </c>
      <c r="P45" s="199">
        <v>2998620.4105839399</v>
      </c>
      <c r="Q45" s="199">
        <v>69868.967153284699</v>
      </c>
      <c r="R45" s="199">
        <v>3789187.3083941601</v>
      </c>
      <c r="S45" s="199">
        <v>2852306.9324817499</v>
      </c>
      <c r="T45" s="199">
        <v>8450415.8686131407</v>
      </c>
      <c r="U45" s="199">
        <v>4853582.54744526</v>
      </c>
      <c r="V45" s="199">
        <v>1204076.87408759</v>
      </c>
      <c r="W45" s="199">
        <v>1631639.2189781</v>
      </c>
      <c r="X45" s="199">
        <v>729075.96350365004</v>
      </c>
    </row>
    <row r="46" spans="1:24">
      <c r="A46" s="1403"/>
      <c r="B46" s="1403"/>
      <c r="C46" s="198">
        <v>2018</v>
      </c>
      <c r="D46" s="199">
        <v>10075590.2235469</v>
      </c>
      <c r="E46" s="199">
        <v>8299769.8315946301</v>
      </c>
      <c r="F46" s="199">
        <v>1775819.2175856901</v>
      </c>
      <c r="G46" s="199">
        <v>1397545.5514157999</v>
      </c>
      <c r="H46" s="199">
        <v>378273.69448584202</v>
      </c>
      <c r="I46" s="199">
        <v>94423.733233979103</v>
      </c>
      <c r="J46" s="199">
        <v>181215.82414307</v>
      </c>
      <c r="K46" s="199">
        <v>291481.60357675102</v>
      </c>
      <c r="L46" s="199">
        <v>54921.512667660201</v>
      </c>
      <c r="M46" s="199">
        <v>236560.08941877799</v>
      </c>
      <c r="N46" s="199">
        <v>93387.994038748104</v>
      </c>
      <c r="O46" s="199">
        <v>4184895.0789865898</v>
      </c>
      <c r="P46" s="199">
        <v>2790923.3263785401</v>
      </c>
      <c r="Q46" s="199">
        <v>70609.318926974694</v>
      </c>
      <c r="R46" s="199">
        <v>3517213.6795827099</v>
      </c>
      <c r="S46" s="199">
        <v>2591706.6453055101</v>
      </c>
      <c r="T46" s="199">
        <v>7702108.9314456005</v>
      </c>
      <c r="U46" s="199">
        <v>4369106.7138599101</v>
      </c>
      <c r="V46" s="199">
        <v>1045786.66766021</v>
      </c>
      <c r="W46" s="199">
        <v>1652658.20566319</v>
      </c>
      <c r="X46" s="199">
        <v>575637.56035767496</v>
      </c>
    </row>
    <row r="47" spans="1:24">
      <c r="A47" s="1404"/>
      <c r="B47" s="1404"/>
      <c r="C47" s="198">
        <v>2019</v>
      </c>
      <c r="D47" s="199">
        <v>11180642.447077399</v>
      </c>
      <c r="E47" s="199">
        <v>9159532.3428120092</v>
      </c>
      <c r="F47" s="199">
        <v>2021111.1516587699</v>
      </c>
      <c r="G47" s="199">
        <v>1618171.4028435999</v>
      </c>
      <c r="H47" s="199">
        <v>402939.85466034798</v>
      </c>
      <c r="I47" s="199">
        <v>243388.402843602</v>
      </c>
      <c r="J47" s="199">
        <v>250569.647709321</v>
      </c>
      <c r="K47" s="199">
        <v>395758.60979462898</v>
      </c>
      <c r="L47" s="199">
        <v>60539.600315955802</v>
      </c>
      <c r="M47" s="199">
        <v>335218.96998420201</v>
      </c>
      <c r="N47" s="199">
        <v>98334.6840442338</v>
      </c>
      <c r="O47" s="199">
        <v>4675642.3428120101</v>
      </c>
      <c r="P47" s="199">
        <v>3144019.2227488202</v>
      </c>
      <c r="Q47" s="199">
        <v>85372.361769352297</v>
      </c>
      <c r="R47" s="199">
        <v>3972026.0521327001</v>
      </c>
      <c r="S47" s="199">
        <v>2958519.2132701399</v>
      </c>
      <c r="T47" s="199">
        <v>8647667.9383886307</v>
      </c>
      <c r="U47" s="199">
        <v>4907821.6050552903</v>
      </c>
      <c r="V47" s="199">
        <v>1186177.7867298599</v>
      </c>
      <c r="W47" s="199">
        <v>1806564.7440758301</v>
      </c>
      <c r="X47" s="199">
        <v>747193.22590837302</v>
      </c>
    </row>
    <row r="48" spans="1:24">
      <c r="A48" s="1402">
        <v>722</v>
      </c>
      <c r="B48" s="1402" t="s">
        <v>1465</v>
      </c>
      <c r="C48" s="198">
        <v>2017</v>
      </c>
      <c r="D48" s="199">
        <v>6323075.2840909101</v>
      </c>
      <c r="E48" s="199">
        <v>5267562</v>
      </c>
      <c r="F48" s="199">
        <v>1055513.2954545501</v>
      </c>
      <c r="G48" s="199">
        <v>654770.72727272694</v>
      </c>
      <c r="H48" s="199">
        <v>400742.534090909</v>
      </c>
      <c r="I48" s="199">
        <v>83211.9829545455</v>
      </c>
      <c r="J48" s="199">
        <v>148050.022727273</v>
      </c>
      <c r="K48" s="199">
        <v>335904.494318182</v>
      </c>
      <c r="L48" s="199">
        <v>48229.7670454545</v>
      </c>
      <c r="M48" s="199">
        <v>287674.647727273</v>
      </c>
      <c r="N48" s="199">
        <v>24525.2613636364</v>
      </c>
      <c r="O48" s="199">
        <v>2405877.7840909101</v>
      </c>
      <c r="P48" s="199">
        <v>2117291.6875</v>
      </c>
      <c r="Q48" s="199">
        <v>22807.5625</v>
      </c>
      <c r="R48" s="199">
        <v>2453364.5965909101</v>
      </c>
      <c r="S48" s="199">
        <v>1353783.0795454499</v>
      </c>
      <c r="T48" s="199">
        <v>4859242.3011363596</v>
      </c>
      <c r="U48" s="199">
        <v>2985107.2897727299</v>
      </c>
      <c r="V48" s="199">
        <v>590991.51704545505</v>
      </c>
      <c r="W48" s="199">
        <v>1030037.77840909</v>
      </c>
      <c r="X48" s="199">
        <v>298722.590909091</v>
      </c>
    </row>
    <row r="49" spans="1:24">
      <c r="A49" s="1403"/>
      <c r="B49" s="1403"/>
      <c r="C49" s="198">
        <v>2018</v>
      </c>
      <c r="D49" s="199">
        <v>5766418.6055776896</v>
      </c>
      <c r="E49" s="199">
        <v>4876316.4820717098</v>
      </c>
      <c r="F49" s="199">
        <v>890102.03585657396</v>
      </c>
      <c r="G49" s="199">
        <v>544749.16334661399</v>
      </c>
      <c r="H49" s="199">
        <v>345352.88446215098</v>
      </c>
      <c r="I49" s="199">
        <v>117063.53784860601</v>
      </c>
      <c r="J49" s="199">
        <v>137440.78486055799</v>
      </c>
      <c r="K49" s="199">
        <v>324975.63745019899</v>
      </c>
      <c r="L49" s="199">
        <v>44853.079681274903</v>
      </c>
      <c r="M49" s="199">
        <v>280122.54980079702</v>
      </c>
      <c r="N49" s="199">
        <v>128002.93625498</v>
      </c>
      <c r="O49" s="199">
        <v>2292941.7250995999</v>
      </c>
      <c r="P49" s="199">
        <v>2037373.9641434301</v>
      </c>
      <c r="Q49" s="199">
        <v>20828.8047808765</v>
      </c>
      <c r="R49" s="199">
        <v>2387733.3466135501</v>
      </c>
      <c r="S49" s="199">
        <v>1365930.87649402</v>
      </c>
      <c r="T49" s="199">
        <v>4680675.1792828701</v>
      </c>
      <c r="U49" s="199">
        <v>2881024.4900398399</v>
      </c>
      <c r="V49" s="199">
        <v>613577.08366533904</v>
      </c>
      <c r="W49" s="199">
        <v>1014634.57768924</v>
      </c>
      <c r="X49" s="199">
        <v>312837.41035856598</v>
      </c>
    </row>
    <row r="50" spans="1:24">
      <c r="A50" s="1404"/>
      <c r="B50" s="1404"/>
      <c r="C50" s="198">
        <v>2019</v>
      </c>
      <c r="D50" s="199">
        <v>6145817.5924369702</v>
      </c>
      <c r="E50" s="199">
        <v>5140427.3739495799</v>
      </c>
      <c r="F50" s="199">
        <v>1005390.1302520999</v>
      </c>
      <c r="G50" s="199">
        <v>611155.91176470602</v>
      </c>
      <c r="H50" s="199">
        <v>394234.19327731099</v>
      </c>
      <c r="I50" s="199">
        <v>103131.836134454</v>
      </c>
      <c r="J50" s="199">
        <v>133880.47899159699</v>
      </c>
      <c r="K50" s="199">
        <v>363485.55042016797</v>
      </c>
      <c r="L50" s="199">
        <v>55443.584033613399</v>
      </c>
      <c r="M50" s="199">
        <v>308041.95378151297</v>
      </c>
      <c r="N50" s="199">
        <v>122368.571428571</v>
      </c>
      <c r="O50" s="199">
        <v>2536962.70168067</v>
      </c>
      <c r="P50" s="199">
        <v>2260133.3865546202</v>
      </c>
      <c r="Q50" s="199">
        <v>23409.7016806723</v>
      </c>
      <c r="R50" s="199">
        <v>2721240.0126050399</v>
      </c>
      <c r="S50" s="199">
        <v>1583537.6050420201</v>
      </c>
      <c r="T50" s="199">
        <v>5258202.7731092405</v>
      </c>
      <c r="U50" s="199">
        <v>3282070.6848739502</v>
      </c>
      <c r="V50" s="199">
        <v>741386.97478991596</v>
      </c>
      <c r="W50" s="199">
        <v>1136140.9243697501</v>
      </c>
      <c r="X50" s="199">
        <v>392731.735294118</v>
      </c>
    </row>
    <row r="51" spans="1:24">
      <c r="A51" s="1402">
        <v>730</v>
      </c>
      <c r="B51" s="1402" t="s">
        <v>1275</v>
      </c>
      <c r="C51" s="198">
        <v>2017</v>
      </c>
      <c r="D51" s="199">
        <v>5115631.9299719902</v>
      </c>
      <c r="E51" s="199">
        <v>4213002.9929972002</v>
      </c>
      <c r="F51" s="199">
        <v>902628.95098039205</v>
      </c>
      <c r="G51" s="199">
        <v>714402.17927170906</v>
      </c>
      <c r="H51" s="199">
        <v>188226.79551820701</v>
      </c>
      <c r="I51" s="199">
        <v>37049.382352941197</v>
      </c>
      <c r="J51" s="199">
        <v>84919.476190476198</v>
      </c>
      <c r="K51" s="199">
        <v>140356.70168067201</v>
      </c>
      <c r="L51" s="199">
        <v>19648.443977591</v>
      </c>
      <c r="M51" s="199">
        <v>120708.27310924399</v>
      </c>
      <c r="N51" s="199">
        <v>38384.852941176498</v>
      </c>
      <c r="O51" s="199">
        <v>2083523.65266106</v>
      </c>
      <c r="P51" s="199">
        <v>1760701.55322129</v>
      </c>
      <c r="Q51" s="199">
        <v>125229.215686275</v>
      </c>
      <c r="R51" s="199">
        <v>1701153.4019607799</v>
      </c>
      <c r="S51" s="199">
        <v>1221833.4299719899</v>
      </c>
      <c r="T51" s="199">
        <v>3784677.1232492998</v>
      </c>
      <c r="U51" s="199">
        <v>2416664.62044818</v>
      </c>
      <c r="V51" s="199">
        <v>591702.87815126101</v>
      </c>
      <c r="W51" s="199">
        <v>591304.47338935605</v>
      </c>
      <c r="X51" s="199">
        <v>285833.02661064401</v>
      </c>
    </row>
    <row r="52" spans="1:24">
      <c r="A52" s="1403"/>
      <c r="B52" s="1403"/>
      <c r="C52" s="198">
        <v>2018</v>
      </c>
      <c r="D52" s="199">
        <v>4626831.0551351402</v>
      </c>
      <c r="E52" s="199">
        <v>3836756.1913513499</v>
      </c>
      <c r="F52" s="199">
        <v>772259.85729729699</v>
      </c>
      <c r="G52" s="199">
        <v>630985.86270270299</v>
      </c>
      <c r="H52" s="199">
        <v>145800.71891891901</v>
      </c>
      <c r="I52" s="199">
        <v>57395.451891891898</v>
      </c>
      <c r="J52" s="199">
        <v>100567.397837838</v>
      </c>
      <c r="K52" s="199">
        <v>102628.77297297301</v>
      </c>
      <c r="L52" s="199">
        <v>18516.512432432399</v>
      </c>
      <c r="M52" s="199">
        <v>84112.257297297299</v>
      </c>
      <c r="N52" s="199">
        <v>85032.385945945905</v>
      </c>
      <c r="O52" s="199">
        <v>1904911.09081081</v>
      </c>
      <c r="P52" s="199">
        <v>1667052.8540540501</v>
      </c>
      <c r="Q52" s="199">
        <v>80946.684324324306</v>
      </c>
      <c r="R52" s="199">
        <v>1685067.8475675699</v>
      </c>
      <c r="S52" s="199">
        <v>1140815.92216216</v>
      </c>
      <c r="T52" s="199">
        <v>3692002.2054054099</v>
      </c>
      <c r="U52" s="199">
        <v>2379753.3275675699</v>
      </c>
      <c r="V52" s="199">
        <v>521715.15351351397</v>
      </c>
      <c r="W52" s="199">
        <v>583410.09189189202</v>
      </c>
      <c r="X52" s="199">
        <v>260901.85729729701</v>
      </c>
    </row>
    <row r="53" spans="1:24">
      <c r="A53" s="1404"/>
      <c r="B53" s="1404"/>
      <c r="C53" s="198">
        <v>2019</v>
      </c>
      <c r="D53" s="199">
        <v>4736388.6185446</v>
      </c>
      <c r="E53" s="199">
        <v>3898479.7042253502</v>
      </c>
      <c r="F53" s="199">
        <v>837908.79225352104</v>
      </c>
      <c r="G53" s="199">
        <v>690514.035211268</v>
      </c>
      <c r="H53" s="199">
        <v>147394.74530516399</v>
      </c>
      <c r="I53" s="199">
        <v>100480.52230046901</v>
      </c>
      <c r="J53" s="199">
        <v>106295.21713614999</v>
      </c>
      <c r="K53" s="199">
        <v>141580.05046948401</v>
      </c>
      <c r="L53" s="199">
        <v>26399.3169014085</v>
      </c>
      <c r="M53" s="199">
        <v>115180.73826291101</v>
      </c>
      <c r="N53" s="199">
        <v>90437.201877934305</v>
      </c>
      <c r="O53" s="199">
        <v>2060002.7582159601</v>
      </c>
      <c r="P53" s="199">
        <v>1792321.7934272301</v>
      </c>
      <c r="Q53" s="199">
        <v>85807.300469483598</v>
      </c>
      <c r="R53" s="199">
        <v>1799560.29694836</v>
      </c>
      <c r="S53" s="199">
        <v>1180965.9624413101</v>
      </c>
      <c r="T53" s="199">
        <v>3859563.0281690098</v>
      </c>
      <c r="U53" s="199">
        <v>2406604.3051643199</v>
      </c>
      <c r="V53" s="199">
        <v>539882.61619718303</v>
      </c>
      <c r="W53" s="199">
        <v>621453.96361502295</v>
      </c>
      <c r="X53" s="199">
        <v>278877.11854460102</v>
      </c>
    </row>
    <row r="54" spans="1:24">
      <c r="A54" s="1402">
        <v>740</v>
      </c>
      <c r="B54" s="1402" t="s">
        <v>1276</v>
      </c>
      <c r="C54" s="198">
        <v>2017</v>
      </c>
      <c r="D54" s="199">
        <v>17428303.1089109</v>
      </c>
      <c r="E54" s="199">
        <v>15336962.069306901</v>
      </c>
      <c r="F54" s="199">
        <v>2091341.1089108901</v>
      </c>
      <c r="G54" s="199">
        <v>1546343.0099009899</v>
      </c>
      <c r="H54" s="199">
        <v>544998.11881188105</v>
      </c>
      <c r="I54" s="199">
        <v>378033.52475247497</v>
      </c>
      <c r="J54" s="199">
        <v>265452.09900990099</v>
      </c>
      <c r="K54" s="199">
        <v>657579.54455445497</v>
      </c>
      <c r="L54" s="199">
        <v>114452.60396039599</v>
      </c>
      <c r="M54" s="199">
        <v>543126.88118811895</v>
      </c>
      <c r="N54" s="199">
        <v>37410.257425742602</v>
      </c>
      <c r="O54" s="199">
        <v>6465861.3762376197</v>
      </c>
      <c r="P54" s="199">
        <v>3710195.7722772299</v>
      </c>
      <c r="Q54" s="199">
        <v>141808.18811881199</v>
      </c>
      <c r="R54" s="199">
        <v>6171260.6237623803</v>
      </c>
      <c r="S54" s="199">
        <v>4752702.2673267303</v>
      </c>
      <c r="T54" s="199">
        <v>12637121.920792099</v>
      </c>
      <c r="U54" s="199">
        <v>6339641.3663366297</v>
      </c>
      <c r="V54" s="199">
        <v>1819491.7722772299</v>
      </c>
      <c r="W54" s="199">
        <v>2039810.8712871301</v>
      </c>
      <c r="X54" s="199">
        <v>1269529.5049505001</v>
      </c>
    </row>
    <row r="55" spans="1:24">
      <c r="A55" s="1403"/>
      <c r="B55" s="1403"/>
      <c r="C55" s="198">
        <v>2018</v>
      </c>
      <c r="D55" s="199">
        <v>14106289.2790698</v>
      </c>
      <c r="E55" s="199">
        <v>12349685.558139499</v>
      </c>
      <c r="F55" s="199">
        <v>1756604.0852713201</v>
      </c>
      <c r="G55" s="199">
        <v>1100559.70542636</v>
      </c>
      <c r="H55" s="199">
        <v>656044.30232558097</v>
      </c>
      <c r="I55" s="199">
        <v>162085.67441860499</v>
      </c>
      <c r="J55" s="199">
        <v>284846.612403101</v>
      </c>
      <c r="K55" s="199">
        <v>533283.36434108496</v>
      </c>
      <c r="L55" s="199">
        <v>109582.565891473</v>
      </c>
      <c r="M55" s="199">
        <v>423700.84496124001</v>
      </c>
      <c r="N55" s="199">
        <v>133659.07751937999</v>
      </c>
      <c r="O55" s="199">
        <v>5479957.9612403102</v>
      </c>
      <c r="P55" s="199">
        <v>3300727.1627906999</v>
      </c>
      <c r="Q55" s="199">
        <v>121075.93798449601</v>
      </c>
      <c r="R55" s="199">
        <v>5458492.5813953504</v>
      </c>
      <c r="S55" s="199">
        <v>3931854.3798449598</v>
      </c>
      <c r="T55" s="199">
        <v>10938450.821705399</v>
      </c>
      <c r="U55" s="199">
        <v>5511936.3023255803</v>
      </c>
      <c r="V55" s="199">
        <v>1531824.3100775201</v>
      </c>
      <c r="W55" s="199">
        <v>1795823.5736434101</v>
      </c>
      <c r="X55" s="199">
        <v>1070723.7131782901</v>
      </c>
    </row>
    <row r="56" spans="1:24">
      <c r="A56" s="1404"/>
      <c r="B56" s="1404"/>
      <c r="C56" s="198">
        <v>2019</v>
      </c>
      <c r="D56" s="199">
        <v>10072894.629310301</v>
      </c>
      <c r="E56" s="199">
        <v>8820348.0086206906</v>
      </c>
      <c r="F56" s="199">
        <v>1252546.8534482799</v>
      </c>
      <c r="G56" s="199">
        <v>698894.53448275896</v>
      </c>
      <c r="H56" s="199">
        <v>553652.35344827594</v>
      </c>
      <c r="I56" s="199">
        <v>125771.586206897</v>
      </c>
      <c r="J56" s="199">
        <v>195846.344827586</v>
      </c>
      <c r="K56" s="199">
        <v>483577.59482758603</v>
      </c>
      <c r="L56" s="199">
        <v>100062.801724138</v>
      </c>
      <c r="M56" s="199">
        <v>383514.80172413797</v>
      </c>
      <c r="N56" s="199">
        <v>118196.336206897</v>
      </c>
      <c r="O56" s="199">
        <v>5345976.6034482801</v>
      </c>
      <c r="P56" s="199">
        <v>3178479.3017241401</v>
      </c>
      <c r="Q56" s="199">
        <v>110539.965517241</v>
      </c>
      <c r="R56" s="199">
        <v>4579902.2327586198</v>
      </c>
      <c r="S56" s="199">
        <v>2785008.7586206901</v>
      </c>
      <c r="T56" s="199">
        <v>9925878.1982758604</v>
      </c>
      <c r="U56" s="199">
        <v>4471067.5344827604</v>
      </c>
      <c r="V56" s="199">
        <v>1348044.1206896601</v>
      </c>
      <c r="W56" s="199">
        <v>1115438.68103448</v>
      </c>
      <c r="X56" s="199">
        <v>570025.77586206899</v>
      </c>
    </row>
    <row r="57" spans="1:24">
      <c r="A57" s="1402">
        <v>750</v>
      </c>
      <c r="B57" s="1402" t="s">
        <v>1277</v>
      </c>
      <c r="C57" s="198">
        <v>2017</v>
      </c>
      <c r="D57" s="199">
        <v>114503277.85294101</v>
      </c>
      <c r="E57" s="199">
        <v>78545688.6029412</v>
      </c>
      <c r="F57" s="199">
        <v>35957581.2058824</v>
      </c>
      <c r="G57" s="199">
        <v>31009225.3088235</v>
      </c>
      <c r="H57" s="199">
        <v>4948354.8823529398</v>
      </c>
      <c r="I57" s="199">
        <v>3157202.6764705898</v>
      </c>
      <c r="J57" s="199">
        <v>2703173.7794117602</v>
      </c>
      <c r="K57" s="199">
        <v>5402383.7794117602</v>
      </c>
      <c r="L57" s="199">
        <v>1429242.88235294</v>
      </c>
      <c r="M57" s="199">
        <v>6731752.9705882398</v>
      </c>
      <c r="N57" s="199">
        <v>1183042.9852941199</v>
      </c>
      <c r="O57" s="199">
        <v>54265259.808823504</v>
      </c>
      <c r="P57" s="199">
        <v>32391788.6764706</v>
      </c>
      <c r="Q57" s="199">
        <v>1342160.7794117599</v>
      </c>
      <c r="R57" s="199">
        <v>43212011.8235294</v>
      </c>
      <c r="S57" s="199">
        <v>20601714.6764706</v>
      </c>
      <c r="T57" s="199">
        <v>97477269.073529407</v>
      </c>
      <c r="U57" s="199">
        <v>28212346.4705882</v>
      </c>
      <c r="V57" s="199">
        <v>12708275.25</v>
      </c>
      <c r="W57" s="199">
        <v>9476812.9117647093</v>
      </c>
      <c r="X57" s="199">
        <v>6636753.1764705898</v>
      </c>
    </row>
    <row r="58" spans="1:24">
      <c r="A58" s="1403"/>
      <c r="B58" s="1403"/>
      <c r="C58" s="198">
        <v>2018</v>
      </c>
      <c r="D58" s="199">
        <v>122512798.722892</v>
      </c>
      <c r="E58" s="199">
        <v>86157262.903614506</v>
      </c>
      <c r="F58" s="199">
        <v>34172311</v>
      </c>
      <c r="G58" s="199">
        <v>29272578.469879501</v>
      </c>
      <c r="H58" s="199">
        <v>5240423.7590361396</v>
      </c>
      <c r="I58" s="199">
        <v>3412028.84337349</v>
      </c>
      <c r="J58" s="199">
        <v>2461012.6987951798</v>
      </c>
      <c r="K58" s="199">
        <v>6191439.9036144596</v>
      </c>
      <c r="L58" s="199">
        <v>1546527.6506024101</v>
      </c>
      <c r="M58" s="199">
        <v>4644913.2409638604</v>
      </c>
      <c r="N58" s="199">
        <v>1874016.02409639</v>
      </c>
      <c r="O58" s="199">
        <v>50032847.4939759</v>
      </c>
      <c r="P58" s="199">
        <v>32060110.771084301</v>
      </c>
      <c r="Q58" s="199">
        <v>1099495.6265060201</v>
      </c>
      <c r="R58" s="199">
        <v>56558470.734939799</v>
      </c>
      <c r="S58" s="199">
        <v>32825940.638554201</v>
      </c>
      <c r="T58" s="199">
        <v>112550080.36144599</v>
      </c>
      <c r="U58" s="199">
        <v>47647089.409638599</v>
      </c>
      <c r="V58" s="199">
        <v>11613900.204819299</v>
      </c>
      <c r="W58" s="199">
        <v>9471567.0722891595</v>
      </c>
      <c r="X58" s="199">
        <v>6040337.08433735</v>
      </c>
    </row>
    <row r="59" spans="1:24">
      <c r="A59" s="1404"/>
      <c r="B59" s="1404"/>
      <c r="C59" s="198">
        <v>2019</v>
      </c>
      <c r="D59" s="199">
        <v>122108201.626506</v>
      </c>
      <c r="E59" s="199">
        <v>87083188.6506024</v>
      </c>
      <c r="F59" s="199">
        <v>35025011.132530101</v>
      </c>
      <c r="G59" s="199">
        <v>29749819.915662698</v>
      </c>
      <c r="H59" s="199">
        <v>5275192.8554216903</v>
      </c>
      <c r="I59" s="199">
        <v>2825809.3855421701</v>
      </c>
      <c r="J59" s="199">
        <v>3078889.0240963902</v>
      </c>
      <c r="K59" s="199">
        <v>5022113.2168674702</v>
      </c>
      <c r="L59" s="199">
        <v>1303572.6265060201</v>
      </c>
      <c r="M59" s="199">
        <v>3718540.3132530102</v>
      </c>
      <c r="N59" s="199">
        <v>1637366.5662650601</v>
      </c>
      <c r="O59" s="199">
        <v>55521707.686747</v>
      </c>
      <c r="P59" s="199">
        <v>35387091.313253</v>
      </c>
      <c r="Q59" s="199">
        <v>1264325.5421686701</v>
      </c>
      <c r="R59" s="199">
        <v>58704677.120481901</v>
      </c>
      <c r="S59" s="199">
        <v>38852193.746987998</v>
      </c>
      <c r="T59" s="199">
        <v>114226382.566265</v>
      </c>
      <c r="U59" s="199">
        <v>47013932.421686701</v>
      </c>
      <c r="V59" s="199">
        <v>11806271.3253012</v>
      </c>
      <c r="W59" s="199">
        <v>10266330.746988</v>
      </c>
      <c r="X59" s="199">
        <v>5865946.4216867499</v>
      </c>
    </row>
    <row r="60" spans="1:24">
      <c r="A60" s="1402">
        <v>761</v>
      </c>
      <c r="B60" s="1402" t="s">
        <v>1278</v>
      </c>
      <c r="C60" s="198">
        <v>2017</v>
      </c>
      <c r="D60" s="199">
        <v>8091122.6440677997</v>
      </c>
      <c r="E60" s="199">
        <v>6791397.5932203401</v>
      </c>
      <c r="F60" s="199">
        <v>1299725.07909605</v>
      </c>
      <c r="G60" s="199">
        <v>915631.40960451995</v>
      </c>
      <c r="H60" s="199">
        <v>384093.72598870099</v>
      </c>
      <c r="I60" s="199">
        <v>131085.33898305101</v>
      </c>
      <c r="J60" s="199">
        <v>149006.09322033901</v>
      </c>
      <c r="K60" s="199">
        <v>366172.97175141203</v>
      </c>
      <c r="L60" s="199">
        <v>61698.0790960452</v>
      </c>
      <c r="M60" s="199">
        <v>304474.87288135599</v>
      </c>
      <c r="N60" s="199">
        <v>33293.819209039502</v>
      </c>
      <c r="O60" s="199">
        <v>4461429.78248588</v>
      </c>
      <c r="P60" s="199">
        <v>3008348.79661017</v>
      </c>
      <c r="Q60" s="199">
        <v>68055.836158192105</v>
      </c>
      <c r="R60" s="199">
        <v>3495412.4265536699</v>
      </c>
      <c r="S60" s="199">
        <v>2464027.1101694899</v>
      </c>
      <c r="T60" s="199">
        <v>7956842.4350282503</v>
      </c>
      <c r="U60" s="199">
        <v>3804053.4350282499</v>
      </c>
      <c r="V60" s="199">
        <v>895895.562146893</v>
      </c>
      <c r="W60" s="199">
        <v>1304998.0028248599</v>
      </c>
      <c r="X60" s="199">
        <v>360400.39548022603</v>
      </c>
    </row>
    <row r="61" spans="1:24">
      <c r="A61" s="1403"/>
      <c r="B61" s="1403"/>
      <c r="C61" s="198">
        <v>2018</v>
      </c>
      <c r="D61" s="199">
        <v>9228165.2326007299</v>
      </c>
      <c r="E61" s="199">
        <v>8145863.6520146504</v>
      </c>
      <c r="F61" s="199">
        <v>1038079.81318681</v>
      </c>
      <c r="G61" s="199">
        <v>713127.338827839</v>
      </c>
      <c r="H61" s="199">
        <v>334048.67948717898</v>
      </c>
      <c r="I61" s="199">
        <v>195770.00183150201</v>
      </c>
      <c r="J61" s="199">
        <v>170481.161172161</v>
      </c>
      <c r="K61" s="199">
        <v>359337.52014651999</v>
      </c>
      <c r="L61" s="199">
        <v>66991.992673992703</v>
      </c>
      <c r="M61" s="199">
        <v>293451.302197802</v>
      </c>
      <c r="N61" s="199">
        <v>125501.76007326</v>
      </c>
      <c r="O61" s="199">
        <v>3419146.7619047598</v>
      </c>
      <c r="P61" s="199">
        <v>2448052.6391941402</v>
      </c>
      <c r="Q61" s="199">
        <v>50221.309523809497</v>
      </c>
      <c r="R61" s="199">
        <v>4702551.6135531096</v>
      </c>
      <c r="S61" s="199">
        <v>3333616.2307692301</v>
      </c>
      <c r="T61" s="199">
        <v>8359378.1336996304</v>
      </c>
      <c r="U61" s="199">
        <v>4819176.2344322298</v>
      </c>
      <c r="V61" s="199">
        <v>869584.10989010998</v>
      </c>
      <c r="W61" s="199">
        <v>2059747.0329670301</v>
      </c>
      <c r="X61" s="199">
        <v>345484.10439560399</v>
      </c>
    </row>
    <row r="62" spans="1:24">
      <c r="A62" s="1404"/>
      <c r="B62" s="1404"/>
      <c r="C62" s="198">
        <v>2019</v>
      </c>
      <c r="D62" s="199">
        <v>9285447.0429104492</v>
      </c>
      <c r="E62" s="199">
        <v>8344858.06902985</v>
      </c>
      <c r="F62" s="199">
        <v>940589.29850746295</v>
      </c>
      <c r="G62" s="199">
        <v>725432.28358209005</v>
      </c>
      <c r="H62" s="199">
        <v>215157.02611940299</v>
      </c>
      <c r="I62" s="199">
        <v>129143.337686567</v>
      </c>
      <c r="J62" s="199">
        <v>161011.72761194</v>
      </c>
      <c r="K62" s="199">
        <v>183288.63619403</v>
      </c>
      <c r="L62" s="199">
        <v>25917.229477611902</v>
      </c>
      <c r="M62" s="199">
        <v>157371.41791044801</v>
      </c>
      <c r="N62" s="199">
        <v>133192.78731343299</v>
      </c>
      <c r="O62" s="199">
        <v>3545359.8507462698</v>
      </c>
      <c r="P62" s="199">
        <v>2462068.30597015</v>
      </c>
      <c r="Q62" s="199">
        <v>65986.854477611894</v>
      </c>
      <c r="R62" s="199">
        <v>4613629.4925373103</v>
      </c>
      <c r="S62" s="199">
        <v>2790470.125</v>
      </c>
      <c r="T62" s="199">
        <v>8158989.44589552</v>
      </c>
      <c r="U62" s="199">
        <v>4511448.1436567204</v>
      </c>
      <c r="V62" s="199">
        <v>885422.69776119397</v>
      </c>
      <c r="W62" s="199">
        <v>2060183.1641791</v>
      </c>
      <c r="X62" s="199">
        <v>385363.40671641799</v>
      </c>
    </row>
    <row r="63" spans="1:24">
      <c r="A63" s="1402">
        <v>762</v>
      </c>
      <c r="B63" s="1402" t="s">
        <v>1279</v>
      </c>
      <c r="C63" s="198">
        <v>2017</v>
      </c>
      <c r="D63" s="199">
        <v>88211950.40625</v>
      </c>
      <c r="E63" s="199">
        <v>64464338.1875</v>
      </c>
      <c r="F63" s="199">
        <v>23747605.84375</v>
      </c>
      <c r="G63" s="199">
        <v>19376778.84375</v>
      </c>
      <c r="H63" s="199">
        <v>4370823.375</v>
      </c>
      <c r="I63" s="199">
        <v>2097968.71875</v>
      </c>
      <c r="J63" s="199">
        <v>2984169.0625</v>
      </c>
      <c r="K63" s="199">
        <v>3484623.03125</v>
      </c>
      <c r="L63" s="199">
        <v>1050365.3125</v>
      </c>
      <c r="M63" s="199">
        <v>2434257.78125</v>
      </c>
      <c r="N63" s="199">
        <v>331051.5625</v>
      </c>
      <c r="O63" s="199">
        <v>47326247.125</v>
      </c>
      <c r="P63" s="199">
        <v>27665171.5</v>
      </c>
      <c r="Q63" s="199">
        <v>2307484.625</v>
      </c>
      <c r="R63" s="199">
        <v>29553835.875</v>
      </c>
      <c r="S63" s="199">
        <v>21210365.28125</v>
      </c>
      <c r="T63" s="199">
        <v>76880089.34375</v>
      </c>
      <c r="U63" s="199">
        <v>40240134.78125</v>
      </c>
      <c r="V63" s="199">
        <v>9940505.5</v>
      </c>
      <c r="W63" s="199">
        <v>9072815.9375</v>
      </c>
      <c r="X63" s="199">
        <v>5286603.9375</v>
      </c>
    </row>
    <row r="64" spans="1:24">
      <c r="A64" s="1403"/>
      <c r="B64" s="1403"/>
      <c r="C64" s="198">
        <v>2018</v>
      </c>
      <c r="D64" s="199">
        <v>72519635.171428606</v>
      </c>
      <c r="E64" s="199">
        <v>53936796.571428597</v>
      </c>
      <c r="F64" s="199">
        <v>18582832.057142898</v>
      </c>
      <c r="G64" s="199">
        <v>15072146.199999999</v>
      </c>
      <c r="H64" s="199">
        <v>3510685.9428571402</v>
      </c>
      <c r="I64" s="199">
        <v>2355648.0571428598</v>
      </c>
      <c r="J64" s="199">
        <v>2671840.31428571</v>
      </c>
      <c r="K64" s="199">
        <v>3194493.68571429</v>
      </c>
      <c r="L64" s="199">
        <v>928924.91428571404</v>
      </c>
      <c r="M64" s="199">
        <v>1951913.25714286</v>
      </c>
      <c r="N64" s="199">
        <v>358513.314285714</v>
      </c>
      <c r="O64" s="199">
        <v>40080152.514285699</v>
      </c>
      <c r="P64" s="199">
        <v>22844141.314285699</v>
      </c>
      <c r="Q64" s="199">
        <v>2021911.57142857</v>
      </c>
      <c r="R64" s="199">
        <v>23846438.828571402</v>
      </c>
      <c r="S64" s="199">
        <v>17767648.971428599</v>
      </c>
      <c r="T64" s="199">
        <v>63926594.8857143</v>
      </c>
      <c r="U64" s="199">
        <v>32925267.142857101</v>
      </c>
      <c r="V64" s="199">
        <v>8216251.4857142903</v>
      </c>
      <c r="W64" s="199">
        <v>7558077.2285714298</v>
      </c>
      <c r="X64" s="199">
        <v>3330490.0571428598</v>
      </c>
    </row>
    <row r="65" spans="1:24">
      <c r="A65" s="1404"/>
      <c r="B65" s="1404"/>
      <c r="C65" s="198">
        <v>2019</v>
      </c>
      <c r="D65" s="199">
        <v>79949759.028571397</v>
      </c>
      <c r="E65" s="199">
        <v>60391952.7714286</v>
      </c>
      <c r="F65" s="199">
        <v>19557815.399999999</v>
      </c>
      <c r="G65" s="199">
        <v>16286910.7428571</v>
      </c>
      <c r="H65" s="199">
        <v>3270904.7714285702</v>
      </c>
      <c r="I65" s="199">
        <v>4004341.1142857098</v>
      </c>
      <c r="J65" s="199">
        <v>3461125.1142857098</v>
      </c>
      <c r="K65" s="199">
        <v>3814120.7714285702</v>
      </c>
      <c r="L65" s="199">
        <v>1097813.05714286</v>
      </c>
      <c r="M65" s="199">
        <v>2736295.0857142899</v>
      </c>
      <c r="N65" s="199">
        <v>587734.48571428598</v>
      </c>
      <c r="O65" s="199">
        <v>44409352.514285699</v>
      </c>
      <c r="P65" s="199">
        <v>25213010.857142899</v>
      </c>
      <c r="Q65" s="199">
        <v>2754242.3714285698</v>
      </c>
      <c r="R65" s="199">
        <v>29967668.800000001</v>
      </c>
      <c r="S65" s="199">
        <v>23334433.714285702</v>
      </c>
      <c r="T65" s="199">
        <v>74377028.599999994</v>
      </c>
      <c r="U65" s="199">
        <v>41249578.171428598</v>
      </c>
      <c r="V65" s="199">
        <v>8442524.5999999996</v>
      </c>
      <c r="W65" s="199">
        <v>8756172.4857142903</v>
      </c>
      <c r="X65" s="199">
        <v>4261234.0285714297</v>
      </c>
    </row>
    <row r="66" spans="1:24">
      <c r="A66" s="1402">
        <v>770</v>
      </c>
      <c r="B66" s="1402" t="s">
        <v>1280</v>
      </c>
      <c r="C66" s="198">
        <v>2017</v>
      </c>
      <c r="D66" s="199">
        <v>36812703.8601695</v>
      </c>
      <c r="E66" s="199">
        <v>31141471.3813559</v>
      </c>
      <c r="F66" s="199">
        <v>5671231.99152542</v>
      </c>
      <c r="G66" s="199">
        <v>4359488.5042372895</v>
      </c>
      <c r="H66" s="199">
        <v>1311743</v>
      </c>
      <c r="I66" s="199">
        <v>1194454.1991525399</v>
      </c>
      <c r="J66" s="199">
        <v>1092820.3516949201</v>
      </c>
      <c r="K66" s="199">
        <v>1413376.8474576301</v>
      </c>
      <c r="L66" s="199">
        <v>387392.36440677999</v>
      </c>
      <c r="M66" s="199">
        <v>1025984.5</v>
      </c>
      <c r="N66" s="199">
        <v>92122.792372881406</v>
      </c>
      <c r="O66" s="199">
        <v>15709077.029661</v>
      </c>
      <c r="P66" s="199">
        <v>8400256.0084745791</v>
      </c>
      <c r="Q66" s="199">
        <v>316671.64830508502</v>
      </c>
      <c r="R66" s="199">
        <v>14410244.9957627</v>
      </c>
      <c r="S66" s="199">
        <v>13681168.351694901</v>
      </c>
      <c r="T66" s="199">
        <v>30119322.194915298</v>
      </c>
      <c r="U66" s="199">
        <v>15723267.5889831</v>
      </c>
      <c r="V66" s="199">
        <v>4814473.4788135597</v>
      </c>
      <c r="W66" s="199">
        <v>4024246.4745762702</v>
      </c>
      <c r="X66" s="199">
        <v>2035040.8474576301</v>
      </c>
    </row>
    <row r="67" spans="1:24">
      <c r="A67" s="1403"/>
      <c r="B67" s="1403"/>
      <c r="C67" s="198">
        <v>2018</v>
      </c>
      <c r="D67" s="199">
        <v>29813831.860248402</v>
      </c>
      <c r="E67" s="199">
        <v>24937491.3167702</v>
      </c>
      <c r="F67" s="199">
        <v>4291124.6987577602</v>
      </c>
      <c r="G67" s="199">
        <v>3571805.0031055901</v>
      </c>
      <c r="H67" s="199">
        <v>840261.92236024805</v>
      </c>
      <c r="I67" s="199">
        <v>766204.67701863404</v>
      </c>
      <c r="J67" s="199">
        <v>898133.13664596295</v>
      </c>
      <c r="K67" s="199">
        <v>708333.46273291903</v>
      </c>
      <c r="L67" s="199">
        <v>186261.23602484501</v>
      </c>
      <c r="M67" s="199">
        <v>522072.23602484498</v>
      </c>
      <c r="N67" s="199">
        <v>166579.51242236001</v>
      </c>
      <c r="O67" s="199">
        <v>13243882.127329201</v>
      </c>
      <c r="P67" s="199">
        <v>6765149.8167701904</v>
      </c>
      <c r="Q67" s="199">
        <v>260715.83229813699</v>
      </c>
      <c r="R67" s="199">
        <v>12592117.1552795</v>
      </c>
      <c r="S67" s="199">
        <v>12312173.049689399</v>
      </c>
      <c r="T67" s="199">
        <v>29759624.751552802</v>
      </c>
      <c r="U67" s="199">
        <v>18169807.6304348</v>
      </c>
      <c r="V67" s="199">
        <v>4000257.3509316798</v>
      </c>
      <c r="W67" s="199">
        <v>3837739.0683229798</v>
      </c>
      <c r="X67" s="199">
        <v>1791961.42236025</v>
      </c>
    </row>
    <row r="68" spans="1:24">
      <c r="A68" s="1404"/>
      <c r="B68" s="1404"/>
      <c r="C68" s="198">
        <v>2019</v>
      </c>
      <c r="D68" s="199">
        <v>32747447.800000001</v>
      </c>
      <c r="E68" s="199">
        <v>27812063.124137901</v>
      </c>
      <c r="F68" s="199">
        <v>4935386.8551724097</v>
      </c>
      <c r="G68" s="199">
        <v>3994894.29310345</v>
      </c>
      <c r="H68" s="199">
        <v>940492.17241379304</v>
      </c>
      <c r="I68" s="199">
        <v>971686.76206896605</v>
      </c>
      <c r="J68" s="199">
        <v>1332979.09310345</v>
      </c>
      <c r="K68" s="199">
        <v>579199.84137931</v>
      </c>
      <c r="L68" s="199">
        <v>233332.613793103</v>
      </c>
      <c r="M68" s="199">
        <v>345867.24827586202</v>
      </c>
      <c r="N68" s="199">
        <v>277089.96551724098</v>
      </c>
      <c r="O68" s="199">
        <v>14757706.7758621</v>
      </c>
      <c r="P68" s="199">
        <v>7558039.1310344804</v>
      </c>
      <c r="Q68" s="199">
        <v>282727.16206896602</v>
      </c>
      <c r="R68" s="199">
        <v>14973985.762069</v>
      </c>
      <c r="S68" s="199">
        <v>14051437.4068966</v>
      </c>
      <c r="T68" s="199">
        <v>29731692.720689699</v>
      </c>
      <c r="U68" s="199">
        <v>16307578.2517241</v>
      </c>
      <c r="V68" s="199">
        <v>4888561.70689655</v>
      </c>
      <c r="W68" s="199">
        <v>4437156.8</v>
      </c>
      <c r="X68" s="199">
        <v>2055093.36206897</v>
      </c>
    </row>
    <row r="69" spans="1:24">
      <c r="A69" s="1402">
        <v>791</v>
      </c>
      <c r="B69" s="1402" t="s">
        <v>1281</v>
      </c>
      <c r="C69" s="198">
        <v>2017</v>
      </c>
      <c r="D69" s="199">
        <v>18501867.239583299</v>
      </c>
      <c r="E69" s="199">
        <v>12439685.9765625</v>
      </c>
      <c r="F69" s="199">
        <v>6062181.2395833302</v>
      </c>
      <c r="G69" s="199">
        <v>5396816.96875</v>
      </c>
      <c r="H69" s="199">
        <v>665364.22916666698</v>
      </c>
      <c r="I69" s="199">
        <v>795095.09635416698</v>
      </c>
      <c r="J69" s="199">
        <v>341213.25520833302</v>
      </c>
      <c r="K69" s="199">
        <v>1119246.0703125</v>
      </c>
      <c r="L69" s="199">
        <v>143717.61979166701</v>
      </c>
      <c r="M69" s="199">
        <v>975528.53125</v>
      </c>
      <c r="N69" s="199">
        <v>225585.83072916701</v>
      </c>
      <c r="O69" s="199">
        <v>24050239.96875</v>
      </c>
      <c r="P69" s="199">
        <v>10811244.4479167</v>
      </c>
      <c r="Q69" s="199">
        <v>793886.34895833302</v>
      </c>
      <c r="R69" s="199">
        <v>5223679.7864583302</v>
      </c>
      <c r="S69" s="199">
        <v>6593480.8489583302</v>
      </c>
      <c r="T69" s="199">
        <v>29273920.802083299</v>
      </c>
      <c r="U69" s="199">
        <v>11622216.3125</v>
      </c>
      <c r="V69" s="199">
        <v>2475797.3229166698</v>
      </c>
      <c r="W69" s="199">
        <v>1275127.07552083</v>
      </c>
      <c r="X69" s="199">
        <v>1541043.8984375</v>
      </c>
    </row>
    <row r="70" spans="1:24">
      <c r="A70" s="1403"/>
      <c r="B70" s="1403"/>
      <c r="C70" s="198">
        <v>2018</v>
      </c>
      <c r="D70" s="199">
        <v>21005230.387173399</v>
      </c>
      <c r="E70" s="199">
        <v>13990220.085510699</v>
      </c>
      <c r="F70" s="199">
        <v>7015010.2209026096</v>
      </c>
      <c r="G70" s="199">
        <v>6036927.1353919199</v>
      </c>
      <c r="H70" s="199">
        <v>978082.94536817097</v>
      </c>
      <c r="I70" s="199">
        <v>473105.62707838498</v>
      </c>
      <c r="J70" s="199">
        <v>497253.622327791</v>
      </c>
      <c r="K70" s="199">
        <v>953934.950118765</v>
      </c>
      <c r="L70" s="199">
        <v>250113.68646080801</v>
      </c>
      <c r="M70" s="199">
        <v>703821.27553444204</v>
      </c>
      <c r="N70" s="199">
        <v>331730.75296912098</v>
      </c>
      <c r="O70" s="199">
        <v>24187931.263657998</v>
      </c>
      <c r="P70" s="199">
        <v>10665193.028503601</v>
      </c>
      <c r="Q70" s="199">
        <v>754981.70308788598</v>
      </c>
      <c r="R70" s="199">
        <v>4955881.1045130603</v>
      </c>
      <c r="S70" s="199">
        <v>5911710.1591448896</v>
      </c>
      <c r="T70" s="199">
        <v>29143811.273159102</v>
      </c>
      <c r="U70" s="199">
        <v>11271052.912114</v>
      </c>
      <c r="V70" s="199">
        <v>2118606.39904988</v>
      </c>
      <c r="W70" s="199">
        <v>1286145.7505938199</v>
      </c>
      <c r="X70" s="199">
        <v>1368563.4061757701</v>
      </c>
    </row>
    <row r="71" spans="1:24">
      <c r="A71" s="1404"/>
      <c r="B71" s="1404"/>
      <c r="C71" s="198">
        <v>2019</v>
      </c>
      <c r="D71" s="199">
        <v>20953797.1543779</v>
      </c>
      <c r="E71" s="199">
        <v>13825638.052995401</v>
      </c>
      <c r="F71" s="199">
        <v>7128159.7972350204</v>
      </c>
      <c r="G71" s="199">
        <v>6057667.11981567</v>
      </c>
      <c r="H71" s="199">
        <v>1070492.8433179699</v>
      </c>
      <c r="I71" s="199">
        <v>293880.85714285698</v>
      </c>
      <c r="J71" s="199">
        <v>676447.14516128995</v>
      </c>
      <c r="K71" s="199">
        <v>687926.555299539</v>
      </c>
      <c r="L71" s="199">
        <v>212928.05760368699</v>
      </c>
      <c r="M71" s="199">
        <v>474998.45161290298</v>
      </c>
      <c r="N71" s="199">
        <v>427788.99539170502</v>
      </c>
      <c r="O71" s="199">
        <v>24943755.2281106</v>
      </c>
      <c r="P71" s="199">
        <v>11748083.414746501</v>
      </c>
      <c r="Q71" s="199">
        <v>661769.54147465399</v>
      </c>
      <c r="R71" s="199">
        <v>4844006.9677419402</v>
      </c>
      <c r="S71" s="199">
        <v>6364919.0115207396</v>
      </c>
      <c r="T71" s="199">
        <v>29787761.5760369</v>
      </c>
      <c r="U71" s="199">
        <v>12359813.3686636</v>
      </c>
      <c r="V71" s="199">
        <v>2069126.3433179699</v>
      </c>
      <c r="W71" s="199">
        <v>1277236.65207373</v>
      </c>
      <c r="X71" s="199">
        <v>1312278.20276498</v>
      </c>
    </row>
    <row r="72" spans="1:24">
      <c r="A72" s="1402">
        <v>792</v>
      </c>
      <c r="B72" s="1402" t="s">
        <v>1282</v>
      </c>
      <c r="C72" s="198">
        <v>2017</v>
      </c>
      <c r="D72" s="199">
        <v>1609711630.4000001</v>
      </c>
      <c r="E72" s="199">
        <v>1214950502.8</v>
      </c>
      <c r="F72" s="199">
        <v>394761095.60000002</v>
      </c>
      <c r="G72" s="199">
        <v>332596596.19999999</v>
      </c>
      <c r="H72" s="199">
        <v>62164416.200000003</v>
      </c>
      <c r="I72" s="199">
        <v>97889319.200000003</v>
      </c>
      <c r="J72" s="199">
        <v>91442757.599999994</v>
      </c>
      <c r="K72" s="199">
        <v>68610977.799999997</v>
      </c>
      <c r="L72" s="199">
        <v>14125463.6</v>
      </c>
      <c r="M72" s="199">
        <v>54485502.399999999</v>
      </c>
      <c r="N72" s="199">
        <v>18186190.800000001</v>
      </c>
      <c r="O72" s="199">
        <v>1513251218.5999999</v>
      </c>
      <c r="P72" s="199">
        <v>740838862.20000005</v>
      </c>
      <c r="Q72" s="199">
        <v>53799650</v>
      </c>
      <c r="R72" s="199">
        <v>457620033.60000002</v>
      </c>
      <c r="S72" s="199">
        <v>511147113.60000002</v>
      </c>
      <c r="T72" s="199">
        <v>1970871132.2</v>
      </c>
      <c r="U72" s="199">
        <v>1015369393.6</v>
      </c>
      <c r="V72" s="199">
        <v>150832338.19999999</v>
      </c>
      <c r="W72" s="199">
        <v>186161066.40000001</v>
      </c>
      <c r="X72" s="199">
        <v>99845465</v>
      </c>
    </row>
    <row r="73" spans="1:24">
      <c r="A73" s="1403"/>
      <c r="B73" s="1403"/>
      <c r="C73" s="198">
        <v>2018</v>
      </c>
      <c r="D73" s="199">
        <v>1469977230.3333299</v>
      </c>
      <c r="E73" s="199">
        <v>1125059733</v>
      </c>
      <c r="F73" s="199">
        <v>344917564.16666698</v>
      </c>
      <c r="G73" s="199">
        <v>281433194.16666698</v>
      </c>
      <c r="H73" s="199">
        <v>63484369.833333299</v>
      </c>
      <c r="I73" s="199">
        <v>217794054.33333299</v>
      </c>
      <c r="J73" s="199">
        <v>66479023.833333299</v>
      </c>
      <c r="K73" s="199">
        <v>214799400.33333299</v>
      </c>
      <c r="L73" s="199">
        <v>53936744.333333299</v>
      </c>
      <c r="M73" s="199">
        <v>160862605.83333299</v>
      </c>
      <c r="N73" s="199">
        <v>16012491.5</v>
      </c>
      <c r="O73" s="199">
        <v>1470042082</v>
      </c>
      <c r="P73" s="199">
        <v>711031650.66666698</v>
      </c>
      <c r="Q73" s="199">
        <v>49381563.5</v>
      </c>
      <c r="R73" s="199">
        <v>399539920.66666698</v>
      </c>
      <c r="S73" s="199">
        <v>478207662.5</v>
      </c>
      <c r="T73" s="199">
        <v>1869581869</v>
      </c>
      <c r="U73" s="199">
        <v>823634087.83333302</v>
      </c>
      <c r="V73" s="199">
        <v>129819559.5</v>
      </c>
      <c r="W73" s="199">
        <v>184471089.33333299</v>
      </c>
      <c r="X73" s="199">
        <v>108588592.5</v>
      </c>
    </row>
    <row r="74" spans="1:24">
      <c r="A74" s="1404"/>
      <c r="B74" s="1404"/>
      <c r="C74" s="198">
        <v>2019</v>
      </c>
      <c r="D74" s="199">
        <v>1221708705.1428599</v>
      </c>
      <c r="E74" s="199">
        <v>939865922</v>
      </c>
      <c r="F74" s="199">
        <v>281842797.28571397</v>
      </c>
      <c r="G74" s="199">
        <v>245543767.85714301</v>
      </c>
      <c r="H74" s="199">
        <v>36299036.714285702</v>
      </c>
      <c r="I74" s="199">
        <v>45436150.857142903</v>
      </c>
      <c r="J74" s="199">
        <v>87271650.142857105</v>
      </c>
      <c r="K74" s="199">
        <v>-5536462.57142857</v>
      </c>
      <c r="L74" s="199">
        <v>826466</v>
      </c>
      <c r="M74" s="199">
        <v>-5949734.8571428601</v>
      </c>
      <c r="N74" s="199">
        <v>17250096.285714298</v>
      </c>
      <c r="O74" s="199">
        <v>1384233336.57143</v>
      </c>
      <c r="P74" s="199">
        <v>582241862</v>
      </c>
      <c r="Q74" s="199">
        <v>46058458</v>
      </c>
      <c r="R74" s="199">
        <v>544639357.57142901</v>
      </c>
      <c r="S74" s="199">
        <v>511824282.42857099</v>
      </c>
      <c r="T74" s="199">
        <v>1928873151.1428599</v>
      </c>
      <c r="U74" s="199">
        <v>1048560405.42857</v>
      </c>
      <c r="V74" s="199">
        <v>90620002</v>
      </c>
      <c r="W74" s="199">
        <v>165200389.42857099</v>
      </c>
      <c r="X74" s="199">
        <v>128149866.142857</v>
      </c>
    </row>
    <row r="75" spans="1:24">
      <c r="A75" s="1402">
        <v>793</v>
      </c>
      <c r="B75" s="1402" t="s">
        <v>2325</v>
      </c>
      <c r="C75" s="198">
        <v>2017</v>
      </c>
      <c r="D75" s="199">
        <v>94896042.875</v>
      </c>
      <c r="E75" s="199">
        <v>72217966.609375</v>
      </c>
      <c r="F75" s="199">
        <v>22678080.59375</v>
      </c>
      <c r="G75" s="199">
        <v>17662204.484375</v>
      </c>
      <c r="H75" s="199">
        <v>5015873.78125</v>
      </c>
      <c r="I75" s="199">
        <v>2040432.890625</v>
      </c>
      <c r="J75" s="199">
        <v>1001063.5625</v>
      </c>
      <c r="K75" s="199">
        <v>6055243.109375</v>
      </c>
      <c r="L75" s="199">
        <v>1331903.875</v>
      </c>
      <c r="M75" s="199">
        <v>4723339.046875</v>
      </c>
      <c r="N75" s="199">
        <v>585355.84375</v>
      </c>
      <c r="O75" s="199">
        <v>63421478.3125</v>
      </c>
      <c r="P75" s="199">
        <v>36637651.21875</v>
      </c>
      <c r="Q75" s="199">
        <v>594439.25</v>
      </c>
      <c r="R75" s="199">
        <v>30718324.859375</v>
      </c>
      <c r="S75" s="199">
        <v>22969867.53125</v>
      </c>
      <c r="T75" s="199">
        <v>94139800.359375</v>
      </c>
      <c r="U75" s="199">
        <v>30840704.515625</v>
      </c>
      <c r="V75" s="199">
        <v>9361656.09375</v>
      </c>
      <c r="W75" s="199">
        <v>6438149.5</v>
      </c>
      <c r="X75" s="199">
        <v>10034014.96875</v>
      </c>
    </row>
    <row r="76" spans="1:24">
      <c r="A76" s="1403"/>
      <c r="B76" s="1403"/>
      <c r="C76" s="198">
        <v>2018</v>
      </c>
      <c r="D76" s="199">
        <v>76989703.375</v>
      </c>
      <c r="E76" s="199">
        <v>59969782.049999997</v>
      </c>
      <c r="F76" s="199">
        <v>17019927.800000001</v>
      </c>
      <c r="G76" s="199">
        <v>12907360</v>
      </c>
      <c r="H76" s="199">
        <v>4112567.1375000002</v>
      </c>
      <c r="I76" s="199">
        <v>2044867.7749999999</v>
      </c>
      <c r="J76" s="199">
        <v>688210.4</v>
      </c>
      <c r="K76" s="199">
        <v>5469224.5125000002</v>
      </c>
      <c r="L76" s="199">
        <v>1221506.375</v>
      </c>
      <c r="M76" s="199">
        <v>4247718.05</v>
      </c>
      <c r="N76" s="199">
        <v>668610.19999999995</v>
      </c>
      <c r="O76" s="199">
        <v>53555060.799999997</v>
      </c>
      <c r="P76" s="199">
        <v>30189594.837499999</v>
      </c>
      <c r="Q76" s="199">
        <v>597856.75</v>
      </c>
      <c r="R76" s="199">
        <v>26444234.037500001</v>
      </c>
      <c r="S76" s="199">
        <v>19417419</v>
      </c>
      <c r="T76" s="199">
        <v>79999288.5</v>
      </c>
      <c r="U76" s="199">
        <v>26379585.975000001</v>
      </c>
      <c r="V76" s="199">
        <v>7446021.1749999998</v>
      </c>
      <c r="W76" s="199">
        <v>5497564.125</v>
      </c>
      <c r="X76" s="199">
        <v>8037209.9625000004</v>
      </c>
    </row>
    <row r="77" spans="1:24">
      <c r="A77" s="1404"/>
      <c r="B77" s="1404"/>
      <c r="C77" s="198">
        <v>2019</v>
      </c>
      <c r="D77" s="199">
        <v>78068759.456790105</v>
      </c>
      <c r="E77" s="199">
        <v>60608388.098765403</v>
      </c>
      <c r="F77" s="199">
        <v>17460368.296296299</v>
      </c>
      <c r="G77" s="199">
        <v>13443109.8148148</v>
      </c>
      <c r="H77" s="199">
        <v>4017260.07407407</v>
      </c>
      <c r="I77" s="199">
        <v>2539318.5185185201</v>
      </c>
      <c r="J77" s="199">
        <v>936075.11111111101</v>
      </c>
      <c r="K77" s="199">
        <v>5620503.4814814804</v>
      </c>
      <c r="L77" s="199">
        <v>1215768.32098765</v>
      </c>
      <c r="M77" s="199">
        <v>4404735.8888888899</v>
      </c>
      <c r="N77" s="199">
        <v>941330.17283950595</v>
      </c>
      <c r="O77" s="199">
        <v>58345046.604938298</v>
      </c>
      <c r="P77" s="199">
        <v>32328512.567901202</v>
      </c>
      <c r="Q77" s="199">
        <v>552752.74074074102</v>
      </c>
      <c r="R77" s="199">
        <v>23745326.111111101</v>
      </c>
      <c r="S77" s="199">
        <v>19924961.185185201</v>
      </c>
      <c r="T77" s="199">
        <v>82090373.086419806</v>
      </c>
      <c r="U77" s="199">
        <v>25949539.283950601</v>
      </c>
      <c r="V77" s="199">
        <v>7655717.4814814804</v>
      </c>
      <c r="W77" s="199">
        <v>5501363.07407407</v>
      </c>
      <c r="X77" s="199">
        <v>8014773.5185185196</v>
      </c>
    </row>
    <row r="78" spans="1:24">
      <c r="A78" s="1402">
        <v>794</v>
      </c>
      <c r="B78" s="1402" t="s">
        <v>1283</v>
      </c>
      <c r="C78" s="198">
        <v>2017</v>
      </c>
      <c r="D78" s="199">
        <v>11459130.9927711</v>
      </c>
      <c r="E78" s="199">
        <v>8965772.2746987995</v>
      </c>
      <c r="F78" s="199">
        <v>2493358.7060241001</v>
      </c>
      <c r="G78" s="199">
        <v>1774102.6361445801</v>
      </c>
      <c r="H78" s="199">
        <v>719255.96144578303</v>
      </c>
      <c r="I78" s="199">
        <v>106486.76144578301</v>
      </c>
      <c r="J78" s="199">
        <v>214729.15180722901</v>
      </c>
      <c r="K78" s="199">
        <v>611013.57108433696</v>
      </c>
      <c r="L78" s="199">
        <v>102917.42409638601</v>
      </c>
      <c r="M78" s="199">
        <v>508096.17590361403</v>
      </c>
      <c r="N78" s="199">
        <v>56341.966265060197</v>
      </c>
      <c r="O78" s="199">
        <v>5399165.6096385503</v>
      </c>
      <c r="P78" s="199">
        <v>4279976.4265060201</v>
      </c>
      <c r="Q78" s="199">
        <v>240986.58072289199</v>
      </c>
      <c r="R78" s="199">
        <v>4475920.7036144603</v>
      </c>
      <c r="S78" s="199">
        <v>3056359.97831325</v>
      </c>
      <c r="T78" s="199">
        <v>9875086.5373493992</v>
      </c>
      <c r="U78" s="199">
        <v>4671395.0096385498</v>
      </c>
      <c r="V78" s="199">
        <v>1669289.7204819301</v>
      </c>
      <c r="W78" s="199">
        <v>1318231.12771084</v>
      </c>
      <c r="X78" s="199">
        <v>915012.84578313294</v>
      </c>
    </row>
    <row r="79" spans="1:24">
      <c r="A79" s="1403"/>
      <c r="B79" s="1403"/>
      <c r="C79" s="198">
        <v>2018</v>
      </c>
      <c r="D79" s="199">
        <v>10417389.9863813</v>
      </c>
      <c r="E79" s="199">
        <v>8336980.4027237399</v>
      </c>
      <c r="F79" s="199">
        <v>2080408.8715953301</v>
      </c>
      <c r="G79" s="199">
        <v>1473175.52918288</v>
      </c>
      <c r="H79" s="199">
        <v>607233.17898832704</v>
      </c>
      <c r="I79" s="199">
        <v>199695.61478599199</v>
      </c>
      <c r="J79" s="199">
        <v>179009.087548638</v>
      </c>
      <c r="K79" s="199">
        <v>627919.706225681</v>
      </c>
      <c r="L79" s="199">
        <v>120555.10311284001</v>
      </c>
      <c r="M79" s="199">
        <v>507364.59338521399</v>
      </c>
      <c r="N79" s="199">
        <v>123624.468871595</v>
      </c>
      <c r="O79" s="199">
        <v>5215213.7042801604</v>
      </c>
      <c r="P79" s="199">
        <v>4100687.0680933902</v>
      </c>
      <c r="Q79" s="199">
        <v>193635.02529182899</v>
      </c>
      <c r="R79" s="199">
        <v>4061287.2879377399</v>
      </c>
      <c r="S79" s="199">
        <v>2698362.5272373501</v>
      </c>
      <c r="T79" s="199">
        <v>9276500.71400778</v>
      </c>
      <c r="U79" s="199">
        <v>4368507.7918287897</v>
      </c>
      <c r="V79" s="199">
        <v>1344267.4902723699</v>
      </c>
      <c r="W79" s="199">
        <v>1295715.5038910499</v>
      </c>
      <c r="X79" s="199">
        <v>705149.85408560303</v>
      </c>
    </row>
    <row r="80" spans="1:24">
      <c r="A80" s="1404"/>
      <c r="B80" s="1404"/>
      <c r="C80" s="198">
        <v>2019</v>
      </c>
      <c r="D80" s="199">
        <v>10974955.0326923</v>
      </c>
      <c r="E80" s="199">
        <v>8765979.3192307707</v>
      </c>
      <c r="F80" s="199">
        <v>2208975.2211538502</v>
      </c>
      <c r="G80" s="199">
        <v>1519917.1788461499</v>
      </c>
      <c r="H80" s="199">
        <v>689058.18076923105</v>
      </c>
      <c r="I80" s="199">
        <v>126899.269230769</v>
      </c>
      <c r="J80" s="199">
        <v>219590.63269230799</v>
      </c>
      <c r="K80" s="199">
        <v>596366.81730769202</v>
      </c>
      <c r="L80" s="199">
        <v>99804.796153846197</v>
      </c>
      <c r="M80" s="199">
        <v>496561.99230769201</v>
      </c>
      <c r="N80" s="199">
        <v>157596.917307692</v>
      </c>
      <c r="O80" s="199">
        <v>5366040.2923076898</v>
      </c>
      <c r="P80" s="199">
        <v>4191708.6980769201</v>
      </c>
      <c r="Q80" s="199">
        <v>200473.05</v>
      </c>
      <c r="R80" s="199">
        <v>4201123.3461538497</v>
      </c>
      <c r="S80" s="199">
        <v>2878379.7461538501</v>
      </c>
      <c r="T80" s="199">
        <v>9567163.6269230805</v>
      </c>
      <c r="U80" s="199">
        <v>4463827.1269230796</v>
      </c>
      <c r="V80" s="199">
        <v>1355653.86923077</v>
      </c>
      <c r="W80" s="199">
        <v>1368538.65384615</v>
      </c>
      <c r="X80" s="199">
        <v>708228.47692307702</v>
      </c>
    </row>
    <row r="81" spans="1:24">
      <c r="A81" s="1402">
        <v>795</v>
      </c>
      <c r="B81" s="1402" t="s">
        <v>1284</v>
      </c>
      <c r="C81" s="198">
        <v>2017</v>
      </c>
      <c r="D81" s="199">
        <v>11070095.178137699</v>
      </c>
      <c r="E81" s="199">
        <v>7130949.4264507396</v>
      </c>
      <c r="F81" s="199">
        <v>3939146.1457489901</v>
      </c>
      <c r="G81" s="199">
        <v>2981536.22537112</v>
      </c>
      <c r="H81" s="199">
        <v>957609.95951416995</v>
      </c>
      <c r="I81" s="199">
        <v>159769.967611336</v>
      </c>
      <c r="J81" s="199">
        <v>315300.94062078302</v>
      </c>
      <c r="K81" s="199">
        <v>802078.98650472297</v>
      </c>
      <c r="L81" s="199">
        <v>199508.98110661301</v>
      </c>
      <c r="M81" s="199">
        <v>605690.78677462903</v>
      </c>
      <c r="N81" s="199">
        <v>70980.3616734143</v>
      </c>
      <c r="O81" s="199">
        <v>5994651.2874493897</v>
      </c>
      <c r="P81" s="199">
        <v>3681560.7935222699</v>
      </c>
      <c r="Q81" s="199">
        <v>150142.62348178099</v>
      </c>
      <c r="R81" s="199">
        <v>6348732.7058029696</v>
      </c>
      <c r="S81" s="199">
        <v>3051590.4075573501</v>
      </c>
      <c r="T81" s="199">
        <v>12343384.0202429</v>
      </c>
      <c r="U81" s="199">
        <v>4925544.9959514197</v>
      </c>
      <c r="V81" s="199">
        <v>1274532.4561403501</v>
      </c>
      <c r="W81" s="199">
        <v>2926506.0094466899</v>
      </c>
      <c r="X81" s="199">
        <v>696867.31174089096</v>
      </c>
    </row>
    <row r="82" spans="1:24">
      <c r="A82" s="1403"/>
      <c r="B82" s="1403"/>
      <c r="C82" s="198">
        <v>2018</v>
      </c>
      <c r="D82" s="199">
        <v>9258587.65435897</v>
      </c>
      <c r="E82" s="199">
        <v>5983183.3446153803</v>
      </c>
      <c r="F82" s="199">
        <v>3275404.68717949</v>
      </c>
      <c r="G82" s="199">
        <v>2502326.4143589698</v>
      </c>
      <c r="H82" s="199">
        <v>773078.15794871806</v>
      </c>
      <c r="I82" s="199">
        <v>200900.820512821</v>
      </c>
      <c r="J82" s="199">
        <v>287821.84000000003</v>
      </c>
      <c r="K82" s="199">
        <v>686157.13846153801</v>
      </c>
      <c r="L82" s="199">
        <v>167701.913846154</v>
      </c>
      <c r="M82" s="199">
        <v>515908.21641025599</v>
      </c>
      <c r="N82" s="199">
        <v>167016.260512821</v>
      </c>
      <c r="O82" s="199">
        <v>4900801.5312820496</v>
      </c>
      <c r="P82" s="199">
        <v>3224984.72820513</v>
      </c>
      <c r="Q82" s="199">
        <v>128636.47794871801</v>
      </c>
      <c r="R82" s="199">
        <v>5485372.9538461501</v>
      </c>
      <c r="S82" s="199">
        <v>2692968.4205128201</v>
      </c>
      <c r="T82" s="199">
        <v>10386175.2994872</v>
      </c>
      <c r="U82" s="199">
        <v>4150900.4441025602</v>
      </c>
      <c r="V82" s="199">
        <v>1011414.42153846</v>
      </c>
      <c r="W82" s="199">
        <v>2425574.7220512801</v>
      </c>
      <c r="X82" s="199">
        <v>558006.94461538503</v>
      </c>
    </row>
    <row r="83" spans="1:24">
      <c r="A83" s="1404"/>
      <c r="B83" s="1404"/>
      <c r="C83" s="198">
        <v>2019</v>
      </c>
      <c r="D83" s="199">
        <v>10940557.5924276</v>
      </c>
      <c r="E83" s="199">
        <v>6983357.7884187102</v>
      </c>
      <c r="F83" s="199">
        <v>3957199.7316258401</v>
      </c>
      <c r="G83" s="199">
        <v>3002267.69487751</v>
      </c>
      <c r="H83" s="199">
        <v>954931.97995545703</v>
      </c>
      <c r="I83" s="199">
        <v>208282.55233852999</v>
      </c>
      <c r="J83" s="199">
        <v>307143.21603563498</v>
      </c>
      <c r="K83" s="199">
        <v>856071.31625835202</v>
      </c>
      <c r="L83" s="199">
        <v>215572.244988864</v>
      </c>
      <c r="M83" s="199">
        <v>597689.92316258396</v>
      </c>
      <c r="N83" s="199">
        <v>175512.420935412</v>
      </c>
      <c r="O83" s="199">
        <v>5977112.1236080201</v>
      </c>
      <c r="P83" s="199">
        <v>3941955.5155902002</v>
      </c>
      <c r="Q83" s="199">
        <v>165856.83407572401</v>
      </c>
      <c r="R83" s="199">
        <v>6292100.0957683697</v>
      </c>
      <c r="S83" s="199">
        <v>3011761.7583518899</v>
      </c>
      <c r="T83" s="199">
        <v>12269212.1314031</v>
      </c>
      <c r="U83" s="199">
        <v>4893058.5178173697</v>
      </c>
      <c r="V83" s="199">
        <v>1229403.7550111399</v>
      </c>
      <c r="W83" s="199">
        <v>2697395.6302895299</v>
      </c>
      <c r="X83" s="199">
        <v>708559.39532293996</v>
      </c>
    </row>
    <row r="84" spans="1:24">
      <c r="A84" s="1402">
        <v>799</v>
      </c>
      <c r="B84" s="1402" t="s">
        <v>1285</v>
      </c>
      <c r="C84" s="198">
        <v>2017</v>
      </c>
      <c r="D84" s="199">
        <v>11070095.178137699</v>
      </c>
      <c r="E84" s="199">
        <v>7130949.4264507396</v>
      </c>
      <c r="F84" s="199">
        <v>3939146.1457489901</v>
      </c>
      <c r="G84" s="199">
        <v>2981536.22537112</v>
      </c>
      <c r="H84" s="199">
        <v>957609.95951416995</v>
      </c>
      <c r="I84" s="199">
        <v>159769.967611336</v>
      </c>
      <c r="J84" s="199">
        <v>315300.94062078302</v>
      </c>
      <c r="K84" s="199">
        <v>802078.98650472297</v>
      </c>
      <c r="L84" s="199">
        <v>199508.98110661301</v>
      </c>
      <c r="M84" s="199">
        <v>605690.78677462903</v>
      </c>
      <c r="N84" s="199">
        <v>70980.3616734143</v>
      </c>
      <c r="O84" s="199">
        <v>5994651.2874493897</v>
      </c>
      <c r="P84" s="199">
        <v>3681560.7935222699</v>
      </c>
      <c r="Q84" s="199">
        <v>150142.62348178099</v>
      </c>
      <c r="R84" s="199">
        <v>6348732.7058029696</v>
      </c>
      <c r="S84" s="199">
        <v>3051590.4075573501</v>
      </c>
      <c r="T84" s="199">
        <v>12343384.0202429</v>
      </c>
      <c r="U84" s="199">
        <v>4925544.9959514197</v>
      </c>
      <c r="V84" s="199">
        <v>1274532.4561403501</v>
      </c>
      <c r="W84" s="199">
        <v>2926506.0094466899</v>
      </c>
      <c r="X84" s="199">
        <v>696867.31174089096</v>
      </c>
    </row>
    <row r="85" spans="1:24">
      <c r="A85" s="1403"/>
      <c r="B85" s="1403"/>
      <c r="C85" s="198">
        <v>2018</v>
      </c>
      <c r="D85" s="199">
        <v>9258587.65435897</v>
      </c>
      <c r="E85" s="199">
        <v>5983183.3446153803</v>
      </c>
      <c r="F85" s="199">
        <v>3275404.68717949</v>
      </c>
      <c r="G85" s="199">
        <v>2502326.4143589698</v>
      </c>
      <c r="H85" s="199">
        <v>773078.15794871806</v>
      </c>
      <c r="I85" s="199">
        <v>200900.820512821</v>
      </c>
      <c r="J85" s="199">
        <v>287821.84000000003</v>
      </c>
      <c r="K85" s="199">
        <v>686157.13846153801</v>
      </c>
      <c r="L85" s="199">
        <v>167701.913846154</v>
      </c>
      <c r="M85" s="199">
        <v>515908.21641025599</v>
      </c>
      <c r="N85" s="199">
        <v>167016.260512821</v>
      </c>
      <c r="O85" s="199">
        <v>4900801.5312820496</v>
      </c>
      <c r="P85" s="199">
        <v>3224984.72820513</v>
      </c>
      <c r="Q85" s="199">
        <v>128636.47794871801</v>
      </c>
      <c r="R85" s="199">
        <v>5485372.9538461501</v>
      </c>
      <c r="S85" s="199">
        <v>2692968.4205128201</v>
      </c>
      <c r="T85" s="199">
        <v>10386175.2994872</v>
      </c>
      <c r="U85" s="199">
        <v>4150900.4441025602</v>
      </c>
      <c r="V85" s="199">
        <v>1011414.42153846</v>
      </c>
      <c r="W85" s="199">
        <v>2425574.7220512801</v>
      </c>
      <c r="X85" s="199">
        <v>558006.94461538503</v>
      </c>
    </row>
    <row r="86" spans="1:24">
      <c r="A86" s="1404"/>
      <c r="B86" s="1404"/>
      <c r="C86" s="198">
        <v>2019</v>
      </c>
      <c r="D86" s="199">
        <v>10940557.5924276</v>
      </c>
      <c r="E86" s="199">
        <v>6983357.7884187102</v>
      </c>
      <c r="F86" s="199">
        <v>3957199.7316258401</v>
      </c>
      <c r="G86" s="199">
        <v>3002267.69487751</v>
      </c>
      <c r="H86" s="199">
        <v>954931.97995545703</v>
      </c>
      <c r="I86" s="199">
        <v>208282.55233852999</v>
      </c>
      <c r="J86" s="199">
        <v>307143.21603563498</v>
      </c>
      <c r="K86" s="199">
        <v>856071.31625835202</v>
      </c>
      <c r="L86" s="199">
        <v>215572.244988864</v>
      </c>
      <c r="M86" s="199">
        <v>597689.92316258396</v>
      </c>
      <c r="N86" s="199">
        <v>175512.420935412</v>
      </c>
      <c r="O86" s="199">
        <v>5977112.1236080201</v>
      </c>
      <c r="P86" s="199">
        <v>3941955.5155902002</v>
      </c>
      <c r="Q86" s="199">
        <v>165856.83407572401</v>
      </c>
      <c r="R86" s="199">
        <v>6292100.0957683697</v>
      </c>
      <c r="S86" s="199">
        <v>3011761.7583518899</v>
      </c>
      <c r="T86" s="199">
        <v>12269212.1314031</v>
      </c>
      <c r="U86" s="199">
        <v>4893058.5178173697</v>
      </c>
      <c r="V86" s="199">
        <v>1229403.7550111399</v>
      </c>
      <c r="W86" s="199">
        <v>2697395.6302895299</v>
      </c>
      <c r="X86" s="199">
        <v>708559.39532293996</v>
      </c>
    </row>
    <row r="87" spans="1:24">
      <c r="A87" s="1402">
        <v>811</v>
      </c>
      <c r="B87" s="1402" t="s">
        <v>1286</v>
      </c>
      <c r="C87" s="198">
        <v>2017</v>
      </c>
      <c r="D87" s="199">
        <v>29600887.188405801</v>
      </c>
      <c r="E87" s="199">
        <v>11745594.927536201</v>
      </c>
      <c r="F87" s="199">
        <v>17855297.0289855</v>
      </c>
      <c r="G87" s="199">
        <v>10163029.246376799</v>
      </c>
      <c r="H87" s="199">
        <v>7692266</v>
      </c>
      <c r="I87" s="199">
        <v>835174.69565217395</v>
      </c>
      <c r="J87" s="199">
        <v>1257593.0724637699</v>
      </c>
      <c r="K87" s="199">
        <v>7269847.62318841</v>
      </c>
      <c r="L87" s="199">
        <v>2224737.4782608701</v>
      </c>
      <c r="M87" s="199">
        <v>5045110.0434782598</v>
      </c>
      <c r="N87" s="199">
        <v>217706.66666666701</v>
      </c>
      <c r="O87" s="199">
        <v>38892996.550724603</v>
      </c>
      <c r="P87" s="199">
        <v>15328723.7391304</v>
      </c>
      <c r="Q87" s="199">
        <v>21447833.188405801</v>
      </c>
      <c r="R87" s="199">
        <v>21546751.565217402</v>
      </c>
      <c r="S87" s="199">
        <v>12917346.2608696</v>
      </c>
      <c r="T87" s="199">
        <v>60439746.956521697</v>
      </c>
      <c r="U87" s="199">
        <v>21861145.043478299</v>
      </c>
      <c r="V87" s="199">
        <v>5767800.9275362296</v>
      </c>
      <c r="W87" s="199">
        <v>2142640.1884058001</v>
      </c>
      <c r="X87" s="199">
        <v>2389105.7101449301</v>
      </c>
    </row>
    <row r="88" spans="1:24">
      <c r="A88" s="1403"/>
      <c r="B88" s="1403"/>
      <c r="C88" s="198">
        <v>2018</v>
      </c>
      <c r="D88" s="199">
        <v>20678844.398058299</v>
      </c>
      <c r="E88" s="199">
        <v>8381552.8252427196</v>
      </c>
      <c r="F88" s="199">
        <v>12297290.961165</v>
      </c>
      <c r="G88" s="199">
        <v>7015509.8349514604</v>
      </c>
      <c r="H88" s="199">
        <v>5281779.3300970905</v>
      </c>
      <c r="I88" s="199">
        <v>526079.27184466005</v>
      </c>
      <c r="J88" s="199">
        <v>491232</v>
      </c>
      <c r="K88" s="199">
        <v>5316626.6019417504</v>
      </c>
      <c r="L88" s="199">
        <v>1287382.2038835001</v>
      </c>
      <c r="M88" s="199">
        <v>4029244.3980582501</v>
      </c>
      <c r="N88" s="199">
        <v>229807.15533980599</v>
      </c>
      <c r="O88" s="199">
        <v>26649056.330097102</v>
      </c>
      <c r="P88" s="199">
        <v>10527500.533980601</v>
      </c>
      <c r="Q88" s="199">
        <v>14488293.7572816</v>
      </c>
      <c r="R88" s="199">
        <v>11741780.6504854</v>
      </c>
      <c r="S88" s="199">
        <v>8603363.6699029095</v>
      </c>
      <c r="T88" s="199">
        <v>38390832.398058303</v>
      </c>
      <c r="U88" s="199">
        <v>15127959.4854369</v>
      </c>
      <c r="V88" s="199">
        <v>3579825.9902912602</v>
      </c>
      <c r="W88" s="199">
        <v>1600260.5533980599</v>
      </c>
      <c r="X88" s="199">
        <v>1661331.66990291</v>
      </c>
    </row>
    <row r="89" spans="1:24">
      <c r="A89" s="1404"/>
      <c r="B89" s="1404"/>
      <c r="C89" s="198">
        <v>2019</v>
      </c>
      <c r="D89" s="199">
        <v>21149752</v>
      </c>
      <c r="E89" s="199">
        <v>8994751.6774193496</v>
      </c>
      <c r="F89" s="199">
        <v>12155002.161290299</v>
      </c>
      <c r="G89" s="199">
        <v>7567984.6881720396</v>
      </c>
      <c r="H89" s="199">
        <v>4587017.9354838701</v>
      </c>
      <c r="I89" s="199">
        <v>418765.51612903201</v>
      </c>
      <c r="J89" s="199">
        <v>521658.93548387103</v>
      </c>
      <c r="K89" s="199">
        <v>4484124.5161290299</v>
      </c>
      <c r="L89" s="199">
        <v>1378434.5806451601</v>
      </c>
      <c r="M89" s="199">
        <v>3105691.0645161299</v>
      </c>
      <c r="N89" s="199">
        <v>416774.03225806501</v>
      </c>
      <c r="O89" s="199">
        <v>29427572.086021502</v>
      </c>
      <c r="P89" s="199">
        <v>11449662.6236559</v>
      </c>
      <c r="Q89" s="199">
        <v>16104980.6129032</v>
      </c>
      <c r="R89" s="199">
        <v>11372147.5806452</v>
      </c>
      <c r="S89" s="199">
        <v>9162787.1720430106</v>
      </c>
      <c r="T89" s="199">
        <v>40799727.666666701</v>
      </c>
      <c r="U89" s="199">
        <v>16793527.3978495</v>
      </c>
      <c r="V89" s="199">
        <v>4005341.9462365601</v>
      </c>
      <c r="W89" s="199">
        <v>2009176.55913978</v>
      </c>
      <c r="X89" s="199">
        <v>2241295.8387096799</v>
      </c>
    </row>
    <row r="90" spans="1:24">
      <c r="A90" s="1402">
        <v>812</v>
      </c>
      <c r="B90" s="1402" t="s">
        <v>1287</v>
      </c>
      <c r="C90" s="198">
        <v>2017</v>
      </c>
      <c r="D90" s="199">
        <v>90655591.714285702</v>
      </c>
      <c r="E90" s="199">
        <v>50864123.6571429</v>
      </c>
      <c r="F90" s="199">
        <v>39791470.600000001</v>
      </c>
      <c r="G90" s="199">
        <v>30935801.2285714</v>
      </c>
      <c r="H90" s="199">
        <v>8855674.6571428608</v>
      </c>
      <c r="I90" s="199">
        <v>3958360.6285714302</v>
      </c>
      <c r="J90" s="199">
        <v>3237108.0857142899</v>
      </c>
      <c r="K90" s="199">
        <v>9576927.1999999993</v>
      </c>
      <c r="L90" s="199">
        <v>2454005.31428571</v>
      </c>
      <c r="M90" s="199">
        <v>7122921.2857142901</v>
      </c>
      <c r="N90" s="199">
        <v>758180.942857143</v>
      </c>
      <c r="O90" s="199">
        <v>111037044</v>
      </c>
      <c r="P90" s="199">
        <v>72696829.114285693</v>
      </c>
      <c r="Q90" s="199">
        <v>6865664.0285714297</v>
      </c>
      <c r="R90" s="199">
        <v>60372051.485714301</v>
      </c>
      <c r="S90" s="199">
        <v>66782218.7714286</v>
      </c>
      <c r="T90" s="199">
        <v>171409090.228571</v>
      </c>
      <c r="U90" s="199">
        <v>83766195.314285696</v>
      </c>
      <c r="V90" s="199">
        <v>21468008.828571402</v>
      </c>
      <c r="W90" s="199">
        <v>7339862.7714285702</v>
      </c>
      <c r="X90" s="199">
        <v>4814262.2</v>
      </c>
    </row>
    <row r="91" spans="1:24">
      <c r="A91" s="1403"/>
      <c r="B91" s="1403"/>
      <c r="C91" s="198">
        <v>2018</v>
      </c>
      <c r="D91" s="199">
        <v>78925087.589743599</v>
      </c>
      <c r="E91" s="199">
        <v>45890619.307692297</v>
      </c>
      <c r="F91" s="199">
        <v>33034458.076923098</v>
      </c>
      <c r="G91" s="199">
        <v>27384590.358974401</v>
      </c>
      <c r="H91" s="199">
        <v>5649866.5384615399</v>
      </c>
      <c r="I91" s="199">
        <v>2331867.6410256401</v>
      </c>
      <c r="J91" s="199">
        <v>3564332.0769230798</v>
      </c>
      <c r="K91" s="199">
        <v>4417402.1025641002</v>
      </c>
      <c r="L91" s="199">
        <v>1739175.9743589701</v>
      </c>
      <c r="M91" s="199">
        <v>2678225.3589743599</v>
      </c>
      <c r="N91" s="199">
        <v>1414554.43589744</v>
      </c>
      <c r="O91" s="199">
        <v>101352903.128205</v>
      </c>
      <c r="P91" s="199">
        <v>64588566.179487199</v>
      </c>
      <c r="Q91" s="199">
        <v>5914196.9487179499</v>
      </c>
      <c r="R91" s="199">
        <v>48986337.538461499</v>
      </c>
      <c r="S91" s="199">
        <v>55881980.461538501</v>
      </c>
      <c r="T91" s="199">
        <v>150339257.871795</v>
      </c>
      <c r="U91" s="199">
        <v>73879502.410256401</v>
      </c>
      <c r="V91" s="199">
        <v>17518247.615384601</v>
      </c>
      <c r="W91" s="199">
        <v>7289279.2564102598</v>
      </c>
      <c r="X91" s="199">
        <v>3590714.2307692301</v>
      </c>
    </row>
    <row r="92" spans="1:24">
      <c r="A92" s="1404"/>
      <c r="B92" s="1404"/>
      <c r="C92" s="198">
        <v>2019</v>
      </c>
      <c r="D92" s="199">
        <v>73404246.790697694</v>
      </c>
      <c r="E92" s="199">
        <v>42837490.162790701</v>
      </c>
      <c r="F92" s="199">
        <v>30566767</v>
      </c>
      <c r="G92" s="199">
        <v>26346256.581395298</v>
      </c>
      <c r="H92" s="199">
        <v>4220511.9767441899</v>
      </c>
      <c r="I92" s="199">
        <v>2545200.1395348799</v>
      </c>
      <c r="J92" s="199">
        <v>3819561.1395348799</v>
      </c>
      <c r="K92" s="199">
        <v>2946150.9767441899</v>
      </c>
      <c r="L92" s="199">
        <v>2401517.44186047</v>
      </c>
      <c r="M92" s="199">
        <v>544633.30232558097</v>
      </c>
      <c r="N92" s="199">
        <v>1150395.93023256</v>
      </c>
      <c r="O92" s="199">
        <v>92114817.116279095</v>
      </c>
      <c r="P92" s="199">
        <v>61192582.674418598</v>
      </c>
      <c r="Q92" s="199">
        <v>5106691.5116279097</v>
      </c>
      <c r="R92" s="199">
        <v>37848070.558139503</v>
      </c>
      <c r="S92" s="199">
        <v>42325408.441860497</v>
      </c>
      <c r="T92" s="199">
        <v>129962904.30232599</v>
      </c>
      <c r="U92" s="199">
        <v>64462825.232558101</v>
      </c>
      <c r="V92" s="199">
        <v>13596178.511627899</v>
      </c>
      <c r="W92" s="199">
        <v>6968567.9534883704</v>
      </c>
      <c r="X92" s="199">
        <v>3906090.81395349</v>
      </c>
    </row>
    <row r="93" spans="1:24">
      <c r="A93" s="1402">
        <v>821</v>
      </c>
      <c r="B93" s="1402" t="s">
        <v>1288</v>
      </c>
      <c r="C93" s="198">
        <v>2017</v>
      </c>
      <c r="D93" s="199">
        <v>52614469.405405402</v>
      </c>
      <c r="E93" s="199">
        <v>32930566.189189199</v>
      </c>
      <c r="F93" s="199">
        <v>19683906.378378399</v>
      </c>
      <c r="G93" s="199">
        <v>17119179.423423398</v>
      </c>
      <c r="H93" s="199">
        <v>2564726.02702703</v>
      </c>
      <c r="I93" s="199">
        <v>4751540.4054054096</v>
      </c>
      <c r="J93" s="199">
        <v>3927948.7657657699</v>
      </c>
      <c r="K93" s="199">
        <v>3388317.6666666698</v>
      </c>
      <c r="L93" s="199">
        <v>627016.54054054106</v>
      </c>
      <c r="M93" s="199">
        <v>2761301.3243243201</v>
      </c>
      <c r="N93" s="199">
        <v>850608.49549549504</v>
      </c>
      <c r="O93" s="199">
        <v>48741902.486486502</v>
      </c>
      <c r="P93" s="199">
        <v>37639670.225225203</v>
      </c>
      <c r="Q93" s="199">
        <v>1561442.8468468499</v>
      </c>
      <c r="R93" s="199">
        <v>16452420.5135135</v>
      </c>
      <c r="S93" s="199">
        <v>17849749.117117099</v>
      </c>
      <c r="T93" s="199">
        <v>65194318.981982</v>
      </c>
      <c r="U93" s="199">
        <v>34303865.657657698</v>
      </c>
      <c r="V93" s="199">
        <v>5524494.9279279299</v>
      </c>
      <c r="W93" s="199">
        <v>5605920.9189189197</v>
      </c>
      <c r="X93" s="199">
        <v>3702969.6396396402</v>
      </c>
    </row>
    <row r="94" spans="1:24">
      <c r="A94" s="1403"/>
      <c r="B94" s="1403"/>
      <c r="C94" s="198">
        <v>2018</v>
      </c>
      <c r="D94" s="199">
        <v>48037630.578125</v>
      </c>
      <c r="E94" s="199">
        <v>30989748.8984375</v>
      </c>
      <c r="F94" s="199">
        <v>17047887.296875</v>
      </c>
      <c r="G94" s="199">
        <v>14211174.828125</v>
      </c>
      <c r="H94" s="199">
        <v>2836712.890625</v>
      </c>
      <c r="I94" s="199">
        <v>510726.34375</v>
      </c>
      <c r="J94" s="199">
        <v>1918511.1328125</v>
      </c>
      <c r="K94" s="199">
        <v>1428928.1015625</v>
      </c>
      <c r="L94" s="199">
        <v>382974.21875</v>
      </c>
      <c r="M94" s="199">
        <v>1045953.6484375</v>
      </c>
      <c r="N94" s="199">
        <v>908643.984375</v>
      </c>
      <c r="O94" s="199">
        <v>41662661.609375</v>
      </c>
      <c r="P94" s="199">
        <v>33174972.8203125</v>
      </c>
      <c r="Q94" s="199">
        <v>1154466.1171875</v>
      </c>
      <c r="R94" s="199">
        <v>13680090.765625</v>
      </c>
      <c r="S94" s="199">
        <v>14255603.2109375</v>
      </c>
      <c r="T94" s="199">
        <v>55342747.1015625</v>
      </c>
      <c r="U94" s="199">
        <v>28921032.671875</v>
      </c>
      <c r="V94" s="199">
        <v>4963944.984375</v>
      </c>
      <c r="W94" s="199">
        <v>4645450.90625</v>
      </c>
      <c r="X94" s="199">
        <v>2888117.2578125</v>
      </c>
    </row>
    <row r="95" spans="1:24">
      <c r="A95" s="1404"/>
      <c r="B95" s="1404"/>
      <c r="C95" s="198">
        <v>2019</v>
      </c>
      <c r="D95" s="199">
        <v>58487844.068376102</v>
      </c>
      <c r="E95" s="199">
        <v>37238628.931623898</v>
      </c>
      <c r="F95" s="199">
        <v>21249216.658119701</v>
      </c>
      <c r="G95" s="199">
        <v>17081415.965812001</v>
      </c>
      <c r="H95" s="199">
        <v>4167799.8034187998</v>
      </c>
      <c r="I95" s="199">
        <v>865199.89743589703</v>
      </c>
      <c r="J95" s="199">
        <v>2903689.7777777798</v>
      </c>
      <c r="K95" s="199">
        <v>2129309.9230769202</v>
      </c>
      <c r="L95" s="199">
        <v>928668.89743589703</v>
      </c>
      <c r="M95" s="199">
        <v>1200640.8974359001</v>
      </c>
      <c r="N95" s="199">
        <v>1401897.4444444401</v>
      </c>
      <c r="O95" s="199">
        <v>47823575.025641002</v>
      </c>
      <c r="P95" s="199">
        <v>39884719.230769202</v>
      </c>
      <c r="Q95" s="199">
        <v>1263205.3247863201</v>
      </c>
      <c r="R95" s="199">
        <v>21083963.982905999</v>
      </c>
      <c r="S95" s="199">
        <v>19588084.188034199</v>
      </c>
      <c r="T95" s="199">
        <v>68907539.940170899</v>
      </c>
      <c r="U95" s="199">
        <v>33951143.188034199</v>
      </c>
      <c r="V95" s="199">
        <v>5860235.5982905999</v>
      </c>
      <c r="W95" s="199">
        <v>5425276.7179487199</v>
      </c>
      <c r="X95" s="199">
        <v>3034456.6068376098</v>
      </c>
    </row>
    <row r="96" spans="1:24">
      <c r="A96" s="1402">
        <v>822</v>
      </c>
      <c r="B96" s="1402" t="s">
        <v>1289</v>
      </c>
      <c r="C96" s="198"/>
      <c r="D96" s="199"/>
      <c r="E96" s="199"/>
      <c r="F96" s="199"/>
      <c r="G96" s="199"/>
      <c r="H96" s="199"/>
      <c r="I96" s="199"/>
      <c r="J96" s="199"/>
      <c r="K96" s="199"/>
      <c r="L96" s="199"/>
      <c r="M96" s="199"/>
      <c r="N96" s="199"/>
      <c r="O96" s="199"/>
      <c r="P96" s="199"/>
      <c r="Q96" s="199"/>
      <c r="R96" s="199"/>
      <c r="S96" s="199"/>
      <c r="T96" s="199"/>
      <c r="U96" s="199"/>
      <c r="V96" s="199"/>
      <c r="W96" s="199"/>
      <c r="X96" s="199"/>
    </row>
    <row r="97" spans="1:24">
      <c r="A97" s="1403"/>
      <c r="B97" s="1403"/>
      <c r="C97" s="198"/>
      <c r="D97" s="199"/>
      <c r="E97" s="199"/>
      <c r="F97" s="199"/>
      <c r="G97" s="199"/>
      <c r="H97" s="199"/>
      <c r="I97" s="199"/>
      <c r="J97" s="199"/>
      <c r="K97" s="199"/>
      <c r="L97" s="199"/>
      <c r="M97" s="199"/>
      <c r="N97" s="199"/>
      <c r="O97" s="199"/>
      <c r="P97" s="199"/>
      <c r="Q97" s="199"/>
      <c r="R97" s="199"/>
      <c r="S97" s="199"/>
      <c r="T97" s="199"/>
      <c r="U97" s="199"/>
      <c r="V97" s="199"/>
      <c r="W97" s="199"/>
      <c r="X97" s="199"/>
    </row>
    <row r="98" spans="1:24">
      <c r="A98" s="1404"/>
      <c r="B98" s="1404"/>
      <c r="C98" s="198"/>
      <c r="D98" s="199"/>
      <c r="E98" s="199"/>
      <c r="F98" s="199"/>
      <c r="G98" s="199"/>
      <c r="H98" s="199"/>
      <c r="I98" s="199"/>
      <c r="J98" s="199"/>
      <c r="K98" s="199"/>
      <c r="L98" s="199"/>
      <c r="M98" s="199"/>
      <c r="N98" s="199"/>
      <c r="O98" s="199"/>
      <c r="P98" s="199"/>
      <c r="Q98" s="199"/>
      <c r="R98" s="199"/>
      <c r="S98" s="199"/>
      <c r="T98" s="199"/>
      <c r="U98" s="199"/>
      <c r="V98" s="199"/>
      <c r="W98" s="199"/>
      <c r="X98" s="199"/>
    </row>
    <row r="99" spans="1:24">
      <c r="A99" s="1402">
        <v>911</v>
      </c>
      <c r="B99" s="1402" t="s">
        <v>1290</v>
      </c>
      <c r="C99" s="198">
        <v>2017</v>
      </c>
      <c r="D99" s="199">
        <v>11806949.5579399</v>
      </c>
      <c r="E99" s="199">
        <v>8864426.3519313298</v>
      </c>
      <c r="F99" s="199">
        <v>2942523.2274678098</v>
      </c>
      <c r="G99" s="199">
        <v>2338796.0600858401</v>
      </c>
      <c r="H99" s="199">
        <v>603727</v>
      </c>
      <c r="I99" s="199">
        <v>330364.22746781103</v>
      </c>
      <c r="J99" s="199">
        <v>284392.68240343302</v>
      </c>
      <c r="K99" s="199">
        <v>649698.54506437795</v>
      </c>
      <c r="L99" s="199">
        <v>126802.399141631</v>
      </c>
      <c r="M99" s="199">
        <v>522896.051502146</v>
      </c>
      <c r="N99" s="199">
        <v>68980.845493562199</v>
      </c>
      <c r="O99" s="199">
        <v>7740336.0815450596</v>
      </c>
      <c r="P99" s="199">
        <v>4832736.7553648101</v>
      </c>
      <c r="Q99" s="199">
        <v>154746.35193132999</v>
      </c>
      <c r="R99" s="199">
        <v>5587351.5321888402</v>
      </c>
      <c r="S99" s="199">
        <v>3389366.0858369102</v>
      </c>
      <c r="T99" s="199">
        <v>13327687.8841202</v>
      </c>
      <c r="U99" s="199">
        <v>5391213.61373391</v>
      </c>
      <c r="V99" s="199">
        <v>1737483.17596567</v>
      </c>
      <c r="W99" s="199">
        <v>1380885.19742489</v>
      </c>
      <c r="X99" s="199">
        <v>1349497.0557939899</v>
      </c>
    </row>
    <row r="100" spans="1:24">
      <c r="A100" s="1403"/>
      <c r="B100" s="1403"/>
      <c r="C100" s="198">
        <v>2018</v>
      </c>
      <c r="D100" s="199">
        <v>12208127.797570899</v>
      </c>
      <c r="E100" s="199">
        <v>9100881.1700404901</v>
      </c>
      <c r="F100" s="199">
        <v>3107246.0607287399</v>
      </c>
      <c r="G100" s="199">
        <v>2436876.8623481798</v>
      </c>
      <c r="H100" s="199">
        <v>670368.72469635599</v>
      </c>
      <c r="I100" s="199">
        <v>302384.21052631602</v>
      </c>
      <c r="J100" s="199">
        <v>252523.77732793501</v>
      </c>
      <c r="K100" s="199">
        <v>720229.15789473697</v>
      </c>
      <c r="L100" s="199">
        <v>148254.27530364401</v>
      </c>
      <c r="M100" s="199">
        <v>571974.87854250998</v>
      </c>
      <c r="N100" s="199">
        <v>177723.82591093099</v>
      </c>
      <c r="O100" s="199">
        <v>8053512.4817813803</v>
      </c>
      <c r="P100" s="199">
        <v>5113277.4898785399</v>
      </c>
      <c r="Q100" s="199">
        <v>165955.06477732799</v>
      </c>
      <c r="R100" s="199">
        <v>5592730.7570850197</v>
      </c>
      <c r="S100" s="199">
        <v>3384284.6963562798</v>
      </c>
      <c r="T100" s="199">
        <v>13646243.255060701</v>
      </c>
      <c r="U100" s="199">
        <v>5769673.7530364404</v>
      </c>
      <c r="V100" s="199">
        <v>1829021.1821862301</v>
      </c>
      <c r="W100" s="199">
        <v>1502453.4291498</v>
      </c>
      <c r="X100" s="199">
        <v>1196532.0323886599</v>
      </c>
    </row>
    <row r="101" spans="1:24">
      <c r="A101" s="1404"/>
      <c r="B101" s="1404"/>
      <c r="C101" s="198">
        <v>2019</v>
      </c>
      <c r="D101" s="199">
        <v>13005290.2533333</v>
      </c>
      <c r="E101" s="199">
        <v>9403355.3911111094</v>
      </c>
      <c r="F101" s="199">
        <v>3601935.0666666701</v>
      </c>
      <c r="G101" s="199">
        <v>2669566.64</v>
      </c>
      <c r="H101" s="199">
        <v>932368.67555555596</v>
      </c>
      <c r="I101" s="199">
        <v>265727.78666666697</v>
      </c>
      <c r="J101" s="199">
        <v>429199.4</v>
      </c>
      <c r="K101" s="199">
        <v>768897.06222222198</v>
      </c>
      <c r="L101" s="199">
        <v>218990.92</v>
      </c>
      <c r="M101" s="199">
        <v>602133.99111111101</v>
      </c>
      <c r="N101" s="199">
        <v>258066.32888888899</v>
      </c>
      <c r="O101" s="199">
        <v>11219300.6977778</v>
      </c>
      <c r="P101" s="199">
        <v>5394520.86666667</v>
      </c>
      <c r="Q101" s="199">
        <v>285987.20444444398</v>
      </c>
      <c r="R101" s="199">
        <v>5798781.3866666704</v>
      </c>
      <c r="S101" s="199">
        <v>4210328.3866666704</v>
      </c>
      <c r="T101" s="199">
        <v>17018080.800000001</v>
      </c>
      <c r="U101" s="199">
        <v>6828762.4977777796</v>
      </c>
      <c r="V101" s="199">
        <v>1733432.40444444</v>
      </c>
      <c r="W101" s="199">
        <v>1294910.04</v>
      </c>
      <c r="X101" s="199">
        <v>1115699.67555556</v>
      </c>
    </row>
    <row r="102" spans="1:24">
      <c r="A102" s="1402">
        <v>912</v>
      </c>
      <c r="B102" s="1402" t="s">
        <v>1337</v>
      </c>
      <c r="C102" s="198">
        <v>2017</v>
      </c>
      <c r="D102" s="199">
        <v>20040841.4295775</v>
      </c>
      <c r="E102" s="199">
        <v>15223374.0774648</v>
      </c>
      <c r="F102" s="199">
        <v>4817468.9154929603</v>
      </c>
      <c r="G102" s="199">
        <v>4934418.2394366199</v>
      </c>
      <c r="H102" s="199">
        <v>-116950.57042253501</v>
      </c>
      <c r="I102" s="199">
        <v>505863.45070422499</v>
      </c>
      <c r="J102" s="199">
        <v>1273016.01408451</v>
      </c>
      <c r="K102" s="199">
        <v>-884103.13380281697</v>
      </c>
      <c r="L102" s="199">
        <v>-14025.7394366197</v>
      </c>
      <c r="M102" s="199">
        <v>-870077.27464788698</v>
      </c>
      <c r="N102" s="199">
        <v>208177.169014085</v>
      </c>
      <c r="O102" s="199">
        <v>8626957.6126760598</v>
      </c>
      <c r="P102" s="199">
        <v>5370547.04929577</v>
      </c>
      <c r="Q102" s="199">
        <v>709518.373239437</v>
      </c>
      <c r="R102" s="199">
        <v>7032066.1549295802</v>
      </c>
      <c r="S102" s="199">
        <v>6861932.6478873203</v>
      </c>
      <c r="T102" s="199">
        <v>15659021.6690141</v>
      </c>
      <c r="U102" s="199">
        <v>9267398.9647887293</v>
      </c>
      <c r="V102" s="199">
        <v>3083413.7816901398</v>
      </c>
      <c r="W102" s="199">
        <v>1744911.01408451</v>
      </c>
      <c r="X102" s="199">
        <v>3092475.9225352099</v>
      </c>
    </row>
    <row r="103" spans="1:24">
      <c r="A103" s="1403"/>
      <c r="B103" s="1403"/>
      <c r="C103" s="198">
        <v>2018</v>
      </c>
      <c r="D103" s="199">
        <v>20091814.411392398</v>
      </c>
      <c r="E103" s="199">
        <v>15367085.221519001</v>
      </c>
      <c r="F103" s="199">
        <v>4724728.8481012704</v>
      </c>
      <c r="G103" s="199">
        <v>4663345.7341772197</v>
      </c>
      <c r="H103" s="199">
        <v>61383.5</v>
      </c>
      <c r="I103" s="199">
        <v>589845.91772151901</v>
      </c>
      <c r="J103" s="199">
        <v>878042.29746835399</v>
      </c>
      <c r="K103" s="199">
        <v>-226812.87974683501</v>
      </c>
      <c r="L103" s="199">
        <v>126281.481012658</v>
      </c>
      <c r="M103" s="199">
        <v>-353094.46835442999</v>
      </c>
      <c r="N103" s="199">
        <v>225726.11392405099</v>
      </c>
      <c r="O103" s="199">
        <v>7780619.4303797502</v>
      </c>
      <c r="P103" s="199">
        <v>4964632.9367088601</v>
      </c>
      <c r="Q103" s="199">
        <v>449973.64556962001</v>
      </c>
      <c r="R103" s="199">
        <v>6729089.3417721502</v>
      </c>
      <c r="S103" s="199">
        <v>6600349.9936708901</v>
      </c>
      <c r="T103" s="199">
        <v>14509708.436708899</v>
      </c>
      <c r="U103" s="199">
        <v>8910991.44303797</v>
      </c>
      <c r="V103" s="199">
        <v>2155431.6265822798</v>
      </c>
      <c r="W103" s="199">
        <v>1976987.4936708901</v>
      </c>
      <c r="X103" s="199">
        <v>2621173.1708860798</v>
      </c>
    </row>
    <row r="104" spans="1:24">
      <c r="A104" s="1404"/>
      <c r="B104" s="1404"/>
      <c r="C104" s="198">
        <v>2019</v>
      </c>
      <c r="D104" s="199">
        <v>18716674.403409101</v>
      </c>
      <c r="E104" s="199">
        <v>14377241.0625</v>
      </c>
      <c r="F104" s="199">
        <v>4339432.5738636404</v>
      </c>
      <c r="G104" s="199">
        <v>4061727.5340909101</v>
      </c>
      <c r="H104" s="199">
        <v>277705.357954545</v>
      </c>
      <c r="I104" s="199">
        <v>784361.244318182</v>
      </c>
      <c r="J104" s="199">
        <v>595209.380681818</v>
      </c>
      <c r="K104" s="199">
        <v>466857.221590909</v>
      </c>
      <c r="L104" s="199">
        <v>145906.357954545</v>
      </c>
      <c r="M104" s="199">
        <v>322394.107954545</v>
      </c>
      <c r="N104" s="199">
        <v>186125.755681818</v>
      </c>
      <c r="O104" s="199">
        <v>7801608.8409090899</v>
      </c>
      <c r="P104" s="199">
        <v>4715718.875</v>
      </c>
      <c r="Q104" s="199">
        <v>341164.079545455</v>
      </c>
      <c r="R104" s="199">
        <v>6499396.9318181798</v>
      </c>
      <c r="S104" s="199">
        <v>6769170.7954545496</v>
      </c>
      <c r="T104" s="199">
        <v>14301007.215909099</v>
      </c>
      <c r="U104" s="199">
        <v>8740573.125</v>
      </c>
      <c r="V104" s="199">
        <v>2320967.1079545501</v>
      </c>
      <c r="W104" s="199">
        <v>1818782.8409090899</v>
      </c>
      <c r="X104" s="199">
        <v>2905777.44886364</v>
      </c>
    </row>
    <row r="105" spans="1:24">
      <c r="A105" s="1402">
        <v>913</v>
      </c>
      <c r="B105" s="1402" t="s">
        <v>1292</v>
      </c>
      <c r="C105" s="198">
        <v>2017</v>
      </c>
      <c r="D105" s="199">
        <v>8296387.6835757401</v>
      </c>
      <c r="E105" s="199">
        <v>7007240.0943596996</v>
      </c>
      <c r="F105" s="199">
        <v>1289147.4780063899</v>
      </c>
      <c r="G105" s="199">
        <v>895822.34356154699</v>
      </c>
      <c r="H105" s="199">
        <v>393325.15076268202</v>
      </c>
      <c r="I105" s="199">
        <v>178674.89428875499</v>
      </c>
      <c r="J105" s="199">
        <v>247266.980489535</v>
      </c>
      <c r="K105" s="199">
        <v>324733.06456190097</v>
      </c>
      <c r="L105" s="199">
        <v>66412.915218162496</v>
      </c>
      <c r="M105" s="199">
        <v>260638.457963817</v>
      </c>
      <c r="N105" s="199">
        <v>39269.466832209997</v>
      </c>
      <c r="O105" s="199">
        <v>5201079.3650230598</v>
      </c>
      <c r="P105" s="199">
        <v>4052804.77385598</v>
      </c>
      <c r="Q105" s="199">
        <v>104249.36520042599</v>
      </c>
      <c r="R105" s="199">
        <v>4144627.8453352302</v>
      </c>
      <c r="S105" s="199">
        <v>3121702.26995388</v>
      </c>
      <c r="T105" s="199">
        <v>9345707.1496984698</v>
      </c>
      <c r="U105" s="199">
        <v>4998051.7507981602</v>
      </c>
      <c r="V105" s="199">
        <v>1534233.58974814</v>
      </c>
      <c r="W105" s="199">
        <v>1039091.3471089</v>
      </c>
      <c r="X105" s="199">
        <v>874210.18818729999</v>
      </c>
    </row>
    <row r="106" spans="1:24">
      <c r="A106" s="1403"/>
      <c r="B106" s="1403"/>
      <c r="C106" s="198">
        <v>2018</v>
      </c>
      <c r="D106" s="199">
        <v>7654756.4946490396</v>
      </c>
      <c r="E106" s="199">
        <v>6494062.1005665697</v>
      </c>
      <c r="F106" s="199">
        <v>1160694.2760465799</v>
      </c>
      <c r="G106" s="199">
        <v>832654.05319483799</v>
      </c>
      <c r="H106" s="199">
        <v>328040.22898961301</v>
      </c>
      <c r="I106" s="199">
        <v>171318.776046585</v>
      </c>
      <c r="J106" s="199">
        <v>222423.85599622299</v>
      </c>
      <c r="K106" s="199">
        <v>276935.14903997502</v>
      </c>
      <c r="L106" s="199">
        <v>62034.1441611583</v>
      </c>
      <c r="M106" s="199">
        <v>213021.72442555899</v>
      </c>
      <c r="N106" s="199">
        <v>148035.565785332</v>
      </c>
      <c r="O106" s="199">
        <v>4902419.4966949997</v>
      </c>
      <c r="P106" s="199">
        <v>3777083.7071136301</v>
      </c>
      <c r="Q106" s="199">
        <v>105085.429965376</v>
      </c>
      <c r="R106" s="199">
        <v>3855234.5649984302</v>
      </c>
      <c r="S106" s="199">
        <v>2922974.05366698</v>
      </c>
      <c r="T106" s="199">
        <v>8757654.1002518106</v>
      </c>
      <c r="U106" s="199">
        <v>4713639.4724582899</v>
      </c>
      <c r="V106" s="199">
        <v>1407082.5132200201</v>
      </c>
      <c r="W106" s="199">
        <v>983061.35694050998</v>
      </c>
      <c r="X106" s="199">
        <v>769126.46238589904</v>
      </c>
    </row>
    <row r="107" spans="1:24">
      <c r="A107" s="1404"/>
      <c r="B107" s="1404"/>
      <c r="C107" s="198">
        <v>2019</v>
      </c>
      <c r="D107" s="199">
        <v>8249965.41639899</v>
      </c>
      <c r="E107" s="199">
        <v>6993431.35283178</v>
      </c>
      <c r="F107" s="199">
        <v>1256533.7695688901</v>
      </c>
      <c r="G107" s="199">
        <v>905448.449027895</v>
      </c>
      <c r="H107" s="199">
        <v>351085.32662721898</v>
      </c>
      <c r="I107" s="199">
        <v>193297.67202028699</v>
      </c>
      <c r="J107" s="199">
        <v>252572.76923076899</v>
      </c>
      <c r="K107" s="199">
        <v>291810.22941673698</v>
      </c>
      <c r="L107" s="199">
        <v>63814.462552831799</v>
      </c>
      <c r="M107" s="199">
        <v>228468.76077768399</v>
      </c>
      <c r="N107" s="199">
        <v>155783.969230769</v>
      </c>
      <c r="O107" s="199">
        <v>5346707.45798817</v>
      </c>
      <c r="P107" s="199">
        <v>4115009.1076923101</v>
      </c>
      <c r="Q107" s="199">
        <v>163000.237024514</v>
      </c>
      <c r="R107" s="199">
        <v>4297648.7675401503</v>
      </c>
      <c r="S107" s="199">
        <v>3211573.9531699098</v>
      </c>
      <c r="T107" s="199">
        <v>9644356.0490278993</v>
      </c>
      <c r="U107" s="199">
        <v>5145571.9316990701</v>
      </c>
      <c r="V107" s="199">
        <v>1489365.6894336401</v>
      </c>
      <c r="W107" s="199">
        <v>1099292.6975486099</v>
      </c>
      <c r="X107" s="199">
        <v>770492.195435334</v>
      </c>
    </row>
    <row r="108" spans="1:24">
      <c r="A108" s="1402">
        <v>914</v>
      </c>
      <c r="B108" s="1402" t="s">
        <v>1293</v>
      </c>
      <c r="C108" s="198">
        <v>2017</v>
      </c>
      <c r="D108" s="199">
        <v>15521362.091533201</v>
      </c>
      <c r="E108" s="199">
        <v>11367509.013730001</v>
      </c>
      <c r="F108" s="199">
        <v>4153853.0343249398</v>
      </c>
      <c r="G108" s="199">
        <v>3091079</v>
      </c>
      <c r="H108" s="199">
        <v>1062773.94736842</v>
      </c>
      <c r="I108" s="199">
        <v>231076.24027459999</v>
      </c>
      <c r="J108" s="199">
        <v>301445.63157894701</v>
      </c>
      <c r="K108" s="199">
        <v>992404.556064073</v>
      </c>
      <c r="L108" s="199">
        <v>231106.752860412</v>
      </c>
      <c r="M108" s="199">
        <v>762366.65903890203</v>
      </c>
      <c r="N108" s="199">
        <v>66758.826086956498</v>
      </c>
      <c r="O108" s="199">
        <v>7016293.8306636196</v>
      </c>
      <c r="P108" s="199">
        <v>5926731.8215103</v>
      </c>
      <c r="Q108" s="199">
        <v>98565.887871853498</v>
      </c>
      <c r="R108" s="199">
        <v>6091620.9061784903</v>
      </c>
      <c r="S108" s="199">
        <v>4031168.3707093801</v>
      </c>
      <c r="T108" s="199">
        <v>13107913.6384439</v>
      </c>
      <c r="U108" s="199">
        <v>5971706.9382151002</v>
      </c>
      <c r="V108" s="199">
        <v>2322326.8604119001</v>
      </c>
      <c r="W108" s="199">
        <v>1678390.4691075501</v>
      </c>
      <c r="X108" s="199">
        <v>1359269.2700228801</v>
      </c>
    </row>
    <row r="109" spans="1:24">
      <c r="A109" s="1403"/>
      <c r="B109" s="1403"/>
      <c r="C109" s="198">
        <v>2018</v>
      </c>
      <c r="D109" s="199">
        <v>14056360.6679764</v>
      </c>
      <c r="E109" s="199">
        <v>10573751.161100199</v>
      </c>
      <c r="F109" s="199">
        <v>3482608.61100196</v>
      </c>
      <c r="G109" s="199">
        <v>2684968</v>
      </c>
      <c r="H109" s="199">
        <v>797640.25147347699</v>
      </c>
      <c r="I109" s="199">
        <v>217175.68762278999</v>
      </c>
      <c r="J109" s="199">
        <v>241067.284872299</v>
      </c>
      <c r="K109" s="199">
        <v>773748.65422396897</v>
      </c>
      <c r="L109" s="199">
        <v>185607.791748527</v>
      </c>
      <c r="M109" s="199">
        <v>588140.88015717105</v>
      </c>
      <c r="N109" s="199">
        <v>260692.25147347699</v>
      </c>
      <c r="O109" s="199">
        <v>6538380.8074656203</v>
      </c>
      <c r="P109" s="199">
        <v>5443504.1277013803</v>
      </c>
      <c r="Q109" s="199">
        <v>121649.078585462</v>
      </c>
      <c r="R109" s="199">
        <v>5805697.9253438096</v>
      </c>
      <c r="S109" s="199">
        <v>3720776.82318271</v>
      </c>
      <c r="T109" s="199">
        <v>12344079.666011799</v>
      </c>
      <c r="U109" s="199">
        <v>5624719.7013752498</v>
      </c>
      <c r="V109" s="199">
        <v>1956910.52455796</v>
      </c>
      <c r="W109" s="199">
        <v>1556449.7760314301</v>
      </c>
      <c r="X109" s="199">
        <v>1141035.18074656</v>
      </c>
    </row>
    <row r="110" spans="1:24">
      <c r="A110" s="1404"/>
      <c r="B110" s="1404"/>
      <c r="C110" s="198">
        <v>2019</v>
      </c>
      <c r="D110" s="199">
        <v>13634764.4058252</v>
      </c>
      <c r="E110" s="199">
        <v>10134027.6543689</v>
      </c>
      <c r="F110" s="199">
        <v>3500737.4893203899</v>
      </c>
      <c r="G110" s="199">
        <v>2652753.6252427199</v>
      </c>
      <c r="H110" s="199">
        <v>847983.76504854404</v>
      </c>
      <c r="I110" s="199">
        <v>384622.112621359</v>
      </c>
      <c r="J110" s="199">
        <v>271969.13786407799</v>
      </c>
      <c r="K110" s="199">
        <v>960636.73980582505</v>
      </c>
      <c r="L110" s="199">
        <v>226843.586407767</v>
      </c>
      <c r="M110" s="199">
        <v>733793.19223300996</v>
      </c>
      <c r="N110" s="199">
        <v>261432.8</v>
      </c>
      <c r="O110" s="199">
        <v>6808777.4388349503</v>
      </c>
      <c r="P110" s="199">
        <v>5576740.7475728197</v>
      </c>
      <c r="Q110" s="199">
        <v>133730.075728155</v>
      </c>
      <c r="R110" s="199">
        <v>5726551.56504854</v>
      </c>
      <c r="S110" s="199">
        <v>3467095.2504854398</v>
      </c>
      <c r="T110" s="199">
        <v>12535328.2135922</v>
      </c>
      <c r="U110" s="199">
        <v>5574683.1009708699</v>
      </c>
      <c r="V110" s="199">
        <v>1872005.7922330101</v>
      </c>
      <c r="W110" s="199">
        <v>1540144.8912621399</v>
      </c>
      <c r="X110" s="199">
        <v>1045554.72815534</v>
      </c>
    </row>
    <row r="111" spans="1:24">
      <c r="A111" s="1402">
        <v>915</v>
      </c>
      <c r="B111" s="1402" t="s">
        <v>1294</v>
      </c>
      <c r="C111" s="198">
        <v>2017</v>
      </c>
      <c r="D111" s="199">
        <v>13716596.0176429</v>
      </c>
      <c r="E111" s="199">
        <v>11499067.6683133</v>
      </c>
      <c r="F111" s="199">
        <v>2217528.3203952</v>
      </c>
      <c r="G111" s="199">
        <v>1453942.95836274</v>
      </c>
      <c r="H111" s="199">
        <v>763585.38108680304</v>
      </c>
      <c r="I111" s="199">
        <v>295581.62526464398</v>
      </c>
      <c r="J111" s="199">
        <v>424890.05081157398</v>
      </c>
      <c r="K111" s="199">
        <v>634276.95553987299</v>
      </c>
      <c r="L111" s="199">
        <v>154593.81792519399</v>
      </c>
      <c r="M111" s="199">
        <v>479683.12702893402</v>
      </c>
      <c r="N111" s="199">
        <v>57911.148200423399</v>
      </c>
      <c r="O111" s="199">
        <v>9426363.5151729006</v>
      </c>
      <c r="P111" s="199">
        <v>6862293.1757233599</v>
      </c>
      <c r="Q111" s="199">
        <v>323644.67466478498</v>
      </c>
      <c r="R111" s="199">
        <v>6009529.2921665497</v>
      </c>
      <c r="S111" s="199">
        <v>4750127.8934368398</v>
      </c>
      <c r="T111" s="199">
        <v>15443323.989414301</v>
      </c>
      <c r="U111" s="199">
        <v>7492629.8242766401</v>
      </c>
      <c r="V111" s="199">
        <v>2522644.7868736801</v>
      </c>
      <c r="W111" s="199">
        <v>1482652.5412844</v>
      </c>
      <c r="X111" s="199">
        <v>1294905.2547635899</v>
      </c>
    </row>
    <row r="112" spans="1:24">
      <c r="A112" s="1403"/>
      <c r="B112" s="1403"/>
      <c r="C112" s="198">
        <v>2018</v>
      </c>
      <c r="D112" s="199">
        <v>12685365.660400201</v>
      </c>
      <c r="E112" s="199">
        <v>10761606.6391753</v>
      </c>
      <c r="F112" s="199">
        <v>1923759.0157671301</v>
      </c>
      <c r="G112" s="199">
        <v>1335204.13341419</v>
      </c>
      <c r="H112" s="199">
        <v>588554.83687083097</v>
      </c>
      <c r="I112" s="199">
        <v>258278.05033353501</v>
      </c>
      <c r="J112" s="199">
        <v>309990.43662826001</v>
      </c>
      <c r="K112" s="199">
        <v>536842.45057610702</v>
      </c>
      <c r="L112" s="199">
        <v>114729.59672528799</v>
      </c>
      <c r="M112" s="199">
        <v>422112.87507580401</v>
      </c>
      <c r="N112" s="199">
        <v>197615.52152819899</v>
      </c>
      <c r="O112" s="199">
        <v>8648918.8823529407</v>
      </c>
      <c r="P112" s="199">
        <v>6306035.8629472395</v>
      </c>
      <c r="Q112" s="199">
        <v>290618.21710127301</v>
      </c>
      <c r="R112" s="199">
        <v>5513315.8684050897</v>
      </c>
      <c r="S112" s="199">
        <v>4268316.0278956899</v>
      </c>
      <c r="T112" s="199">
        <v>14168902.7580352</v>
      </c>
      <c r="U112" s="199">
        <v>6877801.9872650104</v>
      </c>
      <c r="V112" s="199">
        <v>2241343.1194663402</v>
      </c>
      <c r="W112" s="199">
        <v>1386180.5833838701</v>
      </c>
      <c r="X112" s="199">
        <v>1128228.51970891</v>
      </c>
    </row>
    <row r="113" spans="1:24">
      <c r="A113" s="1404"/>
      <c r="B113" s="1404"/>
      <c r="C113" s="198">
        <v>2019</v>
      </c>
      <c r="D113" s="199">
        <v>13333695.4187223</v>
      </c>
      <c r="E113" s="199">
        <v>11233197.199240999</v>
      </c>
      <c r="F113" s="199">
        <v>2100498.0537634399</v>
      </c>
      <c r="G113" s="199">
        <v>1420152.6476913299</v>
      </c>
      <c r="H113" s="199">
        <v>680345.41239721701</v>
      </c>
      <c r="I113" s="199">
        <v>300697.23213156202</v>
      </c>
      <c r="J113" s="199">
        <v>379149.75268817198</v>
      </c>
      <c r="K113" s="199">
        <v>601892.89184060704</v>
      </c>
      <c r="L113" s="199">
        <v>119999.72802024</v>
      </c>
      <c r="M113" s="199">
        <v>479514.93991144799</v>
      </c>
      <c r="N113" s="199">
        <v>206190.380771664</v>
      </c>
      <c r="O113" s="199">
        <v>9363131.3194180895</v>
      </c>
      <c r="P113" s="199">
        <v>6997970.3036053097</v>
      </c>
      <c r="Q113" s="199">
        <v>409945.63820366899</v>
      </c>
      <c r="R113" s="199">
        <v>6073771.8912081001</v>
      </c>
      <c r="S113" s="199">
        <v>4410077.59266287</v>
      </c>
      <c r="T113" s="199">
        <v>15444348.8956357</v>
      </c>
      <c r="U113" s="199">
        <v>7515674.1246046796</v>
      </c>
      <c r="V113" s="199">
        <v>2367125.07653384</v>
      </c>
      <c r="W113" s="199">
        <v>1538963.7526881699</v>
      </c>
      <c r="X113" s="199">
        <v>1213082.3763440901</v>
      </c>
    </row>
    <row r="114" spans="1:24">
      <c r="A114" s="1402">
        <v>919</v>
      </c>
      <c r="B114" s="1402" t="s">
        <v>1295</v>
      </c>
      <c r="C114" s="198">
        <v>2017</v>
      </c>
      <c r="D114" s="199">
        <v>8385158.1465517199</v>
      </c>
      <c r="E114" s="199">
        <v>6621133.8189655198</v>
      </c>
      <c r="F114" s="199">
        <v>1764024.4719827599</v>
      </c>
      <c r="G114" s="199">
        <v>1253546.8836206901</v>
      </c>
      <c r="H114" s="199">
        <v>510477.53663793101</v>
      </c>
      <c r="I114" s="199">
        <v>276149.4375</v>
      </c>
      <c r="J114" s="199">
        <v>586834.44719827594</v>
      </c>
      <c r="K114" s="199">
        <v>199792.52693965501</v>
      </c>
      <c r="L114" s="199">
        <v>66011.350215517203</v>
      </c>
      <c r="M114" s="199">
        <v>130086.058189655</v>
      </c>
      <c r="N114" s="199">
        <v>65120.217672413797</v>
      </c>
      <c r="O114" s="199">
        <v>12424696.1109914</v>
      </c>
      <c r="P114" s="199">
        <v>5388137.8178879302</v>
      </c>
      <c r="Q114" s="199">
        <v>375006.16271551698</v>
      </c>
      <c r="R114" s="199">
        <v>5561129.7025862103</v>
      </c>
      <c r="S114" s="199">
        <v>5261116.4762931</v>
      </c>
      <c r="T114" s="199">
        <v>17997173.200431</v>
      </c>
      <c r="U114" s="199">
        <v>8141478.4849137897</v>
      </c>
      <c r="V114" s="199">
        <v>1452390.89978448</v>
      </c>
      <c r="W114" s="199">
        <v>1081891.9784482799</v>
      </c>
      <c r="X114" s="199">
        <v>802246.625</v>
      </c>
    </row>
    <row r="115" spans="1:24">
      <c r="A115" s="1403"/>
      <c r="B115" s="1403"/>
      <c r="C115" s="198">
        <v>2018</v>
      </c>
      <c r="D115" s="199">
        <v>7948976.6327739405</v>
      </c>
      <c r="E115" s="199">
        <v>6292034.1016781796</v>
      </c>
      <c r="F115" s="199">
        <v>1656942.5222112499</v>
      </c>
      <c r="G115" s="199">
        <v>1317429.8144126399</v>
      </c>
      <c r="H115" s="199">
        <v>339512.78183613002</v>
      </c>
      <c r="I115" s="199">
        <v>659152.38696939801</v>
      </c>
      <c r="J115" s="199">
        <v>508848.23692003899</v>
      </c>
      <c r="K115" s="199">
        <v>489816.93188548897</v>
      </c>
      <c r="L115" s="199">
        <v>147763.303060217</v>
      </c>
      <c r="M115" s="199">
        <v>342564.50740375102</v>
      </c>
      <c r="N115" s="199">
        <v>151328.93287265499</v>
      </c>
      <c r="O115" s="199">
        <v>9574969.3020730503</v>
      </c>
      <c r="P115" s="199">
        <v>5346305.0266535003</v>
      </c>
      <c r="Q115" s="199">
        <v>280823.52912142198</v>
      </c>
      <c r="R115" s="199">
        <v>6349944.9565646602</v>
      </c>
      <c r="S115" s="199">
        <v>3328875.4560710802</v>
      </c>
      <c r="T115" s="199">
        <v>15935768.8094768</v>
      </c>
      <c r="U115" s="199">
        <v>6309458.5656465897</v>
      </c>
      <c r="V115" s="199">
        <v>1474989.30799605</v>
      </c>
      <c r="W115" s="199">
        <v>1180084.55676209</v>
      </c>
      <c r="X115" s="199">
        <v>713502.35143139202</v>
      </c>
    </row>
    <row r="116" spans="1:24">
      <c r="A116" s="1404"/>
      <c r="B116" s="1404"/>
      <c r="C116" s="198">
        <v>2019</v>
      </c>
      <c r="D116" s="199">
        <v>7724896.99809705</v>
      </c>
      <c r="E116" s="199">
        <v>6100792.9581351103</v>
      </c>
      <c r="F116" s="199">
        <v>1624103.95718363</v>
      </c>
      <c r="G116" s="199">
        <v>1398015.88201713</v>
      </c>
      <c r="H116" s="199">
        <v>226088.080875357</v>
      </c>
      <c r="I116" s="199">
        <v>434229.851569933</v>
      </c>
      <c r="J116" s="199">
        <v>431838.10466222599</v>
      </c>
      <c r="K116" s="199">
        <v>228479.82778306401</v>
      </c>
      <c r="L116" s="199">
        <v>16149.8372978116</v>
      </c>
      <c r="M116" s="199">
        <v>211104.16936251201</v>
      </c>
      <c r="N116" s="199">
        <v>136988.96098953401</v>
      </c>
      <c r="O116" s="199">
        <v>9794916.7012369204</v>
      </c>
      <c r="P116" s="199">
        <v>5356173.62607041</v>
      </c>
      <c r="Q116" s="199">
        <v>375166.17887726001</v>
      </c>
      <c r="R116" s="199">
        <v>5961497.5185537599</v>
      </c>
      <c r="S116" s="199">
        <v>3496141.8553758301</v>
      </c>
      <c r="T116" s="199">
        <v>15767613.718363499</v>
      </c>
      <c r="U116" s="199">
        <v>6159101.7687916299</v>
      </c>
      <c r="V116" s="199">
        <v>1441650.21313035</v>
      </c>
      <c r="W116" s="199">
        <v>1289270.89724072</v>
      </c>
      <c r="X116" s="199">
        <v>675071.69362511905</v>
      </c>
    </row>
    <row r="117" spans="1:24">
      <c r="A117" s="1402">
        <v>921</v>
      </c>
      <c r="B117" s="1402" t="s">
        <v>1296</v>
      </c>
      <c r="C117" s="198">
        <v>2017</v>
      </c>
      <c r="D117" s="199">
        <v>13261334.0904605</v>
      </c>
      <c r="E117" s="199">
        <v>10869189.8009868</v>
      </c>
      <c r="F117" s="199">
        <v>2392144.2664473699</v>
      </c>
      <c r="G117" s="199">
        <v>3140933.1036184202</v>
      </c>
      <c r="H117" s="199">
        <v>-748788.79769736796</v>
      </c>
      <c r="I117" s="199">
        <v>647219.05263157899</v>
      </c>
      <c r="J117" s="199">
        <v>744245.73355263204</v>
      </c>
      <c r="K117" s="199">
        <v>-845815.47861842101</v>
      </c>
      <c r="L117" s="199">
        <v>26617.648026315801</v>
      </c>
      <c r="M117" s="199">
        <v>-873443.11842105305</v>
      </c>
      <c r="N117" s="199">
        <v>255683.88651315801</v>
      </c>
      <c r="O117" s="199">
        <v>11374780.6430921</v>
      </c>
      <c r="P117" s="199">
        <v>6953545.6118421098</v>
      </c>
      <c r="Q117" s="199">
        <v>1460881.7549342101</v>
      </c>
      <c r="R117" s="199">
        <v>7289590.9555921098</v>
      </c>
      <c r="S117" s="199">
        <v>4862909.0065789502</v>
      </c>
      <c r="T117" s="199">
        <v>18664370.379934199</v>
      </c>
      <c r="U117" s="199">
        <v>6971374.6233552601</v>
      </c>
      <c r="V117" s="199">
        <v>873420.30098684202</v>
      </c>
      <c r="W117" s="199">
        <v>887963.45394736796</v>
      </c>
      <c r="X117" s="199">
        <v>214900.465460526</v>
      </c>
    </row>
    <row r="118" spans="1:24">
      <c r="A118" s="1403"/>
      <c r="B118" s="1403"/>
      <c r="C118" s="198">
        <v>2018</v>
      </c>
      <c r="D118" s="199">
        <v>15650765.926035499</v>
      </c>
      <c r="E118" s="199">
        <v>13258219.2751479</v>
      </c>
      <c r="F118" s="199">
        <v>2392547.1582840201</v>
      </c>
      <c r="G118" s="199">
        <v>3379321.1745562102</v>
      </c>
      <c r="H118" s="199">
        <v>-986773.98964497005</v>
      </c>
      <c r="I118" s="199">
        <v>1100832.99260355</v>
      </c>
      <c r="J118" s="199">
        <v>1096331.8594674601</v>
      </c>
      <c r="K118" s="199">
        <v>-982272.85650887596</v>
      </c>
      <c r="L118" s="199">
        <v>68272.872781065103</v>
      </c>
      <c r="M118" s="199">
        <v>-1051246.41420118</v>
      </c>
      <c r="N118" s="199">
        <v>257380.08579881699</v>
      </c>
      <c r="O118" s="199">
        <v>10966075.952662701</v>
      </c>
      <c r="P118" s="199">
        <v>6587533.9230769202</v>
      </c>
      <c r="Q118" s="199">
        <v>1122102.5902366899</v>
      </c>
      <c r="R118" s="199">
        <v>9013705.7855029609</v>
      </c>
      <c r="S118" s="199">
        <v>5698459.1420118297</v>
      </c>
      <c r="T118" s="199">
        <v>19979782.906804699</v>
      </c>
      <c r="U118" s="199">
        <v>8191754.9497041404</v>
      </c>
      <c r="V118" s="199">
        <v>935882.07396449696</v>
      </c>
      <c r="W118" s="199">
        <v>1402893.51627219</v>
      </c>
      <c r="X118" s="199">
        <v>229333.59171597601</v>
      </c>
    </row>
    <row r="119" spans="1:24">
      <c r="A119" s="1404"/>
      <c r="B119" s="1404"/>
      <c r="C119" s="198">
        <v>2019</v>
      </c>
      <c r="D119" s="199">
        <v>17585711.172519099</v>
      </c>
      <c r="E119" s="199">
        <v>13910819.2091603</v>
      </c>
      <c r="F119" s="199">
        <v>3674891.81984733</v>
      </c>
      <c r="G119" s="199">
        <v>4839422.8412213698</v>
      </c>
      <c r="H119" s="199">
        <v>-1164530.92977099</v>
      </c>
      <c r="I119" s="199">
        <v>1268429.8870228999</v>
      </c>
      <c r="J119" s="199">
        <v>1898982.3312977101</v>
      </c>
      <c r="K119" s="199">
        <v>-1795083.3740458</v>
      </c>
      <c r="L119" s="199">
        <v>-230048.29312977099</v>
      </c>
      <c r="M119" s="199">
        <v>-1565150.5419847299</v>
      </c>
      <c r="N119" s="199">
        <v>332206.59847328201</v>
      </c>
      <c r="O119" s="199">
        <v>14895914.5832061</v>
      </c>
      <c r="P119" s="199">
        <v>9563855.4702290092</v>
      </c>
      <c r="Q119" s="199">
        <v>1205259.7954198499</v>
      </c>
      <c r="R119" s="199">
        <v>11714980.447328201</v>
      </c>
      <c r="S119" s="199">
        <v>8826808.1938931309</v>
      </c>
      <c r="T119" s="199">
        <v>26610895.720610701</v>
      </c>
      <c r="U119" s="199">
        <v>11918192.410687</v>
      </c>
      <c r="V119" s="199">
        <v>1375800.76946565</v>
      </c>
      <c r="W119" s="199">
        <v>1943859.35419847</v>
      </c>
      <c r="X119" s="199">
        <v>405127.28549618297</v>
      </c>
    </row>
    <row r="120" spans="1:24">
      <c r="A120" s="1402">
        <v>922</v>
      </c>
      <c r="B120" s="1402" t="s">
        <v>1297</v>
      </c>
      <c r="C120" s="198">
        <v>2017</v>
      </c>
      <c r="D120" s="199">
        <v>8385136.5883684698</v>
      </c>
      <c r="E120" s="199">
        <v>4704469.1700863196</v>
      </c>
      <c r="F120" s="199">
        <v>3680667.6612423901</v>
      </c>
      <c r="G120" s="199">
        <v>3135855.0725909201</v>
      </c>
      <c r="H120" s="199">
        <v>544812.52271119296</v>
      </c>
      <c r="I120" s="199">
        <v>283774.97481250903</v>
      </c>
      <c r="J120" s="199">
        <v>269909.17079383001</v>
      </c>
      <c r="K120" s="199">
        <v>558678.32672987098</v>
      </c>
      <c r="L120" s="199">
        <v>156725.51294750199</v>
      </c>
      <c r="M120" s="199">
        <v>399849.86854393699</v>
      </c>
      <c r="N120" s="199">
        <v>137558.83189472201</v>
      </c>
      <c r="O120" s="199">
        <v>4425603.0734399296</v>
      </c>
      <c r="P120" s="199">
        <v>1262651.31102306</v>
      </c>
      <c r="Q120" s="199">
        <v>825738.40370737202</v>
      </c>
      <c r="R120" s="199">
        <v>4773090.1993773896</v>
      </c>
      <c r="S120" s="199">
        <v>2844809.5705391299</v>
      </c>
      <c r="T120" s="199">
        <v>9208729.9289656095</v>
      </c>
      <c r="U120" s="199">
        <v>3768336.0274515399</v>
      </c>
      <c r="V120" s="199">
        <v>1402546.7447290199</v>
      </c>
      <c r="W120" s="199">
        <v>210284.920050941</v>
      </c>
      <c r="X120" s="199">
        <v>605854.37668034504</v>
      </c>
    </row>
    <row r="121" spans="1:24">
      <c r="A121" s="1403"/>
      <c r="B121" s="1403"/>
      <c r="C121" s="198">
        <v>2018</v>
      </c>
      <c r="D121" s="199">
        <v>8575298.6804951001</v>
      </c>
      <c r="E121" s="199">
        <v>4624795.6775027197</v>
      </c>
      <c r="F121" s="199">
        <v>3950256.5206746501</v>
      </c>
      <c r="G121" s="199">
        <v>3356231.0433895499</v>
      </c>
      <c r="H121" s="199">
        <v>594134.77475516906</v>
      </c>
      <c r="I121" s="199">
        <v>293602.04706202401</v>
      </c>
      <c r="J121" s="199">
        <v>302818.32480957598</v>
      </c>
      <c r="K121" s="199">
        <v>584918.49700761703</v>
      </c>
      <c r="L121" s="199">
        <v>179221.62568008699</v>
      </c>
      <c r="M121" s="199">
        <v>406437.388601741</v>
      </c>
      <c r="N121" s="199">
        <v>191332.65846028301</v>
      </c>
      <c r="O121" s="199">
        <v>4811260.4526659399</v>
      </c>
      <c r="P121" s="199">
        <v>1316177.2457834601</v>
      </c>
      <c r="Q121" s="199">
        <v>977824.55331882497</v>
      </c>
      <c r="R121" s="199">
        <v>4952086.8321545199</v>
      </c>
      <c r="S121" s="199">
        <v>2910886.8200489702</v>
      </c>
      <c r="T121" s="199">
        <v>9841467.8375952095</v>
      </c>
      <c r="U121" s="199">
        <v>3966791.9876224198</v>
      </c>
      <c r="V121" s="199">
        <v>1350338.60065288</v>
      </c>
      <c r="W121" s="199">
        <v>222553.00584874899</v>
      </c>
      <c r="X121" s="199">
        <v>589730.27774755203</v>
      </c>
    </row>
    <row r="122" spans="1:24">
      <c r="A122" s="1404"/>
      <c r="B122" s="1404"/>
      <c r="C122" s="198">
        <v>2019</v>
      </c>
      <c r="D122" s="199">
        <v>10053681.6363365</v>
      </c>
      <c r="E122" s="199">
        <v>5382159.3957866402</v>
      </c>
      <c r="F122" s="199">
        <v>4671105.3566412702</v>
      </c>
      <c r="G122" s="199">
        <v>3992916.2741670399</v>
      </c>
      <c r="H122" s="199">
        <v>678519.482593755</v>
      </c>
      <c r="I122" s="199">
        <v>343747.92828328098</v>
      </c>
      <c r="J122" s="199">
        <v>434114.37591513502</v>
      </c>
      <c r="K122" s="199">
        <v>588153.03496189998</v>
      </c>
      <c r="L122" s="199">
        <v>201212.979381443</v>
      </c>
      <c r="M122" s="199">
        <v>384110.79650380998</v>
      </c>
      <c r="N122" s="199">
        <v>278766.12012550398</v>
      </c>
      <c r="O122" s="199">
        <v>6166966.2025997303</v>
      </c>
      <c r="P122" s="199">
        <v>1798541.90019423</v>
      </c>
      <c r="Q122" s="199">
        <v>991444.073808457</v>
      </c>
      <c r="R122" s="199">
        <v>5731274.0927835098</v>
      </c>
      <c r="S122" s="199">
        <v>3617271.0658897399</v>
      </c>
      <c r="T122" s="199">
        <v>11918311.738980999</v>
      </c>
      <c r="U122" s="199">
        <v>4919534.22904527</v>
      </c>
      <c r="V122" s="199">
        <v>1565969.3252652001</v>
      </c>
      <c r="W122" s="199">
        <v>245050.954728821</v>
      </c>
      <c r="X122" s="199">
        <v>629855.24249215599</v>
      </c>
    </row>
    <row r="123" spans="1:24">
      <c r="A123" s="1402">
        <v>923</v>
      </c>
      <c r="B123" s="1402" t="s">
        <v>1298</v>
      </c>
      <c r="C123" s="198">
        <v>2017</v>
      </c>
      <c r="D123" s="199">
        <v>5866957.4535519099</v>
      </c>
      <c r="E123" s="199">
        <v>2111775.2222222202</v>
      </c>
      <c r="F123" s="199">
        <v>3755182.1693989099</v>
      </c>
      <c r="G123" s="199">
        <v>3384913.2331511802</v>
      </c>
      <c r="H123" s="199">
        <v>370268.93442622997</v>
      </c>
      <c r="I123" s="199">
        <v>157704.96903460799</v>
      </c>
      <c r="J123" s="199">
        <v>135091.50273224001</v>
      </c>
      <c r="K123" s="199">
        <v>392882.40072859701</v>
      </c>
      <c r="L123" s="199">
        <v>73691.874316939895</v>
      </c>
      <c r="M123" s="199">
        <v>308729.81420765002</v>
      </c>
      <c r="N123" s="199">
        <v>205885.42622950801</v>
      </c>
      <c r="O123" s="199">
        <v>4386626.7887067404</v>
      </c>
      <c r="P123" s="199">
        <v>3372786.7723133001</v>
      </c>
      <c r="Q123" s="199">
        <v>191676.94171220399</v>
      </c>
      <c r="R123" s="199">
        <v>2663412.3187613799</v>
      </c>
      <c r="S123" s="199">
        <v>1611876.2531876101</v>
      </c>
      <c r="T123" s="199">
        <v>7050039.1639344301</v>
      </c>
      <c r="U123" s="199">
        <v>2844259.4408014598</v>
      </c>
      <c r="V123" s="199">
        <v>764326.32786885195</v>
      </c>
      <c r="W123" s="199">
        <v>66196.5227686703</v>
      </c>
      <c r="X123" s="199">
        <v>75933.138433515502</v>
      </c>
    </row>
    <row r="124" spans="1:24">
      <c r="A124" s="1403"/>
      <c r="B124" s="1403"/>
      <c r="C124" s="198">
        <v>2018</v>
      </c>
      <c r="D124" s="199">
        <v>5986133.8353344798</v>
      </c>
      <c r="E124" s="199">
        <v>2187483.5471698102</v>
      </c>
      <c r="F124" s="199">
        <v>3798650.3070325898</v>
      </c>
      <c r="G124" s="199">
        <v>3441171.8593481998</v>
      </c>
      <c r="H124" s="199">
        <v>357478.578044597</v>
      </c>
      <c r="I124" s="199">
        <v>264865.09605488903</v>
      </c>
      <c r="J124" s="199">
        <v>218557.92452830201</v>
      </c>
      <c r="K124" s="199">
        <v>403785.74957118399</v>
      </c>
      <c r="L124" s="199">
        <v>78045.746140651798</v>
      </c>
      <c r="M124" s="199">
        <v>325066.52315608901</v>
      </c>
      <c r="N124" s="199">
        <v>257129.22126929701</v>
      </c>
      <c r="O124" s="199">
        <v>4836195.6397941699</v>
      </c>
      <c r="P124" s="199">
        <v>3520750.0360205802</v>
      </c>
      <c r="Q124" s="199">
        <v>194467.22469982799</v>
      </c>
      <c r="R124" s="199">
        <v>2811390.29845626</v>
      </c>
      <c r="S124" s="199">
        <v>1671187.94339623</v>
      </c>
      <c r="T124" s="199">
        <v>7647585.6243567802</v>
      </c>
      <c r="U124" s="199">
        <v>3284608.6895368798</v>
      </c>
      <c r="V124" s="199">
        <v>701202.07718696399</v>
      </c>
      <c r="W124" s="199">
        <v>94117.536878216095</v>
      </c>
      <c r="X124" s="199">
        <v>106522.243567753</v>
      </c>
    </row>
    <row r="125" spans="1:24">
      <c r="A125" s="1404"/>
      <c r="B125" s="1404"/>
      <c r="C125" s="198">
        <v>2019</v>
      </c>
      <c r="D125" s="199">
        <v>8352909.1962264199</v>
      </c>
      <c r="E125" s="199">
        <v>3258140</v>
      </c>
      <c r="F125" s="199">
        <v>5094769.3339622598</v>
      </c>
      <c r="G125" s="199">
        <v>4486676.2075471701</v>
      </c>
      <c r="H125" s="199">
        <v>608093.052830189</v>
      </c>
      <c r="I125" s="199">
        <v>255577.28301886801</v>
      </c>
      <c r="J125" s="199">
        <v>247953.339622642</v>
      </c>
      <c r="K125" s="199">
        <v>615716.99622641504</v>
      </c>
      <c r="L125" s="199">
        <v>104477.89811320799</v>
      </c>
      <c r="M125" s="199">
        <v>511239.030188679</v>
      </c>
      <c r="N125" s="199">
        <v>339328.28490566002</v>
      </c>
      <c r="O125" s="199">
        <v>6125546.4018867901</v>
      </c>
      <c r="P125" s="199">
        <v>4753712.7490566</v>
      </c>
      <c r="Q125" s="199">
        <v>211036.567924528</v>
      </c>
      <c r="R125" s="199">
        <v>3788730.1339622601</v>
      </c>
      <c r="S125" s="199">
        <v>2287172.3150943401</v>
      </c>
      <c r="T125" s="199">
        <v>9914276.8094339594</v>
      </c>
      <c r="U125" s="199">
        <v>4475405.5018867897</v>
      </c>
      <c r="V125" s="199">
        <v>922840.97358490597</v>
      </c>
      <c r="W125" s="199">
        <v>110845.343396226</v>
      </c>
      <c r="X125" s="199">
        <v>133415.14716981101</v>
      </c>
    </row>
    <row r="126" spans="1:24">
      <c r="A126" s="1402">
        <v>924</v>
      </c>
      <c r="B126" s="1402" t="s">
        <v>1299</v>
      </c>
      <c r="C126" s="198">
        <v>2017</v>
      </c>
      <c r="D126" s="199">
        <v>5968790.8756345203</v>
      </c>
      <c r="E126" s="199">
        <v>4189372.9827411198</v>
      </c>
      <c r="F126" s="199">
        <v>1779417.8649746201</v>
      </c>
      <c r="G126" s="199">
        <v>1278830.1172588801</v>
      </c>
      <c r="H126" s="199">
        <v>500587.74720812199</v>
      </c>
      <c r="I126" s="199">
        <v>122372.874111675</v>
      </c>
      <c r="J126" s="199">
        <v>216856.95786801999</v>
      </c>
      <c r="K126" s="199">
        <v>406103.66345177701</v>
      </c>
      <c r="L126" s="199">
        <v>80405.528934010203</v>
      </c>
      <c r="M126" s="199">
        <v>333225.473604061</v>
      </c>
      <c r="N126" s="199">
        <v>70437.883248730999</v>
      </c>
      <c r="O126" s="199">
        <v>5567233.4923857898</v>
      </c>
      <c r="P126" s="199">
        <v>3156943.3258883199</v>
      </c>
      <c r="Q126" s="199">
        <v>410898.37664974597</v>
      </c>
      <c r="R126" s="199">
        <v>2406702.3187817298</v>
      </c>
      <c r="S126" s="199">
        <v>1814329.4299492401</v>
      </c>
      <c r="T126" s="199">
        <v>7973935.8314720802</v>
      </c>
      <c r="U126" s="199">
        <v>4672516.9020304596</v>
      </c>
      <c r="V126" s="199">
        <v>587568.49847715697</v>
      </c>
      <c r="W126" s="199">
        <v>232074.67817258899</v>
      </c>
      <c r="X126" s="199">
        <v>189188.17512690401</v>
      </c>
    </row>
    <row r="127" spans="1:24">
      <c r="A127" s="1403"/>
      <c r="B127" s="1403"/>
      <c r="C127" s="198">
        <v>2018</v>
      </c>
      <c r="D127" s="199">
        <v>6392063.1835081</v>
      </c>
      <c r="E127" s="199">
        <v>4440177.3460438503</v>
      </c>
      <c r="F127" s="199">
        <v>1951885.6620591001</v>
      </c>
      <c r="G127" s="199">
        <v>1360237.0085795999</v>
      </c>
      <c r="H127" s="199">
        <v>591648.65919923701</v>
      </c>
      <c r="I127" s="199">
        <v>183471.41897044799</v>
      </c>
      <c r="J127" s="199">
        <v>261366.49571019999</v>
      </c>
      <c r="K127" s="199">
        <v>513753.58245948498</v>
      </c>
      <c r="L127" s="199">
        <v>104118.255958055</v>
      </c>
      <c r="M127" s="199">
        <v>408946.17540514801</v>
      </c>
      <c r="N127" s="199">
        <v>155271.04432793101</v>
      </c>
      <c r="O127" s="199">
        <v>5675484.0247855103</v>
      </c>
      <c r="P127" s="199">
        <v>3279425.2521449002</v>
      </c>
      <c r="Q127" s="199">
        <v>326535.443755958</v>
      </c>
      <c r="R127" s="199">
        <v>2580333.0376549098</v>
      </c>
      <c r="S127" s="199">
        <v>1848379.5457578599</v>
      </c>
      <c r="T127" s="199">
        <v>8255817.1234509097</v>
      </c>
      <c r="U127" s="199">
        <v>4513571.2616777904</v>
      </c>
      <c r="V127" s="199">
        <v>558636.36987607204</v>
      </c>
      <c r="W127" s="199">
        <v>216159.91611058201</v>
      </c>
      <c r="X127" s="199">
        <v>165151.84032411801</v>
      </c>
    </row>
    <row r="128" spans="1:24">
      <c r="A128" s="1404"/>
      <c r="B128" s="1404"/>
      <c r="C128" s="198">
        <v>2019</v>
      </c>
      <c r="D128" s="199">
        <v>6619490.5961538497</v>
      </c>
      <c r="E128" s="199">
        <v>4555877.2030542996</v>
      </c>
      <c r="F128" s="199">
        <v>2063613.39536199</v>
      </c>
      <c r="G128" s="199">
        <v>1436497.0701357501</v>
      </c>
      <c r="H128" s="199">
        <v>627116.31787330296</v>
      </c>
      <c r="I128" s="199">
        <v>237430.59162895899</v>
      </c>
      <c r="J128" s="199">
        <v>279625.87104072399</v>
      </c>
      <c r="K128" s="199">
        <v>584921.03846153803</v>
      </c>
      <c r="L128" s="199">
        <v>134697.23076923101</v>
      </c>
      <c r="M128" s="199">
        <v>447522.18552036199</v>
      </c>
      <c r="N128" s="199">
        <v>181266.647624434</v>
      </c>
      <c r="O128" s="199">
        <v>7647423.4490950201</v>
      </c>
      <c r="P128" s="199">
        <v>4470737.1001131199</v>
      </c>
      <c r="Q128" s="199">
        <v>558709.30316742102</v>
      </c>
      <c r="R128" s="199">
        <v>3033497.5175339398</v>
      </c>
      <c r="S128" s="199">
        <v>2141282.4835972898</v>
      </c>
      <c r="T128" s="199">
        <v>10680920.7794118</v>
      </c>
      <c r="U128" s="199">
        <v>6195152.2929864302</v>
      </c>
      <c r="V128" s="199">
        <v>596994.96153846197</v>
      </c>
      <c r="W128" s="199">
        <v>260655.87047511301</v>
      </c>
      <c r="X128" s="199">
        <v>174664.44796380101</v>
      </c>
    </row>
    <row r="129" spans="1:24">
      <c r="A129" s="1402">
        <v>929</v>
      </c>
      <c r="B129" s="1402" t="s">
        <v>1300</v>
      </c>
      <c r="C129" s="198">
        <v>2017</v>
      </c>
      <c r="D129" s="199">
        <v>2954701.09638554</v>
      </c>
      <c r="E129" s="199">
        <v>1348310.0040160599</v>
      </c>
      <c r="F129" s="199">
        <v>1606391.08433735</v>
      </c>
      <c r="G129" s="199">
        <v>1412025.07228916</v>
      </c>
      <c r="H129" s="199">
        <v>194366.03212851399</v>
      </c>
      <c r="I129" s="199">
        <v>158346.83534136499</v>
      </c>
      <c r="J129" s="199">
        <v>63084.4096385542</v>
      </c>
      <c r="K129" s="199">
        <v>289628.45783132501</v>
      </c>
      <c r="L129" s="199">
        <v>39926.285140562199</v>
      </c>
      <c r="M129" s="199">
        <v>249702.200803213</v>
      </c>
      <c r="N129" s="199">
        <v>39730.963855421702</v>
      </c>
      <c r="O129" s="199">
        <v>1249394.0080321301</v>
      </c>
      <c r="P129" s="199">
        <v>472479.14457831299</v>
      </c>
      <c r="Q129" s="199">
        <v>87466.771084337306</v>
      </c>
      <c r="R129" s="199">
        <v>1822775.42971888</v>
      </c>
      <c r="S129" s="199">
        <v>789152.41365461797</v>
      </c>
      <c r="T129" s="199">
        <v>3072169.3654618501</v>
      </c>
      <c r="U129" s="199">
        <v>1128676.08433735</v>
      </c>
      <c r="V129" s="199">
        <v>370177.09236947802</v>
      </c>
      <c r="W129" s="199">
        <v>88258.204819277104</v>
      </c>
      <c r="X129" s="199">
        <v>100256.309236948</v>
      </c>
    </row>
    <row r="130" spans="1:24">
      <c r="A130" s="1403"/>
      <c r="B130" s="1403"/>
      <c r="C130" s="198">
        <v>2018</v>
      </c>
      <c r="D130" s="199">
        <v>3452756.2462121202</v>
      </c>
      <c r="E130" s="199">
        <v>1786404.09469697</v>
      </c>
      <c r="F130" s="199">
        <v>1666352.1704545501</v>
      </c>
      <c r="G130" s="199">
        <v>1485487.10984848</v>
      </c>
      <c r="H130" s="199">
        <v>180865.06060606099</v>
      </c>
      <c r="I130" s="199">
        <v>121128.363636364</v>
      </c>
      <c r="J130" s="199">
        <v>78269.363636363603</v>
      </c>
      <c r="K130" s="199">
        <v>223724.06060606099</v>
      </c>
      <c r="L130" s="199">
        <v>26787.246212121201</v>
      </c>
      <c r="M130" s="199">
        <v>196936.78030303001</v>
      </c>
      <c r="N130" s="199">
        <v>50370.765151515203</v>
      </c>
      <c r="O130" s="199">
        <v>1309544.7424242401</v>
      </c>
      <c r="P130" s="199">
        <v>536295.64015151502</v>
      </c>
      <c r="Q130" s="199">
        <v>159201.43939393901</v>
      </c>
      <c r="R130" s="199">
        <v>2114390.6477272701</v>
      </c>
      <c r="S130" s="199">
        <v>904400.95833333302</v>
      </c>
      <c r="T130" s="199">
        <v>3423935.3371212101</v>
      </c>
      <c r="U130" s="199">
        <v>1232989.7992424199</v>
      </c>
      <c r="V130" s="199">
        <v>382589.80303030298</v>
      </c>
      <c r="W130" s="199">
        <v>156966.40151515201</v>
      </c>
      <c r="X130" s="199">
        <v>117056.253787879</v>
      </c>
    </row>
    <row r="131" spans="1:24">
      <c r="A131" s="1404"/>
      <c r="B131" s="1404"/>
      <c r="C131" s="198">
        <v>2019</v>
      </c>
      <c r="D131" s="199">
        <v>3933066.0179211502</v>
      </c>
      <c r="E131" s="199">
        <v>1854759.0609319001</v>
      </c>
      <c r="F131" s="199">
        <v>2078307.0537634401</v>
      </c>
      <c r="G131" s="199">
        <v>1663126.72401434</v>
      </c>
      <c r="H131" s="199">
        <v>415180.28673835099</v>
      </c>
      <c r="I131" s="199">
        <v>166564.684587814</v>
      </c>
      <c r="J131" s="199">
        <v>104471.827956989</v>
      </c>
      <c r="K131" s="199">
        <v>477273.14336917602</v>
      </c>
      <c r="L131" s="199">
        <v>58238.702508960603</v>
      </c>
      <c r="M131" s="199">
        <v>419034.46236559103</v>
      </c>
      <c r="N131" s="199">
        <v>89140.5448028674</v>
      </c>
      <c r="O131" s="199">
        <v>2106831.7383512501</v>
      </c>
      <c r="P131" s="199">
        <v>618199.07885304699</v>
      </c>
      <c r="Q131" s="199">
        <v>133330.05017921099</v>
      </c>
      <c r="R131" s="199">
        <v>3019465.7275985698</v>
      </c>
      <c r="S131" s="199">
        <v>1747086.89247312</v>
      </c>
      <c r="T131" s="199">
        <v>5126297.6989247296</v>
      </c>
      <c r="U131" s="199">
        <v>2253320.3405017899</v>
      </c>
      <c r="V131" s="199">
        <v>394576.43010752701</v>
      </c>
      <c r="W131" s="199">
        <v>86445.211469534101</v>
      </c>
      <c r="X131" s="199">
        <v>141821.681003584</v>
      </c>
    </row>
  </sheetData>
  <mergeCells count="91">
    <mergeCell ref="A129:A131"/>
    <mergeCell ref="B129:B131"/>
    <mergeCell ref="A120:A122"/>
    <mergeCell ref="B120:B122"/>
    <mergeCell ref="A123:A125"/>
    <mergeCell ref="B123:B125"/>
    <mergeCell ref="A126:A128"/>
    <mergeCell ref="B126:B128"/>
    <mergeCell ref="A111:A113"/>
    <mergeCell ref="B111:B113"/>
    <mergeCell ref="A114:A116"/>
    <mergeCell ref="B114:B116"/>
    <mergeCell ref="A117:A119"/>
    <mergeCell ref="B117:B119"/>
    <mergeCell ref="A102:A104"/>
    <mergeCell ref="B102:B104"/>
    <mergeCell ref="A105:A107"/>
    <mergeCell ref="B105:B107"/>
    <mergeCell ref="A108:A110"/>
    <mergeCell ref="B108:B110"/>
    <mergeCell ref="A93:A95"/>
    <mergeCell ref="B93:B95"/>
    <mergeCell ref="A96:A98"/>
    <mergeCell ref="B96:B98"/>
    <mergeCell ref="A99:A101"/>
    <mergeCell ref="B99:B101"/>
    <mergeCell ref="A84:A86"/>
    <mergeCell ref="B84:B86"/>
    <mergeCell ref="A87:A89"/>
    <mergeCell ref="B87:B89"/>
    <mergeCell ref="A90:A92"/>
    <mergeCell ref="B90:B92"/>
    <mergeCell ref="A75:A77"/>
    <mergeCell ref="B75:B77"/>
    <mergeCell ref="A78:A80"/>
    <mergeCell ref="B78:B80"/>
    <mergeCell ref="A81:A83"/>
    <mergeCell ref="B81:B83"/>
    <mergeCell ref="A66:A68"/>
    <mergeCell ref="B66:B68"/>
    <mergeCell ref="A69:A71"/>
    <mergeCell ref="B69:B71"/>
    <mergeCell ref="A72:A74"/>
    <mergeCell ref="B72:B74"/>
    <mergeCell ref="A57:A59"/>
    <mergeCell ref="B57:B59"/>
    <mergeCell ref="A60:A62"/>
    <mergeCell ref="B60:B62"/>
    <mergeCell ref="A63:A65"/>
    <mergeCell ref="B63:B65"/>
    <mergeCell ref="A48:A50"/>
    <mergeCell ref="B48:B50"/>
    <mergeCell ref="A51:A53"/>
    <mergeCell ref="B51:B53"/>
    <mergeCell ref="A54:A56"/>
    <mergeCell ref="B54:B56"/>
    <mergeCell ref="A39:A41"/>
    <mergeCell ref="B39:B41"/>
    <mergeCell ref="A42:A44"/>
    <mergeCell ref="B42:B44"/>
    <mergeCell ref="A45:A47"/>
    <mergeCell ref="B45:B47"/>
    <mergeCell ref="A30:A32"/>
    <mergeCell ref="B30:B32"/>
    <mergeCell ref="A33:A35"/>
    <mergeCell ref="B33:B35"/>
    <mergeCell ref="A36:A38"/>
    <mergeCell ref="B36:B38"/>
    <mergeCell ref="A21:A23"/>
    <mergeCell ref="B21:B23"/>
    <mergeCell ref="A24:A26"/>
    <mergeCell ref="B24:B26"/>
    <mergeCell ref="A27:A29"/>
    <mergeCell ref="B27:B29"/>
    <mergeCell ref="A12:A14"/>
    <mergeCell ref="B12:B14"/>
    <mergeCell ref="A15:A17"/>
    <mergeCell ref="B15:B17"/>
    <mergeCell ref="A18:A20"/>
    <mergeCell ref="B18:B20"/>
    <mergeCell ref="D1:N1"/>
    <mergeCell ref="O1:X1"/>
    <mergeCell ref="A6:A8"/>
    <mergeCell ref="B6:B8"/>
    <mergeCell ref="A9:A11"/>
    <mergeCell ref="B9:B11"/>
    <mergeCell ref="A3:A5"/>
    <mergeCell ref="B3:B5"/>
    <mergeCell ref="A1:A2"/>
    <mergeCell ref="B1:B2"/>
    <mergeCell ref="C1:C2"/>
  </mergeCells>
  <phoneticPr fontId="11"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3"/>
  <dimension ref="A1:O143"/>
  <sheetViews>
    <sheetView workbookViewId="0">
      <selection activeCell="B29" sqref="B29"/>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966451570</v>
      </c>
      <c r="D3" s="94">
        <v>744092129</v>
      </c>
      <c r="E3" s="94">
        <v>173366315</v>
      </c>
      <c r="F3" s="94">
        <v>22098653</v>
      </c>
      <c r="G3" s="94">
        <v>1723970839</v>
      </c>
      <c r="H3" s="94">
        <v>966827767</v>
      </c>
      <c r="I3" s="94">
        <v>15657854</v>
      </c>
      <c r="J3" s="94">
        <v>161473541</v>
      </c>
      <c r="K3" s="94">
        <v>243779060</v>
      </c>
      <c r="L3" s="94">
        <v>59361846</v>
      </c>
    </row>
    <row r="4" spans="1:15">
      <c r="A4" s="140">
        <v>12</v>
      </c>
      <c r="B4" s="93" t="s">
        <v>2</v>
      </c>
      <c r="C4" s="94">
        <v>2666877309</v>
      </c>
      <c r="D4" s="94">
        <v>2304058834</v>
      </c>
      <c r="E4" s="94">
        <v>208023052</v>
      </c>
      <c r="F4" s="94">
        <v>66713774</v>
      </c>
      <c r="G4" s="94">
        <v>3411089385</v>
      </c>
      <c r="H4" s="94">
        <v>1914263271</v>
      </c>
      <c r="I4" s="94">
        <v>23487556</v>
      </c>
      <c r="J4" s="94">
        <v>241321784</v>
      </c>
      <c r="K4" s="94">
        <v>518745692</v>
      </c>
      <c r="L4" s="94">
        <v>345419213</v>
      </c>
    </row>
    <row r="5" spans="1:15">
      <c r="A5" s="140">
        <v>21</v>
      </c>
      <c r="B5" s="93" t="s">
        <v>19</v>
      </c>
      <c r="C5" s="94">
        <v>64400370147</v>
      </c>
      <c r="D5" s="94">
        <v>40541269625</v>
      </c>
      <c r="E5" s="94">
        <v>16837918007</v>
      </c>
      <c r="F5" s="94">
        <v>881423483</v>
      </c>
      <c r="G5" s="94">
        <v>88273725536</v>
      </c>
      <c r="H5" s="94">
        <v>27054738562</v>
      </c>
      <c r="I5" s="94">
        <v>2843290769</v>
      </c>
      <c r="J5" s="94">
        <v>14013489773</v>
      </c>
      <c r="K5" s="94">
        <v>9797472595</v>
      </c>
      <c r="L5" s="94">
        <v>4606049439</v>
      </c>
    </row>
    <row r="6" spans="1:15">
      <c r="A6" s="140">
        <v>22</v>
      </c>
      <c r="B6" s="93" t="s">
        <v>20</v>
      </c>
      <c r="C6" s="94">
        <v>134532111506</v>
      </c>
      <c r="D6" s="94">
        <v>105985966529</v>
      </c>
      <c r="E6" s="94">
        <v>20801457634</v>
      </c>
      <c r="F6" s="94">
        <v>2864736909</v>
      </c>
      <c r="G6" s="94">
        <v>158469842693</v>
      </c>
      <c r="H6" s="94">
        <v>60746510809</v>
      </c>
      <c r="I6" s="94">
        <v>3771432802</v>
      </c>
      <c r="J6" s="94">
        <v>29075567843</v>
      </c>
      <c r="K6" s="94">
        <v>16656351434</v>
      </c>
      <c r="L6" s="94">
        <v>12341865597</v>
      </c>
    </row>
    <row r="7" spans="1:15">
      <c r="A7" s="140">
        <v>23</v>
      </c>
      <c r="B7" s="93" t="s">
        <v>21</v>
      </c>
      <c r="C7" s="94">
        <v>91699109807</v>
      </c>
      <c r="D7" s="94">
        <v>55495690351</v>
      </c>
      <c r="E7" s="94">
        <v>31109967336</v>
      </c>
      <c r="F7" s="94">
        <v>1735932201</v>
      </c>
      <c r="G7" s="94">
        <v>139270079383</v>
      </c>
      <c r="H7" s="94">
        <v>22301711902</v>
      </c>
      <c r="I7" s="94">
        <v>10102945834</v>
      </c>
      <c r="J7" s="94">
        <v>21348103344</v>
      </c>
      <c r="K7" s="94">
        <v>3768297507</v>
      </c>
      <c r="L7" s="94">
        <v>7632399590</v>
      </c>
    </row>
    <row r="8" spans="1:15">
      <c r="A8" s="140">
        <v>31</v>
      </c>
      <c r="B8" s="93" t="s">
        <v>22</v>
      </c>
      <c r="C8" s="94">
        <v>26340698</v>
      </c>
      <c r="D8" s="94">
        <v>9354601</v>
      </c>
      <c r="E8" s="94">
        <v>13390135</v>
      </c>
      <c r="F8" s="94">
        <v>1485599</v>
      </c>
      <c r="G8" s="94">
        <v>124174691</v>
      </c>
      <c r="H8" s="94">
        <v>100347237</v>
      </c>
      <c r="I8" s="94">
        <v>702184</v>
      </c>
      <c r="J8" s="94">
        <v>1293377</v>
      </c>
      <c r="K8" s="94">
        <v>3754609</v>
      </c>
      <c r="L8" s="94">
        <v>414502</v>
      </c>
    </row>
    <row r="9" spans="1:15">
      <c r="A9" s="140">
        <v>39</v>
      </c>
      <c r="B9" s="93" t="s">
        <v>23</v>
      </c>
      <c r="C9" s="94">
        <v>2066275</v>
      </c>
      <c r="D9" s="94">
        <v>1787612</v>
      </c>
      <c r="E9" s="94">
        <v>390791</v>
      </c>
      <c r="F9" s="94">
        <v>530</v>
      </c>
      <c r="G9" s="94">
        <v>1454665</v>
      </c>
      <c r="H9" s="94">
        <v>472924</v>
      </c>
      <c r="I9" s="94">
        <v>56500</v>
      </c>
      <c r="J9" s="94">
        <v>464118</v>
      </c>
      <c r="K9" s="94">
        <v>135158</v>
      </c>
      <c r="L9" s="94">
        <v>78097</v>
      </c>
    </row>
    <row r="10" spans="1:15">
      <c r="A10" s="140">
        <v>41</v>
      </c>
      <c r="B10" s="93" t="s">
        <v>24</v>
      </c>
      <c r="C10" s="94">
        <v>10791404752</v>
      </c>
      <c r="D10" s="94">
        <v>8673621227</v>
      </c>
      <c r="E10" s="94">
        <v>1522512624</v>
      </c>
      <c r="F10" s="94">
        <v>141454080</v>
      </c>
      <c r="G10" s="94">
        <v>10198183101</v>
      </c>
      <c r="H10" s="94">
        <v>4533338670</v>
      </c>
      <c r="I10" s="94">
        <v>55784278</v>
      </c>
      <c r="J10" s="94">
        <v>1588571460</v>
      </c>
      <c r="K10" s="94">
        <v>1140511654</v>
      </c>
      <c r="L10" s="94">
        <v>1008611253</v>
      </c>
    </row>
    <row r="11" spans="1:15">
      <c r="A11" s="140">
        <v>42</v>
      </c>
      <c r="B11" s="93" t="s">
        <v>25</v>
      </c>
      <c r="C11" s="94">
        <v>19816754465</v>
      </c>
      <c r="D11" s="94">
        <v>13030522420</v>
      </c>
      <c r="E11" s="94">
        <v>5207961477</v>
      </c>
      <c r="F11" s="94">
        <v>304812919</v>
      </c>
      <c r="G11" s="94">
        <v>20857582319</v>
      </c>
      <c r="H11" s="94">
        <v>9173987647</v>
      </c>
      <c r="I11" s="94">
        <v>359251953</v>
      </c>
      <c r="J11" s="94">
        <v>2934922978</v>
      </c>
      <c r="K11" s="94">
        <v>2209755758</v>
      </c>
      <c r="L11" s="94">
        <v>1352018537</v>
      </c>
    </row>
    <row r="12" spans="1:15">
      <c r="A12" s="140">
        <v>43</v>
      </c>
      <c r="B12" s="93" t="s">
        <v>26</v>
      </c>
      <c r="C12" s="94">
        <v>35375603386</v>
      </c>
      <c r="D12" s="94">
        <v>28996446976</v>
      </c>
      <c r="E12" s="94">
        <v>4459543070</v>
      </c>
      <c r="F12" s="94">
        <v>800386851</v>
      </c>
      <c r="G12" s="94">
        <v>38761769856</v>
      </c>
      <c r="H12" s="94">
        <v>15165051124</v>
      </c>
      <c r="I12" s="94">
        <v>1264534858</v>
      </c>
      <c r="J12" s="94">
        <v>7408325342</v>
      </c>
      <c r="K12" s="94">
        <v>4777442022</v>
      </c>
      <c r="L12" s="94">
        <v>3631475304</v>
      </c>
    </row>
    <row r="13" spans="1:15">
      <c r="A13" s="140">
        <v>44</v>
      </c>
      <c r="B13" s="93" t="s">
        <v>27</v>
      </c>
      <c r="C13" s="94">
        <v>66665718776</v>
      </c>
      <c r="D13" s="94">
        <v>37932561076</v>
      </c>
      <c r="E13" s="94">
        <v>24656757942</v>
      </c>
      <c r="F13" s="94">
        <v>1383281611</v>
      </c>
      <c r="G13" s="94">
        <v>92185553347</v>
      </c>
      <c r="H13" s="94">
        <v>16421559380</v>
      </c>
      <c r="I13" s="94">
        <v>8934671439</v>
      </c>
      <c r="J13" s="94">
        <v>11809587014</v>
      </c>
      <c r="K13" s="94">
        <v>3030572561</v>
      </c>
      <c r="L13" s="94">
        <v>4572796895</v>
      </c>
    </row>
    <row r="14" spans="1:15">
      <c r="A14" s="140">
        <v>51</v>
      </c>
      <c r="B14" s="93" t="s">
        <v>28</v>
      </c>
      <c r="C14" s="94">
        <v>2062823968</v>
      </c>
      <c r="D14" s="94">
        <v>1881084365</v>
      </c>
      <c r="E14" s="94">
        <v>213162740</v>
      </c>
      <c r="F14" s="94">
        <v>18681731</v>
      </c>
      <c r="G14" s="94">
        <v>2934782184</v>
      </c>
      <c r="H14" s="94">
        <v>978185788</v>
      </c>
      <c r="I14" s="94">
        <v>4525726</v>
      </c>
      <c r="J14" s="94">
        <v>196705858</v>
      </c>
      <c r="K14" s="94">
        <v>277297257</v>
      </c>
      <c r="L14" s="94">
        <v>106778724</v>
      </c>
    </row>
    <row r="15" spans="1:15">
      <c r="A15" s="140">
        <v>52</v>
      </c>
      <c r="B15" s="93" t="s">
        <v>29</v>
      </c>
      <c r="C15" s="94">
        <v>93446506</v>
      </c>
      <c r="D15" s="94">
        <v>77009380</v>
      </c>
      <c r="E15" s="94">
        <v>13079318</v>
      </c>
      <c r="F15" s="94">
        <v>3666886</v>
      </c>
      <c r="G15" s="94">
        <v>157743555</v>
      </c>
      <c r="H15" s="94">
        <v>65590985</v>
      </c>
      <c r="I15" s="94">
        <v>1889881</v>
      </c>
      <c r="J15" s="94">
        <v>13554420</v>
      </c>
      <c r="K15" s="94">
        <v>45161491</v>
      </c>
      <c r="L15" s="94">
        <v>2997228</v>
      </c>
    </row>
    <row r="16" spans="1:15">
      <c r="A16" s="140">
        <v>61</v>
      </c>
      <c r="B16" s="93" t="s">
        <v>30</v>
      </c>
      <c r="C16" s="94">
        <v>82656518269</v>
      </c>
      <c r="D16" s="94">
        <v>67183782286</v>
      </c>
      <c r="E16" s="94">
        <v>8572617113</v>
      </c>
      <c r="F16" s="94">
        <v>443373565</v>
      </c>
      <c r="G16" s="94">
        <v>77793859559</v>
      </c>
      <c r="H16" s="94">
        <v>31061815074</v>
      </c>
      <c r="I16" s="94">
        <v>979977228</v>
      </c>
      <c r="J16" s="94">
        <v>10014780286</v>
      </c>
      <c r="K16" s="94">
        <v>7098742156</v>
      </c>
      <c r="L16" s="94">
        <v>5278370252</v>
      </c>
    </row>
    <row r="17" spans="1:12">
      <c r="A17" s="140">
        <v>62</v>
      </c>
      <c r="B17" s="93" t="s">
        <v>31</v>
      </c>
      <c r="C17" s="94">
        <v>342313534412</v>
      </c>
      <c r="D17" s="94">
        <v>295152882920</v>
      </c>
      <c r="E17" s="94">
        <v>39246322215</v>
      </c>
      <c r="F17" s="94">
        <v>5691399249</v>
      </c>
      <c r="G17" s="94">
        <v>393636070427</v>
      </c>
      <c r="H17" s="94">
        <v>139329211624</v>
      </c>
      <c r="I17" s="94">
        <v>7542566635</v>
      </c>
      <c r="J17" s="94">
        <v>80363894175</v>
      </c>
      <c r="K17" s="94">
        <v>36584082905</v>
      </c>
      <c r="L17" s="94">
        <v>34970388108</v>
      </c>
    </row>
    <row r="18" spans="1:12">
      <c r="A18" s="140">
        <v>63</v>
      </c>
      <c r="B18" s="93" t="s">
        <v>32</v>
      </c>
      <c r="C18" s="94">
        <v>96719356353</v>
      </c>
      <c r="D18" s="94">
        <v>59579400152</v>
      </c>
      <c r="E18" s="94">
        <v>31837430581</v>
      </c>
      <c r="F18" s="94">
        <v>1754581360</v>
      </c>
      <c r="G18" s="94">
        <v>116017848789</v>
      </c>
      <c r="H18" s="94">
        <v>20684995699</v>
      </c>
      <c r="I18" s="94">
        <v>10428940718</v>
      </c>
      <c r="J18" s="94">
        <v>18675765546</v>
      </c>
      <c r="K18" s="94">
        <v>3880928697</v>
      </c>
      <c r="L18" s="94">
        <v>7181271473</v>
      </c>
    </row>
    <row r="19" spans="1:12">
      <c r="A19" s="140">
        <v>71</v>
      </c>
      <c r="B19" s="93" t="s">
        <v>33</v>
      </c>
      <c r="C19" s="94">
        <v>14004974055</v>
      </c>
      <c r="D19" s="94">
        <v>12498338296</v>
      </c>
      <c r="E19" s="94">
        <v>1200393365</v>
      </c>
      <c r="F19" s="94">
        <v>182947855</v>
      </c>
      <c r="G19" s="94">
        <v>7309118657</v>
      </c>
      <c r="H19" s="94">
        <v>3239518689</v>
      </c>
      <c r="I19" s="94">
        <v>42786401</v>
      </c>
      <c r="J19" s="94">
        <v>1257747402</v>
      </c>
      <c r="K19" s="94">
        <v>1018098102</v>
      </c>
      <c r="L19" s="94">
        <v>559492533</v>
      </c>
    </row>
    <row r="20" spans="1:12">
      <c r="A20" s="140">
        <v>72</v>
      </c>
      <c r="B20" s="93" t="s">
        <v>34</v>
      </c>
      <c r="C20" s="94">
        <v>6234189881</v>
      </c>
      <c r="D20" s="94">
        <v>5061332167</v>
      </c>
      <c r="E20" s="94">
        <v>918121872</v>
      </c>
      <c r="F20" s="94">
        <v>73092928</v>
      </c>
      <c r="G20" s="94">
        <v>4660077169</v>
      </c>
      <c r="H20" s="94">
        <v>1771946450</v>
      </c>
      <c r="I20" s="94">
        <v>35331688</v>
      </c>
      <c r="J20" s="94">
        <v>637188721</v>
      </c>
      <c r="K20" s="94">
        <v>941060747</v>
      </c>
      <c r="L20" s="94">
        <v>345479111</v>
      </c>
    </row>
    <row r="21" spans="1:12">
      <c r="A21" s="140">
        <v>73</v>
      </c>
      <c r="B21" s="93" t="s">
        <v>35</v>
      </c>
      <c r="C21" s="94">
        <v>3163613265</v>
      </c>
      <c r="D21" s="94">
        <v>2566088843</v>
      </c>
      <c r="E21" s="94">
        <v>481070153</v>
      </c>
      <c r="F21" s="94">
        <v>65556933</v>
      </c>
      <c r="G21" s="94">
        <v>2615339670</v>
      </c>
      <c r="H21" s="94">
        <v>1135677397</v>
      </c>
      <c r="I21" s="94">
        <v>147837388</v>
      </c>
      <c r="J21" s="94">
        <v>384562269</v>
      </c>
      <c r="K21" s="94">
        <v>432034109</v>
      </c>
      <c r="L21" s="94">
        <v>187637502</v>
      </c>
    </row>
    <row r="22" spans="1:12">
      <c r="A22" s="140">
        <v>74</v>
      </c>
      <c r="B22" s="93" t="s">
        <v>36</v>
      </c>
      <c r="C22" s="94">
        <v>1670471660</v>
      </c>
      <c r="D22" s="94">
        <v>1440825368</v>
      </c>
      <c r="E22" s="94">
        <v>149625960</v>
      </c>
      <c r="F22" s="94">
        <v>15374351</v>
      </c>
      <c r="G22" s="94">
        <v>1161755378</v>
      </c>
      <c r="H22" s="94">
        <v>348430701</v>
      </c>
      <c r="I22" s="94">
        <v>8012051</v>
      </c>
      <c r="J22" s="94">
        <v>174626791</v>
      </c>
      <c r="K22" s="94">
        <v>202646206</v>
      </c>
      <c r="L22" s="94">
        <v>123682885</v>
      </c>
    </row>
    <row r="23" spans="1:12">
      <c r="A23" s="140">
        <v>75</v>
      </c>
      <c r="B23" s="93" t="s">
        <v>37</v>
      </c>
      <c r="C23" s="94">
        <v>7836202883</v>
      </c>
      <c r="D23" s="94">
        <v>5391250572</v>
      </c>
      <c r="E23" s="94">
        <v>2102124433</v>
      </c>
      <c r="F23" s="94">
        <v>97857201</v>
      </c>
      <c r="G23" s="94">
        <v>6047276725</v>
      </c>
      <c r="H23" s="94">
        <v>2075861446</v>
      </c>
      <c r="I23" s="94">
        <v>82266696</v>
      </c>
      <c r="J23" s="94">
        <v>782861445</v>
      </c>
      <c r="K23" s="94">
        <v>659668209</v>
      </c>
      <c r="L23" s="94">
        <v>396660750</v>
      </c>
    </row>
    <row r="24" spans="1:12">
      <c r="A24" s="140">
        <v>76</v>
      </c>
      <c r="B24" s="93" t="s">
        <v>38</v>
      </c>
      <c r="C24" s="94">
        <v>5795692516</v>
      </c>
      <c r="D24" s="94">
        <v>4824424593</v>
      </c>
      <c r="E24" s="94">
        <v>726898329</v>
      </c>
      <c r="F24" s="94">
        <v>81024912</v>
      </c>
      <c r="G24" s="94">
        <v>5790283800</v>
      </c>
      <c r="H24" s="94">
        <v>1950173838</v>
      </c>
      <c r="I24" s="94">
        <v>230053490</v>
      </c>
      <c r="J24" s="94">
        <v>701672650</v>
      </c>
      <c r="K24" s="94">
        <v>1052206776</v>
      </c>
      <c r="L24" s="94">
        <v>303781449</v>
      </c>
    </row>
    <row r="25" spans="1:12">
      <c r="A25" s="140">
        <v>77</v>
      </c>
      <c r="B25" s="93" t="s">
        <v>39</v>
      </c>
      <c r="C25" s="94">
        <v>8801207838</v>
      </c>
      <c r="D25" s="94">
        <v>7477452513</v>
      </c>
      <c r="E25" s="94">
        <v>972355791</v>
      </c>
      <c r="F25" s="94">
        <v>37182172</v>
      </c>
      <c r="G25" s="94">
        <v>7024933483</v>
      </c>
      <c r="H25" s="94">
        <v>1637510818</v>
      </c>
      <c r="I25" s="94">
        <v>37430387</v>
      </c>
      <c r="J25" s="94">
        <v>1171681708</v>
      </c>
      <c r="K25" s="94">
        <v>1074334069</v>
      </c>
      <c r="L25" s="94">
        <v>500733988</v>
      </c>
    </row>
    <row r="26" spans="1:12">
      <c r="A26" s="140">
        <v>79</v>
      </c>
      <c r="B26" s="93" t="s">
        <v>40</v>
      </c>
      <c r="C26" s="94">
        <v>39973251850</v>
      </c>
      <c r="D26" s="94">
        <v>28713675968</v>
      </c>
      <c r="E26" s="94">
        <v>8876992315</v>
      </c>
      <c r="F26" s="94">
        <v>628251390</v>
      </c>
      <c r="G26" s="94">
        <v>43536531351</v>
      </c>
      <c r="H26" s="94">
        <v>16120968818</v>
      </c>
      <c r="I26" s="94">
        <v>678030357</v>
      </c>
      <c r="J26" s="94">
        <v>4653123657</v>
      </c>
      <c r="K26" s="94">
        <v>5969824720</v>
      </c>
      <c r="L26" s="94">
        <v>2939277536</v>
      </c>
    </row>
    <row r="27" spans="1:12">
      <c r="A27" s="140">
        <v>81</v>
      </c>
      <c r="B27" s="93" t="s">
        <v>41</v>
      </c>
      <c r="C27" s="94">
        <v>5189056127</v>
      </c>
      <c r="D27" s="94">
        <v>2632474473</v>
      </c>
      <c r="E27" s="94">
        <v>1654816277</v>
      </c>
      <c r="F27" s="94">
        <v>51712353</v>
      </c>
      <c r="G27" s="94">
        <v>9799244842</v>
      </c>
      <c r="H27" s="94">
        <v>3745989244</v>
      </c>
      <c r="I27" s="94">
        <v>1667137776</v>
      </c>
      <c r="J27" s="94">
        <v>1177749584</v>
      </c>
      <c r="K27" s="94">
        <v>431083326</v>
      </c>
      <c r="L27" s="94">
        <v>332293315</v>
      </c>
    </row>
    <row r="28" spans="1:12">
      <c r="A28" s="140">
        <v>82</v>
      </c>
      <c r="B28" s="93" t="s">
        <v>42</v>
      </c>
      <c r="C28" s="94">
        <v>6751601077</v>
      </c>
      <c r="D28" s="94">
        <v>4131452890</v>
      </c>
      <c r="E28" s="94">
        <v>2102307764</v>
      </c>
      <c r="F28" s="94">
        <v>141374862</v>
      </c>
      <c r="G28" s="94">
        <v>8696300570</v>
      </c>
      <c r="H28" s="94">
        <v>3785470789</v>
      </c>
      <c r="I28" s="94">
        <v>326498547</v>
      </c>
      <c r="J28" s="94">
        <v>658176881</v>
      </c>
      <c r="K28" s="94">
        <v>619915435</v>
      </c>
      <c r="L28" s="94">
        <v>409834097</v>
      </c>
    </row>
    <row r="29" spans="1:12">
      <c r="A29" s="140">
        <v>91</v>
      </c>
      <c r="B29" s="93" t="s">
        <v>43</v>
      </c>
      <c r="C29" s="94">
        <v>92516392071</v>
      </c>
      <c r="D29" s="94">
        <v>75293070423</v>
      </c>
      <c r="E29" s="94">
        <v>11970377857</v>
      </c>
      <c r="F29" s="94">
        <v>2106439068</v>
      </c>
      <c r="G29" s="94">
        <v>104002291026</v>
      </c>
      <c r="H29" s="94">
        <v>42061084970</v>
      </c>
      <c r="I29" s="94">
        <v>1570675236</v>
      </c>
      <c r="J29" s="94">
        <v>17533785082</v>
      </c>
      <c r="K29" s="94">
        <v>9733654185</v>
      </c>
      <c r="L29" s="94">
        <v>8832351804</v>
      </c>
    </row>
    <row r="30" spans="1:12">
      <c r="A30" s="140">
        <v>92</v>
      </c>
      <c r="B30" s="93" t="s">
        <v>44</v>
      </c>
      <c r="C30" s="94">
        <v>68631956157</v>
      </c>
      <c r="D30" s="94">
        <v>38523060149</v>
      </c>
      <c r="E30" s="94">
        <v>25963777726</v>
      </c>
      <c r="F30" s="94">
        <v>1494292283</v>
      </c>
      <c r="G30" s="94">
        <v>93246775202</v>
      </c>
      <c r="H30" s="94">
        <v>17310286169</v>
      </c>
      <c r="I30" s="94">
        <v>9060981261</v>
      </c>
      <c r="J30" s="94">
        <v>12160415574</v>
      </c>
      <c r="K30" s="94">
        <v>2786593076</v>
      </c>
      <c r="L30" s="94">
        <v>4618031700</v>
      </c>
    </row>
    <row r="31" spans="1:12">
      <c r="A31" s="140">
        <v>111</v>
      </c>
      <c r="B31" s="93" t="s">
        <v>45</v>
      </c>
      <c r="C31" s="94">
        <v>106772082</v>
      </c>
      <c r="D31" s="94">
        <v>91448225</v>
      </c>
      <c r="E31" s="94">
        <v>10900200</v>
      </c>
      <c r="F31" s="94">
        <v>1102184</v>
      </c>
      <c r="G31" s="94">
        <v>224562884</v>
      </c>
      <c r="H31" s="94">
        <v>142356414</v>
      </c>
      <c r="I31" s="94">
        <v>402515</v>
      </c>
      <c r="J31" s="94">
        <v>6687664</v>
      </c>
      <c r="K31" s="94">
        <v>35415986</v>
      </c>
      <c r="L31" s="94">
        <v>3515161</v>
      </c>
    </row>
    <row r="32" spans="1:12">
      <c r="A32" s="140">
        <v>112</v>
      </c>
      <c r="B32" s="93" t="s">
        <v>46</v>
      </c>
      <c r="C32" s="94">
        <v>75600239</v>
      </c>
      <c r="D32" s="94">
        <v>55442151</v>
      </c>
      <c r="E32" s="94">
        <v>17890189</v>
      </c>
      <c r="F32" s="94">
        <v>3094842</v>
      </c>
      <c r="G32" s="94">
        <v>103612610</v>
      </c>
      <c r="H32" s="94">
        <v>67352020</v>
      </c>
      <c r="I32" s="94">
        <v>340624</v>
      </c>
      <c r="J32" s="94">
        <v>7149001</v>
      </c>
      <c r="K32" s="94">
        <v>7700532</v>
      </c>
      <c r="L32" s="94">
        <v>4047894</v>
      </c>
    </row>
    <row r="33" spans="1:12">
      <c r="A33" s="140">
        <v>113</v>
      </c>
      <c r="B33" s="93" t="s">
        <v>47</v>
      </c>
      <c r="C33" s="94">
        <v>23917153</v>
      </c>
      <c r="D33" s="94">
        <v>16711370</v>
      </c>
      <c r="E33" s="94">
        <v>5866353</v>
      </c>
      <c r="F33" s="94">
        <v>1104636</v>
      </c>
      <c r="G33" s="94">
        <v>116813400</v>
      </c>
      <c r="H33" s="94">
        <v>94295086</v>
      </c>
      <c r="I33" s="94">
        <v>388957</v>
      </c>
      <c r="J33" s="94">
        <v>3528557</v>
      </c>
      <c r="K33" s="94">
        <v>5518783</v>
      </c>
      <c r="L33" s="94">
        <v>556413</v>
      </c>
    </row>
    <row r="34" spans="1:12">
      <c r="A34" s="140">
        <v>114</v>
      </c>
      <c r="B34" s="93" t="s">
        <v>48</v>
      </c>
      <c r="C34" s="94">
        <v>115436091</v>
      </c>
      <c r="D34" s="94">
        <v>59866201</v>
      </c>
      <c r="E34" s="94">
        <v>44469299</v>
      </c>
      <c r="F34" s="94">
        <v>2462766</v>
      </c>
      <c r="G34" s="94">
        <v>377590797</v>
      </c>
      <c r="H34" s="94">
        <v>98922262</v>
      </c>
      <c r="I34" s="94">
        <v>3676138</v>
      </c>
      <c r="J34" s="94">
        <v>64863675</v>
      </c>
      <c r="K34" s="94">
        <v>80600490</v>
      </c>
      <c r="L34" s="94">
        <v>12944068</v>
      </c>
    </row>
    <row r="35" spans="1:12">
      <c r="A35" s="140">
        <v>115</v>
      </c>
      <c r="B35" s="93" t="s">
        <v>49</v>
      </c>
      <c r="C35" s="94">
        <v>579172091</v>
      </c>
      <c r="D35" s="94">
        <v>470631481</v>
      </c>
      <c r="E35" s="94">
        <v>83680924</v>
      </c>
      <c r="F35" s="94">
        <v>12970109</v>
      </c>
      <c r="G35" s="94">
        <v>796580752</v>
      </c>
      <c r="H35" s="94">
        <v>495853328</v>
      </c>
      <c r="I35" s="94">
        <v>9467187</v>
      </c>
      <c r="J35" s="94">
        <v>71057160</v>
      </c>
      <c r="K35" s="94">
        <v>99844222</v>
      </c>
      <c r="L35" s="94">
        <v>33677388</v>
      </c>
    </row>
    <row r="36" spans="1:12">
      <c r="A36" s="140">
        <v>119</v>
      </c>
      <c r="B36" s="93" t="s">
        <v>50</v>
      </c>
      <c r="C36" s="94">
        <v>65553914</v>
      </c>
      <c r="D36" s="94">
        <v>49992701</v>
      </c>
      <c r="E36" s="94">
        <v>10559350</v>
      </c>
      <c r="F36" s="94">
        <v>1364116</v>
      </c>
      <c r="G36" s="94">
        <v>104810396</v>
      </c>
      <c r="H36" s="94">
        <v>68048657</v>
      </c>
      <c r="I36" s="94">
        <v>1382433</v>
      </c>
      <c r="J36" s="94">
        <v>8187484</v>
      </c>
      <c r="K36" s="94">
        <v>14699047</v>
      </c>
      <c r="L36" s="94">
        <v>4620922</v>
      </c>
    </row>
    <row r="37" spans="1:12">
      <c r="A37" s="140">
        <v>121</v>
      </c>
      <c r="B37" s="93" t="s">
        <v>51</v>
      </c>
      <c r="C37" s="94">
        <v>136026565</v>
      </c>
      <c r="D37" s="94">
        <v>117127385</v>
      </c>
      <c r="E37" s="94">
        <v>9206798</v>
      </c>
      <c r="F37" s="94">
        <v>1329125</v>
      </c>
      <c r="G37" s="94">
        <v>204286144</v>
      </c>
      <c r="H37" s="94">
        <v>78772029</v>
      </c>
      <c r="I37" s="94">
        <v>35513</v>
      </c>
      <c r="J37" s="94">
        <v>5089005</v>
      </c>
      <c r="K37" s="94">
        <v>80351067</v>
      </c>
      <c r="L37" s="94">
        <v>12798295</v>
      </c>
    </row>
    <row r="38" spans="1:12">
      <c r="A38" s="140">
        <v>122</v>
      </c>
      <c r="B38" s="93" t="s">
        <v>3</v>
      </c>
      <c r="C38" s="94">
        <v>944611511</v>
      </c>
      <c r="D38" s="94">
        <v>773334863</v>
      </c>
      <c r="E38" s="94">
        <v>57472279</v>
      </c>
      <c r="F38" s="94">
        <v>27536416</v>
      </c>
      <c r="G38" s="94">
        <v>1092986983</v>
      </c>
      <c r="H38" s="94">
        <v>571902757</v>
      </c>
      <c r="I38" s="94">
        <v>654680</v>
      </c>
      <c r="J38" s="94">
        <v>50723552</v>
      </c>
      <c r="K38" s="94">
        <v>196395335</v>
      </c>
      <c r="L38" s="94">
        <v>87668694</v>
      </c>
    </row>
    <row r="39" spans="1:12">
      <c r="A39" s="140">
        <v>123</v>
      </c>
      <c r="B39" s="93" t="s">
        <v>52</v>
      </c>
      <c r="C39" s="94">
        <v>1111726435</v>
      </c>
      <c r="D39" s="94">
        <v>996423514</v>
      </c>
      <c r="E39" s="94">
        <v>103018948</v>
      </c>
      <c r="F39" s="94">
        <v>25551032</v>
      </c>
      <c r="G39" s="94">
        <v>1067188309</v>
      </c>
      <c r="H39" s="94">
        <v>648454869</v>
      </c>
      <c r="I39" s="94">
        <v>13231571</v>
      </c>
      <c r="J39" s="94">
        <v>134279500</v>
      </c>
      <c r="K39" s="94">
        <v>84156620</v>
      </c>
      <c r="L39" s="94">
        <v>99842114</v>
      </c>
    </row>
    <row r="40" spans="1:12">
      <c r="A40" s="140">
        <v>124</v>
      </c>
      <c r="B40" s="93" t="s">
        <v>53</v>
      </c>
      <c r="C40" s="94">
        <v>234442132</v>
      </c>
      <c r="D40" s="94">
        <v>206957695</v>
      </c>
      <c r="E40" s="94">
        <v>18278169</v>
      </c>
      <c r="F40" s="94">
        <v>5928438</v>
      </c>
      <c r="G40" s="94">
        <v>514404117</v>
      </c>
      <c r="H40" s="94">
        <v>303680847</v>
      </c>
      <c r="I40" s="94">
        <v>4782434</v>
      </c>
      <c r="J40" s="94">
        <v>25393297</v>
      </c>
      <c r="K40" s="94">
        <v>76400516</v>
      </c>
      <c r="L40" s="94">
        <v>72518469</v>
      </c>
    </row>
    <row r="41" spans="1:12">
      <c r="A41" s="140">
        <v>129</v>
      </c>
      <c r="B41" s="93" t="s">
        <v>54</v>
      </c>
      <c r="C41" s="94">
        <v>240070666</v>
      </c>
      <c r="D41" s="94">
        <v>210215377</v>
      </c>
      <c r="E41" s="94">
        <v>20046858</v>
      </c>
      <c r="F41" s="94">
        <v>6368763</v>
      </c>
      <c r="G41" s="94">
        <v>532223832</v>
      </c>
      <c r="H41" s="94">
        <v>311452769</v>
      </c>
      <c r="I41" s="94">
        <v>4783358</v>
      </c>
      <c r="J41" s="94">
        <v>25836430</v>
      </c>
      <c r="K41" s="94">
        <v>81442154</v>
      </c>
      <c r="L41" s="94">
        <v>72591641</v>
      </c>
    </row>
    <row r="42" spans="1:12">
      <c r="A42" s="140">
        <v>211</v>
      </c>
      <c r="B42" s="93" t="s">
        <v>55</v>
      </c>
      <c r="C42" s="94">
        <v>3565080408</v>
      </c>
      <c r="D42" s="94">
        <v>3175575508</v>
      </c>
      <c r="E42" s="94">
        <v>292366405</v>
      </c>
      <c r="F42" s="94">
        <v>53809017</v>
      </c>
      <c r="G42" s="94">
        <v>6211057505</v>
      </c>
      <c r="H42" s="94">
        <v>2280323816</v>
      </c>
      <c r="I42" s="94">
        <v>13781654</v>
      </c>
      <c r="J42" s="94">
        <v>631255050</v>
      </c>
      <c r="K42" s="94">
        <v>690560777</v>
      </c>
      <c r="L42" s="94">
        <v>198752340</v>
      </c>
    </row>
    <row r="43" spans="1:12">
      <c r="A43" s="140">
        <v>212</v>
      </c>
      <c r="B43" s="93" t="s">
        <v>56</v>
      </c>
      <c r="C43" s="94">
        <v>3926085296</v>
      </c>
      <c r="D43" s="94">
        <v>1517138151</v>
      </c>
      <c r="E43" s="94">
        <v>888810359</v>
      </c>
      <c r="F43" s="94">
        <v>34967095</v>
      </c>
      <c r="G43" s="94">
        <v>8499145064</v>
      </c>
      <c r="H43" s="94">
        <v>1701086345</v>
      </c>
      <c r="I43" s="94">
        <v>23063331</v>
      </c>
      <c r="J43" s="94">
        <v>1022504398</v>
      </c>
      <c r="K43" s="94">
        <v>1015502683</v>
      </c>
      <c r="L43" s="94">
        <v>103220860</v>
      </c>
    </row>
    <row r="44" spans="1:12">
      <c r="A44" s="140">
        <v>213</v>
      </c>
      <c r="B44" s="93" t="s">
        <v>57</v>
      </c>
      <c r="C44" s="94">
        <v>1899386888</v>
      </c>
      <c r="D44" s="94">
        <v>1642384590</v>
      </c>
      <c r="E44" s="94">
        <v>192649350</v>
      </c>
      <c r="F44" s="94">
        <v>12519230</v>
      </c>
      <c r="G44" s="94">
        <v>2179493437</v>
      </c>
      <c r="H44" s="94">
        <v>488462890</v>
      </c>
      <c r="I44" s="94">
        <v>4384032</v>
      </c>
      <c r="J44" s="94">
        <v>339830650</v>
      </c>
      <c r="K44" s="94">
        <v>595135192</v>
      </c>
      <c r="L44" s="94">
        <v>93392923</v>
      </c>
    </row>
    <row r="45" spans="1:12">
      <c r="A45" s="140">
        <v>214</v>
      </c>
      <c r="B45" s="93" t="s">
        <v>58</v>
      </c>
      <c r="C45" s="94">
        <v>23550108997</v>
      </c>
      <c r="D45" s="94">
        <v>13830911795</v>
      </c>
      <c r="E45" s="94">
        <v>7736967639</v>
      </c>
      <c r="F45" s="94">
        <v>325364431</v>
      </c>
      <c r="G45" s="94">
        <v>41312140654</v>
      </c>
      <c r="H45" s="94">
        <v>11440418271</v>
      </c>
      <c r="I45" s="94">
        <v>1947087766</v>
      </c>
      <c r="J45" s="94">
        <v>7468075640</v>
      </c>
      <c r="K45" s="94">
        <v>4450105499</v>
      </c>
      <c r="L45" s="94">
        <v>1934705464</v>
      </c>
    </row>
    <row r="46" spans="1:12">
      <c r="A46" s="140">
        <v>215</v>
      </c>
      <c r="B46" s="93" t="s">
        <v>59</v>
      </c>
      <c r="C46" s="94">
        <v>17503273294</v>
      </c>
      <c r="D46" s="94">
        <v>9171020836</v>
      </c>
      <c r="E46" s="94">
        <v>6264828603</v>
      </c>
      <c r="F46" s="94">
        <v>264896701</v>
      </c>
      <c r="G46" s="94">
        <v>16025475927</v>
      </c>
      <c r="H46" s="94">
        <v>4980144902</v>
      </c>
      <c r="I46" s="94">
        <v>389853888</v>
      </c>
      <c r="J46" s="94">
        <v>2255954708</v>
      </c>
      <c r="K46" s="94">
        <v>1649898172</v>
      </c>
      <c r="L46" s="94">
        <v>1195978547</v>
      </c>
    </row>
    <row r="47" spans="1:12">
      <c r="A47" s="140">
        <v>219</v>
      </c>
      <c r="B47" s="93" t="s">
        <v>60</v>
      </c>
      <c r="C47" s="94">
        <v>13956435264</v>
      </c>
      <c r="D47" s="94">
        <v>11204238745</v>
      </c>
      <c r="E47" s="94">
        <v>1462295651</v>
      </c>
      <c r="F47" s="94">
        <v>189867009</v>
      </c>
      <c r="G47" s="94">
        <v>14046412949</v>
      </c>
      <c r="H47" s="94">
        <v>6164302338</v>
      </c>
      <c r="I47" s="94">
        <v>465120098</v>
      </c>
      <c r="J47" s="94">
        <v>2295869327</v>
      </c>
      <c r="K47" s="94">
        <v>1396270272</v>
      </c>
      <c r="L47" s="94">
        <v>1079999305</v>
      </c>
    </row>
    <row r="48" spans="1:12">
      <c r="A48" s="140">
        <v>221</v>
      </c>
      <c r="B48" s="93" t="s">
        <v>61</v>
      </c>
      <c r="C48" s="94">
        <v>5955239299</v>
      </c>
      <c r="D48" s="94">
        <v>5236504620</v>
      </c>
      <c r="E48" s="94">
        <v>681005425</v>
      </c>
      <c r="F48" s="94">
        <v>49728957</v>
      </c>
      <c r="G48" s="94">
        <v>9163260283</v>
      </c>
      <c r="H48" s="94">
        <v>4045608065</v>
      </c>
      <c r="I48" s="94">
        <v>42579679</v>
      </c>
      <c r="J48" s="94">
        <v>1081324990</v>
      </c>
      <c r="K48" s="94">
        <v>895636910</v>
      </c>
      <c r="L48" s="94">
        <v>291059418</v>
      </c>
    </row>
    <row r="49" spans="1:12">
      <c r="A49" s="140">
        <v>222</v>
      </c>
      <c r="B49" s="93" t="s">
        <v>62</v>
      </c>
      <c r="C49" s="94">
        <v>1659095706</v>
      </c>
      <c r="D49" s="94">
        <v>1189975217</v>
      </c>
      <c r="E49" s="94">
        <v>368620219</v>
      </c>
      <c r="F49" s="94">
        <v>19437176</v>
      </c>
      <c r="G49" s="94">
        <v>2627315290</v>
      </c>
      <c r="H49" s="94">
        <v>892776401</v>
      </c>
      <c r="I49" s="94">
        <v>89391744</v>
      </c>
      <c r="J49" s="94">
        <v>225755884</v>
      </c>
      <c r="K49" s="94">
        <v>774725898</v>
      </c>
      <c r="L49" s="94">
        <v>272485972</v>
      </c>
    </row>
    <row r="50" spans="1:12">
      <c r="A50" s="140">
        <v>223</v>
      </c>
      <c r="B50" s="93" t="s">
        <v>63</v>
      </c>
      <c r="C50" s="94">
        <v>38476318480</v>
      </c>
      <c r="D50" s="94">
        <v>32139644376</v>
      </c>
      <c r="E50" s="94">
        <v>4220490369</v>
      </c>
      <c r="F50" s="94">
        <v>922630321</v>
      </c>
      <c r="G50" s="94">
        <v>37198581590</v>
      </c>
      <c r="H50" s="94">
        <v>15910300426</v>
      </c>
      <c r="I50" s="94">
        <v>593407711</v>
      </c>
      <c r="J50" s="94">
        <v>6837856848</v>
      </c>
      <c r="K50" s="94">
        <v>3196675717</v>
      </c>
      <c r="L50" s="94">
        <v>3290801820</v>
      </c>
    </row>
    <row r="51" spans="1:12">
      <c r="A51" s="140">
        <v>224</v>
      </c>
      <c r="B51" s="93" t="s">
        <v>64</v>
      </c>
      <c r="C51" s="94">
        <v>51057353146</v>
      </c>
      <c r="D51" s="94">
        <v>43010773254</v>
      </c>
      <c r="E51" s="94">
        <v>5429331490</v>
      </c>
      <c r="F51" s="94">
        <v>1262721479</v>
      </c>
      <c r="G51" s="94">
        <v>53491282459</v>
      </c>
      <c r="H51" s="94">
        <v>24056145807</v>
      </c>
      <c r="I51" s="94">
        <v>613861639</v>
      </c>
      <c r="J51" s="94">
        <v>10216322228</v>
      </c>
      <c r="K51" s="94">
        <v>5545919044</v>
      </c>
      <c r="L51" s="94">
        <v>5070596343</v>
      </c>
    </row>
    <row r="52" spans="1:12">
      <c r="A52" s="140">
        <v>225</v>
      </c>
      <c r="B52" s="93" t="s">
        <v>65</v>
      </c>
      <c r="C52" s="94">
        <v>2333374192</v>
      </c>
      <c r="D52" s="94">
        <v>1848946623</v>
      </c>
      <c r="E52" s="94">
        <v>384546418</v>
      </c>
      <c r="F52" s="94">
        <v>51418151</v>
      </c>
      <c r="G52" s="94">
        <v>2579093864</v>
      </c>
      <c r="H52" s="94">
        <v>894093235</v>
      </c>
      <c r="I52" s="94">
        <v>46757378</v>
      </c>
      <c r="J52" s="94">
        <v>630857371</v>
      </c>
      <c r="K52" s="94">
        <v>494254746</v>
      </c>
      <c r="L52" s="94">
        <v>324112563</v>
      </c>
    </row>
    <row r="53" spans="1:12">
      <c r="A53" s="140">
        <v>226</v>
      </c>
      <c r="B53" s="93" t="s">
        <v>66</v>
      </c>
      <c r="C53" s="94">
        <v>9607789207</v>
      </c>
      <c r="D53" s="94">
        <v>7180125588</v>
      </c>
      <c r="E53" s="94">
        <v>1732632141</v>
      </c>
      <c r="F53" s="94">
        <v>204132841</v>
      </c>
      <c r="G53" s="94">
        <v>10369552908</v>
      </c>
      <c r="H53" s="94">
        <v>2973090117</v>
      </c>
      <c r="I53" s="94">
        <v>418457296</v>
      </c>
      <c r="J53" s="94">
        <v>2246524467</v>
      </c>
      <c r="K53" s="94">
        <v>1092252813</v>
      </c>
      <c r="L53" s="94">
        <v>923603503</v>
      </c>
    </row>
    <row r="54" spans="1:12">
      <c r="A54" s="140">
        <v>227</v>
      </c>
      <c r="B54" s="93" t="s">
        <v>67</v>
      </c>
      <c r="C54" s="94">
        <v>23550108997</v>
      </c>
      <c r="D54" s="94">
        <v>13830911795</v>
      </c>
      <c r="E54" s="94">
        <v>7736967639</v>
      </c>
      <c r="F54" s="94">
        <v>325364431</v>
      </c>
      <c r="G54" s="94">
        <v>41312140654</v>
      </c>
      <c r="H54" s="94">
        <v>11440418271</v>
      </c>
      <c r="I54" s="94">
        <v>1947087766</v>
      </c>
      <c r="J54" s="94">
        <v>7468075640</v>
      </c>
      <c r="K54" s="94">
        <v>4450105499</v>
      </c>
      <c r="L54" s="94">
        <v>1934705464</v>
      </c>
    </row>
    <row r="55" spans="1:12">
      <c r="A55" s="140">
        <v>229</v>
      </c>
      <c r="B55" s="93" t="s">
        <v>68</v>
      </c>
      <c r="C55" s="94">
        <v>1892832479</v>
      </c>
      <c r="D55" s="94">
        <v>1549085056</v>
      </c>
      <c r="E55" s="94">
        <v>247863933</v>
      </c>
      <c r="F55" s="94">
        <v>29303553</v>
      </c>
      <c r="G55" s="94">
        <v>1728615645</v>
      </c>
      <c r="H55" s="94">
        <v>534078487</v>
      </c>
      <c r="I55" s="94">
        <v>19889589</v>
      </c>
      <c r="J55" s="94">
        <v>368850415</v>
      </c>
      <c r="K55" s="94">
        <v>206780807</v>
      </c>
      <c r="L55" s="94">
        <v>234500514</v>
      </c>
    </row>
    <row r="56" spans="1:12">
      <c r="A56" s="140">
        <v>231</v>
      </c>
      <c r="B56" s="93" t="s">
        <v>69</v>
      </c>
      <c r="C56" s="94">
        <v>75133387</v>
      </c>
      <c r="D56" s="94">
        <v>64506988</v>
      </c>
      <c r="E56" s="94">
        <v>11525884</v>
      </c>
      <c r="F56" s="94">
        <v>1744900</v>
      </c>
      <c r="G56" s="94">
        <v>100944511</v>
      </c>
      <c r="H56" s="94">
        <v>68286912</v>
      </c>
      <c r="I56" s="94">
        <v>1154327</v>
      </c>
      <c r="J56" s="94">
        <v>8531069</v>
      </c>
      <c r="K56" s="94">
        <v>5154262</v>
      </c>
      <c r="L56" s="94">
        <v>2645345</v>
      </c>
    </row>
    <row r="57" spans="1:12">
      <c r="A57" s="140">
        <v>232</v>
      </c>
      <c r="B57" s="93" t="s">
        <v>70</v>
      </c>
      <c r="C57" s="94">
        <v>22875590</v>
      </c>
      <c r="D57" s="94">
        <v>6905323</v>
      </c>
      <c r="E57" s="94">
        <v>17070041</v>
      </c>
      <c r="F57" s="94">
        <v>1113988</v>
      </c>
      <c r="G57" s="94">
        <v>12135682</v>
      </c>
      <c r="H57" s="94">
        <v>3565131</v>
      </c>
      <c r="I57" s="94">
        <v>143841</v>
      </c>
      <c r="J57" s="94">
        <v>867800</v>
      </c>
      <c r="K57" s="94">
        <v>1115095</v>
      </c>
      <c r="L57" s="94">
        <v>484476</v>
      </c>
    </row>
    <row r="58" spans="1:12">
      <c r="A58" s="140">
        <v>233</v>
      </c>
      <c r="B58" s="93" t="s">
        <v>71</v>
      </c>
      <c r="C58" s="94">
        <v>19112711</v>
      </c>
      <c r="D58" s="94">
        <v>2345859</v>
      </c>
      <c r="E58" s="94">
        <v>16063268</v>
      </c>
      <c r="F58" s="94">
        <v>2176210</v>
      </c>
      <c r="G58" s="94">
        <v>39734627</v>
      </c>
      <c r="H58" s="94">
        <v>24097441</v>
      </c>
      <c r="I58" s="94">
        <v>2489095</v>
      </c>
      <c r="J58" s="94">
        <v>1158862</v>
      </c>
      <c r="K58" s="94">
        <v>337913</v>
      </c>
      <c r="L58" s="94">
        <v>332641</v>
      </c>
    </row>
    <row r="59" spans="1:12">
      <c r="A59" s="140">
        <v>234</v>
      </c>
      <c r="B59" s="93" t="s">
        <v>72</v>
      </c>
      <c r="C59" s="94">
        <v>53519876668</v>
      </c>
      <c r="D59" s="94">
        <v>28729507851</v>
      </c>
      <c r="E59" s="94">
        <v>21123584982</v>
      </c>
      <c r="F59" s="94">
        <v>966498803</v>
      </c>
      <c r="G59" s="94">
        <v>72925625849</v>
      </c>
      <c r="H59" s="94">
        <v>9198576397</v>
      </c>
      <c r="I59" s="94">
        <v>7559663898</v>
      </c>
      <c r="J59" s="94">
        <v>10283657886</v>
      </c>
      <c r="K59" s="94">
        <v>1705061429</v>
      </c>
      <c r="L59" s="94">
        <v>4142744102</v>
      </c>
    </row>
    <row r="60" spans="1:12">
      <c r="A60" s="140">
        <v>235</v>
      </c>
      <c r="B60" s="93" t="s">
        <v>73</v>
      </c>
      <c r="C60" s="94">
        <v>9383237611</v>
      </c>
      <c r="D60" s="94">
        <v>6584189378</v>
      </c>
      <c r="E60" s="94">
        <v>2170490823</v>
      </c>
      <c r="F60" s="94">
        <v>341571429</v>
      </c>
      <c r="G60" s="94">
        <v>12817960719</v>
      </c>
      <c r="H60" s="94">
        <v>5824608314</v>
      </c>
      <c r="I60" s="94">
        <v>631741919</v>
      </c>
      <c r="J60" s="94">
        <v>1040056737</v>
      </c>
      <c r="K60" s="94">
        <v>805792214</v>
      </c>
      <c r="L60" s="94">
        <v>268669666</v>
      </c>
    </row>
    <row r="61" spans="1:12">
      <c r="A61" s="140">
        <v>236</v>
      </c>
      <c r="B61" s="93" t="s">
        <v>74</v>
      </c>
      <c r="C61" s="94">
        <v>2197331536</v>
      </c>
      <c r="D61" s="94">
        <v>865203399</v>
      </c>
      <c r="E61" s="94">
        <v>1168433241</v>
      </c>
      <c r="F61" s="94">
        <v>106306647</v>
      </c>
      <c r="G61" s="94">
        <v>2076189770</v>
      </c>
      <c r="H61" s="94">
        <v>885235678</v>
      </c>
      <c r="I61" s="94">
        <v>64159701</v>
      </c>
      <c r="J61" s="94">
        <v>300735270</v>
      </c>
      <c r="K61" s="94">
        <v>21203235</v>
      </c>
      <c r="L61" s="94">
        <v>36233740</v>
      </c>
    </row>
    <row r="62" spans="1:12">
      <c r="A62" s="140">
        <v>237</v>
      </c>
      <c r="B62" s="93" t="s">
        <v>75</v>
      </c>
      <c r="C62" s="94">
        <v>16412711393</v>
      </c>
      <c r="D62" s="94">
        <v>11312740005</v>
      </c>
      <c r="E62" s="94">
        <v>4318179365</v>
      </c>
      <c r="F62" s="94">
        <v>178699657</v>
      </c>
      <c r="G62" s="94">
        <v>15271447783</v>
      </c>
      <c r="H62" s="94">
        <v>2016316124</v>
      </c>
      <c r="I62" s="94">
        <v>1166898371</v>
      </c>
      <c r="J62" s="94">
        <v>4728431370</v>
      </c>
      <c r="K62" s="94">
        <v>528554997</v>
      </c>
      <c r="L62" s="94">
        <v>1804784548</v>
      </c>
    </row>
    <row r="63" spans="1:12">
      <c r="A63" s="140">
        <v>239</v>
      </c>
      <c r="B63" s="93" t="s">
        <v>76</v>
      </c>
      <c r="C63" s="94">
        <v>10068830911</v>
      </c>
      <c r="D63" s="94">
        <v>7930291548</v>
      </c>
      <c r="E63" s="94">
        <v>2284619732</v>
      </c>
      <c r="F63" s="94">
        <v>137820567</v>
      </c>
      <c r="G63" s="94">
        <v>36026040442</v>
      </c>
      <c r="H63" s="94">
        <v>4281025905</v>
      </c>
      <c r="I63" s="94">
        <v>676694682</v>
      </c>
      <c r="J63" s="94">
        <v>4984664350</v>
      </c>
      <c r="K63" s="94">
        <v>701078362</v>
      </c>
      <c r="L63" s="94">
        <v>1376505072</v>
      </c>
    </row>
    <row r="64" spans="1:12">
      <c r="A64" s="140">
        <v>311</v>
      </c>
      <c r="B64" s="93" t="s">
        <v>4</v>
      </c>
      <c r="C64" s="94">
        <v>25894229</v>
      </c>
      <c r="D64" s="94">
        <v>9277093</v>
      </c>
      <c r="E64" s="94">
        <v>13011204</v>
      </c>
      <c r="F64" s="94">
        <v>1485599</v>
      </c>
      <c r="G64" s="94">
        <v>124007677</v>
      </c>
      <c r="H64" s="94">
        <v>100347237</v>
      </c>
      <c r="I64" s="94">
        <v>702184</v>
      </c>
      <c r="J64" s="94">
        <v>1222940</v>
      </c>
      <c r="K64" s="94">
        <v>3720955</v>
      </c>
      <c r="L64" s="94">
        <v>411407</v>
      </c>
    </row>
    <row r="65" spans="1:12">
      <c r="A65" s="140">
        <v>312</v>
      </c>
      <c r="B65" s="93" t="s">
        <v>77</v>
      </c>
      <c r="C65" s="94">
        <v>446469</v>
      </c>
      <c r="D65" s="94">
        <v>77508</v>
      </c>
      <c r="E65" s="94">
        <v>378931</v>
      </c>
      <c r="F65" s="94">
        <v>0</v>
      </c>
      <c r="G65" s="94">
        <v>167014</v>
      </c>
      <c r="H65" s="94">
        <v>0</v>
      </c>
      <c r="I65" s="94">
        <v>0</v>
      </c>
      <c r="J65" s="94">
        <v>70437</v>
      </c>
      <c r="K65" s="94">
        <v>33654</v>
      </c>
      <c r="L65" s="94">
        <v>3095</v>
      </c>
    </row>
    <row r="66" spans="1:12">
      <c r="A66" s="140">
        <v>390</v>
      </c>
      <c r="B66" s="93" t="s">
        <v>23</v>
      </c>
      <c r="C66" s="94">
        <v>2066275</v>
      </c>
      <c r="D66" s="94">
        <v>1787612</v>
      </c>
      <c r="E66" s="94">
        <v>390791</v>
      </c>
      <c r="F66" s="94">
        <v>530</v>
      </c>
      <c r="G66" s="94">
        <v>1454665</v>
      </c>
      <c r="H66" s="94">
        <v>472924</v>
      </c>
      <c r="I66" s="94">
        <v>56500</v>
      </c>
      <c r="J66" s="94">
        <v>464118</v>
      </c>
      <c r="K66" s="94">
        <v>135158</v>
      </c>
      <c r="L66" s="94">
        <v>78097</v>
      </c>
    </row>
    <row r="67" spans="1:12">
      <c r="A67" s="140">
        <v>411</v>
      </c>
      <c r="B67" s="93" t="s">
        <v>78</v>
      </c>
      <c r="C67" s="94">
        <v>1221819422</v>
      </c>
      <c r="D67" s="94">
        <v>1055640475</v>
      </c>
      <c r="E67" s="94">
        <v>121995168</v>
      </c>
      <c r="F67" s="94">
        <v>18771610</v>
      </c>
      <c r="G67" s="94">
        <v>1226907090</v>
      </c>
      <c r="H67" s="94">
        <v>568256405</v>
      </c>
      <c r="I67" s="94">
        <v>2907167</v>
      </c>
      <c r="J67" s="94">
        <v>206008736</v>
      </c>
      <c r="K67" s="94">
        <v>190387316</v>
      </c>
      <c r="L67" s="94">
        <v>91561839</v>
      </c>
    </row>
    <row r="68" spans="1:12">
      <c r="A68" s="140">
        <v>412</v>
      </c>
      <c r="B68" s="93" t="s">
        <v>79</v>
      </c>
      <c r="C68" s="94">
        <v>2138296243</v>
      </c>
      <c r="D68" s="94">
        <v>1831634865</v>
      </c>
      <c r="E68" s="94">
        <v>213917686</v>
      </c>
      <c r="F68" s="94">
        <v>42889845</v>
      </c>
      <c r="G68" s="94">
        <v>3009479545</v>
      </c>
      <c r="H68" s="94">
        <v>1545660976</v>
      </c>
      <c r="I68" s="94">
        <v>20554756</v>
      </c>
      <c r="J68" s="94">
        <v>387961048</v>
      </c>
      <c r="K68" s="94">
        <v>329779924</v>
      </c>
      <c r="L68" s="94">
        <v>210749731</v>
      </c>
    </row>
    <row r="69" spans="1:12">
      <c r="A69" s="140">
        <v>413</v>
      </c>
      <c r="B69" s="93" t="s">
        <v>80</v>
      </c>
      <c r="C69" s="94">
        <v>1013381438</v>
      </c>
      <c r="D69" s="94">
        <v>815724496</v>
      </c>
      <c r="E69" s="94">
        <v>130682185</v>
      </c>
      <c r="F69" s="94">
        <v>17758532</v>
      </c>
      <c r="G69" s="94">
        <v>901852643</v>
      </c>
      <c r="H69" s="94">
        <v>481553076</v>
      </c>
      <c r="I69" s="94">
        <v>7558009</v>
      </c>
      <c r="J69" s="94">
        <v>157609439</v>
      </c>
      <c r="K69" s="94">
        <v>106695933</v>
      </c>
      <c r="L69" s="94">
        <v>84518677</v>
      </c>
    </row>
    <row r="70" spans="1:12">
      <c r="A70" s="140">
        <v>414</v>
      </c>
      <c r="B70" s="93" t="s">
        <v>81</v>
      </c>
      <c r="C70" s="94">
        <v>1126334371</v>
      </c>
      <c r="D70" s="94">
        <v>972129764</v>
      </c>
      <c r="E70" s="94">
        <v>92514029</v>
      </c>
      <c r="F70" s="94">
        <v>12740217</v>
      </c>
      <c r="G70" s="94">
        <v>1313757940</v>
      </c>
      <c r="H70" s="94">
        <v>532380932</v>
      </c>
      <c r="I70" s="94">
        <v>6067665</v>
      </c>
      <c r="J70" s="94">
        <v>237445637</v>
      </c>
      <c r="K70" s="94">
        <v>91974149</v>
      </c>
      <c r="L70" s="94">
        <v>121033540</v>
      </c>
    </row>
    <row r="71" spans="1:12">
      <c r="A71" s="140">
        <v>415</v>
      </c>
      <c r="B71" s="93" t="s">
        <v>82</v>
      </c>
      <c r="C71" s="94">
        <v>8692148</v>
      </c>
      <c r="D71" s="94">
        <v>6496355</v>
      </c>
      <c r="E71" s="94">
        <v>2032305</v>
      </c>
      <c r="F71" s="94">
        <v>157607</v>
      </c>
      <c r="G71" s="94">
        <v>12980845</v>
      </c>
      <c r="H71" s="94">
        <v>5925053</v>
      </c>
      <c r="I71" s="94">
        <v>365822</v>
      </c>
      <c r="J71" s="94">
        <v>1574847</v>
      </c>
      <c r="K71" s="94">
        <v>2603230</v>
      </c>
      <c r="L71" s="94">
        <v>815270</v>
      </c>
    </row>
    <row r="72" spans="1:12">
      <c r="A72" s="140">
        <v>416</v>
      </c>
      <c r="B72" s="93" t="s">
        <v>83</v>
      </c>
      <c r="C72" s="94">
        <v>5155318889</v>
      </c>
      <c r="D72" s="94">
        <v>3888355451</v>
      </c>
      <c r="E72" s="94">
        <v>942360013</v>
      </c>
      <c r="F72" s="94">
        <v>46993436</v>
      </c>
      <c r="G72" s="94">
        <v>3592437989</v>
      </c>
      <c r="H72" s="94">
        <v>1340817585</v>
      </c>
      <c r="I72" s="94">
        <v>17610753</v>
      </c>
      <c r="J72" s="94">
        <v>576594949</v>
      </c>
      <c r="K72" s="94">
        <v>392012768</v>
      </c>
      <c r="L72" s="94">
        <v>489883416</v>
      </c>
    </row>
    <row r="73" spans="1:12">
      <c r="A73" s="140">
        <v>419</v>
      </c>
      <c r="B73" s="93" t="s">
        <v>84</v>
      </c>
      <c r="C73" s="94">
        <v>127562241</v>
      </c>
      <c r="D73" s="94">
        <v>103639821</v>
      </c>
      <c r="E73" s="94">
        <v>19011238</v>
      </c>
      <c r="F73" s="94">
        <v>2142833</v>
      </c>
      <c r="G73" s="94">
        <v>140767049</v>
      </c>
      <c r="H73" s="94">
        <v>58744643</v>
      </c>
      <c r="I73" s="94">
        <v>720106</v>
      </c>
      <c r="J73" s="94">
        <v>21376804</v>
      </c>
      <c r="K73" s="94">
        <v>27058334</v>
      </c>
      <c r="L73" s="94">
        <v>10048780</v>
      </c>
    </row>
    <row r="74" spans="1:12">
      <c r="A74" s="140">
        <v>421</v>
      </c>
      <c r="B74" s="93" t="s">
        <v>85</v>
      </c>
      <c r="C74" s="94">
        <v>736203504</v>
      </c>
      <c r="D74" s="94">
        <v>637023831</v>
      </c>
      <c r="E74" s="94">
        <v>59474695</v>
      </c>
      <c r="F74" s="94">
        <v>833156</v>
      </c>
      <c r="G74" s="94">
        <v>1330819567</v>
      </c>
      <c r="H74" s="94">
        <v>897894828</v>
      </c>
      <c r="I74" s="94">
        <v>4832975</v>
      </c>
      <c r="J74" s="94">
        <v>100482610</v>
      </c>
      <c r="K74" s="94">
        <v>147397060</v>
      </c>
      <c r="L74" s="94">
        <v>28272695</v>
      </c>
    </row>
    <row r="75" spans="1:12">
      <c r="A75" s="140">
        <v>422</v>
      </c>
      <c r="B75" s="93" t="s">
        <v>86</v>
      </c>
      <c r="C75" s="94">
        <v>51467069</v>
      </c>
      <c r="D75" s="94">
        <v>46290364</v>
      </c>
      <c r="E75" s="94">
        <v>4597681</v>
      </c>
      <c r="F75" s="94">
        <v>1247963</v>
      </c>
      <c r="G75" s="94">
        <v>92697158</v>
      </c>
      <c r="H75" s="94">
        <v>44340130</v>
      </c>
      <c r="I75" s="94">
        <v>61502</v>
      </c>
      <c r="J75" s="94">
        <v>8586692</v>
      </c>
      <c r="K75" s="94">
        <v>5466087</v>
      </c>
      <c r="L75" s="94">
        <v>5033754</v>
      </c>
    </row>
    <row r="76" spans="1:12">
      <c r="A76" s="140">
        <v>423</v>
      </c>
      <c r="B76" s="93" t="s">
        <v>87</v>
      </c>
      <c r="C76" s="94">
        <v>7579418097</v>
      </c>
      <c r="D76" s="94">
        <v>6624293607</v>
      </c>
      <c r="E76" s="94">
        <v>882446074</v>
      </c>
      <c r="F76" s="94">
        <v>120580389</v>
      </c>
      <c r="G76" s="94">
        <v>8833767213</v>
      </c>
      <c r="H76" s="94">
        <v>4605377290</v>
      </c>
      <c r="I76" s="94">
        <v>34088609</v>
      </c>
      <c r="J76" s="94">
        <v>1348095498</v>
      </c>
      <c r="K76" s="94">
        <v>981988990</v>
      </c>
      <c r="L76" s="94">
        <v>508395510</v>
      </c>
    </row>
    <row r="77" spans="1:12">
      <c r="A77" s="140">
        <v>429</v>
      </c>
      <c r="B77" s="93" t="s">
        <v>88</v>
      </c>
      <c r="C77" s="94">
        <v>11449665795</v>
      </c>
      <c r="D77" s="94">
        <v>5722914618</v>
      </c>
      <c r="E77" s="94">
        <v>4261443027</v>
      </c>
      <c r="F77" s="94">
        <v>182151411</v>
      </c>
      <c r="G77" s="94">
        <v>10600298381</v>
      </c>
      <c r="H77" s="94">
        <v>3626375399</v>
      </c>
      <c r="I77" s="94">
        <v>320268867</v>
      </c>
      <c r="J77" s="94">
        <v>1477758178</v>
      </c>
      <c r="K77" s="94">
        <v>1074903621</v>
      </c>
      <c r="L77" s="94">
        <v>810316578</v>
      </c>
    </row>
    <row r="78" spans="1:12">
      <c r="A78" s="140">
        <v>431</v>
      </c>
      <c r="B78" s="93" t="s">
        <v>89</v>
      </c>
      <c r="C78" s="94">
        <v>3053516627</v>
      </c>
      <c r="D78" s="94">
        <v>2359308842</v>
      </c>
      <c r="E78" s="94">
        <v>398379818</v>
      </c>
      <c r="F78" s="94">
        <v>84017752</v>
      </c>
      <c r="G78" s="94">
        <v>3818961004</v>
      </c>
      <c r="H78" s="94">
        <v>1408027403</v>
      </c>
      <c r="I78" s="94">
        <v>32161868</v>
      </c>
      <c r="J78" s="94">
        <v>701618994</v>
      </c>
      <c r="K78" s="94">
        <v>548759856</v>
      </c>
      <c r="L78" s="94">
        <v>216823919</v>
      </c>
    </row>
    <row r="79" spans="1:12">
      <c r="A79" s="140">
        <v>432</v>
      </c>
      <c r="B79" s="93" t="s">
        <v>90</v>
      </c>
      <c r="C79" s="94">
        <v>15010982818</v>
      </c>
      <c r="D79" s="94">
        <v>12756277483</v>
      </c>
      <c r="E79" s="94">
        <v>1458417147</v>
      </c>
      <c r="F79" s="94">
        <v>310131437</v>
      </c>
      <c r="G79" s="94">
        <v>14264690538</v>
      </c>
      <c r="H79" s="94">
        <v>6173701359</v>
      </c>
      <c r="I79" s="94">
        <v>179325353</v>
      </c>
      <c r="J79" s="94">
        <v>3059392656</v>
      </c>
      <c r="K79" s="94">
        <v>1610571449</v>
      </c>
      <c r="L79" s="94">
        <v>1602018473</v>
      </c>
    </row>
    <row r="80" spans="1:12">
      <c r="A80" s="140">
        <v>433</v>
      </c>
      <c r="B80" s="93" t="s">
        <v>91</v>
      </c>
      <c r="C80" s="94">
        <v>2788043656</v>
      </c>
      <c r="D80" s="94">
        <v>2202137387</v>
      </c>
      <c r="E80" s="94">
        <v>462636470</v>
      </c>
      <c r="F80" s="94">
        <v>57101135</v>
      </c>
      <c r="G80" s="94">
        <v>3009623825</v>
      </c>
      <c r="H80" s="94">
        <v>1045264723</v>
      </c>
      <c r="I80" s="94">
        <v>52035091</v>
      </c>
      <c r="J80" s="94">
        <v>713478622</v>
      </c>
      <c r="K80" s="94">
        <v>563216094</v>
      </c>
      <c r="L80" s="94">
        <v>364809479</v>
      </c>
    </row>
    <row r="81" spans="1:12">
      <c r="A81" s="140">
        <v>439</v>
      </c>
      <c r="B81" s="93" t="s">
        <v>92</v>
      </c>
      <c r="C81" s="94">
        <v>14523060285</v>
      </c>
      <c r="D81" s="94">
        <v>11678723264</v>
      </c>
      <c r="E81" s="94">
        <v>2140109635</v>
      </c>
      <c r="F81" s="94">
        <v>349136527</v>
      </c>
      <c r="G81" s="94">
        <v>17668494489</v>
      </c>
      <c r="H81" s="94">
        <v>6538057639</v>
      </c>
      <c r="I81" s="94">
        <v>1001012546</v>
      </c>
      <c r="J81" s="94">
        <v>2933835070</v>
      </c>
      <c r="K81" s="94">
        <v>2054894623</v>
      </c>
      <c r="L81" s="94">
        <v>1447823433</v>
      </c>
    </row>
    <row r="82" spans="1:12">
      <c r="A82" s="140">
        <v>441</v>
      </c>
      <c r="B82" s="93" t="s">
        <v>5</v>
      </c>
      <c r="C82" s="94">
        <v>228592780</v>
      </c>
      <c r="D82" s="94">
        <v>157460020</v>
      </c>
      <c r="E82" s="94">
        <v>52836993</v>
      </c>
      <c r="F82" s="94">
        <v>2824867</v>
      </c>
      <c r="G82" s="94">
        <v>138954954</v>
      </c>
      <c r="H82" s="94">
        <v>18348617</v>
      </c>
      <c r="I82" s="94">
        <v>287290</v>
      </c>
      <c r="J82" s="94">
        <v>10197163</v>
      </c>
      <c r="K82" s="94">
        <v>11809842</v>
      </c>
      <c r="L82" s="94">
        <v>14443899</v>
      </c>
    </row>
    <row r="83" spans="1:12">
      <c r="A83" s="140">
        <v>442</v>
      </c>
      <c r="B83" s="93" t="s">
        <v>93</v>
      </c>
      <c r="C83" s="94">
        <v>53519876668</v>
      </c>
      <c r="D83" s="94">
        <v>28729507851</v>
      </c>
      <c r="E83" s="94">
        <v>21123584982</v>
      </c>
      <c r="F83" s="94">
        <v>966498803</v>
      </c>
      <c r="G83" s="94">
        <v>72925625849</v>
      </c>
      <c r="H83" s="94">
        <v>9198576397</v>
      </c>
      <c r="I83" s="94">
        <v>7559663898</v>
      </c>
      <c r="J83" s="94">
        <v>10283657886</v>
      </c>
      <c r="K83" s="94">
        <v>1705061429</v>
      </c>
      <c r="L83" s="94">
        <v>4142744102</v>
      </c>
    </row>
    <row r="84" spans="1:12">
      <c r="A84" s="140">
        <v>443</v>
      </c>
      <c r="B84" s="93" t="s">
        <v>94</v>
      </c>
      <c r="C84" s="94">
        <v>1866967460</v>
      </c>
      <c r="D84" s="94">
        <v>1528464875</v>
      </c>
      <c r="E84" s="94">
        <v>267738941</v>
      </c>
      <c r="F84" s="94">
        <v>14430942</v>
      </c>
      <c r="G84" s="94">
        <v>2067480824</v>
      </c>
      <c r="H84" s="94">
        <v>423223404</v>
      </c>
      <c r="I84" s="94">
        <v>13850616</v>
      </c>
      <c r="J84" s="94">
        <v>230631198</v>
      </c>
      <c r="K84" s="94">
        <v>247460392</v>
      </c>
      <c r="L84" s="94">
        <v>88280226</v>
      </c>
    </row>
    <row r="85" spans="1:12">
      <c r="A85" s="140">
        <v>444</v>
      </c>
      <c r="B85" s="93" t="s">
        <v>95</v>
      </c>
      <c r="C85" s="94">
        <v>72940327</v>
      </c>
      <c r="D85" s="94">
        <v>45554597</v>
      </c>
      <c r="E85" s="94">
        <v>24545483</v>
      </c>
      <c r="F85" s="94">
        <v>2086181</v>
      </c>
      <c r="G85" s="94">
        <v>124355827</v>
      </c>
      <c r="H85" s="94">
        <v>75883543</v>
      </c>
      <c r="I85" s="94">
        <v>664755</v>
      </c>
      <c r="J85" s="94">
        <v>8283032</v>
      </c>
      <c r="K85" s="94">
        <v>14643351</v>
      </c>
      <c r="L85" s="94">
        <v>4143038</v>
      </c>
    </row>
    <row r="86" spans="1:12">
      <c r="A86" s="140">
        <v>445</v>
      </c>
      <c r="B86" s="93" t="s">
        <v>96</v>
      </c>
      <c r="C86" s="94">
        <v>225328670</v>
      </c>
      <c r="D86" s="94">
        <v>93958004</v>
      </c>
      <c r="E86" s="94">
        <v>132660865</v>
      </c>
      <c r="F86" s="94">
        <v>4367849</v>
      </c>
      <c r="G86" s="94">
        <v>643568675</v>
      </c>
      <c r="H86" s="94">
        <v>166345506</v>
      </c>
      <c r="I86" s="94">
        <v>3727526</v>
      </c>
      <c r="J86" s="94">
        <v>26859881</v>
      </c>
      <c r="K86" s="94">
        <v>33605330</v>
      </c>
      <c r="L86" s="94">
        <v>3564311</v>
      </c>
    </row>
    <row r="87" spans="1:12">
      <c r="A87" s="140">
        <v>446</v>
      </c>
      <c r="B87" s="93" t="s">
        <v>97</v>
      </c>
      <c r="C87" s="94">
        <v>9383237611</v>
      </c>
      <c r="D87" s="94">
        <v>6584189378</v>
      </c>
      <c r="E87" s="94">
        <v>2170490823</v>
      </c>
      <c r="F87" s="94">
        <v>341571429</v>
      </c>
      <c r="G87" s="94">
        <v>12817960719</v>
      </c>
      <c r="H87" s="94">
        <v>5824608314</v>
      </c>
      <c r="I87" s="94">
        <v>631741919</v>
      </c>
      <c r="J87" s="94">
        <v>1040056737</v>
      </c>
      <c r="K87" s="94">
        <v>805792214</v>
      </c>
      <c r="L87" s="94">
        <v>268669666</v>
      </c>
    </row>
    <row r="88" spans="1:12">
      <c r="A88" s="140">
        <v>447</v>
      </c>
      <c r="B88" s="93" t="s">
        <v>98</v>
      </c>
      <c r="C88" s="94">
        <v>1140182480</v>
      </c>
      <c r="D88" s="94">
        <v>635966331</v>
      </c>
      <c r="E88" s="94">
        <v>832062862</v>
      </c>
      <c r="F88" s="94">
        <v>48676673</v>
      </c>
      <c r="G88" s="94">
        <v>3328651545</v>
      </c>
      <c r="H88" s="94">
        <v>696224982</v>
      </c>
      <c r="I88" s="94">
        <v>724448145</v>
      </c>
      <c r="J88" s="94">
        <v>199703954</v>
      </c>
      <c r="K88" s="94">
        <v>200390161</v>
      </c>
      <c r="L88" s="94">
        <v>36507754</v>
      </c>
    </row>
    <row r="89" spans="1:12">
      <c r="A89" s="140">
        <v>449</v>
      </c>
      <c r="B89" s="93" t="s">
        <v>99</v>
      </c>
      <c r="C89" s="94">
        <v>228592780</v>
      </c>
      <c r="D89" s="94">
        <v>157460020</v>
      </c>
      <c r="E89" s="94">
        <v>52836993</v>
      </c>
      <c r="F89" s="94">
        <v>2824867</v>
      </c>
      <c r="G89" s="94">
        <v>138954954</v>
      </c>
      <c r="H89" s="94">
        <v>18348617</v>
      </c>
      <c r="I89" s="94">
        <v>287290</v>
      </c>
      <c r="J89" s="94">
        <v>10197163</v>
      </c>
      <c r="K89" s="94">
        <v>11809842</v>
      </c>
      <c r="L89" s="94">
        <v>14443899</v>
      </c>
    </row>
    <row r="90" spans="1:12">
      <c r="A90" s="140">
        <v>511</v>
      </c>
      <c r="B90" s="93" t="s">
        <v>100</v>
      </c>
      <c r="C90" s="94">
        <v>2060602984</v>
      </c>
      <c r="D90" s="94">
        <v>1879129686</v>
      </c>
      <c r="E90" s="94">
        <v>213070757</v>
      </c>
      <c r="F90" s="94">
        <v>18517568</v>
      </c>
      <c r="G90" s="94">
        <v>2931898030</v>
      </c>
      <c r="H90" s="94">
        <v>976007014</v>
      </c>
      <c r="I90" s="94">
        <v>4525726</v>
      </c>
      <c r="J90" s="94">
        <v>196705858</v>
      </c>
      <c r="K90" s="94">
        <v>276972358</v>
      </c>
      <c r="L90" s="94">
        <v>106778724</v>
      </c>
    </row>
    <row r="91" spans="1:12">
      <c r="A91" s="140">
        <v>512</v>
      </c>
      <c r="B91" s="93" t="s">
        <v>101</v>
      </c>
      <c r="C91" s="94">
        <v>2220984</v>
      </c>
      <c r="D91" s="94">
        <v>1954679</v>
      </c>
      <c r="E91" s="94">
        <v>91983</v>
      </c>
      <c r="F91" s="94">
        <v>164163</v>
      </c>
      <c r="G91" s="94">
        <v>2884154</v>
      </c>
      <c r="H91" s="94">
        <v>2178774</v>
      </c>
      <c r="I91" s="94">
        <v>0</v>
      </c>
      <c r="J91" s="94">
        <v>0</v>
      </c>
      <c r="K91" s="94">
        <v>324899</v>
      </c>
      <c r="L91" s="94">
        <v>0</v>
      </c>
    </row>
    <row r="92" spans="1:12">
      <c r="A92" s="140">
        <v>520</v>
      </c>
      <c r="B92" s="93" t="s">
        <v>29</v>
      </c>
      <c r="C92" s="94">
        <v>93446506</v>
      </c>
      <c r="D92" s="94">
        <v>77009380</v>
      </c>
      <c r="E92" s="94">
        <v>13079318</v>
      </c>
      <c r="F92" s="94">
        <v>3666886</v>
      </c>
      <c r="G92" s="94">
        <v>157743555</v>
      </c>
      <c r="H92" s="94">
        <v>65590985</v>
      </c>
      <c r="I92" s="94">
        <v>1889881</v>
      </c>
      <c r="J92" s="94">
        <v>13554420</v>
      </c>
      <c r="K92" s="94">
        <v>45161491</v>
      </c>
      <c r="L92" s="94">
        <v>2997228</v>
      </c>
    </row>
    <row r="93" spans="1:12">
      <c r="A93" s="140">
        <v>611</v>
      </c>
      <c r="B93" s="93" t="s">
        <v>102</v>
      </c>
      <c r="C93" s="94">
        <v>641802876</v>
      </c>
      <c r="D93" s="94">
        <v>526072549</v>
      </c>
      <c r="E93" s="94">
        <v>105503771</v>
      </c>
      <c r="F93" s="94">
        <v>4310743</v>
      </c>
      <c r="G93" s="94">
        <v>341203831</v>
      </c>
      <c r="H93" s="94">
        <v>131406172</v>
      </c>
      <c r="I93" s="94">
        <v>3712183</v>
      </c>
      <c r="J93" s="94">
        <v>43704502</v>
      </c>
      <c r="K93" s="94">
        <v>104087010</v>
      </c>
      <c r="L93" s="94">
        <v>9533191</v>
      </c>
    </row>
    <row r="94" spans="1:12">
      <c r="A94" s="140">
        <v>612</v>
      </c>
      <c r="B94" s="93" t="s">
        <v>103</v>
      </c>
      <c r="C94" s="94">
        <v>41016817</v>
      </c>
      <c r="D94" s="94">
        <v>31449049</v>
      </c>
      <c r="E94" s="94">
        <v>6726539</v>
      </c>
      <c r="F94" s="94">
        <v>515333</v>
      </c>
      <c r="G94" s="94">
        <v>52068605</v>
      </c>
      <c r="H94" s="94">
        <v>21729068</v>
      </c>
      <c r="I94" s="94">
        <v>169349</v>
      </c>
      <c r="J94" s="94">
        <v>5354390</v>
      </c>
      <c r="K94" s="94">
        <v>8459656</v>
      </c>
      <c r="L94" s="94">
        <v>2599500</v>
      </c>
    </row>
    <row r="95" spans="1:12">
      <c r="A95" s="140">
        <v>619</v>
      </c>
      <c r="B95" s="93" t="s">
        <v>104</v>
      </c>
      <c r="C95" s="94">
        <v>81973698576</v>
      </c>
      <c r="D95" s="94">
        <v>66626260688</v>
      </c>
      <c r="E95" s="94">
        <v>8460386803</v>
      </c>
      <c r="F95" s="94">
        <v>438547489</v>
      </c>
      <c r="G95" s="94">
        <v>77400587123</v>
      </c>
      <c r="H95" s="94">
        <v>30908679834</v>
      </c>
      <c r="I95" s="94">
        <v>976095696</v>
      </c>
      <c r="J95" s="94">
        <v>9965721394</v>
      </c>
      <c r="K95" s="94">
        <v>6986195490</v>
      </c>
      <c r="L95" s="94">
        <v>5266237561</v>
      </c>
    </row>
    <row r="96" spans="1:12">
      <c r="A96" s="140">
        <v>621</v>
      </c>
      <c r="B96" s="93" t="s">
        <v>105</v>
      </c>
      <c r="C96" s="94">
        <v>74388662506</v>
      </c>
      <c r="D96" s="94">
        <v>76001275359</v>
      </c>
      <c r="E96" s="94">
        <v>4743043288</v>
      </c>
      <c r="F96" s="94">
        <v>542415711</v>
      </c>
      <c r="G96" s="94">
        <v>97791851872</v>
      </c>
      <c r="H96" s="94">
        <v>31677933527</v>
      </c>
      <c r="I96" s="94">
        <v>644607015</v>
      </c>
      <c r="J96" s="94">
        <v>24741905945</v>
      </c>
      <c r="K96" s="94">
        <v>7540207813</v>
      </c>
      <c r="L96" s="94">
        <v>7479047129</v>
      </c>
    </row>
    <row r="97" spans="1:12">
      <c r="A97" s="140">
        <v>622</v>
      </c>
      <c r="B97" s="93" t="s">
        <v>106</v>
      </c>
      <c r="C97" s="94">
        <v>48505626</v>
      </c>
      <c r="D97" s="94">
        <v>37295726</v>
      </c>
      <c r="E97" s="94">
        <v>8850433</v>
      </c>
      <c r="F97" s="94">
        <v>1225267</v>
      </c>
      <c r="G97" s="94">
        <v>74121147</v>
      </c>
      <c r="H97" s="94">
        <v>23979359</v>
      </c>
      <c r="I97" s="94">
        <v>3352299</v>
      </c>
      <c r="J97" s="94">
        <v>12365449</v>
      </c>
      <c r="K97" s="94">
        <v>9499882</v>
      </c>
      <c r="L97" s="94">
        <v>3373786</v>
      </c>
    </row>
    <row r="98" spans="1:12">
      <c r="A98" s="140">
        <v>623</v>
      </c>
      <c r="B98" s="93" t="s">
        <v>107</v>
      </c>
      <c r="C98" s="94">
        <v>12160986622</v>
      </c>
      <c r="D98" s="94">
        <v>10509451523</v>
      </c>
      <c r="E98" s="94">
        <v>1064458818</v>
      </c>
      <c r="F98" s="94">
        <v>287907091</v>
      </c>
      <c r="G98" s="94">
        <v>14410171762</v>
      </c>
      <c r="H98" s="94">
        <v>7578433909</v>
      </c>
      <c r="I98" s="94">
        <v>138190119</v>
      </c>
      <c r="J98" s="94">
        <v>2049547894</v>
      </c>
      <c r="K98" s="94">
        <v>1126960798</v>
      </c>
      <c r="L98" s="94">
        <v>974323150</v>
      </c>
    </row>
    <row r="99" spans="1:12">
      <c r="A99" s="140">
        <v>624</v>
      </c>
      <c r="B99" s="93" t="s">
        <v>108</v>
      </c>
      <c r="C99" s="94">
        <v>9607789207</v>
      </c>
      <c r="D99" s="94">
        <v>7180125588</v>
      </c>
      <c r="E99" s="94">
        <v>1732632141</v>
      </c>
      <c r="F99" s="94">
        <v>204132841</v>
      </c>
      <c r="G99" s="94">
        <v>10369552908</v>
      </c>
      <c r="H99" s="94">
        <v>2973090117</v>
      </c>
      <c r="I99" s="94">
        <v>418457296</v>
      </c>
      <c r="J99" s="94">
        <v>2246524467</v>
      </c>
      <c r="K99" s="94">
        <v>1092252813</v>
      </c>
      <c r="L99" s="94">
        <v>923603503</v>
      </c>
    </row>
    <row r="100" spans="1:12">
      <c r="A100" s="140">
        <v>625</v>
      </c>
      <c r="B100" s="93" t="s">
        <v>109</v>
      </c>
      <c r="C100" s="94">
        <v>366393540</v>
      </c>
      <c r="D100" s="94">
        <v>301644907</v>
      </c>
      <c r="E100" s="94">
        <v>40635187</v>
      </c>
      <c r="F100" s="94">
        <v>8167901</v>
      </c>
      <c r="G100" s="94">
        <v>337300925</v>
      </c>
      <c r="H100" s="94">
        <v>118688724</v>
      </c>
      <c r="I100" s="94">
        <v>508744</v>
      </c>
      <c r="J100" s="94">
        <v>81291068</v>
      </c>
      <c r="K100" s="94">
        <v>55226775</v>
      </c>
      <c r="L100" s="94">
        <v>26750640</v>
      </c>
    </row>
    <row r="101" spans="1:12">
      <c r="A101" s="140">
        <v>626</v>
      </c>
      <c r="B101" s="93" t="s">
        <v>110</v>
      </c>
      <c r="C101" s="94">
        <v>15010982818</v>
      </c>
      <c r="D101" s="94">
        <v>12756277483</v>
      </c>
      <c r="E101" s="94">
        <v>1458417147</v>
      </c>
      <c r="F101" s="94">
        <v>310131437</v>
      </c>
      <c r="G101" s="94">
        <v>14264690538</v>
      </c>
      <c r="H101" s="94">
        <v>6173701359</v>
      </c>
      <c r="I101" s="94">
        <v>179325353</v>
      </c>
      <c r="J101" s="94">
        <v>3059392656</v>
      </c>
      <c r="K101" s="94">
        <v>1610571449</v>
      </c>
      <c r="L101" s="94">
        <v>1602018473</v>
      </c>
    </row>
    <row r="102" spans="1:12">
      <c r="A102" s="140">
        <v>627</v>
      </c>
      <c r="B102" s="93" t="s">
        <v>111</v>
      </c>
      <c r="C102" s="94">
        <v>1113537133</v>
      </c>
      <c r="D102" s="94">
        <v>946547290</v>
      </c>
      <c r="E102" s="94">
        <v>113189520</v>
      </c>
      <c r="F102" s="94">
        <v>28317265</v>
      </c>
      <c r="G102" s="94">
        <v>1185912730</v>
      </c>
      <c r="H102" s="94">
        <v>583167873</v>
      </c>
      <c r="I102" s="94">
        <v>11936840</v>
      </c>
      <c r="J102" s="94">
        <v>201278296</v>
      </c>
      <c r="K102" s="94">
        <v>84282282</v>
      </c>
      <c r="L102" s="94">
        <v>81209160</v>
      </c>
    </row>
    <row r="103" spans="1:12">
      <c r="A103" s="140">
        <v>628</v>
      </c>
      <c r="B103" s="93" t="s">
        <v>112</v>
      </c>
      <c r="C103" s="94">
        <v>15752472533</v>
      </c>
      <c r="D103" s="94">
        <v>12592882014</v>
      </c>
      <c r="E103" s="94">
        <v>1889861995</v>
      </c>
      <c r="F103" s="94">
        <v>287218652</v>
      </c>
      <c r="G103" s="94">
        <v>19849057021</v>
      </c>
      <c r="H103" s="94">
        <v>7100256494</v>
      </c>
      <c r="I103" s="94">
        <v>196136727</v>
      </c>
      <c r="J103" s="94">
        <v>3192686826</v>
      </c>
      <c r="K103" s="94">
        <v>1883156590</v>
      </c>
      <c r="L103" s="94">
        <v>2133372226</v>
      </c>
    </row>
    <row r="104" spans="1:12">
      <c r="A104" s="140">
        <v>629</v>
      </c>
      <c r="B104" s="93" t="s">
        <v>113</v>
      </c>
      <c r="C104" s="94">
        <v>213864204427</v>
      </c>
      <c r="D104" s="94">
        <v>174827383030</v>
      </c>
      <c r="E104" s="94">
        <v>28195233686</v>
      </c>
      <c r="F104" s="94">
        <v>4021883084</v>
      </c>
      <c r="G104" s="94">
        <v>235353411524</v>
      </c>
      <c r="H104" s="94">
        <v>83099960262</v>
      </c>
      <c r="I104" s="94">
        <v>5950052242</v>
      </c>
      <c r="J104" s="94">
        <v>44778901574</v>
      </c>
      <c r="K104" s="94">
        <v>23181924503</v>
      </c>
      <c r="L104" s="94">
        <v>21746690041</v>
      </c>
    </row>
    <row r="105" spans="1:12">
      <c r="A105" s="140">
        <v>631</v>
      </c>
      <c r="B105" s="93" t="s">
        <v>114</v>
      </c>
      <c r="C105" s="94">
        <v>625037906</v>
      </c>
      <c r="D105" s="94">
        <v>557200593</v>
      </c>
      <c r="E105" s="94">
        <v>61834452</v>
      </c>
      <c r="F105" s="94">
        <v>13749463</v>
      </c>
      <c r="G105" s="94">
        <v>536340662</v>
      </c>
      <c r="H105" s="94">
        <v>181045103</v>
      </c>
      <c r="I105" s="94">
        <v>5984212</v>
      </c>
      <c r="J105" s="94">
        <v>122646762</v>
      </c>
      <c r="K105" s="94">
        <v>16187424</v>
      </c>
      <c r="L105" s="94">
        <v>24530165</v>
      </c>
    </row>
    <row r="106" spans="1:12">
      <c r="A106" s="140">
        <v>632</v>
      </c>
      <c r="B106" s="93" t="s">
        <v>115</v>
      </c>
      <c r="C106" s="94">
        <v>53519876668</v>
      </c>
      <c r="D106" s="94">
        <v>28729507851</v>
      </c>
      <c r="E106" s="94">
        <v>21123584982</v>
      </c>
      <c r="F106" s="94">
        <v>966498803</v>
      </c>
      <c r="G106" s="94">
        <v>72925625849</v>
      </c>
      <c r="H106" s="94">
        <v>9198576397</v>
      </c>
      <c r="I106" s="94">
        <v>7559663898</v>
      </c>
      <c r="J106" s="94">
        <v>10283657886</v>
      </c>
      <c r="K106" s="94">
        <v>1705061429</v>
      </c>
      <c r="L106" s="94">
        <v>4142744102</v>
      </c>
    </row>
    <row r="107" spans="1:12">
      <c r="A107" s="140">
        <v>633</v>
      </c>
      <c r="B107" s="93" t="s">
        <v>116</v>
      </c>
      <c r="C107" s="94">
        <v>2968377724</v>
      </c>
      <c r="D107" s="94">
        <v>2162696620</v>
      </c>
      <c r="E107" s="94">
        <v>1153750449</v>
      </c>
      <c r="F107" s="94">
        <v>70428141</v>
      </c>
      <c r="G107" s="94">
        <v>4917059911</v>
      </c>
      <c r="H107" s="94">
        <v>1271708538</v>
      </c>
      <c r="I107" s="94">
        <v>778430424</v>
      </c>
      <c r="J107" s="94">
        <v>485756510</v>
      </c>
      <c r="K107" s="94">
        <v>246649893</v>
      </c>
      <c r="L107" s="94">
        <v>160095476</v>
      </c>
    </row>
    <row r="108" spans="1:12">
      <c r="A108" s="140">
        <v>634</v>
      </c>
      <c r="B108" s="93" t="s">
        <v>117</v>
      </c>
      <c r="C108" s="94">
        <v>2197331536</v>
      </c>
      <c r="D108" s="94">
        <v>865203399</v>
      </c>
      <c r="E108" s="94">
        <v>1168433241</v>
      </c>
      <c r="F108" s="94">
        <v>106306647</v>
      </c>
      <c r="G108" s="94">
        <v>2076189770</v>
      </c>
      <c r="H108" s="94">
        <v>885235678</v>
      </c>
      <c r="I108" s="94">
        <v>64159701</v>
      </c>
      <c r="J108" s="94">
        <v>300735270</v>
      </c>
      <c r="K108" s="94">
        <v>21203235</v>
      </c>
      <c r="L108" s="94">
        <v>36233740</v>
      </c>
    </row>
    <row r="109" spans="1:12">
      <c r="A109" s="140">
        <v>635</v>
      </c>
      <c r="B109" s="93" t="s">
        <v>118</v>
      </c>
      <c r="C109" s="94">
        <v>16412711393</v>
      </c>
      <c r="D109" s="94">
        <v>11312740005</v>
      </c>
      <c r="E109" s="94">
        <v>4318179365</v>
      </c>
      <c r="F109" s="94">
        <v>178699657</v>
      </c>
      <c r="G109" s="94">
        <v>15271447783</v>
      </c>
      <c r="H109" s="94">
        <v>2016316124</v>
      </c>
      <c r="I109" s="94">
        <v>1166898371</v>
      </c>
      <c r="J109" s="94">
        <v>4728431370</v>
      </c>
      <c r="K109" s="94">
        <v>528554997</v>
      </c>
      <c r="L109" s="94">
        <v>1804784548</v>
      </c>
    </row>
    <row r="110" spans="1:12">
      <c r="A110" s="140">
        <v>636</v>
      </c>
      <c r="B110" s="93" t="s">
        <v>119</v>
      </c>
      <c r="C110" s="94">
        <v>22875590</v>
      </c>
      <c r="D110" s="94">
        <v>6905323</v>
      </c>
      <c r="E110" s="94">
        <v>17070041</v>
      </c>
      <c r="F110" s="94">
        <v>1113988</v>
      </c>
      <c r="G110" s="94">
        <v>12135682</v>
      </c>
      <c r="H110" s="94">
        <v>3565131</v>
      </c>
      <c r="I110" s="94">
        <v>143841</v>
      </c>
      <c r="J110" s="94">
        <v>867800</v>
      </c>
      <c r="K110" s="94">
        <v>1115095</v>
      </c>
      <c r="L110" s="94">
        <v>484476</v>
      </c>
    </row>
    <row r="111" spans="1:12">
      <c r="A111" s="140">
        <v>637</v>
      </c>
      <c r="B111" s="93" t="s">
        <v>120</v>
      </c>
      <c r="C111" s="94">
        <v>9383237611</v>
      </c>
      <c r="D111" s="94">
        <v>6584189378</v>
      </c>
      <c r="E111" s="94">
        <v>2170490823</v>
      </c>
      <c r="F111" s="94">
        <v>341571429</v>
      </c>
      <c r="G111" s="94">
        <v>12817960719</v>
      </c>
      <c r="H111" s="94">
        <v>5824608314</v>
      </c>
      <c r="I111" s="94">
        <v>631741919</v>
      </c>
      <c r="J111" s="94">
        <v>1040056737</v>
      </c>
      <c r="K111" s="94">
        <v>805792214</v>
      </c>
      <c r="L111" s="94">
        <v>268669666</v>
      </c>
    </row>
    <row r="112" spans="1:12">
      <c r="A112" s="140">
        <v>639</v>
      </c>
      <c r="B112" s="93" t="s">
        <v>121</v>
      </c>
      <c r="C112" s="94">
        <v>11589907925</v>
      </c>
      <c r="D112" s="94">
        <v>9360956983</v>
      </c>
      <c r="E112" s="94">
        <v>1824087228</v>
      </c>
      <c r="F112" s="94">
        <v>76213232</v>
      </c>
      <c r="G112" s="94">
        <v>7461088413</v>
      </c>
      <c r="H112" s="94">
        <v>1303940414</v>
      </c>
      <c r="I112" s="94">
        <v>221918352</v>
      </c>
      <c r="J112" s="94">
        <v>1713613211</v>
      </c>
      <c r="K112" s="94">
        <v>556364410</v>
      </c>
      <c r="L112" s="94">
        <v>743729300</v>
      </c>
    </row>
    <row r="113" spans="1:12">
      <c r="A113" s="140">
        <v>711</v>
      </c>
      <c r="B113" s="93" t="s">
        <v>6</v>
      </c>
      <c r="C113" s="94">
        <v>1093406131</v>
      </c>
      <c r="D113" s="94">
        <v>984268363</v>
      </c>
      <c r="E113" s="94">
        <v>82121286</v>
      </c>
      <c r="F113" s="94">
        <v>23431785</v>
      </c>
      <c r="G113" s="94">
        <v>853817370</v>
      </c>
      <c r="H113" s="94">
        <v>432340251</v>
      </c>
      <c r="I113" s="94">
        <v>1681771</v>
      </c>
      <c r="J113" s="94">
        <v>112178557</v>
      </c>
      <c r="K113" s="94">
        <v>81068346</v>
      </c>
      <c r="L113" s="94">
        <v>41480714</v>
      </c>
    </row>
    <row r="114" spans="1:12">
      <c r="A114" s="140">
        <v>712</v>
      </c>
      <c r="B114" s="93" t="s">
        <v>122</v>
      </c>
      <c r="C114" s="94">
        <v>12911567924</v>
      </c>
      <c r="D114" s="94">
        <v>11514069933</v>
      </c>
      <c r="E114" s="94">
        <v>1118272079</v>
      </c>
      <c r="F114" s="94">
        <v>159516070</v>
      </c>
      <c r="G114" s="94">
        <v>6455301287</v>
      </c>
      <c r="H114" s="94">
        <v>2807178438</v>
      </c>
      <c r="I114" s="94">
        <v>41104630</v>
      </c>
      <c r="J114" s="94">
        <v>1145568845</v>
      </c>
      <c r="K114" s="94">
        <v>937029756</v>
      </c>
      <c r="L114" s="94">
        <v>518011819</v>
      </c>
    </row>
    <row r="115" spans="1:12">
      <c r="A115" s="140">
        <v>721</v>
      </c>
      <c r="B115" s="93" t="s">
        <v>123</v>
      </c>
      <c r="C115" s="94">
        <v>5457978469</v>
      </c>
      <c r="D115" s="94">
        <v>4425155203</v>
      </c>
      <c r="E115" s="94">
        <v>836189929</v>
      </c>
      <c r="F115" s="94">
        <v>55880877</v>
      </c>
      <c r="G115" s="94">
        <v>3980807394</v>
      </c>
      <c r="H115" s="94">
        <v>1475751712</v>
      </c>
      <c r="I115" s="94">
        <v>31154208</v>
      </c>
      <c r="J115" s="94">
        <v>556487229</v>
      </c>
      <c r="K115" s="94">
        <v>811454582</v>
      </c>
      <c r="L115" s="94">
        <v>301743338</v>
      </c>
    </row>
    <row r="116" spans="1:12">
      <c r="A116" s="140">
        <v>722</v>
      </c>
      <c r="B116" s="93" t="s">
        <v>124</v>
      </c>
      <c r="C116" s="94">
        <v>776211412</v>
      </c>
      <c r="D116" s="94">
        <v>636176964</v>
      </c>
      <c r="E116" s="94">
        <v>81931943</v>
      </c>
      <c r="F116" s="94">
        <v>17212051</v>
      </c>
      <c r="G116" s="94">
        <v>679269775</v>
      </c>
      <c r="H116" s="94">
        <v>296194738</v>
      </c>
      <c r="I116" s="94">
        <v>4177480</v>
      </c>
      <c r="J116" s="94">
        <v>80701492</v>
      </c>
      <c r="K116" s="94">
        <v>129606165</v>
      </c>
      <c r="L116" s="94">
        <v>43735773</v>
      </c>
    </row>
    <row r="117" spans="1:12">
      <c r="A117" s="140">
        <v>730</v>
      </c>
      <c r="B117" s="93" t="s">
        <v>35</v>
      </c>
      <c r="C117" s="94">
        <v>3163613265</v>
      </c>
      <c r="D117" s="94">
        <v>2566088843</v>
      </c>
      <c r="E117" s="94">
        <v>481070153</v>
      </c>
      <c r="F117" s="94">
        <v>65556933</v>
      </c>
      <c r="G117" s="94">
        <v>2615339670</v>
      </c>
      <c r="H117" s="94">
        <v>1135677397</v>
      </c>
      <c r="I117" s="94">
        <v>147837388</v>
      </c>
      <c r="J117" s="94">
        <v>384562269</v>
      </c>
      <c r="K117" s="94">
        <v>432034109</v>
      </c>
      <c r="L117" s="94">
        <v>187637502</v>
      </c>
    </row>
    <row r="118" spans="1:12">
      <c r="A118" s="140">
        <v>740</v>
      </c>
      <c r="B118" s="93" t="s">
        <v>36</v>
      </c>
      <c r="C118" s="94">
        <v>1670471660</v>
      </c>
      <c r="D118" s="94">
        <v>1440825368</v>
      </c>
      <c r="E118" s="94">
        <v>149625960</v>
      </c>
      <c r="F118" s="94">
        <v>15374351</v>
      </c>
      <c r="G118" s="94">
        <v>1161755378</v>
      </c>
      <c r="H118" s="94">
        <v>348430701</v>
      </c>
      <c r="I118" s="94">
        <v>8012051</v>
      </c>
      <c r="J118" s="94">
        <v>174626791</v>
      </c>
      <c r="K118" s="94">
        <v>202646206</v>
      </c>
      <c r="L118" s="94">
        <v>123682885</v>
      </c>
    </row>
    <row r="119" spans="1:12">
      <c r="A119" s="140">
        <v>750</v>
      </c>
      <c r="B119" s="93" t="s">
        <v>37</v>
      </c>
      <c r="C119" s="94">
        <v>7836202883</v>
      </c>
      <c r="D119" s="94">
        <v>5391250572</v>
      </c>
      <c r="E119" s="94">
        <v>2102124433</v>
      </c>
      <c r="F119" s="94">
        <v>97857201</v>
      </c>
      <c r="G119" s="94">
        <v>6047276725</v>
      </c>
      <c r="H119" s="94">
        <v>2075861446</v>
      </c>
      <c r="I119" s="94">
        <v>82266696</v>
      </c>
      <c r="J119" s="94">
        <v>782861445</v>
      </c>
      <c r="K119" s="94">
        <v>659668209</v>
      </c>
      <c r="L119" s="94">
        <v>396660750</v>
      </c>
    </row>
    <row r="120" spans="1:12">
      <c r="A120" s="140">
        <v>761</v>
      </c>
      <c r="B120" s="93" t="s">
        <v>125</v>
      </c>
      <c r="C120" s="94">
        <v>5232253673</v>
      </c>
      <c r="D120" s="94">
        <v>4382728193</v>
      </c>
      <c r="E120" s="94">
        <v>657475183</v>
      </c>
      <c r="F120" s="94">
        <v>74972364</v>
      </c>
      <c r="G120" s="94">
        <v>5047340392</v>
      </c>
      <c r="H120" s="94">
        <v>1711973656</v>
      </c>
      <c r="I120" s="94">
        <v>228117646</v>
      </c>
      <c r="J120" s="94">
        <v>633397803</v>
      </c>
      <c r="K120" s="94">
        <v>965783837</v>
      </c>
      <c r="L120" s="94">
        <v>276174709</v>
      </c>
    </row>
    <row r="121" spans="1:12">
      <c r="A121" s="140">
        <v>762</v>
      </c>
      <c r="B121" s="93" t="s">
        <v>126</v>
      </c>
      <c r="C121" s="94">
        <v>563438843</v>
      </c>
      <c r="D121" s="94">
        <v>441696400</v>
      </c>
      <c r="E121" s="94">
        <v>69423146</v>
      </c>
      <c r="F121" s="94">
        <v>6052548</v>
      </c>
      <c r="G121" s="94">
        <v>742943408</v>
      </c>
      <c r="H121" s="94">
        <v>238200182</v>
      </c>
      <c r="I121" s="94">
        <v>1935844</v>
      </c>
      <c r="J121" s="94">
        <v>68274847</v>
      </c>
      <c r="K121" s="94">
        <v>86422939</v>
      </c>
      <c r="L121" s="94">
        <v>27606740</v>
      </c>
    </row>
    <row r="122" spans="1:12">
      <c r="A122" s="140">
        <v>770</v>
      </c>
      <c r="B122" s="93" t="s">
        <v>39</v>
      </c>
      <c r="C122" s="94">
        <v>8801207838</v>
      </c>
      <c r="D122" s="94">
        <v>7477452513</v>
      </c>
      <c r="E122" s="94">
        <v>972355791</v>
      </c>
      <c r="F122" s="94">
        <v>37182172</v>
      </c>
      <c r="G122" s="94">
        <v>7024933483</v>
      </c>
      <c r="H122" s="94">
        <v>1637510818</v>
      </c>
      <c r="I122" s="94">
        <v>37430387</v>
      </c>
      <c r="J122" s="94">
        <v>1171681708</v>
      </c>
      <c r="K122" s="94">
        <v>1074334069</v>
      </c>
      <c r="L122" s="94">
        <v>500733988</v>
      </c>
    </row>
    <row r="123" spans="1:12">
      <c r="A123" s="140">
        <v>791</v>
      </c>
      <c r="B123" s="93" t="s">
        <v>127</v>
      </c>
      <c r="C123" s="94">
        <v>7873900719</v>
      </c>
      <c r="D123" s="94">
        <v>5221224045</v>
      </c>
      <c r="E123" s="94">
        <v>2223852501</v>
      </c>
      <c r="F123" s="94">
        <v>127424869</v>
      </c>
      <c r="G123" s="94">
        <v>9767861741</v>
      </c>
      <c r="H123" s="94">
        <v>3660611105</v>
      </c>
      <c r="I123" s="94">
        <v>89097448</v>
      </c>
      <c r="J123" s="94">
        <v>867121066</v>
      </c>
      <c r="K123" s="94">
        <v>429141099</v>
      </c>
      <c r="L123" s="94">
        <v>518410096</v>
      </c>
    </row>
    <row r="124" spans="1:12">
      <c r="A124" s="140">
        <v>792</v>
      </c>
      <c r="B124" s="93" t="s">
        <v>128</v>
      </c>
      <c r="C124" s="94">
        <v>6836802000</v>
      </c>
      <c r="D124" s="94">
        <v>5086999600</v>
      </c>
      <c r="E124" s="94">
        <v>1352396250</v>
      </c>
      <c r="F124" s="94">
        <v>82928931</v>
      </c>
      <c r="G124" s="94">
        <v>8435496000</v>
      </c>
      <c r="H124" s="94">
        <v>3052095700</v>
      </c>
      <c r="I124" s="94">
        <v>280996362</v>
      </c>
      <c r="J124" s="94">
        <v>692159000</v>
      </c>
      <c r="K124" s="94">
        <v>815497400</v>
      </c>
      <c r="L124" s="94">
        <v>410156530</v>
      </c>
    </row>
    <row r="125" spans="1:12">
      <c r="A125" s="140">
        <v>793</v>
      </c>
      <c r="B125" s="93" t="s">
        <v>129</v>
      </c>
      <c r="C125" s="94">
        <v>3762744183</v>
      </c>
      <c r="D125" s="94">
        <v>2863209108</v>
      </c>
      <c r="E125" s="94">
        <v>715507816</v>
      </c>
      <c r="F125" s="94">
        <v>53572106</v>
      </c>
      <c r="G125" s="94">
        <v>4271024924</v>
      </c>
      <c r="H125" s="94">
        <v>1627390410</v>
      </c>
      <c r="I125" s="94">
        <v>24433021</v>
      </c>
      <c r="J125" s="94">
        <v>411840025</v>
      </c>
      <c r="K125" s="94">
        <v>269577908</v>
      </c>
      <c r="L125" s="94">
        <v>452133179</v>
      </c>
    </row>
    <row r="126" spans="1:12">
      <c r="A126" s="140">
        <v>794</v>
      </c>
      <c r="B126" s="93" t="s">
        <v>130</v>
      </c>
      <c r="C126" s="94">
        <v>7108129222</v>
      </c>
      <c r="D126" s="94">
        <v>5359996451</v>
      </c>
      <c r="E126" s="94">
        <v>1283429340</v>
      </c>
      <c r="F126" s="94">
        <v>80993784</v>
      </c>
      <c r="G126" s="94">
        <v>6111887970</v>
      </c>
      <c r="H126" s="94">
        <v>2452803901</v>
      </c>
      <c r="I126" s="94">
        <v>84054640</v>
      </c>
      <c r="J126" s="94">
        <v>873497740</v>
      </c>
      <c r="K126" s="94">
        <v>783879659</v>
      </c>
      <c r="L126" s="94">
        <v>558067725</v>
      </c>
    </row>
    <row r="127" spans="1:12">
      <c r="A127" s="140">
        <v>795</v>
      </c>
      <c r="B127" s="93" t="s">
        <v>131</v>
      </c>
      <c r="C127" s="94">
        <v>7195837863</v>
      </c>
      <c r="D127" s="94">
        <v>5091123382</v>
      </c>
      <c r="E127" s="94">
        <v>1650903204</v>
      </c>
      <c r="F127" s="94">
        <v>141665850</v>
      </c>
      <c r="G127" s="94">
        <v>7475130358</v>
      </c>
      <c r="H127" s="94">
        <v>2664033851</v>
      </c>
      <c r="I127" s="94">
        <v>99724443</v>
      </c>
      <c r="J127" s="94">
        <v>904252913</v>
      </c>
      <c r="K127" s="94">
        <v>1835864327</v>
      </c>
      <c r="L127" s="94">
        <v>500255003</v>
      </c>
    </row>
    <row r="128" spans="1:12">
      <c r="A128" s="140">
        <v>799</v>
      </c>
      <c r="B128" s="93" t="s">
        <v>132</v>
      </c>
      <c r="C128" s="94">
        <v>7195837863</v>
      </c>
      <c r="D128" s="94">
        <v>5091123382</v>
      </c>
      <c r="E128" s="94">
        <v>1650903204</v>
      </c>
      <c r="F128" s="94">
        <v>141665850</v>
      </c>
      <c r="G128" s="94">
        <v>7475130358</v>
      </c>
      <c r="H128" s="94">
        <v>2664033851</v>
      </c>
      <c r="I128" s="94">
        <v>99724443</v>
      </c>
      <c r="J128" s="94">
        <v>904252913</v>
      </c>
      <c r="K128" s="94">
        <v>1835864327</v>
      </c>
      <c r="L128" s="94">
        <v>500255003</v>
      </c>
    </row>
    <row r="129" spans="1:12">
      <c r="A129" s="140">
        <v>811</v>
      </c>
      <c r="B129" s="93" t="s">
        <v>133</v>
      </c>
      <c r="C129" s="94">
        <v>1921973733</v>
      </c>
      <c r="D129" s="94">
        <v>848391329</v>
      </c>
      <c r="E129" s="94">
        <v>635788496</v>
      </c>
      <c r="F129" s="94">
        <v>19609254</v>
      </c>
      <c r="G129" s="94">
        <v>3981865136</v>
      </c>
      <c r="H129" s="94">
        <v>1136218563</v>
      </c>
      <c r="I129" s="94">
        <v>1482247721</v>
      </c>
      <c r="J129" s="94">
        <v>386861110</v>
      </c>
      <c r="K129" s="94">
        <v>155478706</v>
      </c>
      <c r="L129" s="94">
        <v>124060066</v>
      </c>
    </row>
    <row r="130" spans="1:12">
      <c r="A130" s="140">
        <v>812</v>
      </c>
      <c r="B130" s="93" t="s">
        <v>134</v>
      </c>
      <c r="C130" s="94">
        <v>3267082394</v>
      </c>
      <c r="D130" s="94">
        <v>1784083144</v>
      </c>
      <c r="E130" s="94">
        <v>1019027781</v>
      </c>
      <c r="F130" s="94">
        <v>32103099</v>
      </c>
      <c r="G130" s="94">
        <v>5817379706</v>
      </c>
      <c r="H130" s="94">
        <v>2609770681</v>
      </c>
      <c r="I130" s="94">
        <v>184890055</v>
      </c>
      <c r="J130" s="94">
        <v>790888474</v>
      </c>
      <c r="K130" s="94">
        <v>275604620</v>
      </c>
      <c r="L130" s="94">
        <v>208233249</v>
      </c>
    </row>
    <row r="131" spans="1:12">
      <c r="A131" s="140">
        <v>821</v>
      </c>
      <c r="B131" s="93" t="s">
        <v>146</v>
      </c>
      <c r="C131" s="94">
        <v>6735394513</v>
      </c>
      <c r="D131" s="94">
        <v>4120148126</v>
      </c>
      <c r="E131" s="94">
        <v>2097989410</v>
      </c>
      <c r="F131" s="94">
        <v>140252128</v>
      </c>
      <c r="G131" s="94">
        <v>8676622390</v>
      </c>
      <c r="H131" s="94">
        <v>3769413446</v>
      </c>
      <c r="I131" s="94">
        <v>326188919</v>
      </c>
      <c r="J131" s="94">
        <v>657620601</v>
      </c>
      <c r="K131" s="94">
        <v>619042923</v>
      </c>
      <c r="L131" s="94">
        <v>408044889</v>
      </c>
    </row>
    <row r="132" spans="1:12">
      <c r="A132" s="140">
        <v>822</v>
      </c>
      <c r="B132" s="93" t="s">
        <v>146</v>
      </c>
      <c r="C132" s="94">
        <v>16206564</v>
      </c>
      <c r="D132" s="94">
        <v>11304764</v>
      </c>
      <c r="E132" s="94">
        <v>4318354</v>
      </c>
      <c r="F132" s="94">
        <v>1122734</v>
      </c>
      <c r="G132" s="94">
        <v>19678180</v>
      </c>
      <c r="H132" s="94">
        <v>16057343</v>
      </c>
      <c r="I132" s="94">
        <v>309628</v>
      </c>
      <c r="J132" s="94">
        <v>556280</v>
      </c>
      <c r="K132" s="94">
        <v>872512</v>
      </c>
      <c r="L132" s="94">
        <v>1789208</v>
      </c>
    </row>
    <row r="133" spans="1:12">
      <c r="A133" s="140">
        <v>911</v>
      </c>
      <c r="B133" s="93" t="s">
        <v>135</v>
      </c>
      <c r="C133" s="94">
        <v>2250384853</v>
      </c>
      <c r="D133" s="94">
        <v>1732470773</v>
      </c>
      <c r="E133" s="94">
        <v>418409063</v>
      </c>
      <c r="F133" s="94">
        <v>35781523</v>
      </c>
      <c r="G133" s="94">
        <v>2727265556</v>
      </c>
      <c r="H133" s="94">
        <v>817231573</v>
      </c>
      <c r="I133" s="94">
        <v>26624830</v>
      </c>
      <c r="J133" s="94">
        <v>366631979</v>
      </c>
      <c r="K133" s="94">
        <v>243012485</v>
      </c>
      <c r="L133" s="94">
        <v>238686272</v>
      </c>
    </row>
    <row r="134" spans="1:12">
      <c r="A134" s="140">
        <v>912</v>
      </c>
      <c r="B134" s="93" t="s">
        <v>136</v>
      </c>
      <c r="C134" s="94">
        <v>1719342145</v>
      </c>
      <c r="D134" s="94">
        <v>1138609133</v>
      </c>
      <c r="E134" s="94">
        <v>447058643</v>
      </c>
      <c r="F134" s="94">
        <v>28455144</v>
      </c>
      <c r="G134" s="94">
        <v>1613032703</v>
      </c>
      <c r="H134" s="94">
        <v>496423145</v>
      </c>
      <c r="I134" s="94">
        <v>114986636</v>
      </c>
      <c r="J134" s="94">
        <v>241822168</v>
      </c>
      <c r="K134" s="94">
        <v>157440404</v>
      </c>
      <c r="L134" s="94">
        <v>127370650</v>
      </c>
    </row>
    <row r="135" spans="1:12">
      <c r="A135" s="140">
        <v>913</v>
      </c>
      <c r="B135" s="93" t="s">
        <v>137</v>
      </c>
      <c r="C135" s="94">
        <v>51057353146</v>
      </c>
      <c r="D135" s="94">
        <v>43010773254</v>
      </c>
      <c r="E135" s="94">
        <v>5429331490</v>
      </c>
      <c r="F135" s="94">
        <v>1262721479</v>
      </c>
      <c r="G135" s="94">
        <v>53491282459</v>
      </c>
      <c r="H135" s="94">
        <v>24056145807</v>
      </c>
      <c r="I135" s="94">
        <v>613861639</v>
      </c>
      <c r="J135" s="94">
        <v>10216322228</v>
      </c>
      <c r="K135" s="94">
        <v>5545919044</v>
      </c>
      <c r="L135" s="94">
        <v>5070596343</v>
      </c>
    </row>
    <row r="136" spans="1:12">
      <c r="A136" s="140">
        <v>914</v>
      </c>
      <c r="B136" s="93" t="s">
        <v>138</v>
      </c>
      <c r="C136" s="94">
        <v>9366700241</v>
      </c>
      <c r="D136" s="94">
        <v>6032136671</v>
      </c>
      <c r="E136" s="94">
        <v>2478303996</v>
      </c>
      <c r="F136" s="94">
        <v>120850194</v>
      </c>
      <c r="G136" s="94">
        <v>8195522842</v>
      </c>
      <c r="H136" s="94">
        <v>2895246980</v>
      </c>
      <c r="I136" s="94">
        <v>79499690</v>
      </c>
      <c r="J136" s="94">
        <v>1247944057</v>
      </c>
      <c r="K136" s="94">
        <v>920198802</v>
      </c>
      <c r="L136" s="94">
        <v>680834968</v>
      </c>
    </row>
    <row r="137" spans="1:12">
      <c r="A137" s="140">
        <v>915</v>
      </c>
      <c r="B137" s="93" t="s">
        <v>139</v>
      </c>
      <c r="C137" s="94">
        <v>21036884825</v>
      </c>
      <c r="D137" s="94">
        <v>17574599791</v>
      </c>
      <c r="E137" s="94">
        <v>2114289048</v>
      </c>
      <c r="F137" s="94">
        <v>504464023</v>
      </c>
      <c r="G137" s="94">
        <v>24084803543</v>
      </c>
      <c r="H137" s="94">
        <v>10111952566</v>
      </c>
      <c r="I137" s="94">
        <v>483975531</v>
      </c>
      <c r="J137" s="94">
        <v>4075034378</v>
      </c>
      <c r="K137" s="94">
        <v>2036011210</v>
      </c>
      <c r="L137" s="94">
        <v>1945271165</v>
      </c>
    </row>
    <row r="138" spans="1:12">
      <c r="A138" s="140">
        <v>919</v>
      </c>
      <c r="B138" s="93" t="s">
        <v>140</v>
      </c>
      <c r="C138" s="94">
        <v>7085726861</v>
      </c>
      <c r="D138" s="94">
        <v>5804480801</v>
      </c>
      <c r="E138" s="94">
        <v>1082985617</v>
      </c>
      <c r="F138" s="94">
        <v>154166705</v>
      </c>
      <c r="G138" s="94">
        <v>13890383923</v>
      </c>
      <c r="H138" s="94">
        <v>3684084899</v>
      </c>
      <c r="I138" s="94">
        <v>251726910</v>
      </c>
      <c r="J138" s="94">
        <v>1386030272</v>
      </c>
      <c r="K138" s="94">
        <v>831072240</v>
      </c>
      <c r="L138" s="94">
        <v>769592406</v>
      </c>
    </row>
    <row r="139" spans="1:12">
      <c r="A139" s="140">
        <v>921</v>
      </c>
      <c r="B139" s="93" t="s">
        <v>141</v>
      </c>
      <c r="C139" s="94">
        <v>2968377724</v>
      </c>
      <c r="D139" s="94">
        <v>2162696620</v>
      </c>
      <c r="E139" s="94">
        <v>1153750449</v>
      </c>
      <c r="F139" s="94">
        <v>70428141</v>
      </c>
      <c r="G139" s="94">
        <v>4917059911</v>
      </c>
      <c r="H139" s="94">
        <v>1271708538</v>
      </c>
      <c r="I139" s="94">
        <v>778430424</v>
      </c>
      <c r="J139" s="94">
        <v>485756510</v>
      </c>
      <c r="K139" s="94">
        <v>246649893</v>
      </c>
      <c r="L139" s="94">
        <v>160095476</v>
      </c>
    </row>
    <row r="140" spans="1:12">
      <c r="A140" s="140">
        <v>922</v>
      </c>
      <c r="B140" s="93" t="s">
        <v>142</v>
      </c>
      <c r="C140" s="94">
        <v>53519876668</v>
      </c>
      <c r="D140" s="94">
        <v>28729507851</v>
      </c>
      <c r="E140" s="94">
        <v>21123584982</v>
      </c>
      <c r="F140" s="94">
        <v>966498803</v>
      </c>
      <c r="G140" s="94">
        <v>72925625849</v>
      </c>
      <c r="H140" s="94">
        <v>9198576397</v>
      </c>
      <c r="I140" s="94">
        <v>7559663898</v>
      </c>
      <c r="J140" s="94">
        <v>10283657886</v>
      </c>
      <c r="K140" s="94">
        <v>1705061429</v>
      </c>
      <c r="L140" s="94">
        <v>4142744102</v>
      </c>
    </row>
    <row r="141" spans="1:12">
      <c r="A141" s="140">
        <v>923</v>
      </c>
      <c r="B141" s="93" t="s">
        <v>143</v>
      </c>
      <c r="C141" s="94">
        <v>2197331536</v>
      </c>
      <c r="D141" s="94">
        <v>865203399</v>
      </c>
      <c r="E141" s="94">
        <v>1168433241</v>
      </c>
      <c r="F141" s="94">
        <v>106306647</v>
      </c>
      <c r="G141" s="94">
        <v>2076189770</v>
      </c>
      <c r="H141" s="94">
        <v>885235678</v>
      </c>
      <c r="I141" s="94">
        <v>64159701</v>
      </c>
      <c r="J141" s="94">
        <v>300735270</v>
      </c>
      <c r="K141" s="94">
        <v>21203235</v>
      </c>
      <c r="L141" s="94">
        <v>36233740</v>
      </c>
    </row>
    <row r="142" spans="1:12">
      <c r="A142" s="140">
        <v>924</v>
      </c>
      <c r="B142" s="93" t="s">
        <v>144</v>
      </c>
      <c r="C142" s="94">
        <v>9383237611</v>
      </c>
      <c r="D142" s="94">
        <v>6584189378</v>
      </c>
      <c r="E142" s="94">
        <v>2170490823</v>
      </c>
      <c r="F142" s="94">
        <v>341571429</v>
      </c>
      <c r="G142" s="94">
        <v>12817960719</v>
      </c>
      <c r="H142" s="94">
        <v>5824608314</v>
      </c>
      <c r="I142" s="94">
        <v>631741919</v>
      </c>
      <c r="J142" s="94">
        <v>1040056737</v>
      </c>
      <c r="K142" s="94">
        <v>805792214</v>
      </c>
      <c r="L142" s="94">
        <v>268669666</v>
      </c>
    </row>
    <row r="143" spans="1:12">
      <c r="A143" s="140">
        <v>929</v>
      </c>
      <c r="B143" s="93" t="s">
        <v>145</v>
      </c>
      <c r="C143" s="94">
        <v>563132618</v>
      </c>
      <c r="D143" s="94">
        <v>181462901</v>
      </c>
      <c r="E143" s="94">
        <v>347518231</v>
      </c>
      <c r="F143" s="94">
        <v>9487263</v>
      </c>
      <c r="G143" s="94">
        <v>509938953</v>
      </c>
      <c r="H143" s="94">
        <v>130157242</v>
      </c>
      <c r="I143" s="94">
        <v>26985319</v>
      </c>
      <c r="J143" s="94">
        <v>50209171</v>
      </c>
      <c r="K143" s="94">
        <v>7886305</v>
      </c>
      <c r="L143" s="94">
        <v>10288716</v>
      </c>
    </row>
  </sheetData>
  <mergeCells count="3">
    <mergeCell ref="C1:E1"/>
    <mergeCell ref="G1:I1"/>
    <mergeCell ref="J1:L1"/>
  </mergeCells>
  <phoneticPr fontId="1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dimension ref="A1:O143"/>
  <sheetViews>
    <sheetView workbookViewId="0">
      <selection activeCell="H40" sqref="H40"/>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9" width="11.6640625" style="95" bestFit="1" customWidth="1"/>
    <col min="10" max="10" width="12.5546875" style="95" bestFit="1" customWidth="1"/>
    <col min="11"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1223317525</v>
      </c>
      <c r="D3" s="94">
        <v>922470530</v>
      </c>
      <c r="E3" s="94">
        <v>226784436</v>
      </c>
      <c r="F3" s="94">
        <v>25794811</v>
      </c>
      <c r="G3" s="94">
        <v>1990257510</v>
      </c>
      <c r="H3" s="94">
        <v>1143842789</v>
      </c>
      <c r="I3" s="94">
        <v>24268941</v>
      </c>
      <c r="J3" s="94">
        <v>168809508</v>
      </c>
      <c r="K3" s="94">
        <v>266829138</v>
      </c>
      <c r="L3" s="94">
        <v>63163169</v>
      </c>
    </row>
    <row r="4" spans="1:15">
      <c r="A4" s="140">
        <v>12</v>
      </c>
      <c r="B4" s="93" t="s">
        <v>2</v>
      </c>
      <c r="C4" s="94">
        <v>4042180234</v>
      </c>
      <c r="D4" s="94">
        <v>3418791931</v>
      </c>
      <c r="E4" s="94">
        <v>275226059</v>
      </c>
      <c r="F4" s="94">
        <v>135760523</v>
      </c>
      <c r="G4" s="94">
        <v>4460384519</v>
      </c>
      <c r="H4" s="94">
        <v>2482252164</v>
      </c>
      <c r="I4" s="94">
        <v>16430950</v>
      </c>
      <c r="J4" s="94">
        <v>327428038</v>
      </c>
      <c r="K4" s="94">
        <v>710274626</v>
      </c>
      <c r="L4" s="94">
        <v>404788012</v>
      </c>
    </row>
    <row r="5" spans="1:15">
      <c r="A5" s="140">
        <v>21</v>
      </c>
      <c r="B5" s="93" t="s">
        <v>19</v>
      </c>
      <c r="C5" s="94">
        <v>85335837483</v>
      </c>
      <c r="D5" s="94">
        <v>54971760036</v>
      </c>
      <c r="E5" s="94">
        <v>22648586917</v>
      </c>
      <c r="F5" s="94">
        <v>1355485157</v>
      </c>
      <c r="G5" s="94">
        <v>107531395472</v>
      </c>
      <c r="H5" s="94">
        <v>37066612667</v>
      </c>
      <c r="I5" s="94">
        <v>3754020228</v>
      </c>
      <c r="J5" s="94">
        <v>17481498263</v>
      </c>
      <c r="K5" s="94">
        <v>12791804594</v>
      </c>
      <c r="L5" s="94">
        <v>6440117028</v>
      </c>
    </row>
    <row r="6" spans="1:15">
      <c r="A6" s="140">
        <v>22</v>
      </c>
      <c r="B6" s="93" t="s">
        <v>20</v>
      </c>
      <c r="C6" s="94">
        <v>193196304110</v>
      </c>
      <c r="D6" s="94">
        <v>155710930994</v>
      </c>
      <c r="E6" s="94">
        <v>27329604801</v>
      </c>
      <c r="F6" s="94">
        <v>4227883634</v>
      </c>
      <c r="G6" s="94">
        <v>213967182483</v>
      </c>
      <c r="H6" s="94">
        <v>86831463985</v>
      </c>
      <c r="I6" s="94">
        <v>4932741050</v>
      </c>
      <c r="J6" s="94">
        <v>40458681583</v>
      </c>
      <c r="K6" s="94">
        <v>23726563626</v>
      </c>
      <c r="L6" s="94">
        <v>18446171676</v>
      </c>
    </row>
    <row r="7" spans="1:15">
      <c r="A7" s="140">
        <v>23</v>
      </c>
      <c r="B7" s="93" t="s">
        <v>21</v>
      </c>
      <c r="C7" s="94">
        <v>120269243425</v>
      </c>
      <c r="D7" s="94">
        <v>72917309204</v>
      </c>
      <c r="E7" s="94">
        <v>40149259939</v>
      </c>
      <c r="F7" s="94">
        <v>2282981737</v>
      </c>
      <c r="G7" s="94">
        <v>141128691733</v>
      </c>
      <c r="H7" s="94">
        <v>30631633565</v>
      </c>
      <c r="I7" s="94">
        <v>11117291556</v>
      </c>
      <c r="J7" s="94">
        <v>24584763898</v>
      </c>
      <c r="K7" s="94">
        <v>5357027495</v>
      </c>
      <c r="L7" s="94">
        <v>9288294855</v>
      </c>
    </row>
    <row r="8" spans="1:15">
      <c r="A8" s="140">
        <v>31</v>
      </c>
      <c r="B8" s="93" t="s">
        <v>22</v>
      </c>
      <c r="C8" s="94">
        <v>45549361</v>
      </c>
      <c r="D8" s="94">
        <v>23502231</v>
      </c>
      <c r="E8" s="94">
        <v>18134508</v>
      </c>
      <c r="F8" s="94">
        <v>2003831</v>
      </c>
      <c r="G8" s="94">
        <v>157769251</v>
      </c>
      <c r="H8" s="94">
        <v>116397781</v>
      </c>
      <c r="I8" s="94">
        <v>693354</v>
      </c>
      <c r="J8" s="94">
        <v>2619409</v>
      </c>
      <c r="K8" s="94">
        <v>7827688</v>
      </c>
      <c r="L8" s="94">
        <v>2015431</v>
      </c>
    </row>
    <row r="9" spans="1:15">
      <c r="A9" s="140">
        <v>39</v>
      </c>
      <c r="B9" s="93" t="s">
        <v>23</v>
      </c>
      <c r="C9" s="94">
        <v>5099116</v>
      </c>
      <c r="D9" s="94">
        <v>4871179</v>
      </c>
      <c r="E9" s="94">
        <v>231090</v>
      </c>
      <c r="F9" s="94">
        <v>182510</v>
      </c>
      <c r="G9" s="94">
        <v>4047493</v>
      </c>
      <c r="H9" s="94">
        <v>2262444</v>
      </c>
      <c r="I9" s="94">
        <v>2500</v>
      </c>
      <c r="J9" s="94">
        <v>1095590</v>
      </c>
      <c r="K9" s="94">
        <v>131757</v>
      </c>
      <c r="L9" s="94">
        <v>100694</v>
      </c>
    </row>
    <row r="10" spans="1:15">
      <c r="A10" s="140">
        <v>41</v>
      </c>
      <c r="B10" s="93" t="s">
        <v>24</v>
      </c>
      <c r="C10" s="94">
        <v>14503833166</v>
      </c>
      <c r="D10" s="94">
        <v>11666461545</v>
      </c>
      <c r="E10" s="94">
        <v>2027771993</v>
      </c>
      <c r="F10" s="94">
        <v>173095671</v>
      </c>
      <c r="G10" s="94">
        <v>13640215068</v>
      </c>
      <c r="H10" s="94">
        <v>6265668518</v>
      </c>
      <c r="I10" s="94">
        <v>85560352</v>
      </c>
      <c r="J10" s="94">
        <v>2150825249</v>
      </c>
      <c r="K10" s="94">
        <v>1629545826</v>
      </c>
      <c r="L10" s="94">
        <v>1254450773</v>
      </c>
    </row>
    <row r="11" spans="1:15">
      <c r="A11" s="140">
        <v>42</v>
      </c>
      <c r="B11" s="93" t="s">
        <v>25</v>
      </c>
      <c r="C11" s="94">
        <v>26363716808</v>
      </c>
      <c r="D11" s="94">
        <v>16803425191</v>
      </c>
      <c r="E11" s="94">
        <v>7586679446</v>
      </c>
      <c r="F11" s="94">
        <v>520530864</v>
      </c>
      <c r="G11" s="94">
        <v>27668057112</v>
      </c>
      <c r="H11" s="94">
        <v>12315682943</v>
      </c>
      <c r="I11" s="94">
        <v>534514189</v>
      </c>
      <c r="J11" s="94">
        <v>3781060113</v>
      </c>
      <c r="K11" s="94">
        <v>2913407375</v>
      </c>
      <c r="L11" s="94">
        <v>1831052838</v>
      </c>
    </row>
    <row r="12" spans="1:15">
      <c r="A12" s="140">
        <v>43</v>
      </c>
      <c r="B12" s="93" t="s">
        <v>26</v>
      </c>
      <c r="C12" s="94">
        <v>51985519707</v>
      </c>
      <c r="D12" s="94">
        <v>42986125803</v>
      </c>
      <c r="E12" s="94">
        <v>6215298240</v>
      </c>
      <c r="F12" s="94">
        <v>1129856607</v>
      </c>
      <c r="G12" s="94">
        <v>54327274552</v>
      </c>
      <c r="H12" s="94">
        <v>21029869004</v>
      </c>
      <c r="I12" s="94">
        <v>1667869433</v>
      </c>
      <c r="J12" s="94">
        <v>11055085091</v>
      </c>
      <c r="K12" s="94">
        <v>7009709038</v>
      </c>
      <c r="L12" s="94">
        <v>5649538207</v>
      </c>
    </row>
    <row r="13" spans="1:15">
      <c r="A13" s="140">
        <v>44</v>
      </c>
      <c r="B13" s="93" t="s">
        <v>27</v>
      </c>
      <c r="C13" s="94">
        <v>89455359187</v>
      </c>
      <c r="D13" s="94">
        <v>52809222802</v>
      </c>
      <c r="E13" s="94">
        <v>31561221446</v>
      </c>
      <c r="F13" s="94">
        <v>1806779158</v>
      </c>
      <c r="G13" s="94">
        <v>101360258744</v>
      </c>
      <c r="H13" s="94">
        <v>22448417671</v>
      </c>
      <c r="I13" s="94">
        <v>9371631549</v>
      </c>
      <c r="J13" s="94">
        <v>15951344251</v>
      </c>
      <c r="K13" s="94">
        <v>4327343512</v>
      </c>
      <c r="L13" s="94">
        <v>6379623537</v>
      </c>
    </row>
    <row r="14" spans="1:15">
      <c r="A14" s="140">
        <v>51</v>
      </c>
      <c r="B14" s="93" t="s">
        <v>28</v>
      </c>
      <c r="C14" s="94">
        <v>2806097071</v>
      </c>
      <c r="D14" s="94">
        <v>2549247672</v>
      </c>
      <c r="E14" s="94">
        <v>266506018</v>
      </c>
      <c r="F14" s="94">
        <v>32836470</v>
      </c>
      <c r="G14" s="94">
        <v>3871329416</v>
      </c>
      <c r="H14" s="94">
        <v>1224883668</v>
      </c>
      <c r="I14" s="94">
        <v>8021439</v>
      </c>
      <c r="J14" s="94">
        <v>232424198</v>
      </c>
      <c r="K14" s="94">
        <v>395840006</v>
      </c>
      <c r="L14" s="94">
        <v>144819909</v>
      </c>
    </row>
    <row r="15" spans="1:15">
      <c r="A15" s="140">
        <v>52</v>
      </c>
      <c r="B15" s="93" t="s">
        <v>29</v>
      </c>
      <c r="C15" s="94">
        <v>193494132</v>
      </c>
      <c r="D15" s="94">
        <v>167575716</v>
      </c>
      <c r="E15" s="94">
        <v>23895559</v>
      </c>
      <c r="F15" s="94">
        <v>6138750</v>
      </c>
      <c r="G15" s="94">
        <v>378027813</v>
      </c>
      <c r="H15" s="94">
        <v>170152924</v>
      </c>
      <c r="I15" s="94">
        <v>7530639</v>
      </c>
      <c r="J15" s="94">
        <v>19168906</v>
      </c>
      <c r="K15" s="94">
        <v>121086632</v>
      </c>
      <c r="L15" s="94">
        <v>13264751</v>
      </c>
    </row>
    <row r="16" spans="1:15">
      <c r="A16" s="140">
        <v>61</v>
      </c>
      <c r="B16" s="93" t="s">
        <v>30</v>
      </c>
      <c r="C16" s="94">
        <v>146447325529</v>
      </c>
      <c r="D16" s="94">
        <v>128205324188</v>
      </c>
      <c r="E16" s="94">
        <v>12578882012</v>
      </c>
      <c r="F16" s="94">
        <v>668167290</v>
      </c>
      <c r="G16" s="94">
        <v>111593606117</v>
      </c>
      <c r="H16" s="94">
        <v>46449288723</v>
      </c>
      <c r="I16" s="94">
        <v>1351312926</v>
      </c>
      <c r="J16" s="94">
        <v>17009404072</v>
      </c>
      <c r="K16" s="94">
        <v>12383281810</v>
      </c>
      <c r="L16" s="94">
        <v>9137668538</v>
      </c>
    </row>
    <row r="17" spans="1:12">
      <c r="A17" s="140">
        <v>62</v>
      </c>
      <c r="B17" s="93" t="s">
        <v>31</v>
      </c>
      <c r="C17" s="94">
        <v>487216191209</v>
      </c>
      <c r="D17" s="94">
        <v>421243786264</v>
      </c>
      <c r="E17" s="94">
        <v>51752555220</v>
      </c>
      <c r="F17" s="94">
        <v>8545595665</v>
      </c>
      <c r="G17" s="94">
        <v>558696084641</v>
      </c>
      <c r="H17" s="94">
        <v>194171110230</v>
      </c>
      <c r="I17" s="94">
        <v>11318099096</v>
      </c>
      <c r="J17" s="94">
        <v>120072968033</v>
      </c>
      <c r="K17" s="94">
        <v>51558308395</v>
      </c>
      <c r="L17" s="94">
        <v>51399024068</v>
      </c>
    </row>
    <row r="18" spans="1:12">
      <c r="A18" s="140">
        <v>63</v>
      </c>
      <c r="B18" s="93" t="s">
        <v>32</v>
      </c>
      <c r="C18" s="94">
        <v>133095756110</v>
      </c>
      <c r="D18" s="94">
        <v>84987338498</v>
      </c>
      <c r="E18" s="94">
        <v>40896983919</v>
      </c>
      <c r="F18" s="94">
        <v>2331095805</v>
      </c>
      <c r="G18" s="94">
        <v>137803085464</v>
      </c>
      <c r="H18" s="94">
        <v>29723631105</v>
      </c>
      <c r="I18" s="94">
        <v>11960041829</v>
      </c>
      <c r="J18" s="94">
        <v>25714665117</v>
      </c>
      <c r="K18" s="94">
        <v>5233372253</v>
      </c>
      <c r="L18" s="94">
        <v>10094352129</v>
      </c>
    </row>
    <row r="19" spans="1:12">
      <c r="A19" s="140">
        <v>71</v>
      </c>
      <c r="B19" s="93" t="s">
        <v>33</v>
      </c>
      <c r="C19" s="94">
        <v>18142972517</v>
      </c>
      <c r="D19" s="94">
        <v>16119523300</v>
      </c>
      <c r="E19" s="94">
        <v>1684794819</v>
      </c>
      <c r="F19" s="94">
        <v>249187912</v>
      </c>
      <c r="G19" s="94">
        <v>11666989824</v>
      </c>
      <c r="H19" s="94">
        <v>4501405581</v>
      </c>
      <c r="I19" s="94">
        <v>54488379</v>
      </c>
      <c r="J19" s="94">
        <v>2968633016</v>
      </c>
      <c r="K19" s="94">
        <v>1219797967</v>
      </c>
      <c r="L19" s="94">
        <v>791916979</v>
      </c>
    </row>
    <row r="20" spans="1:12">
      <c r="A20" s="140">
        <v>72</v>
      </c>
      <c r="B20" s="93" t="s">
        <v>34</v>
      </c>
      <c r="C20" s="94">
        <v>7783309012</v>
      </c>
      <c r="D20" s="94">
        <v>6400212751</v>
      </c>
      <c r="E20" s="94">
        <v>1073972129</v>
      </c>
      <c r="F20" s="94">
        <v>91109624</v>
      </c>
      <c r="G20" s="94">
        <v>5821391127</v>
      </c>
      <c r="H20" s="94">
        <v>2332499702</v>
      </c>
      <c r="I20" s="94">
        <v>27589287</v>
      </c>
      <c r="J20" s="94">
        <v>818589357</v>
      </c>
      <c r="K20" s="94">
        <v>1181676524</v>
      </c>
      <c r="L20" s="94">
        <v>433946890</v>
      </c>
    </row>
    <row r="21" spans="1:12">
      <c r="A21" s="140">
        <v>73</v>
      </c>
      <c r="B21" s="93" t="s">
        <v>35</v>
      </c>
      <c r="C21" s="94">
        <v>4075274808</v>
      </c>
      <c r="D21" s="94">
        <v>3265768571</v>
      </c>
      <c r="E21" s="94">
        <v>650134963</v>
      </c>
      <c r="F21" s="94">
        <v>85004540</v>
      </c>
      <c r="G21" s="94">
        <v>3268321206</v>
      </c>
      <c r="H21" s="94">
        <v>1439165516</v>
      </c>
      <c r="I21" s="94">
        <v>208011011</v>
      </c>
      <c r="J21" s="94">
        <v>459339441</v>
      </c>
      <c r="K21" s="94">
        <v>511922072</v>
      </c>
      <c r="L21" s="94">
        <v>233379464</v>
      </c>
    </row>
    <row r="22" spans="1:12">
      <c r="A22" s="140">
        <v>74</v>
      </c>
      <c r="B22" s="93" t="s">
        <v>36</v>
      </c>
      <c r="C22" s="94">
        <v>1974072560</v>
      </c>
      <c r="D22" s="94">
        <v>1727991443</v>
      </c>
      <c r="E22" s="94">
        <v>157704885</v>
      </c>
      <c r="F22" s="94">
        <v>22032301</v>
      </c>
      <c r="G22" s="94">
        <v>1291686801</v>
      </c>
      <c r="H22" s="94">
        <v>414640598</v>
      </c>
      <c r="I22" s="94">
        <v>9383313</v>
      </c>
      <c r="J22" s="94">
        <v>198347127</v>
      </c>
      <c r="K22" s="94">
        <v>226649366</v>
      </c>
      <c r="L22" s="94">
        <v>136056546</v>
      </c>
    </row>
    <row r="23" spans="1:12">
      <c r="A23" s="140">
        <v>75</v>
      </c>
      <c r="B23" s="93" t="s">
        <v>37</v>
      </c>
      <c r="C23" s="94">
        <v>11317427262</v>
      </c>
      <c r="D23" s="94">
        <v>7879050133</v>
      </c>
      <c r="E23" s="94">
        <v>2998166959</v>
      </c>
      <c r="F23" s="94">
        <v>118654728</v>
      </c>
      <c r="G23" s="94">
        <v>8863432869</v>
      </c>
      <c r="H23" s="94">
        <v>2834892577</v>
      </c>
      <c r="I23" s="94">
        <v>100852637</v>
      </c>
      <c r="J23" s="94">
        <v>1881066436</v>
      </c>
      <c r="K23" s="94">
        <v>984369089</v>
      </c>
      <c r="L23" s="94">
        <v>563745050</v>
      </c>
    </row>
    <row r="24" spans="1:12">
      <c r="A24" s="140">
        <v>76</v>
      </c>
      <c r="B24" s="93" t="s">
        <v>38</v>
      </c>
      <c r="C24" s="94">
        <v>8239741020</v>
      </c>
      <c r="D24" s="94">
        <v>7069500991</v>
      </c>
      <c r="E24" s="94">
        <v>883259435</v>
      </c>
      <c r="F24" s="94">
        <v>109250848</v>
      </c>
      <c r="G24" s="94">
        <v>8001615512</v>
      </c>
      <c r="H24" s="94">
        <v>2717588403</v>
      </c>
      <c r="I24" s="94">
        <v>239613101</v>
      </c>
      <c r="J24" s="94">
        <v>993968100</v>
      </c>
      <c r="K24" s="94">
        <v>1518429174</v>
      </c>
      <c r="L24" s="94">
        <v>388065425</v>
      </c>
    </row>
    <row r="25" spans="1:12">
      <c r="A25" s="140">
        <v>77</v>
      </c>
      <c r="B25" s="93" t="s">
        <v>39</v>
      </c>
      <c r="C25" s="94">
        <v>13621947274</v>
      </c>
      <c r="D25" s="94">
        <v>11761880410</v>
      </c>
      <c r="E25" s="94">
        <v>1325503926</v>
      </c>
      <c r="F25" s="94">
        <v>64878577</v>
      </c>
      <c r="G25" s="94">
        <v>10398506430</v>
      </c>
      <c r="H25" s="94">
        <v>2356781102</v>
      </c>
      <c r="I25" s="94">
        <v>49313210</v>
      </c>
      <c r="J25" s="94">
        <v>1749138761</v>
      </c>
      <c r="K25" s="94">
        <v>1713007023</v>
      </c>
      <c r="L25" s="94">
        <v>914747754</v>
      </c>
    </row>
    <row r="26" spans="1:12">
      <c r="A26" s="140">
        <v>79</v>
      </c>
      <c r="B26" s="93" t="s">
        <v>40</v>
      </c>
      <c r="C26" s="94">
        <v>52254700863</v>
      </c>
      <c r="D26" s="94">
        <v>37711920581</v>
      </c>
      <c r="E26" s="94">
        <v>11465429432</v>
      </c>
      <c r="F26" s="94">
        <v>849315465</v>
      </c>
      <c r="G26" s="94">
        <v>57653721327</v>
      </c>
      <c r="H26" s="94">
        <v>21064740286</v>
      </c>
      <c r="I26" s="94">
        <v>738198456</v>
      </c>
      <c r="J26" s="94">
        <v>6388076266</v>
      </c>
      <c r="K26" s="94">
        <v>8806231204</v>
      </c>
      <c r="L26" s="94">
        <v>3920574296</v>
      </c>
    </row>
    <row r="27" spans="1:12">
      <c r="A27" s="140">
        <v>81</v>
      </c>
      <c r="B27" s="93" t="s">
        <v>41</v>
      </c>
      <c r="C27" s="94">
        <v>7337056235</v>
      </c>
      <c r="D27" s="94">
        <v>3685151587</v>
      </c>
      <c r="E27" s="94">
        <v>2436969717</v>
      </c>
      <c r="F27" s="94">
        <v>72526075</v>
      </c>
      <c r="G27" s="94">
        <v>13916498647</v>
      </c>
      <c r="H27" s="94">
        <v>4726216050</v>
      </c>
      <c r="I27" s="94">
        <v>3155343320</v>
      </c>
      <c r="J27" s="94">
        <v>1601476879</v>
      </c>
      <c r="K27" s="94">
        <v>649788421</v>
      </c>
      <c r="L27" s="94">
        <v>385381231</v>
      </c>
    </row>
    <row r="28" spans="1:12">
      <c r="A28" s="140">
        <v>82</v>
      </c>
      <c r="B28" s="93" t="s">
        <v>42</v>
      </c>
      <c r="C28" s="94">
        <v>9582235012</v>
      </c>
      <c r="D28" s="94">
        <v>5899959687</v>
      </c>
      <c r="E28" s="94">
        <v>3104321788</v>
      </c>
      <c r="F28" s="94">
        <v>262658382</v>
      </c>
      <c r="G28" s="94">
        <v>12790691992</v>
      </c>
      <c r="H28" s="94">
        <v>5976671597</v>
      </c>
      <c r="I28" s="94">
        <v>617236304</v>
      </c>
      <c r="J28" s="94">
        <v>1005402624</v>
      </c>
      <c r="K28" s="94">
        <v>1001140998</v>
      </c>
      <c r="L28" s="94">
        <v>646073939</v>
      </c>
    </row>
    <row r="29" spans="1:12">
      <c r="A29" s="140">
        <v>91</v>
      </c>
      <c r="B29" s="93" t="s">
        <v>43</v>
      </c>
      <c r="C29" s="94">
        <v>137931646419</v>
      </c>
      <c r="D29" s="94">
        <v>114089931004</v>
      </c>
      <c r="E29" s="94">
        <v>16505870874</v>
      </c>
      <c r="F29" s="94">
        <v>3185249416</v>
      </c>
      <c r="G29" s="94">
        <v>142270456599</v>
      </c>
      <c r="H29" s="94">
        <v>59905480095</v>
      </c>
      <c r="I29" s="94">
        <v>2378628741</v>
      </c>
      <c r="J29" s="94">
        <v>25740023314</v>
      </c>
      <c r="K29" s="94">
        <v>14229860932</v>
      </c>
      <c r="L29" s="94">
        <v>13284950254</v>
      </c>
    </row>
    <row r="30" spans="1:12">
      <c r="A30" s="140">
        <v>92</v>
      </c>
      <c r="B30" s="93" t="s">
        <v>44</v>
      </c>
      <c r="C30" s="94">
        <v>93229227402</v>
      </c>
      <c r="D30" s="94">
        <v>54355761818</v>
      </c>
      <c r="E30" s="94">
        <v>33542606321</v>
      </c>
      <c r="F30" s="94">
        <v>1971598174</v>
      </c>
      <c r="G30" s="94">
        <v>104884398397</v>
      </c>
      <c r="H30" s="94">
        <v>24629362172</v>
      </c>
      <c r="I30" s="94">
        <v>9539445756</v>
      </c>
      <c r="J30" s="94">
        <v>16397187184</v>
      </c>
      <c r="K30" s="94">
        <v>3997889411</v>
      </c>
      <c r="L30" s="94">
        <v>6428243070</v>
      </c>
    </row>
    <row r="31" spans="1:12">
      <c r="A31" s="140">
        <v>111</v>
      </c>
      <c r="B31" s="93" t="s">
        <v>45</v>
      </c>
      <c r="C31" s="94">
        <v>120576314</v>
      </c>
      <c r="D31" s="94">
        <v>103493691</v>
      </c>
      <c r="E31" s="94">
        <v>11703896</v>
      </c>
      <c r="F31" s="94">
        <v>2193347</v>
      </c>
      <c r="G31" s="94">
        <v>226636856</v>
      </c>
      <c r="H31" s="94">
        <v>143568939</v>
      </c>
      <c r="I31" s="94">
        <v>698806</v>
      </c>
      <c r="J31" s="94">
        <v>6873446</v>
      </c>
      <c r="K31" s="94">
        <v>37189238</v>
      </c>
      <c r="L31" s="94">
        <v>4792644</v>
      </c>
    </row>
    <row r="32" spans="1:12">
      <c r="A32" s="140">
        <v>112</v>
      </c>
      <c r="B32" s="93" t="s">
        <v>46</v>
      </c>
      <c r="C32" s="94">
        <v>106928557</v>
      </c>
      <c r="D32" s="94">
        <v>75318570</v>
      </c>
      <c r="E32" s="94">
        <v>26700397</v>
      </c>
      <c r="F32" s="94">
        <v>3689893</v>
      </c>
      <c r="G32" s="94">
        <v>143515356</v>
      </c>
      <c r="H32" s="94">
        <v>91973699</v>
      </c>
      <c r="I32" s="94">
        <v>2006264</v>
      </c>
      <c r="J32" s="94">
        <v>7668932</v>
      </c>
      <c r="K32" s="94">
        <v>13291747</v>
      </c>
      <c r="L32" s="94">
        <v>7014563</v>
      </c>
    </row>
    <row r="33" spans="1:12">
      <c r="A33" s="140">
        <v>113</v>
      </c>
      <c r="B33" s="93" t="s">
        <v>47</v>
      </c>
      <c r="C33" s="94">
        <v>73725989</v>
      </c>
      <c r="D33" s="94">
        <v>58971438</v>
      </c>
      <c r="E33" s="94">
        <v>10329691</v>
      </c>
      <c r="F33" s="94">
        <v>1899115</v>
      </c>
      <c r="G33" s="94">
        <v>223582201</v>
      </c>
      <c r="H33" s="94">
        <v>179071902</v>
      </c>
      <c r="I33" s="94">
        <v>528512</v>
      </c>
      <c r="J33" s="94">
        <v>11165116</v>
      </c>
      <c r="K33" s="94">
        <v>11676479</v>
      </c>
      <c r="L33" s="94">
        <v>1995161</v>
      </c>
    </row>
    <row r="34" spans="1:12">
      <c r="A34" s="140">
        <v>114</v>
      </c>
      <c r="B34" s="93" t="s">
        <v>48</v>
      </c>
      <c r="C34" s="94">
        <v>201288195</v>
      </c>
      <c r="D34" s="94">
        <v>107352695</v>
      </c>
      <c r="E34" s="94">
        <v>65479316</v>
      </c>
      <c r="F34" s="94">
        <v>3095369</v>
      </c>
      <c r="G34" s="94">
        <v>383815397</v>
      </c>
      <c r="H34" s="94">
        <v>114515048</v>
      </c>
      <c r="I34" s="94">
        <v>3803029</v>
      </c>
      <c r="J34" s="94">
        <v>66013158</v>
      </c>
      <c r="K34" s="94">
        <v>79629264</v>
      </c>
      <c r="L34" s="94">
        <v>11641743</v>
      </c>
    </row>
    <row r="35" spans="1:12">
      <c r="A35" s="140">
        <v>115</v>
      </c>
      <c r="B35" s="93" t="s">
        <v>49</v>
      </c>
      <c r="C35" s="94">
        <v>661152200</v>
      </c>
      <c r="D35" s="94">
        <v>530417191</v>
      </c>
      <c r="E35" s="94">
        <v>101213872</v>
      </c>
      <c r="F35" s="94">
        <v>13544778</v>
      </c>
      <c r="G35" s="94">
        <v>916454337</v>
      </c>
      <c r="H35" s="94">
        <v>559751860</v>
      </c>
      <c r="I35" s="94">
        <v>16104552</v>
      </c>
      <c r="J35" s="94">
        <v>70240168</v>
      </c>
      <c r="K35" s="94">
        <v>109186362</v>
      </c>
      <c r="L35" s="94">
        <v>35654415</v>
      </c>
    </row>
    <row r="36" spans="1:12">
      <c r="A36" s="140">
        <v>119</v>
      </c>
      <c r="B36" s="93" t="s">
        <v>50</v>
      </c>
      <c r="C36" s="94">
        <v>59646270</v>
      </c>
      <c r="D36" s="94">
        <v>46916945</v>
      </c>
      <c r="E36" s="94">
        <v>11357264</v>
      </c>
      <c r="F36" s="94">
        <v>1372309</v>
      </c>
      <c r="G36" s="94">
        <v>96253363</v>
      </c>
      <c r="H36" s="94">
        <v>54961341</v>
      </c>
      <c r="I36" s="94">
        <v>1127778</v>
      </c>
      <c r="J36" s="94">
        <v>6848688</v>
      </c>
      <c r="K36" s="94">
        <v>15856048</v>
      </c>
      <c r="L36" s="94">
        <v>2064643</v>
      </c>
    </row>
    <row r="37" spans="1:12">
      <c r="A37" s="140">
        <v>121</v>
      </c>
      <c r="B37" s="93" t="s">
        <v>51</v>
      </c>
      <c r="C37" s="94">
        <v>141105114</v>
      </c>
      <c r="D37" s="94">
        <v>124268482</v>
      </c>
      <c r="E37" s="94">
        <v>9081252</v>
      </c>
      <c r="F37" s="94">
        <v>1497174</v>
      </c>
      <c r="G37" s="94">
        <v>216353828</v>
      </c>
      <c r="H37" s="94">
        <v>79338167</v>
      </c>
      <c r="I37" s="94">
        <v>54900</v>
      </c>
      <c r="J37" s="94">
        <v>5237920</v>
      </c>
      <c r="K37" s="94">
        <v>96064767</v>
      </c>
      <c r="L37" s="94">
        <v>10801189</v>
      </c>
    </row>
    <row r="38" spans="1:12">
      <c r="A38" s="140">
        <v>122</v>
      </c>
      <c r="B38" s="93" t="s">
        <v>3</v>
      </c>
      <c r="C38" s="94">
        <v>1603462698</v>
      </c>
      <c r="D38" s="94">
        <v>1322289003</v>
      </c>
      <c r="E38" s="94">
        <v>80121176</v>
      </c>
      <c r="F38" s="94">
        <v>56623498</v>
      </c>
      <c r="G38" s="94">
        <v>1663304723</v>
      </c>
      <c r="H38" s="94">
        <v>904253942</v>
      </c>
      <c r="I38" s="94">
        <v>1460370</v>
      </c>
      <c r="J38" s="94">
        <v>90862711</v>
      </c>
      <c r="K38" s="94">
        <v>351129517</v>
      </c>
      <c r="L38" s="94">
        <v>150332209</v>
      </c>
    </row>
    <row r="39" spans="1:12">
      <c r="A39" s="140">
        <v>123</v>
      </c>
      <c r="B39" s="93" t="s">
        <v>52</v>
      </c>
      <c r="C39" s="94">
        <v>1596115931</v>
      </c>
      <c r="D39" s="94">
        <v>1379631058</v>
      </c>
      <c r="E39" s="94">
        <v>121285104</v>
      </c>
      <c r="F39" s="94">
        <v>55084105</v>
      </c>
      <c r="G39" s="94">
        <v>1379125474</v>
      </c>
      <c r="H39" s="94">
        <v>817547714</v>
      </c>
      <c r="I39" s="94">
        <v>10881072</v>
      </c>
      <c r="J39" s="94">
        <v>183048978</v>
      </c>
      <c r="K39" s="94">
        <v>109321955</v>
      </c>
      <c r="L39" s="94">
        <v>153443678</v>
      </c>
    </row>
    <row r="40" spans="1:12">
      <c r="A40" s="140">
        <v>124</v>
      </c>
      <c r="B40" s="93" t="s">
        <v>53</v>
      </c>
      <c r="C40" s="94">
        <v>348254409</v>
      </c>
      <c r="D40" s="94">
        <v>294907630</v>
      </c>
      <c r="E40" s="94">
        <v>31341683</v>
      </c>
      <c r="F40" s="94">
        <v>11069757</v>
      </c>
      <c r="G40" s="94">
        <v>592758278</v>
      </c>
      <c r="H40" s="94">
        <v>334904842</v>
      </c>
      <c r="I40" s="94">
        <v>2016842</v>
      </c>
      <c r="J40" s="94">
        <v>23817224</v>
      </c>
      <c r="K40" s="94">
        <v>76036168</v>
      </c>
      <c r="L40" s="94">
        <v>45057460</v>
      </c>
    </row>
    <row r="41" spans="1:12">
      <c r="A41" s="140">
        <v>129</v>
      </c>
      <c r="B41" s="93" t="s">
        <v>54</v>
      </c>
      <c r="C41" s="94">
        <v>353242082</v>
      </c>
      <c r="D41" s="94">
        <v>297695758</v>
      </c>
      <c r="E41" s="94">
        <v>33396844</v>
      </c>
      <c r="F41" s="94">
        <v>11485989</v>
      </c>
      <c r="G41" s="94">
        <v>608842216</v>
      </c>
      <c r="H41" s="94">
        <v>346207499</v>
      </c>
      <c r="I41" s="94">
        <v>2017766</v>
      </c>
      <c r="J41" s="94">
        <v>24461205</v>
      </c>
      <c r="K41" s="94">
        <v>77722219</v>
      </c>
      <c r="L41" s="94">
        <v>45153476</v>
      </c>
    </row>
    <row r="42" spans="1:12">
      <c r="A42" s="140">
        <v>211</v>
      </c>
      <c r="B42" s="93" t="s">
        <v>55</v>
      </c>
      <c r="C42" s="94">
        <v>5155801379</v>
      </c>
      <c r="D42" s="94">
        <v>4723786174</v>
      </c>
      <c r="E42" s="94">
        <v>345782224</v>
      </c>
      <c r="F42" s="94">
        <v>69098652</v>
      </c>
      <c r="G42" s="94">
        <v>9462703325</v>
      </c>
      <c r="H42" s="94">
        <v>3582693952</v>
      </c>
      <c r="I42" s="94">
        <v>22680603</v>
      </c>
      <c r="J42" s="94">
        <v>932136790</v>
      </c>
      <c r="K42" s="94">
        <v>917156213</v>
      </c>
      <c r="L42" s="94">
        <v>293345336</v>
      </c>
    </row>
    <row r="43" spans="1:12">
      <c r="A43" s="140">
        <v>212</v>
      </c>
      <c r="B43" s="93" t="s">
        <v>56</v>
      </c>
      <c r="C43" s="94">
        <v>4693075250</v>
      </c>
      <c r="D43" s="94">
        <v>2117087448</v>
      </c>
      <c r="E43" s="94">
        <v>1111510904</v>
      </c>
      <c r="F43" s="94">
        <v>113168490</v>
      </c>
      <c r="G43" s="94">
        <v>8287837840</v>
      </c>
      <c r="H43" s="94">
        <v>2101884275</v>
      </c>
      <c r="I43" s="94">
        <v>20407162</v>
      </c>
      <c r="J43" s="94">
        <v>1069235829</v>
      </c>
      <c r="K43" s="94">
        <v>1192405642</v>
      </c>
      <c r="L43" s="94">
        <v>148909033</v>
      </c>
    </row>
    <row r="44" spans="1:12">
      <c r="A44" s="140">
        <v>213</v>
      </c>
      <c r="B44" s="93" t="s">
        <v>57</v>
      </c>
      <c r="C44" s="94">
        <v>2717250547</v>
      </c>
      <c r="D44" s="94">
        <v>2383656808</v>
      </c>
      <c r="E44" s="94">
        <v>328753332</v>
      </c>
      <c r="F44" s="94">
        <v>20163151</v>
      </c>
      <c r="G44" s="94">
        <v>2865611014</v>
      </c>
      <c r="H44" s="94">
        <v>728219642</v>
      </c>
      <c r="I44" s="94">
        <v>6255036</v>
      </c>
      <c r="J44" s="94">
        <v>487657684</v>
      </c>
      <c r="K44" s="94">
        <v>804746705</v>
      </c>
      <c r="L44" s="94">
        <v>150166601</v>
      </c>
    </row>
    <row r="45" spans="1:12">
      <c r="A45" s="140">
        <v>214</v>
      </c>
      <c r="B45" s="93" t="s">
        <v>58</v>
      </c>
      <c r="C45" s="94">
        <v>28537207484</v>
      </c>
      <c r="D45" s="94">
        <v>17018122365</v>
      </c>
      <c r="E45" s="94">
        <v>9379529976</v>
      </c>
      <c r="F45" s="94">
        <v>453923830</v>
      </c>
      <c r="G45" s="94">
        <v>44956421561</v>
      </c>
      <c r="H45" s="94">
        <v>14778337741</v>
      </c>
      <c r="I45" s="94">
        <v>2547689681</v>
      </c>
      <c r="J45" s="94">
        <v>8538051985</v>
      </c>
      <c r="K45" s="94">
        <v>5538044840</v>
      </c>
      <c r="L45" s="94">
        <v>2449803739</v>
      </c>
    </row>
    <row r="46" spans="1:12">
      <c r="A46" s="140">
        <v>215</v>
      </c>
      <c r="B46" s="93" t="s">
        <v>59</v>
      </c>
      <c r="C46" s="94">
        <v>25402746298</v>
      </c>
      <c r="D46" s="94">
        <v>13250139136</v>
      </c>
      <c r="E46" s="94">
        <v>9547133298</v>
      </c>
      <c r="F46" s="94">
        <v>428402604</v>
      </c>
      <c r="G46" s="94">
        <v>23697728290</v>
      </c>
      <c r="H46" s="94">
        <v>7725993967</v>
      </c>
      <c r="I46" s="94">
        <v>571001941</v>
      </c>
      <c r="J46" s="94">
        <v>3263500178</v>
      </c>
      <c r="K46" s="94">
        <v>2451900265</v>
      </c>
      <c r="L46" s="94">
        <v>1908091637</v>
      </c>
    </row>
    <row r="47" spans="1:12">
      <c r="A47" s="140">
        <v>219</v>
      </c>
      <c r="B47" s="93" t="s">
        <v>60</v>
      </c>
      <c r="C47" s="94">
        <v>18829756525</v>
      </c>
      <c r="D47" s="94">
        <v>15478968105</v>
      </c>
      <c r="E47" s="94">
        <v>1935877183</v>
      </c>
      <c r="F47" s="94">
        <v>270728430</v>
      </c>
      <c r="G47" s="94">
        <v>18261093442</v>
      </c>
      <c r="H47" s="94">
        <v>8149483090</v>
      </c>
      <c r="I47" s="94">
        <v>585985805</v>
      </c>
      <c r="J47" s="94">
        <v>3190915797</v>
      </c>
      <c r="K47" s="94">
        <v>1887550929</v>
      </c>
      <c r="L47" s="94">
        <v>1489800682</v>
      </c>
    </row>
    <row r="48" spans="1:12">
      <c r="A48" s="140">
        <v>221</v>
      </c>
      <c r="B48" s="93" t="s">
        <v>61</v>
      </c>
      <c r="C48" s="94">
        <v>9289776061</v>
      </c>
      <c r="D48" s="94">
        <v>8210506025</v>
      </c>
      <c r="E48" s="94">
        <v>1108076921</v>
      </c>
      <c r="F48" s="94">
        <v>63989580</v>
      </c>
      <c r="G48" s="94">
        <v>16048467961</v>
      </c>
      <c r="H48" s="94">
        <v>7482438227</v>
      </c>
      <c r="I48" s="94">
        <v>72572719</v>
      </c>
      <c r="J48" s="94">
        <v>1710517428</v>
      </c>
      <c r="K48" s="94">
        <v>1692986828</v>
      </c>
      <c r="L48" s="94">
        <v>498789018</v>
      </c>
    </row>
    <row r="49" spans="1:12">
      <c r="A49" s="140">
        <v>222</v>
      </c>
      <c r="B49" s="93" t="s">
        <v>62</v>
      </c>
      <c r="C49" s="94">
        <v>2564450948</v>
      </c>
      <c r="D49" s="94">
        <v>1869905531</v>
      </c>
      <c r="E49" s="94">
        <v>565946988</v>
      </c>
      <c r="F49" s="94">
        <v>21505985</v>
      </c>
      <c r="G49" s="94">
        <v>4301652785</v>
      </c>
      <c r="H49" s="94">
        <v>1486272645</v>
      </c>
      <c r="I49" s="94">
        <v>245824302</v>
      </c>
      <c r="J49" s="94">
        <v>346267362</v>
      </c>
      <c r="K49" s="94">
        <v>1050495115</v>
      </c>
      <c r="L49" s="94">
        <v>413810521</v>
      </c>
    </row>
    <row r="50" spans="1:12">
      <c r="A50" s="140">
        <v>223</v>
      </c>
      <c r="B50" s="93" t="s">
        <v>63</v>
      </c>
      <c r="C50" s="94">
        <v>55955551748</v>
      </c>
      <c r="D50" s="94">
        <v>47688013252</v>
      </c>
      <c r="E50" s="94">
        <v>5544272870</v>
      </c>
      <c r="F50" s="94">
        <v>1339028581</v>
      </c>
      <c r="G50" s="94">
        <v>50155302992</v>
      </c>
      <c r="H50" s="94">
        <v>21754395791</v>
      </c>
      <c r="I50" s="94">
        <v>577690475</v>
      </c>
      <c r="J50" s="94">
        <v>9832410457</v>
      </c>
      <c r="K50" s="94">
        <v>4737827101</v>
      </c>
      <c r="L50" s="94">
        <v>4963349257</v>
      </c>
    </row>
    <row r="51" spans="1:12">
      <c r="A51" s="140">
        <v>224</v>
      </c>
      <c r="B51" s="93" t="s">
        <v>64</v>
      </c>
      <c r="C51" s="94">
        <v>77192223901</v>
      </c>
      <c r="D51" s="94">
        <v>65744066700</v>
      </c>
      <c r="E51" s="94">
        <v>7495084713</v>
      </c>
      <c r="F51" s="94">
        <v>1927458400</v>
      </c>
      <c r="G51" s="94">
        <v>77661139878</v>
      </c>
      <c r="H51" s="94">
        <v>34931295862</v>
      </c>
      <c r="I51" s="94">
        <v>818896511</v>
      </c>
      <c r="J51" s="94">
        <v>15083683099</v>
      </c>
      <c r="K51" s="94">
        <v>8152157911</v>
      </c>
      <c r="L51" s="94">
        <v>7762795289</v>
      </c>
    </row>
    <row r="52" spans="1:12">
      <c r="A52" s="140">
        <v>225</v>
      </c>
      <c r="B52" s="93" t="s">
        <v>65</v>
      </c>
      <c r="C52" s="94">
        <v>3962688639</v>
      </c>
      <c r="D52" s="94">
        <v>3189797167</v>
      </c>
      <c r="E52" s="94">
        <v>626547977</v>
      </c>
      <c r="F52" s="94">
        <v>86148606</v>
      </c>
      <c r="G52" s="94">
        <v>4308451263</v>
      </c>
      <c r="H52" s="94">
        <v>1524526786</v>
      </c>
      <c r="I52" s="94">
        <v>73399239</v>
      </c>
      <c r="J52" s="94">
        <v>1218744480</v>
      </c>
      <c r="K52" s="94">
        <v>751100356</v>
      </c>
      <c r="L52" s="94">
        <v>640938713</v>
      </c>
    </row>
    <row r="53" spans="1:12">
      <c r="A53" s="140">
        <v>226</v>
      </c>
      <c r="B53" s="93" t="s">
        <v>66</v>
      </c>
      <c r="C53" s="94">
        <v>13169568635</v>
      </c>
      <c r="D53" s="94">
        <v>9910539060</v>
      </c>
      <c r="E53" s="94">
        <v>2293012939</v>
      </c>
      <c r="F53" s="94">
        <v>297611999</v>
      </c>
      <c r="G53" s="94">
        <v>14263327932</v>
      </c>
      <c r="H53" s="94">
        <v>4127676770</v>
      </c>
      <c r="I53" s="94">
        <v>569108321</v>
      </c>
      <c r="J53" s="94">
        <v>3166995288</v>
      </c>
      <c r="K53" s="94">
        <v>1525306920</v>
      </c>
      <c r="L53" s="94">
        <v>1415865176</v>
      </c>
    </row>
    <row r="54" spans="1:12">
      <c r="A54" s="140">
        <v>227</v>
      </c>
      <c r="B54" s="93" t="s">
        <v>67</v>
      </c>
      <c r="C54" s="94">
        <v>28537207484</v>
      </c>
      <c r="D54" s="94">
        <v>17018122365</v>
      </c>
      <c r="E54" s="94">
        <v>9379529976</v>
      </c>
      <c r="F54" s="94">
        <v>453923830</v>
      </c>
      <c r="G54" s="94">
        <v>44956421561</v>
      </c>
      <c r="H54" s="94">
        <v>14778337741</v>
      </c>
      <c r="I54" s="94">
        <v>2547689681</v>
      </c>
      <c r="J54" s="94">
        <v>8538051985</v>
      </c>
      <c r="K54" s="94">
        <v>5538044840</v>
      </c>
      <c r="L54" s="94">
        <v>2449803739</v>
      </c>
    </row>
    <row r="55" spans="1:12">
      <c r="A55" s="140">
        <v>229</v>
      </c>
      <c r="B55" s="93" t="s">
        <v>68</v>
      </c>
      <c r="C55" s="94">
        <v>2524836694</v>
      </c>
      <c r="D55" s="94">
        <v>2079980894</v>
      </c>
      <c r="E55" s="94">
        <v>317132417</v>
      </c>
      <c r="F55" s="94">
        <v>38216653</v>
      </c>
      <c r="G55" s="94">
        <v>2272418111</v>
      </c>
      <c r="H55" s="94">
        <v>746520163</v>
      </c>
      <c r="I55" s="94">
        <v>27559802</v>
      </c>
      <c r="J55" s="94">
        <v>562011484</v>
      </c>
      <c r="K55" s="94">
        <v>278644555</v>
      </c>
      <c r="L55" s="94">
        <v>300819963</v>
      </c>
    </row>
    <row r="56" spans="1:12">
      <c r="A56" s="140">
        <v>231</v>
      </c>
      <c r="B56" s="93" t="s">
        <v>69</v>
      </c>
      <c r="C56" s="94">
        <v>171378785</v>
      </c>
      <c r="D56" s="94">
        <v>137178422</v>
      </c>
      <c r="E56" s="94">
        <v>34339934</v>
      </c>
      <c r="F56" s="94">
        <v>3587651</v>
      </c>
      <c r="G56" s="94">
        <v>404524462</v>
      </c>
      <c r="H56" s="94">
        <v>78589794</v>
      </c>
      <c r="I56" s="94">
        <v>1213088</v>
      </c>
      <c r="J56" s="94">
        <v>160392449</v>
      </c>
      <c r="K56" s="94">
        <v>20609226</v>
      </c>
      <c r="L56" s="94">
        <v>5744807</v>
      </c>
    </row>
    <row r="57" spans="1:12">
      <c r="A57" s="140">
        <v>232</v>
      </c>
      <c r="B57" s="93" t="s">
        <v>70</v>
      </c>
      <c r="C57" s="94">
        <v>30254439</v>
      </c>
      <c r="D57" s="94">
        <v>6972487</v>
      </c>
      <c r="E57" s="94">
        <v>25494649</v>
      </c>
      <c r="F57" s="94">
        <v>2253410</v>
      </c>
      <c r="G57" s="94">
        <v>24195292</v>
      </c>
      <c r="H57" s="94">
        <v>13462844</v>
      </c>
      <c r="I57" s="94">
        <v>130348</v>
      </c>
      <c r="J57" s="94">
        <v>772292</v>
      </c>
      <c r="K57" s="94">
        <v>1553475</v>
      </c>
      <c r="L57" s="94">
        <v>669422</v>
      </c>
    </row>
    <row r="58" spans="1:12">
      <c r="A58" s="140">
        <v>233</v>
      </c>
      <c r="B58" s="93" t="s">
        <v>71</v>
      </c>
      <c r="C58" s="94">
        <v>16164138</v>
      </c>
      <c r="D58" s="94">
        <v>1538155</v>
      </c>
      <c r="E58" s="94">
        <v>14308537</v>
      </c>
      <c r="F58" s="94">
        <v>1575308</v>
      </c>
      <c r="G58" s="94">
        <v>33227203</v>
      </c>
      <c r="H58" s="94">
        <v>20993238</v>
      </c>
      <c r="I58" s="94">
        <v>1815028</v>
      </c>
      <c r="J58" s="94">
        <v>1059166</v>
      </c>
      <c r="K58" s="94">
        <v>158364</v>
      </c>
      <c r="L58" s="94">
        <v>20887</v>
      </c>
    </row>
    <row r="59" spans="1:12">
      <c r="A59" s="140">
        <v>234</v>
      </c>
      <c r="B59" s="93" t="s">
        <v>72</v>
      </c>
      <c r="C59" s="94">
        <v>70197659097</v>
      </c>
      <c r="D59" s="94">
        <v>38802486507</v>
      </c>
      <c r="E59" s="94">
        <v>26991157560</v>
      </c>
      <c r="F59" s="94">
        <v>1241845321</v>
      </c>
      <c r="G59" s="94">
        <v>76341655293</v>
      </c>
      <c r="H59" s="94">
        <v>12483415967</v>
      </c>
      <c r="I59" s="94">
        <v>7557531329</v>
      </c>
      <c r="J59" s="94">
        <v>13908655120</v>
      </c>
      <c r="K59" s="94">
        <v>2637644431</v>
      </c>
      <c r="L59" s="94">
        <v>5793106674</v>
      </c>
    </row>
    <row r="60" spans="1:12">
      <c r="A60" s="140">
        <v>235</v>
      </c>
      <c r="B60" s="93" t="s">
        <v>73</v>
      </c>
      <c r="C60" s="94">
        <v>14477284778</v>
      </c>
      <c r="D60" s="94">
        <v>10733733997</v>
      </c>
      <c r="E60" s="94">
        <v>2954040631</v>
      </c>
      <c r="F60" s="94">
        <v>466446060</v>
      </c>
      <c r="G60" s="94">
        <v>16966630342</v>
      </c>
      <c r="H60" s="94">
        <v>7915629902</v>
      </c>
      <c r="I60" s="94">
        <v>862679708</v>
      </c>
      <c r="J60" s="94">
        <v>1444986180</v>
      </c>
      <c r="K60" s="94">
        <v>1086590030</v>
      </c>
      <c r="L60" s="94">
        <v>422081288</v>
      </c>
    </row>
    <row r="61" spans="1:12">
      <c r="A61" s="140">
        <v>236</v>
      </c>
      <c r="B61" s="93" t="s">
        <v>74</v>
      </c>
      <c r="C61" s="94">
        <v>3275009817</v>
      </c>
      <c r="D61" s="94">
        <v>1236939402</v>
      </c>
      <c r="E61" s="94">
        <v>1699663330</v>
      </c>
      <c r="F61" s="94">
        <v>161194616</v>
      </c>
      <c r="G61" s="94">
        <v>3279405728</v>
      </c>
      <c r="H61" s="94">
        <v>1353095235</v>
      </c>
      <c r="I61" s="94">
        <v>98521410</v>
      </c>
      <c r="J61" s="94">
        <v>515820697</v>
      </c>
      <c r="K61" s="94">
        <v>27109285</v>
      </c>
      <c r="L61" s="94">
        <v>49973946</v>
      </c>
    </row>
    <row r="62" spans="1:12">
      <c r="A62" s="140">
        <v>237</v>
      </c>
      <c r="B62" s="93" t="s">
        <v>75</v>
      </c>
      <c r="C62" s="94">
        <v>23909433520</v>
      </c>
      <c r="D62" s="94">
        <v>17234599843</v>
      </c>
      <c r="E62" s="94">
        <v>5274251882</v>
      </c>
      <c r="F62" s="94">
        <v>249474997</v>
      </c>
      <c r="G62" s="94">
        <v>23237948501</v>
      </c>
      <c r="H62" s="94">
        <v>3358060034</v>
      </c>
      <c r="I62" s="94">
        <v>2124078312</v>
      </c>
      <c r="J62" s="94">
        <v>6823324919</v>
      </c>
      <c r="K62" s="94">
        <v>626982317</v>
      </c>
      <c r="L62" s="94">
        <v>2648050423</v>
      </c>
    </row>
    <row r="63" spans="1:12">
      <c r="A63" s="140">
        <v>239</v>
      </c>
      <c r="B63" s="93" t="s">
        <v>76</v>
      </c>
      <c r="C63" s="94">
        <v>8192058851</v>
      </c>
      <c r="D63" s="94">
        <v>4763860391</v>
      </c>
      <c r="E63" s="94">
        <v>3156003416</v>
      </c>
      <c r="F63" s="94">
        <v>156604374</v>
      </c>
      <c r="G63" s="94">
        <v>20841104912</v>
      </c>
      <c r="H63" s="94">
        <v>5408386551</v>
      </c>
      <c r="I63" s="94">
        <v>471322333</v>
      </c>
      <c r="J63" s="94">
        <v>1729753075</v>
      </c>
      <c r="K63" s="94">
        <v>956380367</v>
      </c>
      <c r="L63" s="94">
        <v>368647408</v>
      </c>
    </row>
    <row r="64" spans="1:12">
      <c r="A64" s="140">
        <v>311</v>
      </c>
      <c r="B64" s="93" t="s">
        <v>4</v>
      </c>
      <c r="C64" s="94">
        <v>38511982</v>
      </c>
      <c r="D64" s="94">
        <v>18748977</v>
      </c>
      <c r="E64" s="94">
        <v>16220038</v>
      </c>
      <c r="F64" s="94">
        <v>1860243</v>
      </c>
      <c r="G64" s="94">
        <v>154632073</v>
      </c>
      <c r="H64" s="94">
        <v>115541368</v>
      </c>
      <c r="I64" s="94">
        <v>693354</v>
      </c>
      <c r="J64" s="94">
        <v>1530445</v>
      </c>
      <c r="K64" s="94">
        <v>7692468</v>
      </c>
      <c r="L64" s="94">
        <v>1893774</v>
      </c>
    </row>
    <row r="65" spans="1:12">
      <c r="A65" s="140">
        <v>312</v>
      </c>
      <c r="B65" s="93" t="s">
        <v>77</v>
      </c>
      <c r="C65" s="94">
        <v>7037379</v>
      </c>
      <c r="D65" s="94">
        <v>4753254</v>
      </c>
      <c r="E65" s="94">
        <v>1914470</v>
      </c>
      <c r="F65" s="94">
        <v>143588</v>
      </c>
      <c r="G65" s="94">
        <v>3137178</v>
      </c>
      <c r="H65" s="94">
        <v>856413</v>
      </c>
      <c r="I65" s="94">
        <v>0</v>
      </c>
      <c r="J65" s="94">
        <v>1088964</v>
      </c>
      <c r="K65" s="94">
        <v>135220</v>
      </c>
      <c r="L65" s="94">
        <v>121657</v>
      </c>
    </row>
    <row r="66" spans="1:12">
      <c r="A66" s="140">
        <v>390</v>
      </c>
      <c r="B66" s="93" t="s">
        <v>23</v>
      </c>
      <c r="C66" s="94">
        <v>5099116</v>
      </c>
      <c r="D66" s="94">
        <v>4871179</v>
      </c>
      <c r="E66" s="94">
        <v>231090</v>
      </c>
      <c r="F66" s="94">
        <v>182510</v>
      </c>
      <c r="G66" s="94">
        <v>4047493</v>
      </c>
      <c r="H66" s="94">
        <v>2262444</v>
      </c>
      <c r="I66" s="94">
        <v>2500</v>
      </c>
      <c r="J66" s="94">
        <v>1095590</v>
      </c>
      <c r="K66" s="94">
        <v>131757</v>
      </c>
      <c r="L66" s="94">
        <v>100694</v>
      </c>
    </row>
    <row r="67" spans="1:12">
      <c r="A67" s="140">
        <v>411</v>
      </c>
      <c r="B67" s="93" t="s">
        <v>78</v>
      </c>
      <c r="C67" s="94">
        <v>1652616547</v>
      </c>
      <c r="D67" s="94">
        <v>1422459022</v>
      </c>
      <c r="E67" s="94">
        <v>159238802</v>
      </c>
      <c r="F67" s="94">
        <v>23835717</v>
      </c>
      <c r="G67" s="94">
        <v>1606243679</v>
      </c>
      <c r="H67" s="94">
        <v>737181225</v>
      </c>
      <c r="I67" s="94">
        <v>3592125</v>
      </c>
      <c r="J67" s="94">
        <v>290731267</v>
      </c>
      <c r="K67" s="94">
        <v>249153063</v>
      </c>
      <c r="L67" s="94">
        <v>122363306</v>
      </c>
    </row>
    <row r="68" spans="1:12">
      <c r="A68" s="140">
        <v>412</v>
      </c>
      <c r="B68" s="93" t="s">
        <v>79</v>
      </c>
      <c r="C68" s="94">
        <v>3102073628</v>
      </c>
      <c r="D68" s="94">
        <v>2647543647</v>
      </c>
      <c r="E68" s="94">
        <v>312776640</v>
      </c>
      <c r="F68" s="94">
        <v>48599587</v>
      </c>
      <c r="G68" s="94">
        <v>4471990648</v>
      </c>
      <c r="H68" s="94">
        <v>2346109357</v>
      </c>
      <c r="I68" s="94">
        <v>40113933</v>
      </c>
      <c r="J68" s="94">
        <v>585155651</v>
      </c>
      <c r="K68" s="94">
        <v>525933197</v>
      </c>
      <c r="L68" s="94">
        <v>325692400</v>
      </c>
    </row>
    <row r="69" spans="1:12">
      <c r="A69" s="140">
        <v>413</v>
      </c>
      <c r="B69" s="93" t="s">
        <v>80</v>
      </c>
      <c r="C69" s="94">
        <v>1118171264</v>
      </c>
      <c r="D69" s="94">
        <v>912316074</v>
      </c>
      <c r="E69" s="94">
        <v>139733743</v>
      </c>
      <c r="F69" s="94">
        <v>17622757</v>
      </c>
      <c r="G69" s="94">
        <v>1054720348</v>
      </c>
      <c r="H69" s="94">
        <v>563226662</v>
      </c>
      <c r="I69" s="94">
        <v>7323905</v>
      </c>
      <c r="J69" s="94">
        <v>185809894</v>
      </c>
      <c r="K69" s="94">
        <v>120110590</v>
      </c>
      <c r="L69" s="94">
        <v>89370578</v>
      </c>
    </row>
    <row r="70" spans="1:12">
      <c r="A70" s="140">
        <v>414</v>
      </c>
      <c r="B70" s="93" t="s">
        <v>81</v>
      </c>
      <c r="C70" s="94">
        <v>1463914986</v>
      </c>
      <c r="D70" s="94">
        <v>1247428148</v>
      </c>
      <c r="E70" s="94">
        <v>121305413</v>
      </c>
      <c r="F70" s="94">
        <v>15623322</v>
      </c>
      <c r="G70" s="94">
        <v>1597037461</v>
      </c>
      <c r="H70" s="94">
        <v>706585527</v>
      </c>
      <c r="I70" s="94">
        <v>7207002</v>
      </c>
      <c r="J70" s="94">
        <v>272346283</v>
      </c>
      <c r="K70" s="94">
        <v>140602686</v>
      </c>
      <c r="L70" s="94">
        <v>174216903</v>
      </c>
    </row>
    <row r="71" spans="1:12">
      <c r="A71" s="140">
        <v>415</v>
      </c>
      <c r="B71" s="93" t="s">
        <v>82</v>
      </c>
      <c r="C71" s="94">
        <v>14313087</v>
      </c>
      <c r="D71" s="94">
        <v>11414995</v>
      </c>
      <c r="E71" s="94">
        <v>2611539</v>
      </c>
      <c r="F71" s="94">
        <v>272901</v>
      </c>
      <c r="G71" s="94">
        <v>18525492</v>
      </c>
      <c r="H71" s="94">
        <v>7866811</v>
      </c>
      <c r="I71" s="94">
        <v>387316</v>
      </c>
      <c r="J71" s="94">
        <v>1796927</v>
      </c>
      <c r="K71" s="94">
        <v>2433914</v>
      </c>
      <c r="L71" s="94">
        <v>1453774</v>
      </c>
    </row>
    <row r="72" spans="1:12">
      <c r="A72" s="140">
        <v>416</v>
      </c>
      <c r="B72" s="93" t="s">
        <v>83</v>
      </c>
      <c r="C72" s="94">
        <v>6901566568</v>
      </c>
      <c r="D72" s="94">
        <v>5219103566</v>
      </c>
      <c r="E72" s="94">
        <v>1262573106</v>
      </c>
      <c r="F72" s="94">
        <v>62827344</v>
      </c>
      <c r="G72" s="94">
        <v>4656178994</v>
      </c>
      <c r="H72" s="94">
        <v>1804560915</v>
      </c>
      <c r="I72" s="94">
        <v>25157122</v>
      </c>
      <c r="J72" s="94">
        <v>775165385</v>
      </c>
      <c r="K72" s="94">
        <v>549713409</v>
      </c>
      <c r="L72" s="94">
        <v>525088489</v>
      </c>
    </row>
    <row r="73" spans="1:12">
      <c r="A73" s="140">
        <v>419</v>
      </c>
      <c r="B73" s="93" t="s">
        <v>84</v>
      </c>
      <c r="C73" s="94">
        <v>251177086</v>
      </c>
      <c r="D73" s="94">
        <v>206196093</v>
      </c>
      <c r="E73" s="94">
        <v>29532750</v>
      </c>
      <c r="F73" s="94">
        <v>4314043</v>
      </c>
      <c r="G73" s="94">
        <v>235518446</v>
      </c>
      <c r="H73" s="94">
        <v>100138021</v>
      </c>
      <c r="I73" s="94">
        <v>1778949</v>
      </c>
      <c r="J73" s="94">
        <v>39819842</v>
      </c>
      <c r="K73" s="94">
        <v>41598967</v>
      </c>
      <c r="L73" s="94">
        <v>16265323</v>
      </c>
    </row>
    <row r="74" spans="1:12">
      <c r="A74" s="140">
        <v>421</v>
      </c>
      <c r="B74" s="93" t="s">
        <v>85</v>
      </c>
      <c r="C74" s="94">
        <v>804317599</v>
      </c>
      <c r="D74" s="94">
        <v>706811033</v>
      </c>
      <c r="E74" s="94">
        <v>72816590</v>
      </c>
      <c r="F74" s="94">
        <v>4502139</v>
      </c>
      <c r="G74" s="94">
        <v>1344699528</v>
      </c>
      <c r="H74" s="94">
        <v>908994149</v>
      </c>
      <c r="I74" s="94">
        <v>5446269</v>
      </c>
      <c r="J74" s="94">
        <v>104533604</v>
      </c>
      <c r="K74" s="94">
        <v>135070619</v>
      </c>
      <c r="L74" s="94">
        <v>33108476</v>
      </c>
    </row>
    <row r="75" spans="1:12">
      <c r="A75" s="140">
        <v>422</v>
      </c>
      <c r="B75" s="93" t="s">
        <v>86</v>
      </c>
      <c r="C75" s="94">
        <v>135255169</v>
      </c>
      <c r="D75" s="94">
        <v>117087852</v>
      </c>
      <c r="E75" s="94">
        <v>10244243</v>
      </c>
      <c r="F75" s="94">
        <v>1909860</v>
      </c>
      <c r="G75" s="94">
        <v>163226282</v>
      </c>
      <c r="H75" s="94">
        <v>52491820</v>
      </c>
      <c r="I75" s="94">
        <v>158346</v>
      </c>
      <c r="J75" s="94">
        <v>20189481</v>
      </c>
      <c r="K75" s="94">
        <v>17546467</v>
      </c>
      <c r="L75" s="94">
        <v>6647664</v>
      </c>
    </row>
    <row r="76" spans="1:12">
      <c r="A76" s="140">
        <v>423</v>
      </c>
      <c r="B76" s="93" t="s">
        <v>87</v>
      </c>
      <c r="C76" s="94">
        <v>9658512243</v>
      </c>
      <c r="D76" s="94">
        <v>8443786476</v>
      </c>
      <c r="E76" s="94">
        <v>1044252699</v>
      </c>
      <c r="F76" s="94">
        <v>235115498</v>
      </c>
      <c r="G76" s="94">
        <v>11524689609</v>
      </c>
      <c r="H76" s="94">
        <v>5603007763</v>
      </c>
      <c r="I76" s="94">
        <v>87064101</v>
      </c>
      <c r="J76" s="94">
        <v>1774859954</v>
      </c>
      <c r="K76" s="94">
        <v>1289754510</v>
      </c>
      <c r="L76" s="94">
        <v>575603427</v>
      </c>
    </row>
    <row r="77" spans="1:12">
      <c r="A77" s="140">
        <v>429</v>
      </c>
      <c r="B77" s="93" t="s">
        <v>88</v>
      </c>
      <c r="C77" s="94">
        <v>15765631797</v>
      </c>
      <c r="D77" s="94">
        <v>7535739830</v>
      </c>
      <c r="E77" s="94">
        <v>6459365914</v>
      </c>
      <c r="F77" s="94">
        <v>279003367</v>
      </c>
      <c r="G77" s="94">
        <v>14635441693</v>
      </c>
      <c r="H77" s="94">
        <v>5751189211</v>
      </c>
      <c r="I77" s="94">
        <v>441845473</v>
      </c>
      <c r="J77" s="94">
        <v>1881477074</v>
      </c>
      <c r="K77" s="94">
        <v>1471035779</v>
      </c>
      <c r="L77" s="94">
        <v>1215693271</v>
      </c>
    </row>
    <row r="78" spans="1:12">
      <c r="A78" s="140">
        <v>431</v>
      </c>
      <c r="B78" s="93" t="s">
        <v>89</v>
      </c>
      <c r="C78" s="94">
        <v>4421592355</v>
      </c>
      <c r="D78" s="94">
        <v>3474655890</v>
      </c>
      <c r="E78" s="94">
        <v>543499305</v>
      </c>
      <c r="F78" s="94">
        <v>134979406</v>
      </c>
      <c r="G78" s="94">
        <v>5511435548</v>
      </c>
      <c r="H78" s="94">
        <v>2034818875</v>
      </c>
      <c r="I78" s="94">
        <v>64889595</v>
      </c>
      <c r="J78" s="94">
        <v>1041236269</v>
      </c>
      <c r="K78" s="94">
        <v>819997197</v>
      </c>
      <c r="L78" s="94">
        <v>359009911</v>
      </c>
    </row>
    <row r="79" spans="1:12">
      <c r="A79" s="140">
        <v>432</v>
      </c>
      <c r="B79" s="93" t="s">
        <v>90</v>
      </c>
      <c r="C79" s="94">
        <v>21109212686</v>
      </c>
      <c r="D79" s="94">
        <v>18134431553</v>
      </c>
      <c r="E79" s="94">
        <v>1914112809</v>
      </c>
      <c r="F79" s="94">
        <v>392716281</v>
      </c>
      <c r="G79" s="94">
        <v>19345771123</v>
      </c>
      <c r="H79" s="94">
        <v>8412858697</v>
      </c>
      <c r="I79" s="94">
        <v>190417326</v>
      </c>
      <c r="J79" s="94">
        <v>4346398496</v>
      </c>
      <c r="K79" s="94">
        <v>2168937450</v>
      </c>
      <c r="L79" s="94">
        <v>2319685151</v>
      </c>
    </row>
    <row r="80" spans="1:12">
      <c r="A80" s="140">
        <v>433</v>
      </c>
      <c r="B80" s="93" t="s">
        <v>91</v>
      </c>
      <c r="C80" s="94">
        <v>4774929520</v>
      </c>
      <c r="D80" s="94">
        <v>3829476704</v>
      </c>
      <c r="E80" s="94">
        <v>762813585</v>
      </c>
      <c r="F80" s="94">
        <v>93746613</v>
      </c>
      <c r="G80" s="94">
        <v>4995857131</v>
      </c>
      <c r="H80" s="94">
        <v>1741497347</v>
      </c>
      <c r="I80" s="94">
        <v>79434352</v>
      </c>
      <c r="J80" s="94">
        <v>1357663412</v>
      </c>
      <c r="K80" s="94">
        <v>871887399</v>
      </c>
      <c r="L80" s="94">
        <v>713050080</v>
      </c>
    </row>
    <row r="81" spans="1:12">
      <c r="A81" s="140">
        <v>439</v>
      </c>
      <c r="B81" s="93" t="s">
        <v>92</v>
      </c>
      <c r="C81" s="94">
        <v>21679785146</v>
      </c>
      <c r="D81" s="94">
        <v>17547561656</v>
      </c>
      <c r="E81" s="94">
        <v>2994872541</v>
      </c>
      <c r="F81" s="94">
        <v>508414307</v>
      </c>
      <c r="G81" s="94">
        <v>24474210750</v>
      </c>
      <c r="H81" s="94">
        <v>8840694085</v>
      </c>
      <c r="I81" s="94">
        <v>1333128160</v>
      </c>
      <c r="J81" s="94">
        <v>4309786914</v>
      </c>
      <c r="K81" s="94">
        <v>3148886992</v>
      </c>
      <c r="L81" s="94">
        <v>2257793065</v>
      </c>
    </row>
    <row r="82" spans="1:12">
      <c r="A82" s="140">
        <v>441</v>
      </c>
      <c r="B82" s="93" t="s">
        <v>5</v>
      </c>
      <c r="C82" s="94">
        <v>255561476</v>
      </c>
      <c r="D82" s="94">
        <v>152422074</v>
      </c>
      <c r="E82" s="94">
        <v>85699706</v>
      </c>
      <c r="F82" s="94">
        <v>2893019</v>
      </c>
      <c r="G82" s="94">
        <v>243951275</v>
      </c>
      <c r="H82" s="94">
        <v>102971002</v>
      </c>
      <c r="I82" s="94">
        <v>445554</v>
      </c>
      <c r="J82" s="94">
        <v>11105140</v>
      </c>
      <c r="K82" s="94">
        <v>12817679</v>
      </c>
      <c r="L82" s="94">
        <v>14347747</v>
      </c>
    </row>
    <row r="83" spans="1:12">
      <c r="A83" s="140">
        <v>442</v>
      </c>
      <c r="B83" s="93" t="s">
        <v>93</v>
      </c>
      <c r="C83" s="94">
        <v>70197659097</v>
      </c>
      <c r="D83" s="94">
        <v>38802486507</v>
      </c>
      <c r="E83" s="94">
        <v>26991157560</v>
      </c>
      <c r="F83" s="94">
        <v>1241845321</v>
      </c>
      <c r="G83" s="94">
        <v>76341655293</v>
      </c>
      <c r="H83" s="94">
        <v>12483415967</v>
      </c>
      <c r="I83" s="94">
        <v>7557531329</v>
      </c>
      <c r="J83" s="94">
        <v>13908655120</v>
      </c>
      <c r="K83" s="94">
        <v>2637644431</v>
      </c>
      <c r="L83" s="94">
        <v>5793106674</v>
      </c>
    </row>
    <row r="84" spans="1:12">
      <c r="A84" s="140">
        <v>443</v>
      </c>
      <c r="B84" s="93" t="s">
        <v>94</v>
      </c>
      <c r="C84" s="94">
        <v>2247903065</v>
      </c>
      <c r="D84" s="94">
        <v>1846713332</v>
      </c>
      <c r="E84" s="94">
        <v>319337147</v>
      </c>
      <c r="F84" s="94">
        <v>15877731</v>
      </c>
      <c r="G84" s="94">
        <v>2295656175</v>
      </c>
      <c r="H84" s="94">
        <v>464776901</v>
      </c>
      <c r="I84" s="94">
        <v>16421346</v>
      </c>
      <c r="J84" s="94">
        <v>295160093</v>
      </c>
      <c r="K84" s="94">
        <v>336943399</v>
      </c>
      <c r="L84" s="94">
        <v>89581095</v>
      </c>
    </row>
    <row r="85" spans="1:12">
      <c r="A85" s="140">
        <v>444</v>
      </c>
      <c r="B85" s="93" t="s">
        <v>95</v>
      </c>
      <c r="C85" s="94">
        <v>89120468</v>
      </c>
      <c r="D85" s="94">
        <v>52087658</v>
      </c>
      <c r="E85" s="94">
        <v>33412893</v>
      </c>
      <c r="F85" s="94">
        <v>2211173</v>
      </c>
      <c r="G85" s="94">
        <v>144069016</v>
      </c>
      <c r="H85" s="94">
        <v>90201573</v>
      </c>
      <c r="I85" s="94">
        <v>1087007</v>
      </c>
      <c r="J85" s="94">
        <v>9775228</v>
      </c>
      <c r="K85" s="94">
        <v>8944883</v>
      </c>
      <c r="L85" s="94">
        <v>3391300</v>
      </c>
    </row>
    <row r="86" spans="1:12">
      <c r="A86" s="140">
        <v>445</v>
      </c>
      <c r="B86" s="93" t="s">
        <v>96</v>
      </c>
      <c r="C86" s="94">
        <v>361243376</v>
      </c>
      <c r="D86" s="94">
        <v>204696180</v>
      </c>
      <c r="E86" s="94">
        <v>154742886</v>
      </c>
      <c r="F86" s="94">
        <v>4596248</v>
      </c>
      <c r="G86" s="94">
        <v>638081756</v>
      </c>
      <c r="H86" s="94">
        <v>115616306</v>
      </c>
      <c r="I86" s="94">
        <v>4280055</v>
      </c>
      <c r="J86" s="94">
        <v>58021789</v>
      </c>
      <c r="K86" s="94">
        <v>26115537</v>
      </c>
      <c r="L86" s="94">
        <v>5788201</v>
      </c>
    </row>
    <row r="87" spans="1:12">
      <c r="A87" s="140">
        <v>446</v>
      </c>
      <c r="B87" s="93" t="s">
        <v>97</v>
      </c>
      <c r="C87" s="94">
        <v>14477284778</v>
      </c>
      <c r="D87" s="94">
        <v>10733733997</v>
      </c>
      <c r="E87" s="94">
        <v>2954040631</v>
      </c>
      <c r="F87" s="94">
        <v>466446060</v>
      </c>
      <c r="G87" s="94">
        <v>16966630342</v>
      </c>
      <c r="H87" s="94">
        <v>7915629902</v>
      </c>
      <c r="I87" s="94">
        <v>862679708</v>
      </c>
      <c r="J87" s="94">
        <v>1444986180</v>
      </c>
      <c r="K87" s="94">
        <v>1086590030</v>
      </c>
      <c r="L87" s="94">
        <v>422081288</v>
      </c>
    </row>
    <row r="88" spans="1:12">
      <c r="A88" s="140">
        <v>447</v>
      </c>
      <c r="B88" s="93" t="s">
        <v>98</v>
      </c>
      <c r="C88" s="94">
        <v>1571025451</v>
      </c>
      <c r="D88" s="94">
        <v>864660980</v>
      </c>
      <c r="E88" s="94">
        <v>937130917</v>
      </c>
      <c r="F88" s="94">
        <v>70016587</v>
      </c>
      <c r="G88" s="94">
        <v>4486263612</v>
      </c>
      <c r="H88" s="94">
        <v>1172835018</v>
      </c>
      <c r="I88" s="94">
        <v>928740996</v>
      </c>
      <c r="J88" s="94">
        <v>212535561</v>
      </c>
      <c r="K88" s="94">
        <v>205469874</v>
      </c>
      <c r="L88" s="94">
        <v>36979485</v>
      </c>
    </row>
    <row r="89" spans="1:12">
      <c r="A89" s="140">
        <v>449</v>
      </c>
      <c r="B89" s="93" t="s">
        <v>99</v>
      </c>
      <c r="C89" s="94">
        <v>255561476</v>
      </c>
      <c r="D89" s="94">
        <v>152422074</v>
      </c>
      <c r="E89" s="94">
        <v>85699706</v>
      </c>
      <c r="F89" s="94">
        <v>2893019</v>
      </c>
      <c r="G89" s="94">
        <v>243951275</v>
      </c>
      <c r="H89" s="94">
        <v>102971002</v>
      </c>
      <c r="I89" s="94">
        <v>445554</v>
      </c>
      <c r="J89" s="94">
        <v>11105140</v>
      </c>
      <c r="K89" s="94">
        <v>12817679</v>
      </c>
      <c r="L89" s="94">
        <v>14347747</v>
      </c>
    </row>
    <row r="90" spans="1:12">
      <c r="A90" s="140">
        <v>511</v>
      </c>
      <c r="B90" s="93" t="s">
        <v>100</v>
      </c>
      <c r="C90" s="94">
        <v>2794193323</v>
      </c>
      <c r="D90" s="94">
        <v>2539161170</v>
      </c>
      <c r="E90" s="94">
        <v>265444980</v>
      </c>
      <c r="F90" s="94">
        <v>32138616</v>
      </c>
      <c r="G90" s="94">
        <v>3862521166</v>
      </c>
      <c r="H90" s="94">
        <v>1218408144</v>
      </c>
      <c r="I90" s="94">
        <v>8021059</v>
      </c>
      <c r="J90" s="94">
        <v>232175042</v>
      </c>
      <c r="K90" s="94">
        <v>395457043</v>
      </c>
      <c r="L90" s="94">
        <v>144778683</v>
      </c>
    </row>
    <row r="91" spans="1:12">
      <c r="A91" s="140">
        <v>512</v>
      </c>
      <c r="B91" s="93" t="s">
        <v>101</v>
      </c>
      <c r="C91" s="94">
        <v>11903748</v>
      </c>
      <c r="D91" s="94">
        <v>10086502</v>
      </c>
      <c r="E91" s="94">
        <v>1061038</v>
      </c>
      <c r="F91" s="94">
        <v>697854</v>
      </c>
      <c r="G91" s="94">
        <v>8808250</v>
      </c>
      <c r="H91" s="94">
        <v>6475524</v>
      </c>
      <c r="I91" s="94">
        <v>380</v>
      </c>
      <c r="J91" s="94">
        <v>249156</v>
      </c>
      <c r="K91" s="94">
        <v>382963</v>
      </c>
      <c r="L91" s="94">
        <v>41226</v>
      </c>
    </row>
    <row r="92" spans="1:12">
      <c r="A92" s="140">
        <v>520</v>
      </c>
      <c r="B92" s="93" t="s">
        <v>29</v>
      </c>
      <c r="C92" s="94">
        <v>193494132</v>
      </c>
      <c r="D92" s="94">
        <v>167575716</v>
      </c>
      <c r="E92" s="94">
        <v>23895559</v>
      </c>
      <c r="F92" s="94">
        <v>6138750</v>
      </c>
      <c r="G92" s="94">
        <v>378027813</v>
      </c>
      <c r="H92" s="94">
        <v>170152924</v>
      </c>
      <c r="I92" s="94">
        <v>7530639</v>
      </c>
      <c r="J92" s="94">
        <v>19168906</v>
      </c>
      <c r="K92" s="94">
        <v>121086632</v>
      </c>
      <c r="L92" s="94">
        <v>13264751</v>
      </c>
    </row>
    <row r="93" spans="1:12">
      <c r="A93" s="140">
        <v>611</v>
      </c>
      <c r="B93" s="93" t="s">
        <v>102</v>
      </c>
      <c r="C93" s="94">
        <v>743980849</v>
      </c>
      <c r="D93" s="94">
        <v>609097051</v>
      </c>
      <c r="E93" s="94">
        <v>111791892</v>
      </c>
      <c r="F93" s="94">
        <v>6180966</v>
      </c>
      <c r="G93" s="94">
        <v>490159669</v>
      </c>
      <c r="H93" s="94">
        <v>217162052</v>
      </c>
      <c r="I93" s="94">
        <v>3955051</v>
      </c>
      <c r="J93" s="94">
        <v>58044801</v>
      </c>
      <c r="K93" s="94">
        <v>131566086</v>
      </c>
      <c r="L93" s="94">
        <v>10817023</v>
      </c>
    </row>
    <row r="94" spans="1:12">
      <c r="A94" s="140">
        <v>612</v>
      </c>
      <c r="B94" s="93" t="s">
        <v>103</v>
      </c>
      <c r="C94" s="94">
        <v>69572313</v>
      </c>
      <c r="D94" s="94">
        <v>56313847</v>
      </c>
      <c r="E94" s="94">
        <v>9815746</v>
      </c>
      <c r="F94" s="94">
        <v>1111321</v>
      </c>
      <c r="G94" s="94">
        <v>82477408</v>
      </c>
      <c r="H94" s="94">
        <v>35347125</v>
      </c>
      <c r="I94" s="94">
        <v>1389557</v>
      </c>
      <c r="J94" s="94">
        <v>8744190</v>
      </c>
      <c r="K94" s="94">
        <v>14236286</v>
      </c>
      <c r="L94" s="94">
        <v>4271760</v>
      </c>
    </row>
    <row r="95" spans="1:12">
      <c r="A95" s="140">
        <v>619</v>
      </c>
      <c r="B95" s="93" t="s">
        <v>104</v>
      </c>
      <c r="C95" s="94">
        <v>145633772367</v>
      </c>
      <c r="D95" s="94">
        <v>127539913290</v>
      </c>
      <c r="E95" s="94">
        <v>12457274374</v>
      </c>
      <c r="F95" s="94">
        <v>660875003</v>
      </c>
      <c r="G95" s="94">
        <v>111020969040</v>
      </c>
      <c r="H95" s="94">
        <v>46196779546</v>
      </c>
      <c r="I95" s="94">
        <v>1345968318</v>
      </c>
      <c r="J95" s="94">
        <v>16942615081</v>
      </c>
      <c r="K95" s="94">
        <v>12237479438</v>
      </c>
      <c r="L95" s="94">
        <v>9122579755</v>
      </c>
    </row>
    <row r="96" spans="1:12">
      <c r="A96" s="140">
        <v>621</v>
      </c>
      <c r="B96" s="93" t="s">
        <v>105</v>
      </c>
      <c r="C96" s="94">
        <v>104997114425</v>
      </c>
      <c r="D96" s="94">
        <v>104565471265</v>
      </c>
      <c r="E96" s="94">
        <v>5613530241</v>
      </c>
      <c r="F96" s="94">
        <v>1006710504</v>
      </c>
      <c r="G96" s="94">
        <v>139232065192</v>
      </c>
      <c r="H96" s="94">
        <v>42993434692</v>
      </c>
      <c r="I96" s="94">
        <v>938768222</v>
      </c>
      <c r="J96" s="94">
        <v>38506684799</v>
      </c>
      <c r="K96" s="94">
        <v>10649899115</v>
      </c>
      <c r="L96" s="94">
        <v>9945707808</v>
      </c>
    </row>
    <row r="97" spans="1:12">
      <c r="A97" s="140">
        <v>622</v>
      </c>
      <c r="B97" s="93" t="s">
        <v>106</v>
      </c>
      <c r="C97" s="94">
        <v>96354318</v>
      </c>
      <c r="D97" s="94">
        <v>78971625</v>
      </c>
      <c r="E97" s="94">
        <v>12590707</v>
      </c>
      <c r="F97" s="94">
        <v>2053887</v>
      </c>
      <c r="G97" s="94">
        <v>121426070</v>
      </c>
      <c r="H97" s="94">
        <v>37074526</v>
      </c>
      <c r="I97" s="94">
        <v>1171743</v>
      </c>
      <c r="J97" s="94">
        <v>21154368</v>
      </c>
      <c r="K97" s="94">
        <v>18295431</v>
      </c>
      <c r="L97" s="94">
        <v>6520500</v>
      </c>
    </row>
    <row r="98" spans="1:12">
      <c r="A98" s="140">
        <v>623</v>
      </c>
      <c r="B98" s="93" t="s">
        <v>107</v>
      </c>
      <c r="C98" s="94">
        <v>16814918657</v>
      </c>
      <c r="D98" s="94">
        <v>14548587341</v>
      </c>
      <c r="E98" s="94">
        <v>1429579134</v>
      </c>
      <c r="F98" s="94">
        <v>398675379</v>
      </c>
      <c r="G98" s="94">
        <v>19584879267</v>
      </c>
      <c r="H98" s="94">
        <v>10209251742</v>
      </c>
      <c r="I98" s="94">
        <v>159340630</v>
      </c>
      <c r="J98" s="94">
        <v>2740664193</v>
      </c>
      <c r="K98" s="94">
        <v>1517816420</v>
      </c>
      <c r="L98" s="94">
        <v>1452111551</v>
      </c>
    </row>
    <row r="99" spans="1:12">
      <c r="A99" s="140">
        <v>624</v>
      </c>
      <c r="B99" s="93" t="s">
        <v>108</v>
      </c>
      <c r="C99" s="94">
        <v>13169568635</v>
      </c>
      <c r="D99" s="94">
        <v>9910539060</v>
      </c>
      <c r="E99" s="94">
        <v>2293012939</v>
      </c>
      <c r="F99" s="94">
        <v>297611999</v>
      </c>
      <c r="G99" s="94">
        <v>14263327932</v>
      </c>
      <c r="H99" s="94">
        <v>4127676770</v>
      </c>
      <c r="I99" s="94">
        <v>569108321</v>
      </c>
      <c r="J99" s="94">
        <v>3166995288</v>
      </c>
      <c r="K99" s="94">
        <v>1525306920</v>
      </c>
      <c r="L99" s="94">
        <v>1415865176</v>
      </c>
    </row>
    <row r="100" spans="1:12">
      <c r="A100" s="140">
        <v>625</v>
      </c>
      <c r="B100" s="93" t="s">
        <v>109</v>
      </c>
      <c r="C100" s="94">
        <v>478017977</v>
      </c>
      <c r="D100" s="94">
        <v>403355879</v>
      </c>
      <c r="E100" s="94">
        <v>49574181</v>
      </c>
      <c r="F100" s="94">
        <v>8678408</v>
      </c>
      <c r="G100" s="94">
        <v>397790756</v>
      </c>
      <c r="H100" s="94">
        <v>145079745</v>
      </c>
      <c r="I100" s="94">
        <v>108639</v>
      </c>
      <c r="J100" s="94">
        <v>106813058</v>
      </c>
      <c r="K100" s="94">
        <v>74222775</v>
      </c>
      <c r="L100" s="94">
        <v>35923332</v>
      </c>
    </row>
    <row r="101" spans="1:12">
      <c r="A101" s="140">
        <v>626</v>
      </c>
      <c r="B101" s="93" t="s">
        <v>110</v>
      </c>
      <c r="C101" s="94">
        <v>21109212686</v>
      </c>
      <c r="D101" s="94">
        <v>18134431553</v>
      </c>
      <c r="E101" s="94">
        <v>1914112809</v>
      </c>
      <c r="F101" s="94">
        <v>392716281</v>
      </c>
      <c r="G101" s="94">
        <v>19345771123</v>
      </c>
      <c r="H101" s="94">
        <v>8412858697</v>
      </c>
      <c r="I101" s="94">
        <v>190417326</v>
      </c>
      <c r="J101" s="94">
        <v>4346398496</v>
      </c>
      <c r="K101" s="94">
        <v>2168937450</v>
      </c>
      <c r="L101" s="94">
        <v>2319685151</v>
      </c>
    </row>
    <row r="102" spans="1:12">
      <c r="A102" s="140">
        <v>627</v>
      </c>
      <c r="B102" s="93" t="s">
        <v>111</v>
      </c>
      <c r="C102" s="94">
        <v>1728804573</v>
      </c>
      <c r="D102" s="94">
        <v>1455237686</v>
      </c>
      <c r="E102" s="94">
        <v>177417897</v>
      </c>
      <c r="F102" s="94">
        <v>49764079</v>
      </c>
      <c r="G102" s="94">
        <v>1625179475</v>
      </c>
      <c r="H102" s="94">
        <v>811539336</v>
      </c>
      <c r="I102" s="94">
        <v>18745843</v>
      </c>
      <c r="J102" s="94">
        <v>283099614</v>
      </c>
      <c r="K102" s="94">
        <v>121614010</v>
      </c>
      <c r="L102" s="94">
        <v>125726905</v>
      </c>
    </row>
    <row r="103" spans="1:12">
      <c r="A103" s="140">
        <v>628</v>
      </c>
      <c r="B103" s="93" t="s">
        <v>112</v>
      </c>
      <c r="C103" s="94">
        <v>18771165441</v>
      </c>
      <c r="D103" s="94">
        <v>15298183224</v>
      </c>
      <c r="E103" s="94">
        <v>2296491306</v>
      </c>
      <c r="F103" s="94">
        <v>374338533</v>
      </c>
      <c r="G103" s="94">
        <v>23243669995</v>
      </c>
      <c r="H103" s="94">
        <v>8717006412</v>
      </c>
      <c r="I103" s="94">
        <v>342487225</v>
      </c>
      <c r="J103" s="94">
        <v>4401727496</v>
      </c>
      <c r="K103" s="94">
        <v>1895013739</v>
      </c>
      <c r="L103" s="94">
        <v>2528384621</v>
      </c>
    </row>
    <row r="104" spans="1:12">
      <c r="A104" s="140">
        <v>629</v>
      </c>
      <c r="B104" s="93" t="s">
        <v>113</v>
      </c>
      <c r="C104" s="94">
        <v>310051034497</v>
      </c>
      <c r="D104" s="94">
        <v>256849008631</v>
      </c>
      <c r="E104" s="94">
        <v>37966246006</v>
      </c>
      <c r="F104" s="94">
        <v>6015046595</v>
      </c>
      <c r="G104" s="94">
        <v>340881974831</v>
      </c>
      <c r="H104" s="94">
        <v>118717188310</v>
      </c>
      <c r="I104" s="94">
        <v>9097951147</v>
      </c>
      <c r="J104" s="94">
        <v>66499430721</v>
      </c>
      <c r="K104" s="94">
        <v>33587202535</v>
      </c>
      <c r="L104" s="94">
        <v>33569099024</v>
      </c>
    </row>
    <row r="105" spans="1:12">
      <c r="A105" s="140">
        <v>631</v>
      </c>
      <c r="B105" s="93" t="s">
        <v>114</v>
      </c>
      <c r="C105" s="94">
        <v>817642531</v>
      </c>
      <c r="D105" s="94">
        <v>723794289</v>
      </c>
      <c r="E105" s="94">
        <v>77801515</v>
      </c>
      <c r="F105" s="94">
        <v>23163810</v>
      </c>
      <c r="G105" s="94">
        <v>691735766</v>
      </c>
      <c r="H105" s="94">
        <v>242081227</v>
      </c>
      <c r="I105" s="94">
        <v>6654325</v>
      </c>
      <c r="J105" s="94">
        <v>126828019</v>
      </c>
      <c r="K105" s="94">
        <v>29034220</v>
      </c>
      <c r="L105" s="94">
        <v>28010818</v>
      </c>
    </row>
    <row r="106" spans="1:12">
      <c r="A106" s="140">
        <v>632</v>
      </c>
      <c r="B106" s="93" t="s">
        <v>115</v>
      </c>
      <c r="C106" s="94">
        <v>70197659097</v>
      </c>
      <c r="D106" s="94">
        <v>38802486507</v>
      </c>
      <c r="E106" s="94">
        <v>26991157560</v>
      </c>
      <c r="F106" s="94">
        <v>1241845321</v>
      </c>
      <c r="G106" s="94">
        <v>76341655293</v>
      </c>
      <c r="H106" s="94">
        <v>12483415967</v>
      </c>
      <c r="I106" s="94">
        <v>7557531329</v>
      </c>
      <c r="J106" s="94">
        <v>13908655120</v>
      </c>
      <c r="K106" s="94">
        <v>2637644431</v>
      </c>
      <c r="L106" s="94">
        <v>5793106674</v>
      </c>
    </row>
    <row r="107" spans="1:12">
      <c r="A107" s="140">
        <v>633</v>
      </c>
      <c r="B107" s="93" t="s">
        <v>116</v>
      </c>
      <c r="C107" s="94">
        <v>4423138693</v>
      </c>
      <c r="D107" s="94">
        <v>3150912246</v>
      </c>
      <c r="E107" s="94">
        <v>1521226205</v>
      </c>
      <c r="F107" s="94">
        <v>91714375</v>
      </c>
      <c r="G107" s="94">
        <v>7690032156</v>
      </c>
      <c r="H107" s="94">
        <v>2737675652</v>
      </c>
      <c r="I107" s="94">
        <v>988757059</v>
      </c>
      <c r="J107" s="94">
        <v>443914835</v>
      </c>
      <c r="K107" s="94">
        <v>238417530</v>
      </c>
      <c r="L107" s="94">
        <v>138767424</v>
      </c>
    </row>
    <row r="108" spans="1:12">
      <c r="A108" s="140">
        <v>634</v>
      </c>
      <c r="B108" s="93" t="s">
        <v>117</v>
      </c>
      <c r="C108" s="94">
        <v>3275009817</v>
      </c>
      <c r="D108" s="94">
        <v>1236939402</v>
      </c>
      <c r="E108" s="94">
        <v>1699663330</v>
      </c>
      <c r="F108" s="94">
        <v>161194616</v>
      </c>
      <c r="G108" s="94">
        <v>3279405728</v>
      </c>
      <c r="H108" s="94">
        <v>1353095235</v>
      </c>
      <c r="I108" s="94">
        <v>98521410</v>
      </c>
      <c r="J108" s="94">
        <v>515820697</v>
      </c>
      <c r="K108" s="94">
        <v>27109285</v>
      </c>
      <c r="L108" s="94">
        <v>49973946</v>
      </c>
    </row>
    <row r="109" spans="1:12">
      <c r="A109" s="140">
        <v>635</v>
      </c>
      <c r="B109" s="93" t="s">
        <v>118</v>
      </c>
      <c r="C109" s="94">
        <v>23909433520</v>
      </c>
      <c r="D109" s="94">
        <v>17234599843</v>
      </c>
      <c r="E109" s="94">
        <v>5274251882</v>
      </c>
      <c r="F109" s="94">
        <v>249474997</v>
      </c>
      <c r="G109" s="94">
        <v>23237948501</v>
      </c>
      <c r="H109" s="94">
        <v>3358060034</v>
      </c>
      <c r="I109" s="94">
        <v>2124078312</v>
      </c>
      <c r="J109" s="94">
        <v>6823324919</v>
      </c>
      <c r="K109" s="94">
        <v>626982317</v>
      </c>
      <c r="L109" s="94">
        <v>2648050423</v>
      </c>
    </row>
    <row r="110" spans="1:12">
      <c r="A110" s="140">
        <v>636</v>
      </c>
      <c r="B110" s="93" t="s">
        <v>119</v>
      </c>
      <c r="C110" s="94">
        <v>30254439</v>
      </c>
      <c r="D110" s="94">
        <v>6972487</v>
      </c>
      <c r="E110" s="94">
        <v>25494649</v>
      </c>
      <c r="F110" s="94">
        <v>2253410</v>
      </c>
      <c r="G110" s="94">
        <v>24195292</v>
      </c>
      <c r="H110" s="94">
        <v>13462844</v>
      </c>
      <c r="I110" s="94">
        <v>130348</v>
      </c>
      <c r="J110" s="94">
        <v>772292</v>
      </c>
      <c r="K110" s="94">
        <v>1553475</v>
      </c>
      <c r="L110" s="94">
        <v>669422</v>
      </c>
    </row>
    <row r="111" spans="1:12">
      <c r="A111" s="140">
        <v>637</v>
      </c>
      <c r="B111" s="93" t="s">
        <v>120</v>
      </c>
      <c r="C111" s="94">
        <v>14477284778</v>
      </c>
      <c r="D111" s="94">
        <v>10733733997</v>
      </c>
      <c r="E111" s="94">
        <v>2954040631</v>
      </c>
      <c r="F111" s="94">
        <v>466446060</v>
      </c>
      <c r="G111" s="94">
        <v>16966630342</v>
      </c>
      <c r="H111" s="94">
        <v>7915629902</v>
      </c>
      <c r="I111" s="94">
        <v>862679708</v>
      </c>
      <c r="J111" s="94">
        <v>1444986180</v>
      </c>
      <c r="K111" s="94">
        <v>1086590030</v>
      </c>
      <c r="L111" s="94">
        <v>422081288</v>
      </c>
    </row>
    <row r="112" spans="1:12">
      <c r="A112" s="140">
        <v>639</v>
      </c>
      <c r="B112" s="93" t="s">
        <v>121</v>
      </c>
      <c r="C112" s="94">
        <v>15965333235</v>
      </c>
      <c r="D112" s="94">
        <v>13097899727</v>
      </c>
      <c r="E112" s="94">
        <v>2353348147</v>
      </c>
      <c r="F112" s="94">
        <v>95003216</v>
      </c>
      <c r="G112" s="94">
        <v>9571482386</v>
      </c>
      <c r="H112" s="94">
        <v>1620210244</v>
      </c>
      <c r="I112" s="94">
        <v>321689338</v>
      </c>
      <c r="J112" s="94">
        <v>2450363055</v>
      </c>
      <c r="K112" s="94">
        <v>586040965</v>
      </c>
      <c r="L112" s="94">
        <v>1013692134</v>
      </c>
    </row>
    <row r="113" spans="1:12">
      <c r="A113" s="140">
        <v>711</v>
      </c>
      <c r="B113" s="93" t="s">
        <v>6</v>
      </c>
      <c r="C113" s="94">
        <v>1450149216</v>
      </c>
      <c r="D113" s="94">
        <v>1299041077</v>
      </c>
      <c r="E113" s="94">
        <v>119144587</v>
      </c>
      <c r="F113" s="94">
        <v>26043683</v>
      </c>
      <c r="G113" s="94">
        <v>1261149301</v>
      </c>
      <c r="H113" s="94">
        <v>641309507</v>
      </c>
      <c r="I113" s="94">
        <v>1474614</v>
      </c>
      <c r="J113" s="94">
        <v>157000709</v>
      </c>
      <c r="K113" s="94">
        <v>97536174</v>
      </c>
      <c r="L113" s="94">
        <v>49911982</v>
      </c>
    </row>
    <row r="114" spans="1:12">
      <c r="A114" s="140">
        <v>712</v>
      </c>
      <c r="B114" s="93" t="s">
        <v>122</v>
      </c>
      <c r="C114" s="94">
        <v>16692823301</v>
      </c>
      <c r="D114" s="94">
        <v>14820482223</v>
      </c>
      <c r="E114" s="94">
        <v>1565650232</v>
      </c>
      <c r="F114" s="94">
        <v>223144229</v>
      </c>
      <c r="G114" s="94">
        <v>10405840523</v>
      </c>
      <c r="H114" s="94">
        <v>3860096074</v>
      </c>
      <c r="I114" s="94">
        <v>53013765</v>
      </c>
      <c r="J114" s="94">
        <v>2811632307</v>
      </c>
      <c r="K114" s="94">
        <v>1122261793</v>
      </c>
      <c r="L114" s="94">
        <v>742004997</v>
      </c>
    </row>
    <row r="115" spans="1:12">
      <c r="A115" s="140">
        <v>721</v>
      </c>
      <c r="B115" s="93" t="s">
        <v>123</v>
      </c>
      <c r="C115" s="94">
        <v>6599798242</v>
      </c>
      <c r="D115" s="94">
        <v>5421408609</v>
      </c>
      <c r="E115" s="94">
        <v>953083642</v>
      </c>
      <c r="F115" s="94">
        <v>64949898</v>
      </c>
      <c r="G115" s="94">
        <v>4809947775</v>
      </c>
      <c r="H115" s="94">
        <v>1853356480</v>
      </c>
      <c r="I115" s="94">
        <v>21460581</v>
      </c>
      <c r="J115" s="94">
        <v>702114144</v>
      </c>
      <c r="K115" s="94">
        <v>974605766</v>
      </c>
      <c r="L115" s="94">
        <v>379839844</v>
      </c>
    </row>
    <row r="116" spans="1:12">
      <c r="A116" s="140">
        <v>722</v>
      </c>
      <c r="B116" s="93" t="s">
        <v>124</v>
      </c>
      <c r="C116" s="94">
        <v>1183510770</v>
      </c>
      <c r="D116" s="94">
        <v>978804142</v>
      </c>
      <c r="E116" s="94">
        <v>120888487</v>
      </c>
      <c r="F116" s="94">
        <v>26159726</v>
      </c>
      <c r="G116" s="94">
        <v>1011443352</v>
      </c>
      <c r="H116" s="94">
        <v>479143222</v>
      </c>
      <c r="I116" s="94">
        <v>6128706</v>
      </c>
      <c r="J116" s="94">
        <v>116475213</v>
      </c>
      <c r="K116" s="94">
        <v>207070758</v>
      </c>
      <c r="L116" s="94">
        <v>54107046</v>
      </c>
    </row>
    <row r="117" spans="1:12">
      <c r="A117" s="140">
        <v>730</v>
      </c>
      <c r="B117" s="93" t="s">
        <v>35</v>
      </c>
      <c r="C117" s="94">
        <v>4075274808</v>
      </c>
      <c r="D117" s="94">
        <v>3265768571</v>
      </c>
      <c r="E117" s="94">
        <v>650134963</v>
      </c>
      <c r="F117" s="94">
        <v>85004540</v>
      </c>
      <c r="G117" s="94">
        <v>3268321206</v>
      </c>
      <c r="H117" s="94">
        <v>1439165516</v>
      </c>
      <c r="I117" s="94">
        <v>208011011</v>
      </c>
      <c r="J117" s="94">
        <v>459339441</v>
      </c>
      <c r="K117" s="94">
        <v>511922072</v>
      </c>
      <c r="L117" s="94">
        <v>233379464</v>
      </c>
    </row>
    <row r="118" spans="1:12">
      <c r="A118" s="140">
        <v>740</v>
      </c>
      <c r="B118" s="93" t="s">
        <v>36</v>
      </c>
      <c r="C118" s="94">
        <v>1974072560</v>
      </c>
      <c r="D118" s="94">
        <v>1727991443</v>
      </c>
      <c r="E118" s="94">
        <v>157704885</v>
      </c>
      <c r="F118" s="94">
        <v>22032301</v>
      </c>
      <c r="G118" s="94">
        <v>1291686801</v>
      </c>
      <c r="H118" s="94">
        <v>414640598</v>
      </c>
      <c r="I118" s="94">
        <v>9383313</v>
      </c>
      <c r="J118" s="94">
        <v>198347127</v>
      </c>
      <c r="K118" s="94">
        <v>226649366</v>
      </c>
      <c r="L118" s="94">
        <v>136056546</v>
      </c>
    </row>
    <row r="119" spans="1:12">
      <c r="A119" s="140">
        <v>750</v>
      </c>
      <c r="B119" s="93" t="s">
        <v>37</v>
      </c>
      <c r="C119" s="94">
        <v>11317427262</v>
      </c>
      <c r="D119" s="94">
        <v>7879050133</v>
      </c>
      <c r="E119" s="94">
        <v>2998166959</v>
      </c>
      <c r="F119" s="94">
        <v>118654728</v>
      </c>
      <c r="G119" s="94">
        <v>8863432869</v>
      </c>
      <c r="H119" s="94">
        <v>2834892577</v>
      </c>
      <c r="I119" s="94">
        <v>100852637</v>
      </c>
      <c r="J119" s="94">
        <v>1881066436</v>
      </c>
      <c r="K119" s="94">
        <v>984369089</v>
      </c>
      <c r="L119" s="94">
        <v>563745050</v>
      </c>
    </row>
    <row r="120" spans="1:12">
      <c r="A120" s="140">
        <v>761</v>
      </c>
      <c r="B120" s="93" t="s">
        <v>125</v>
      </c>
      <c r="C120" s="94">
        <v>7145385749</v>
      </c>
      <c r="D120" s="94">
        <v>6188849646</v>
      </c>
      <c r="E120" s="94">
        <v>760645531</v>
      </c>
      <c r="F120" s="94">
        <v>98589054</v>
      </c>
      <c r="G120" s="94">
        <v>6636316694</v>
      </c>
      <c r="H120" s="94">
        <v>2306233082</v>
      </c>
      <c r="I120" s="94">
        <v>230994034</v>
      </c>
      <c r="J120" s="94">
        <v>871151812</v>
      </c>
      <c r="K120" s="94">
        <v>1349776954</v>
      </c>
      <c r="L120" s="94">
        <v>320144475</v>
      </c>
    </row>
    <row r="121" spans="1:12">
      <c r="A121" s="140">
        <v>762</v>
      </c>
      <c r="B121" s="93" t="s">
        <v>126</v>
      </c>
      <c r="C121" s="94">
        <v>1094355271</v>
      </c>
      <c r="D121" s="94">
        <v>880651345</v>
      </c>
      <c r="E121" s="94">
        <v>122613904</v>
      </c>
      <c r="F121" s="94">
        <v>10661794</v>
      </c>
      <c r="G121" s="94">
        <v>1365298818</v>
      </c>
      <c r="H121" s="94">
        <v>411355321</v>
      </c>
      <c r="I121" s="94">
        <v>8619067</v>
      </c>
      <c r="J121" s="94">
        <v>122816288</v>
      </c>
      <c r="K121" s="94">
        <v>168652220</v>
      </c>
      <c r="L121" s="94">
        <v>67920950</v>
      </c>
    </row>
    <row r="122" spans="1:12">
      <c r="A122" s="140">
        <v>770</v>
      </c>
      <c r="B122" s="93" t="s">
        <v>39</v>
      </c>
      <c r="C122" s="94">
        <v>13621947274</v>
      </c>
      <c r="D122" s="94">
        <v>11761880410</v>
      </c>
      <c r="E122" s="94">
        <v>1325503926</v>
      </c>
      <c r="F122" s="94">
        <v>64878577</v>
      </c>
      <c r="G122" s="94">
        <v>10398506430</v>
      </c>
      <c r="H122" s="94">
        <v>2356781102</v>
      </c>
      <c r="I122" s="94">
        <v>49313210</v>
      </c>
      <c r="J122" s="94">
        <v>1749138761</v>
      </c>
      <c r="K122" s="94">
        <v>1713007023</v>
      </c>
      <c r="L122" s="94">
        <v>914747754</v>
      </c>
    </row>
    <row r="123" spans="1:12">
      <c r="A123" s="140">
        <v>791</v>
      </c>
      <c r="B123" s="93" t="s">
        <v>127</v>
      </c>
      <c r="C123" s="94">
        <v>10297636143</v>
      </c>
      <c r="D123" s="94">
        <v>6950460183</v>
      </c>
      <c r="E123" s="94">
        <v>2831905426</v>
      </c>
      <c r="F123" s="94">
        <v>175989696</v>
      </c>
      <c r="G123" s="94">
        <v>13811883211</v>
      </c>
      <c r="H123" s="94">
        <v>5024004768</v>
      </c>
      <c r="I123" s="94">
        <v>63074381</v>
      </c>
      <c r="J123" s="94">
        <v>1267509852</v>
      </c>
      <c r="K123" s="94">
        <v>676395342</v>
      </c>
      <c r="L123" s="94">
        <v>706633553</v>
      </c>
    </row>
    <row r="124" spans="1:12">
      <c r="A124" s="140">
        <v>792</v>
      </c>
      <c r="B124" s="93" t="s">
        <v>128</v>
      </c>
      <c r="C124" s="94">
        <v>6753147853</v>
      </c>
      <c r="D124" s="94">
        <v>5116556453</v>
      </c>
      <c r="E124" s="94">
        <v>1265413500</v>
      </c>
      <c r="F124" s="94">
        <v>81591925</v>
      </c>
      <c r="G124" s="94">
        <v>8209321913</v>
      </c>
      <c r="H124" s="94">
        <v>2744521367</v>
      </c>
      <c r="I124" s="94">
        <v>279008174</v>
      </c>
      <c r="J124" s="94">
        <v>655926217</v>
      </c>
      <c r="K124" s="94">
        <v>856236427</v>
      </c>
      <c r="L124" s="94">
        <v>471225219</v>
      </c>
    </row>
    <row r="125" spans="1:12">
      <c r="A125" s="140">
        <v>793</v>
      </c>
      <c r="B125" s="93" t="s">
        <v>129</v>
      </c>
      <c r="C125" s="94">
        <v>4352783722</v>
      </c>
      <c r="D125" s="94">
        <v>3455579205</v>
      </c>
      <c r="E125" s="94">
        <v>744209644</v>
      </c>
      <c r="F125" s="94">
        <v>70333009</v>
      </c>
      <c r="G125" s="94">
        <v>4622660098</v>
      </c>
      <c r="H125" s="94">
        <v>1922422207</v>
      </c>
      <c r="I125" s="94">
        <v>27395180</v>
      </c>
      <c r="J125" s="94">
        <v>525456467</v>
      </c>
      <c r="K125" s="94">
        <v>353651362</v>
      </c>
      <c r="L125" s="94">
        <v>501476736</v>
      </c>
    </row>
    <row r="126" spans="1:12">
      <c r="A126" s="140">
        <v>794</v>
      </c>
      <c r="B126" s="93" t="s">
        <v>130</v>
      </c>
      <c r="C126" s="94">
        <v>11380204471</v>
      </c>
      <c r="D126" s="94">
        <v>8515540564</v>
      </c>
      <c r="E126" s="94">
        <v>2114780910</v>
      </c>
      <c r="F126" s="94">
        <v>110877723</v>
      </c>
      <c r="G126" s="94">
        <v>9399124713</v>
      </c>
      <c r="H126" s="94">
        <v>3778286994</v>
      </c>
      <c r="I126" s="94">
        <v>73921775</v>
      </c>
      <c r="J126" s="94">
        <v>1251271776</v>
      </c>
      <c r="K126" s="94">
        <v>1161746015</v>
      </c>
      <c r="L126" s="94">
        <v>884228296</v>
      </c>
    </row>
    <row r="127" spans="1:12">
      <c r="A127" s="140">
        <v>795</v>
      </c>
      <c r="B127" s="93" t="s">
        <v>131</v>
      </c>
      <c r="C127" s="94">
        <v>9735464337</v>
      </c>
      <c r="D127" s="94">
        <v>6836892088</v>
      </c>
      <c r="E127" s="94">
        <v>2254559976</v>
      </c>
      <c r="F127" s="94">
        <v>205261556</v>
      </c>
      <c r="G127" s="94">
        <v>10805365696</v>
      </c>
      <c r="H127" s="94">
        <v>3797752475</v>
      </c>
      <c r="I127" s="94">
        <v>147399473</v>
      </c>
      <c r="J127" s="94">
        <v>1343955977</v>
      </c>
      <c r="K127" s="94">
        <v>2879101029</v>
      </c>
      <c r="L127" s="94">
        <v>678505246</v>
      </c>
    </row>
    <row r="128" spans="1:12">
      <c r="A128" s="140">
        <v>799</v>
      </c>
      <c r="B128" s="93" t="s">
        <v>132</v>
      </c>
      <c r="C128" s="94">
        <v>9735464337</v>
      </c>
      <c r="D128" s="94">
        <v>6836892088</v>
      </c>
      <c r="E128" s="94">
        <v>2254559976</v>
      </c>
      <c r="F128" s="94">
        <v>205261556</v>
      </c>
      <c r="G128" s="94">
        <v>10805365696</v>
      </c>
      <c r="H128" s="94">
        <v>3797752475</v>
      </c>
      <c r="I128" s="94">
        <v>147399473</v>
      </c>
      <c r="J128" s="94">
        <v>1343955977</v>
      </c>
      <c r="K128" s="94">
        <v>2879101029</v>
      </c>
      <c r="L128" s="94">
        <v>678505246</v>
      </c>
    </row>
    <row r="129" spans="1:12">
      <c r="A129" s="140">
        <v>811</v>
      </c>
      <c r="B129" s="93" t="s">
        <v>133</v>
      </c>
      <c r="C129" s="94">
        <v>3696627084</v>
      </c>
      <c r="D129" s="94">
        <v>1702285694</v>
      </c>
      <c r="E129" s="94">
        <v>1269030232</v>
      </c>
      <c r="F129" s="94">
        <v>37322173</v>
      </c>
      <c r="G129" s="94">
        <v>7158298051</v>
      </c>
      <c r="H129" s="94">
        <v>1947261168</v>
      </c>
      <c r="I129" s="94">
        <v>2960980750</v>
      </c>
      <c r="J129" s="94">
        <v>742942622</v>
      </c>
      <c r="K129" s="94">
        <v>256073892</v>
      </c>
      <c r="L129" s="94">
        <v>213357241</v>
      </c>
    </row>
    <row r="130" spans="1:12">
      <c r="A130" s="140">
        <v>812</v>
      </c>
      <c r="B130" s="93" t="s">
        <v>134</v>
      </c>
      <c r="C130" s="94">
        <v>3640429151</v>
      </c>
      <c r="D130" s="94">
        <v>1982865893</v>
      </c>
      <c r="E130" s="94">
        <v>1167939485</v>
      </c>
      <c r="F130" s="94">
        <v>35203902</v>
      </c>
      <c r="G130" s="94">
        <v>6758200596</v>
      </c>
      <c r="H130" s="94">
        <v>2778954882</v>
      </c>
      <c r="I130" s="94">
        <v>194362570</v>
      </c>
      <c r="J130" s="94">
        <v>858534257</v>
      </c>
      <c r="K130" s="94">
        <v>393714529</v>
      </c>
      <c r="L130" s="94">
        <v>172023990</v>
      </c>
    </row>
    <row r="131" spans="1:12">
      <c r="A131" s="140">
        <v>821</v>
      </c>
      <c r="B131" s="93" t="s">
        <v>146</v>
      </c>
      <c r="C131" s="94">
        <v>9567424250</v>
      </c>
      <c r="D131" s="94">
        <v>5887678715</v>
      </c>
      <c r="E131" s="94">
        <v>3101633079</v>
      </c>
      <c r="F131" s="94">
        <v>261679254</v>
      </c>
      <c r="G131" s="94">
        <v>12761746775</v>
      </c>
      <c r="H131" s="94">
        <v>5952556058</v>
      </c>
      <c r="I131" s="94">
        <v>616849269</v>
      </c>
      <c r="J131" s="94">
        <v>1005082983</v>
      </c>
      <c r="K131" s="94">
        <v>999668081</v>
      </c>
      <c r="L131" s="94">
        <v>644388699</v>
      </c>
    </row>
    <row r="132" spans="1:12">
      <c r="A132" s="140">
        <v>822</v>
      </c>
      <c r="B132" s="93" t="s">
        <v>146</v>
      </c>
      <c r="C132" s="94">
        <v>14810762</v>
      </c>
      <c r="D132" s="94">
        <v>12280972</v>
      </c>
      <c r="E132" s="94">
        <v>2688709</v>
      </c>
      <c r="F132" s="94">
        <v>979128</v>
      </c>
      <c r="G132" s="94">
        <v>28945217</v>
      </c>
      <c r="H132" s="94">
        <v>24115539</v>
      </c>
      <c r="I132" s="94">
        <v>387035</v>
      </c>
      <c r="J132" s="94">
        <v>319641</v>
      </c>
      <c r="K132" s="94">
        <v>1472917</v>
      </c>
      <c r="L132" s="94">
        <v>1685240</v>
      </c>
    </row>
    <row r="133" spans="1:12">
      <c r="A133" s="140">
        <v>911</v>
      </c>
      <c r="B133" s="93" t="s">
        <v>135</v>
      </c>
      <c r="C133" s="94">
        <v>3755660276</v>
      </c>
      <c r="D133" s="94">
        <v>2934661387</v>
      </c>
      <c r="E133" s="94">
        <v>620684176</v>
      </c>
      <c r="F133" s="94">
        <v>52199315</v>
      </c>
      <c r="G133" s="94">
        <v>4515081897</v>
      </c>
      <c r="H133" s="94">
        <v>1279350420</v>
      </c>
      <c r="I133" s="94">
        <v>41489188</v>
      </c>
      <c r="J133" s="94">
        <v>606717498</v>
      </c>
      <c r="K133" s="94">
        <v>421929305</v>
      </c>
      <c r="L133" s="94">
        <v>390072092</v>
      </c>
    </row>
    <row r="134" spans="1:12">
      <c r="A134" s="140">
        <v>912</v>
      </c>
      <c r="B134" s="93" t="s">
        <v>136</v>
      </c>
      <c r="C134" s="94">
        <v>2138940161</v>
      </c>
      <c r="D134" s="94">
        <v>1500218197</v>
      </c>
      <c r="E134" s="94">
        <v>508978659</v>
      </c>
      <c r="F134" s="94">
        <v>31626179</v>
      </c>
      <c r="G134" s="94">
        <v>2040980330</v>
      </c>
      <c r="H134" s="94">
        <v>620261082</v>
      </c>
      <c r="I134" s="94">
        <v>216104987</v>
      </c>
      <c r="J134" s="94">
        <v>294659667</v>
      </c>
      <c r="K134" s="94">
        <v>186736813</v>
      </c>
      <c r="L134" s="94">
        <v>163409793</v>
      </c>
    </row>
    <row r="135" spans="1:12">
      <c r="A135" s="140">
        <v>913</v>
      </c>
      <c r="B135" s="93" t="s">
        <v>137</v>
      </c>
      <c r="C135" s="94">
        <v>77192223901</v>
      </c>
      <c r="D135" s="94">
        <v>65744066700</v>
      </c>
      <c r="E135" s="94">
        <v>7495084713</v>
      </c>
      <c r="F135" s="94">
        <v>1927458400</v>
      </c>
      <c r="G135" s="94">
        <v>77661139878</v>
      </c>
      <c r="H135" s="94">
        <v>34931295862</v>
      </c>
      <c r="I135" s="94">
        <v>818896511</v>
      </c>
      <c r="J135" s="94">
        <v>15083683099</v>
      </c>
      <c r="K135" s="94">
        <v>8152157911</v>
      </c>
      <c r="L135" s="94">
        <v>7762795289</v>
      </c>
    </row>
    <row r="136" spans="1:12">
      <c r="A136" s="140">
        <v>914</v>
      </c>
      <c r="B136" s="93" t="s">
        <v>138</v>
      </c>
      <c r="C136" s="94">
        <v>13158817116</v>
      </c>
      <c r="D136" s="94">
        <v>8517724708</v>
      </c>
      <c r="E136" s="94">
        <v>3582707968</v>
      </c>
      <c r="F136" s="94">
        <v>204060887</v>
      </c>
      <c r="G136" s="94">
        <v>12094383715</v>
      </c>
      <c r="H136" s="94">
        <v>3667601157</v>
      </c>
      <c r="I136" s="94">
        <v>137496979</v>
      </c>
      <c r="J136" s="94">
        <v>1830805927</v>
      </c>
      <c r="K136" s="94">
        <v>1309879479</v>
      </c>
      <c r="L136" s="94">
        <v>947305437</v>
      </c>
    </row>
    <row r="137" spans="1:12">
      <c r="A137" s="140">
        <v>915</v>
      </c>
      <c r="B137" s="93" t="s">
        <v>139</v>
      </c>
      <c r="C137" s="94">
        <v>31838331056</v>
      </c>
      <c r="D137" s="94">
        <v>27088993549</v>
      </c>
      <c r="E137" s="94">
        <v>3005371571</v>
      </c>
      <c r="F137" s="94">
        <v>768191149</v>
      </c>
      <c r="G137" s="94">
        <v>33002250660</v>
      </c>
      <c r="H137" s="94">
        <v>14059204609</v>
      </c>
      <c r="I137" s="94">
        <v>488101648</v>
      </c>
      <c r="J137" s="94">
        <v>5999677493</v>
      </c>
      <c r="K137" s="94">
        <v>3084433512</v>
      </c>
      <c r="L137" s="94">
        <v>2951920406</v>
      </c>
    </row>
    <row r="138" spans="1:12">
      <c r="A138" s="140">
        <v>919</v>
      </c>
      <c r="B138" s="93" t="s">
        <v>140</v>
      </c>
      <c r="C138" s="94">
        <v>9847673909</v>
      </c>
      <c r="D138" s="94">
        <v>8304266463</v>
      </c>
      <c r="E138" s="94">
        <v>1293043787</v>
      </c>
      <c r="F138" s="94">
        <v>201713486</v>
      </c>
      <c r="G138" s="94">
        <v>12956620119</v>
      </c>
      <c r="H138" s="94">
        <v>5347766965</v>
      </c>
      <c r="I138" s="94">
        <v>676539428</v>
      </c>
      <c r="J138" s="94">
        <v>1924479630</v>
      </c>
      <c r="K138" s="94">
        <v>1074723912</v>
      </c>
      <c r="L138" s="94">
        <v>1069447237</v>
      </c>
    </row>
    <row r="139" spans="1:12">
      <c r="A139" s="140">
        <v>921</v>
      </c>
      <c r="B139" s="93" t="s">
        <v>141</v>
      </c>
      <c r="C139" s="94">
        <v>4423138693</v>
      </c>
      <c r="D139" s="94">
        <v>3150912246</v>
      </c>
      <c r="E139" s="94">
        <v>1521226205</v>
      </c>
      <c r="F139" s="94">
        <v>91714375</v>
      </c>
      <c r="G139" s="94">
        <v>7690032156</v>
      </c>
      <c r="H139" s="94">
        <v>2737675652</v>
      </c>
      <c r="I139" s="94">
        <v>988757059</v>
      </c>
      <c r="J139" s="94">
        <v>443914835</v>
      </c>
      <c r="K139" s="94">
        <v>238417530</v>
      </c>
      <c r="L139" s="94">
        <v>138767424</v>
      </c>
    </row>
    <row r="140" spans="1:12">
      <c r="A140" s="140">
        <v>922</v>
      </c>
      <c r="B140" s="93" t="s">
        <v>142</v>
      </c>
      <c r="C140" s="94">
        <v>70197659097</v>
      </c>
      <c r="D140" s="94">
        <v>38802486507</v>
      </c>
      <c r="E140" s="94">
        <v>26991157560</v>
      </c>
      <c r="F140" s="94">
        <v>1241845321</v>
      </c>
      <c r="G140" s="94">
        <v>76341655293</v>
      </c>
      <c r="H140" s="94">
        <v>12483415967</v>
      </c>
      <c r="I140" s="94">
        <v>7557531329</v>
      </c>
      <c r="J140" s="94">
        <v>13908655120</v>
      </c>
      <c r="K140" s="94">
        <v>2637644431</v>
      </c>
      <c r="L140" s="94">
        <v>5793106674</v>
      </c>
    </row>
    <row r="141" spans="1:12">
      <c r="A141" s="140">
        <v>923</v>
      </c>
      <c r="B141" s="93" t="s">
        <v>143</v>
      </c>
      <c r="C141" s="94">
        <v>3275009817</v>
      </c>
      <c r="D141" s="94">
        <v>1236939402</v>
      </c>
      <c r="E141" s="94">
        <v>1699663330</v>
      </c>
      <c r="F141" s="94">
        <v>161194616</v>
      </c>
      <c r="G141" s="94">
        <v>3279405728</v>
      </c>
      <c r="H141" s="94">
        <v>1353095235</v>
      </c>
      <c r="I141" s="94">
        <v>98521410</v>
      </c>
      <c r="J141" s="94">
        <v>515820697</v>
      </c>
      <c r="K141" s="94">
        <v>27109285</v>
      </c>
      <c r="L141" s="94">
        <v>49973946</v>
      </c>
    </row>
    <row r="142" spans="1:12">
      <c r="A142" s="140">
        <v>924</v>
      </c>
      <c r="B142" s="93" t="s">
        <v>144</v>
      </c>
      <c r="C142" s="94">
        <v>14477284778</v>
      </c>
      <c r="D142" s="94">
        <v>10733733997</v>
      </c>
      <c r="E142" s="94">
        <v>2954040631</v>
      </c>
      <c r="F142" s="94">
        <v>466446060</v>
      </c>
      <c r="G142" s="94">
        <v>16966630342</v>
      </c>
      <c r="H142" s="94">
        <v>7915629902</v>
      </c>
      <c r="I142" s="94">
        <v>862679708</v>
      </c>
      <c r="J142" s="94">
        <v>1444986180</v>
      </c>
      <c r="K142" s="94">
        <v>1086590030</v>
      </c>
      <c r="L142" s="94">
        <v>422081288</v>
      </c>
    </row>
    <row r="143" spans="1:12">
      <c r="A143" s="140">
        <v>929</v>
      </c>
      <c r="B143" s="93" t="s">
        <v>145</v>
      </c>
      <c r="C143" s="94">
        <v>856135017</v>
      </c>
      <c r="D143" s="94">
        <v>431689666</v>
      </c>
      <c r="E143" s="94">
        <v>376518595</v>
      </c>
      <c r="F143" s="94">
        <v>10397802</v>
      </c>
      <c r="G143" s="94">
        <v>606674878</v>
      </c>
      <c r="H143" s="94">
        <v>139545416</v>
      </c>
      <c r="I143" s="94">
        <v>31956250</v>
      </c>
      <c r="J143" s="94">
        <v>83810352</v>
      </c>
      <c r="K143" s="94">
        <v>8128135</v>
      </c>
      <c r="L143" s="94">
        <v>24313738</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O143"/>
  <sheetViews>
    <sheetView topLeftCell="A103" workbookViewId="0">
      <selection activeCell="A3" sqref="A3:A143"/>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9" width="10.88671875" style="95" bestFit="1" customWidth="1"/>
    <col min="10"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1605</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1606</v>
      </c>
      <c r="N2" s="89" t="s">
        <v>1608</v>
      </c>
      <c r="O2" s="89" t="s">
        <v>1610</v>
      </c>
    </row>
    <row r="3" spans="1:15">
      <c r="A3" s="140">
        <v>11</v>
      </c>
      <c r="B3" s="93" t="s">
        <v>18</v>
      </c>
      <c r="C3" s="94">
        <v>907202526</v>
      </c>
      <c r="D3" s="94">
        <v>687732968</v>
      </c>
      <c r="E3" s="94">
        <v>176266321</v>
      </c>
      <c r="F3" s="94">
        <v>21611152</v>
      </c>
      <c r="G3" s="94">
        <v>1532303794</v>
      </c>
      <c r="H3" s="94">
        <v>868745646</v>
      </c>
      <c r="I3" s="94">
        <v>17186536</v>
      </c>
      <c r="J3" s="94">
        <v>120372763</v>
      </c>
      <c r="K3" s="94">
        <v>227749542</v>
      </c>
      <c r="L3" s="94">
        <v>36490719</v>
      </c>
    </row>
    <row r="4" spans="1:15">
      <c r="A4" s="140">
        <v>12</v>
      </c>
      <c r="B4" s="93" t="s">
        <v>2</v>
      </c>
      <c r="C4" s="94">
        <v>3028382136</v>
      </c>
      <c r="D4" s="94">
        <v>2840062087</v>
      </c>
      <c r="E4" s="94">
        <v>212641979</v>
      </c>
      <c r="F4" s="94">
        <v>94388749</v>
      </c>
      <c r="G4" s="94">
        <v>3609591445</v>
      </c>
      <c r="H4" s="94">
        <v>1908519064</v>
      </c>
      <c r="I4" s="94">
        <v>5454058</v>
      </c>
      <c r="J4" s="94">
        <v>277367521</v>
      </c>
      <c r="K4" s="94">
        <v>602335395</v>
      </c>
      <c r="L4" s="94">
        <v>398384746</v>
      </c>
    </row>
    <row r="5" spans="1:15">
      <c r="A5" s="140">
        <v>21</v>
      </c>
      <c r="B5" s="93" t="s">
        <v>19</v>
      </c>
      <c r="C5" s="94">
        <v>54007001775</v>
      </c>
      <c r="D5" s="94">
        <v>35727574835</v>
      </c>
      <c r="E5" s="94">
        <v>13607095092</v>
      </c>
      <c r="F5" s="94">
        <v>920202920</v>
      </c>
      <c r="G5" s="94">
        <v>69601423673</v>
      </c>
      <c r="H5" s="94">
        <v>23524040532</v>
      </c>
      <c r="I5" s="94">
        <v>2259727674</v>
      </c>
      <c r="J5" s="94">
        <v>12038906635</v>
      </c>
      <c r="K5" s="94">
        <v>8713326770</v>
      </c>
      <c r="L5" s="94">
        <v>4248987741</v>
      </c>
    </row>
    <row r="6" spans="1:15">
      <c r="A6" s="140">
        <v>22</v>
      </c>
      <c r="B6" s="93" t="s">
        <v>20</v>
      </c>
      <c r="C6" s="94">
        <v>138245267555</v>
      </c>
      <c r="D6" s="94">
        <v>112187462765</v>
      </c>
      <c r="E6" s="94">
        <v>18718141846</v>
      </c>
      <c r="F6" s="94">
        <v>3046197119</v>
      </c>
      <c r="G6" s="94">
        <v>144795400199</v>
      </c>
      <c r="H6" s="94">
        <v>58240876753</v>
      </c>
      <c r="I6" s="94">
        <v>3013785304</v>
      </c>
      <c r="J6" s="94">
        <v>28817590423</v>
      </c>
      <c r="K6" s="94">
        <v>16151805450</v>
      </c>
      <c r="L6" s="94">
        <v>13390557726</v>
      </c>
    </row>
    <row r="7" spans="1:15">
      <c r="A7" s="140">
        <v>23</v>
      </c>
      <c r="B7" s="93" t="s">
        <v>21</v>
      </c>
      <c r="C7" s="94">
        <v>86301554109</v>
      </c>
      <c r="D7" s="94">
        <v>53142316141</v>
      </c>
      <c r="E7" s="94">
        <v>27831388451</v>
      </c>
      <c r="F7" s="94">
        <v>1566758830</v>
      </c>
      <c r="G7" s="94">
        <v>93185951392</v>
      </c>
      <c r="H7" s="94">
        <v>22182009256</v>
      </c>
      <c r="I7" s="94">
        <v>5773805756</v>
      </c>
      <c r="J7" s="94">
        <v>16290147743</v>
      </c>
      <c r="K7" s="94">
        <v>3450027201</v>
      </c>
      <c r="L7" s="94">
        <v>6216454486</v>
      </c>
    </row>
    <row r="8" spans="1:15">
      <c r="A8" s="140">
        <v>31</v>
      </c>
      <c r="B8" s="93" t="s">
        <v>22</v>
      </c>
      <c r="C8" s="94">
        <v>39438729</v>
      </c>
      <c r="D8" s="94">
        <v>19937599</v>
      </c>
      <c r="E8" s="94">
        <v>16439959</v>
      </c>
      <c r="F8" s="94">
        <v>2491223</v>
      </c>
      <c r="G8" s="94">
        <v>144436031</v>
      </c>
      <c r="H8" s="94">
        <v>116009037</v>
      </c>
      <c r="I8" s="94">
        <v>711933</v>
      </c>
      <c r="J8" s="94">
        <v>3116135</v>
      </c>
      <c r="K8" s="94">
        <v>4437307</v>
      </c>
      <c r="L8" s="94">
        <v>886288</v>
      </c>
    </row>
    <row r="9" spans="1:15">
      <c r="A9" s="140">
        <v>39</v>
      </c>
      <c r="B9" s="93" t="s">
        <v>23</v>
      </c>
      <c r="C9" s="94">
        <v>3503561</v>
      </c>
      <c r="D9" s="94">
        <v>3325773</v>
      </c>
      <c r="E9" s="94">
        <v>194951</v>
      </c>
      <c r="F9" s="94">
        <v>173565</v>
      </c>
      <c r="G9" s="94">
        <v>6768803</v>
      </c>
      <c r="H9" s="94">
        <v>3765626</v>
      </c>
      <c r="I9" s="94">
        <v>2500</v>
      </c>
      <c r="J9" s="94">
        <v>261677</v>
      </c>
      <c r="K9" s="94">
        <v>113274</v>
      </c>
      <c r="L9" s="94">
        <v>275880</v>
      </c>
    </row>
    <row r="10" spans="1:15">
      <c r="A10" s="140">
        <v>41</v>
      </c>
      <c r="B10" s="93" t="s">
        <v>24</v>
      </c>
      <c r="C10" s="94">
        <v>9014393482</v>
      </c>
      <c r="D10" s="94">
        <v>7400134719</v>
      </c>
      <c r="E10" s="94">
        <v>1215825288</v>
      </c>
      <c r="F10" s="94">
        <v>128266227</v>
      </c>
      <c r="G10" s="94">
        <v>9256062850</v>
      </c>
      <c r="H10" s="94">
        <v>4127244370</v>
      </c>
      <c r="I10" s="94">
        <v>50032931</v>
      </c>
      <c r="J10" s="94">
        <v>1555837539</v>
      </c>
      <c r="K10" s="94">
        <v>1130766779</v>
      </c>
      <c r="L10" s="94">
        <v>907326040</v>
      </c>
    </row>
    <row r="11" spans="1:15">
      <c r="A11" s="140">
        <v>42</v>
      </c>
      <c r="B11" s="93" t="s">
        <v>25</v>
      </c>
      <c r="C11" s="94">
        <v>15320195409</v>
      </c>
      <c r="D11" s="94">
        <v>10421579361</v>
      </c>
      <c r="E11" s="94">
        <v>3978310065</v>
      </c>
      <c r="F11" s="94">
        <v>299198825</v>
      </c>
      <c r="G11" s="94">
        <v>16397920519</v>
      </c>
      <c r="H11" s="94">
        <v>7788867244</v>
      </c>
      <c r="I11" s="94">
        <v>263278197</v>
      </c>
      <c r="J11" s="94">
        <v>2310917276</v>
      </c>
      <c r="K11" s="94">
        <v>1823523421</v>
      </c>
      <c r="L11" s="94">
        <v>1054638452</v>
      </c>
    </row>
    <row r="12" spans="1:15">
      <c r="A12" s="140">
        <v>43</v>
      </c>
      <c r="B12" s="93" t="s">
        <v>26</v>
      </c>
      <c r="C12" s="94">
        <v>38331177694</v>
      </c>
      <c r="D12" s="94">
        <v>31973421291</v>
      </c>
      <c r="E12" s="94">
        <v>4362187962</v>
      </c>
      <c r="F12" s="94">
        <v>773120287</v>
      </c>
      <c r="G12" s="94">
        <v>37203004504</v>
      </c>
      <c r="H12" s="94">
        <v>14218812873</v>
      </c>
      <c r="I12" s="94">
        <v>1212753752</v>
      </c>
      <c r="J12" s="94">
        <v>7653980164</v>
      </c>
      <c r="K12" s="94">
        <v>4655281550</v>
      </c>
      <c r="L12" s="94">
        <v>3958794230</v>
      </c>
    </row>
    <row r="13" spans="1:15">
      <c r="A13" s="140">
        <v>44</v>
      </c>
      <c r="B13" s="93" t="s">
        <v>27</v>
      </c>
      <c r="C13" s="94">
        <v>66852794037</v>
      </c>
      <c r="D13" s="94">
        <v>40862679516</v>
      </c>
      <c r="E13" s="94">
        <v>22387776326</v>
      </c>
      <c r="F13" s="94">
        <v>1314217618</v>
      </c>
      <c r="G13" s="94">
        <v>71480891731</v>
      </c>
      <c r="H13" s="94">
        <v>17610653220</v>
      </c>
      <c r="I13" s="94">
        <v>5542350058</v>
      </c>
      <c r="J13" s="94">
        <v>11802388529</v>
      </c>
      <c r="K13" s="94">
        <v>3013279429</v>
      </c>
      <c r="L13" s="94">
        <v>4779465132</v>
      </c>
    </row>
    <row r="14" spans="1:15">
      <c r="A14" s="140">
        <v>51</v>
      </c>
      <c r="B14" s="93" t="s">
        <v>28</v>
      </c>
      <c r="C14" s="94">
        <v>2354364153</v>
      </c>
      <c r="D14" s="94">
        <v>2169705525</v>
      </c>
      <c r="E14" s="94">
        <v>180782996</v>
      </c>
      <c r="F14" s="94">
        <v>24427372</v>
      </c>
      <c r="G14" s="94">
        <v>2952162540</v>
      </c>
      <c r="H14" s="94">
        <v>949430341</v>
      </c>
      <c r="I14" s="94">
        <v>4069083</v>
      </c>
      <c r="J14" s="94">
        <v>166938324</v>
      </c>
      <c r="K14" s="94">
        <v>355639517</v>
      </c>
      <c r="L14" s="94">
        <v>111792992</v>
      </c>
    </row>
    <row r="15" spans="1:15">
      <c r="A15" s="140">
        <v>52</v>
      </c>
      <c r="B15" s="93" t="s">
        <v>29</v>
      </c>
      <c r="C15" s="94">
        <v>149199886</v>
      </c>
      <c r="D15" s="94">
        <v>127745212</v>
      </c>
      <c r="E15" s="94">
        <v>15597121</v>
      </c>
      <c r="F15" s="94">
        <v>5754435</v>
      </c>
      <c r="G15" s="94">
        <v>285070845</v>
      </c>
      <c r="H15" s="94">
        <v>130565151</v>
      </c>
      <c r="I15" s="94">
        <v>8727863</v>
      </c>
      <c r="J15" s="94">
        <v>16793664</v>
      </c>
      <c r="K15" s="94">
        <v>81343709</v>
      </c>
      <c r="L15" s="94">
        <v>8446266</v>
      </c>
    </row>
    <row r="16" spans="1:15">
      <c r="A16" s="140">
        <v>61</v>
      </c>
      <c r="B16" s="93" t="s">
        <v>30</v>
      </c>
      <c r="C16" s="94">
        <v>100153928364</v>
      </c>
      <c r="D16" s="94">
        <v>88455617926</v>
      </c>
      <c r="E16" s="94">
        <v>7011935068</v>
      </c>
      <c r="F16" s="94">
        <v>362488711</v>
      </c>
      <c r="G16" s="94">
        <v>73563090526</v>
      </c>
      <c r="H16" s="94">
        <v>29712467115</v>
      </c>
      <c r="I16" s="94">
        <v>780903571</v>
      </c>
      <c r="J16" s="94">
        <v>11394569182</v>
      </c>
      <c r="K16" s="94">
        <v>8434920628</v>
      </c>
      <c r="L16" s="94">
        <v>6983149170</v>
      </c>
    </row>
    <row r="17" spans="1:12">
      <c r="A17" s="140">
        <v>62</v>
      </c>
      <c r="B17" s="93" t="s">
        <v>31</v>
      </c>
      <c r="C17" s="94">
        <v>352312824900</v>
      </c>
      <c r="D17" s="94">
        <v>300960699030</v>
      </c>
      <c r="E17" s="94">
        <v>36583370940</v>
      </c>
      <c r="F17" s="94">
        <v>6407152910</v>
      </c>
      <c r="G17" s="94">
        <v>382596466324</v>
      </c>
      <c r="H17" s="94">
        <v>134779099871</v>
      </c>
      <c r="I17" s="94">
        <v>6309110208</v>
      </c>
      <c r="J17" s="94">
        <v>82383465265</v>
      </c>
      <c r="K17" s="94">
        <v>34188595514</v>
      </c>
      <c r="L17" s="94">
        <v>36943176495</v>
      </c>
    </row>
    <row r="18" spans="1:12">
      <c r="A18" s="140">
        <v>63</v>
      </c>
      <c r="B18" s="93" t="s">
        <v>32</v>
      </c>
      <c r="C18" s="94">
        <v>99502723407</v>
      </c>
      <c r="D18" s="94">
        <v>64200085732</v>
      </c>
      <c r="E18" s="94">
        <v>30047904448</v>
      </c>
      <c r="F18" s="94">
        <v>1680638478</v>
      </c>
      <c r="G18" s="94">
        <v>97619106361</v>
      </c>
      <c r="H18" s="94">
        <v>24066924436</v>
      </c>
      <c r="I18" s="94">
        <v>6092675984</v>
      </c>
      <c r="J18" s="94">
        <v>17621649070</v>
      </c>
      <c r="K18" s="94">
        <v>3715195108</v>
      </c>
      <c r="L18" s="94">
        <v>6929716759</v>
      </c>
    </row>
    <row r="19" spans="1:12">
      <c r="A19" s="140">
        <v>71</v>
      </c>
      <c r="B19" s="93" t="s">
        <v>33</v>
      </c>
      <c r="C19" s="94">
        <v>12524485181</v>
      </c>
      <c r="D19" s="94">
        <v>11086893157</v>
      </c>
      <c r="E19" s="94">
        <v>1161131949</v>
      </c>
      <c r="F19" s="94">
        <v>178607236</v>
      </c>
      <c r="G19" s="94">
        <v>6753594687</v>
      </c>
      <c r="H19" s="94">
        <v>3167895965</v>
      </c>
      <c r="I19" s="94">
        <v>27632787</v>
      </c>
      <c r="J19" s="94">
        <v>1156512836</v>
      </c>
      <c r="K19" s="94">
        <v>878075994</v>
      </c>
      <c r="L19" s="94">
        <v>618212285</v>
      </c>
    </row>
    <row r="20" spans="1:12">
      <c r="A20" s="140">
        <v>72</v>
      </c>
      <c r="B20" s="93" t="s">
        <v>34</v>
      </c>
      <c r="C20" s="94">
        <v>5848717762</v>
      </c>
      <c r="D20" s="94">
        <v>4821641838</v>
      </c>
      <c r="E20" s="94">
        <v>833430757</v>
      </c>
      <c r="F20" s="94">
        <v>65983780</v>
      </c>
      <c r="G20" s="94">
        <v>4257899630</v>
      </c>
      <c r="H20" s="94">
        <v>1643060550</v>
      </c>
      <c r="I20" s="94">
        <v>17978614</v>
      </c>
      <c r="J20" s="94">
        <v>569342068</v>
      </c>
      <c r="K20" s="94">
        <v>888137177</v>
      </c>
      <c r="L20" s="94">
        <v>315220445</v>
      </c>
    </row>
    <row r="21" spans="1:12">
      <c r="A21" s="140">
        <v>73</v>
      </c>
      <c r="B21" s="93" t="s">
        <v>35</v>
      </c>
      <c r="C21" s="94">
        <v>3032656012</v>
      </c>
      <c r="D21" s="94">
        <v>2482832963</v>
      </c>
      <c r="E21" s="94">
        <v>441043900</v>
      </c>
      <c r="F21" s="94">
        <v>63925230</v>
      </c>
      <c r="G21" s="94">
        <v>2434261480</v>
      </c>
      <c r="H21" s="94">
        <v>1090533421</v>
      </c>
      <c r="I21" s="94">
        <v>153145467</v>
      </c>
      <c r="J21" s="94">
        <v>343457761</v>
      </c>
      <c r="K21" s="94">
        <v>375768490</v>
      </c>
      <c r="L21" s="94">
        <v>183450222</v>
      </c>
    </row>
    <row r="22" spans="1:12">
      <c r="A22" s="140">
        <v>74</v>
      </c>
      <c r="B22" s="93" t="s">
        <v>36</v>
      </c>
      <c r="C22" s="94">
        <v>1727449598</v>
      </c>
      <c r="D22" s="94">
        <v>1546789541</v>
      </c>
      <c r="E22" s="94">
        <v>138562585</v>
      </c>
      <c r="F22" s="94">
        <v>13977223</v>
      </c>
      <c r="G22" s="94">
        <v>1129562370</v>
      </c>
      <c r="H22" s="94">
        <v>399058263</v>
      </c>
      <c r="I22" s="94">
        <v>7755358</v>
      </c>
      <c r="J22" s="94">
        <v>188762117</v>
      </c>
      <c r="K22" s="94">
        <v>188782982</v>
      </c>
      <c r="L22" s="94">
        <v>119765288</v>
      </c>
    </row>
    <row r="23" spans="1:12">
      <c r="A23" s="140">
        <v>75</v>
      </c>
      <c r="B23" s="93" t="s">
        <v>37</v>
      </c>
      <c r="C23" s="94">
        <v>9407670733</v>
      </c>
      <c r="D23" s="94">
        <v>6775710778</v>
      </c>
      <c r="E23" s="94">
        <v>2255878951</v>
      </c>
      <c r="F23" s="94">
        <v>82648213</v>
      </c>
      <c r="G23" s="94">
        <v>7017797539</v>
      </c>
      <c r="H23" s="94">
        <v>2286322598</v>
      </c>
      <c r="I23" s="94">
        <v>86401679</v>
      </c>
      <c r="J23" s="94">
        <v>1603655754</v>
      </c>
      <c r="K23" s="94">
        <v>735619131</v>
      </c>
      <c r="L23" s="94">
        <v>525138208</v>
      </c>
    </row>
    <row r="24" spans="1:12">
      <c r="A24" s="140">
        <v>76</v>
      </c>
      <c r="B24" s="93" t="s">
        <v>38</v>
      </c>
      <c r="C24" s="94">
        <v>6905440661</v>
      </c>
      <c r="D24" s="94">
        <v>5983075812</v>
      </c>
      <c r="E24" s="94">
        <v>724767150</v>
      </c>
      <c r="F24" s="94">
        <v>90355663</v>
      </c>
      <c r="G24" s="94">
        <v>6439426466</v>
      </c>
      <c r="H24" s="94">
        <v>2135140027</v>
      </c>
      <c r="I24" s="94">
        <v>232418984</v>
      </c>
      <c r="J24" s="94">
        <v>797058711</v>
      </c>
      <c r="K24" s="94">
        <v>1220088070</v>
      </c>
      <c r="L24" s="94">
        <v>306104977</v>
      </c>
    </row>
    <row r="25" spans="1:12">
      <c r="A25" s="140">
        <v>77</v>
      </c>
      <c r="B25" s="93" t="s">
        <v>39</v>
      </c>
      <c r="C25" s="94">
        <v>9566570586</v>
      </c>
      <c r="D25" s="94">
        <v>8350951095</v>
      </c>
      <c r="E25" s="94">
        <v>926598694</v>
      </c>
      <c r="F25" s="94">
        <v>39637283</v>
      </c>
      <c r="G25" s="94">
        <v>6414947852</v>
      </c>
      <c r="H25" s="94">
        <v>1619676900</v>
      </c>
      <c r="I25" s="94">
        <v>31309563</v>
      </c>
      <c r="J25" s="94">
        <v>1360536478</v>
      </c>
      <c r="K25" s="94">
        <v>1070710666</v>
      </c>
      <c r="L25" s="94">
        <v>569118111</v>
      </c>
    </row>
    <row r="26" spans="1:12">
      <c r="A26" s="140">
        <v>79</v>
      </c>
      <c r="B26" s="93" t="s">
        <v>40</v>
      </c>
      <c r="C26" s="94">
        <v>38013215514</v>
      </c>
      <c r="D26" s="94">
        <v>27625634190</v>
      </c>
      <c r="E26" s="94">
        <v>8383574570</v>
      </c>
      <c r="F26" s="94">
        <v>654595116</v>
      </c>
      <c r="G26" s="94">
        <v>39945405829</v>
      </c>
      <c r="H26" s="94">
        <v>15019498411</v>
      </c>
      <c r="I26" s="94">
        <v>640226144</v>
      </c>
      <c r="J26" s="94">
        <v>4578113622</v>
      </c>
      <c r="K26" s="94">
        <v>5171507902</v>
      </c>
      <c r="L26" s="94">
        <v>2946091050</v>
      </c>
    </row>
    <row r="27" spans="1:12">
      <c r="A27" s="140">
        <v>81</v>
      </c>
      <c r="B27" s="93" t="s">
        <v>41</v>
      </c>
      <c r="C27" s="94">
        <v>5063683311</v>
      </c>
      <c r="D27" s="94">
        <v>2575167548</v>
      </c>
      <c r="E27" s="94">
        <v>1546458154</v>
      </c>
      <c r="F27" s="94">
        <v>50624142</v>
      </c>
      <c r="G27" s="94">
        <v>9730666459</v>
      </c>
      <c r="H27" s="94">
        <v>3661377671</v>
      </c>
      <c r="I27" s="94">
        <v>1680154852</v>
      </c>
      <c r="J27" s="94">
        <v>1198736954</v>
      </c>
      <c r="K27" s="94">
        <v>473711912</v>
      </c>
      <c r="L27" s="94">
        <v>306750978</v>
      </c>
    </row>
    <row r="28" spans="1:12">
      <c r="A28" s="140">
        <v>82</v>
      </c>
      <c r="B28" s="93" t="s">
        <v>42</v>
      </c>
      <c r="C28" s="94">
        <v>6588643922</v>
      </c>
      <c r="D28" s="94">
        <v>4046886725</v>
      </c>
      <c r="E28" s="94">
        <v>1990700394</v>
      </c>
      <c r="F28" s="94">
        <v>166982260</v>
      </c>
      <c r="G28" s="94">
        <v>7631445430</v>
      </c>
      <c r="H28" s="94">
        <v>3499017189</v>
      </c>
      <c r="I28" s="94">
        <v>349284018</v>
      </c>
      <c r="J28" s="94">
        <v>678786406</v>
      </c>
      <c r="K28" s="94">
        <v>592794852</v>
      </c>
      <c r="L28" s="94">
        <v>418825082</v>
      </c>
    </row>
    <row r="29" spans="1:12">
      <c r="A29" s="140">
        <v>91</v>
      </c>
      <c r="B29" s="93" t="s">
        <v>43</v>
      </c>
      <c r="C29" s="94">
        <v>98494774908</v>
      </c>
      <c r="D29" s="94">
        <v>82130780716</v>
      </c>
      <c r="E29" s="94">
        <v>10870581745</v>
      </c>
      <c r="F29" s="94">
        <v>2354870796</v>
      </c>
      <c r="G29" s="94">
        <v>96030910968</v>
      </c>
      <c r="H29" s="94">
        <v>40469505737</v>
      </c>
      <c r="I29" s="94">
        <v>1171901203</v>
      </c>
      <c r="J29" s="94">
        <v>19001320855</v>
      </c>
      <c r="K29" s="94">
        <v>9924452752</v>
      </c>
      <c r="L29" s="94">
        <v>10002578452</v>
      </c>
    </row>
    <row r="30" spans="1:12">
      <c r="A30" s="140">
        <v>92</v>
      </c>
      <c r="B30" s="93" t="s">
        <v>44</v>
      </c>
      <c r="C30" s="94">
        <v>71549035077</v>
      </c>
      <c r="D30" s="94">
        <v>43123825366</v>
      </c>
      <c r="E30" s="94">
        <v>24405184584</v>
      </c>
      <c r="F30" s="94">
        <v>1462325701</v>
      </c>
      <c r="G30" s="94">
        <v>76707643472</v>
      </c>
      <c r="H30" s="94">
        <v>20346661674</v>
      </c>
      <c r="I30" s="94">
        <v>5672618218</v>
      </c>
      <c r="J30" s="94">
        <v>12138375569</v>
      </c>
      <c r="K30" s="94">
        <v>2795490062</v>
      </c>
      <c r="L30" s="94">
        <v>4840797321</v>
      </c>
    </row>
    <row r="31" spans="1:12">
      <c r="A31" s="140">
        <v>111</v>
      </c>
      <c r="B31" s="93" t="s">
        <v>45</v>
      </c>
      <c r="C31" s="94">
        <v>113917669</v>
      </c>
      <c r="D31" s="94">
        <v>100543406</v>
      </c>
      <c r="E31" s="94">
        <v>10904469</v>
      </c>
      <c r="F31" s="94">
        <v>2220314</v>
      </c>
      <c r="G31" s="94">
        <v>214129980</v>
      </c>
      <c r="H31" s="94">
        <v>137302153</v>
      </c>
      <c r="I31" s="94">
        <v>449193</v>
      </c>
      <c r="J31" s="94">
        <v>7119922</v>
      </c>
      <c r="K31" s="94">
        <v>43029408</v>
      </c>
      <c r="L31" s="94">
        <v>3866919</v>
      </c>
    </row>
    <row r="32" spans="1:12">
      <c r="A32" s="140">
        <v>112</v>
      </c>
      <c r="B32" s="93" t="s">
        <v>46</v>
      </c>
      <c r="C32" s="94">
        <v>78259831</v>
      </c>
      <c r="D32" s="94">
        <v>56010365</v>
      </c>
      <c r="E32" s="94">
        <v>19363057</v>
      </c>
      <c r="F32" s="94">
        <v>3400485</v>
      </c>
      <c r="G32" s="94">
        <v>119555548</v>
      </c>
      <c r="H32" s="94">
        <v>76686861</v>
      </c>
      <c r="I32" s="94">
        <v>1918399</v>
      </c>
      <c r="J32" s="94">
        <v>5184723</v>
      </c>
      <c r="K32" s="94">
        <v>10792031</v>
      </c>
      <c r="L32" s="94">
        <v>3725296</v>
      </c>
    </row>
    <row r="33" spans="1:12">
      <c r="A33" s="140">
        <v>113</v>
      </c>
      <c r="B33" s="93" t="s">
        <v>47</v>
      </c>
      <c r="C33" s="94">
        <v>42661665</v>
      </c>
      <c r="D33" s="94">
        <v>35367331</v>
      </c>
      <c r="E33" s="94">
        <v>6501865</v>
      </c>
      <c r="F33" s="94">
        <v>1240508</v>
      </c>
      <c r="G33" s="94">
        <v>123220995</v>
      </c>
      <c r="H33" s="94">
        <v>97062885</v>
      </c>
      <c r="I33" s="94">
        <v>416575</v>
      </c>
      <c r="J33" s="94">
        <v>4998914</v>
      </c>
      <c r="K33" s="94">
        <v>5660746</v>
      </c>
      <c r="L33" s="94">
        <v>413870</v>
      </c>
    </row>
    <row r="34" spans="1:12">
      <c r="A34" s="140">
        <v>114</v>
      </c>
      <c r="B34" s="93" t="s">
        <v>48</v>
      </c>
      <c r="C34" s="94">
        <v>167391536</v>
      </c>
      <c r="D34" s="94">
        <v>88638509</v>
      </c>
      <c r="E34" s="94">
        <v>58134220</v>
      </c>
      <c r="F34" s="94">
        <v>2537308</v>
      </c>
      <c r="G34" s="94">
        <v>330037647</v>
      </c>
      <c r="H34" s="94">
        <v>102329763</v>
      </c>
      <c r="I34" s="94">
        <v>2713430</v>
      </c>
      <c r="J34" s="94">
        <v>50498866</v>
      </c>
      <c r="K34" s="94">
        <v>63876261</v>
      </c>
      <c r="L34" s="94">
        <v>7026083</v>
      </c>
    </row>
    <row r="35" spans="1:12">
      <c r="A35" s="140">
        <v>115</v>
      </c>
      <c r="B35" s="93" t="s">
        <v>49</v>
      </c>
      <c r="C35" s="94">
        <v>454923044</v>
      </c>
      <c r="D35" s="94">
        <v>369920183</v>
      </c>
      <c r="E35" s="94">
        <v>70441269</v>
      </c>
      <c r="F35" s="94">
        <v>11065420</v>
      </c>
      <c r="G35" s="94">
        <v>619868107</v>
      </c>
      <c r="H35" s="94">
        <v>387182847</v>
      </c>
      <c r="I35" s="94">
        <v>10461401</v>
      </c>
      <c r="J35" s="94">
        <v>45769843</v>
      </c>
      <c r="K35" s="94">
        <v>72620106</v>
      </c>
      <c r="L35" s="94">
        <v>17674301</v>
      </c>
    </row>
    <row r="36" spans="1:12">
      <c r="A36" s="140">
        <v>119</v>
      </c>
      <c r="B36" s="93" t="s">
        <v>50</v>
      </c>
      <c r="C36" s="94">
        <v>50048781</v>
      </c>
      <c r="D36" s="94">
        <v>37253174</v>
      </c>
      <c r="E36" s="94">
        <v>10921441</v>
      </c>
      <c r="F36" s="94">
        <v>1147117</v>
      </c>
      <c r="G36" s="94">
        <v>125491517</v>
      </c>
      <c r="H36" s="94">
        <v>68181137</v>
      </c>
      <c r="I36" s="94">
        <v>1227538</v>
      </c>
      <c r="J36" s="94">
        <v>6800495</v>
      </c>
      <c r="K36" s="94">
        <v>31770990</v>
      </c>
      <c r="L36" s="94">
        <v>3784250</v>
      </c>
    </row>
    <row r="37" spans="1:12">
      <c r="A37" s="140">
        <v>121</v>
      </c>
      <c r="B37" s="93" t="s">
        <v>51</v>
      </c>
      <c r="C37" s="94">
        <v>102553763</v>
      </c>
      <c r="D37" s="94">
        <v>91543980</v>
      </c>
      <c r="E37" s="94">
        <v>8189343</v>
      </c>
      <c r="F37" s="94">
        <v>960059</v>
      </c>
      <c r="G37" s="94">
        <v>178599495</v>
      </c>
      <c r="H37" s="94">
        <v>64422100</v>
      </c>
      <c r="I37" s="94">
        <v>60008</v>
      </c>
      <c r="J37" s="94">
        <v>3838569</v>
      </c>
      <c r="K37" s="94">
        <v>78713893</v>
      </c>
      <c r="L37" s="94">
        <v>11472918</v>
      </c>
    </row>
    <row r="38" spans="1:12">
      <c r="A38" s="140">
        <v>122</v>
      </c>
      <c r="B38" s="93" t="s">
        <v>3</v>
      </c>
      <c r="C38" s="94">
        <v>1122933444</v>
      </c>
      <c r="D38" s="94">
        <v>1129540327</v>
      </c>
      <c r="E38" s="94">
        <v>72476626</v>
      </c>
      <c r="F38" s="94">
        <v>35138241</v>
      </c>
      <c r="G38" s="94">
        <v>1501582729</v>
      </c>
      <c r="H38" s="94">
        <v>828205583</v>
      </c>
      <c r="I38" s="94">
        <v>1509863</v>
      </c>
      <c r="J38" s="94">
        <v>74521582</v>
      </c>
      <c r="K38" s="94">
        <v>323841797</v>
      </c>
      <c r="L38" s="94">
        <v>188605087</v>
      </c>
    </row>
    <row r="39" spans="1:12">
      <c r="A39" s="140">
        <v>123</v>
      </c>
      <c r="B39" s="93" t="s">
        <v>52</v>
      </c>
      <c r="C39" s="94">
        <v>1277910275</v>
      </c>
      <c r="D39" s="94">
        <v>1150052483</v>
      </c>
      <c r="E39" s="94">
        <v>81339005</v>
      </c>
      <c r="F39" s="94">
        <v>38710812</v>
      </c>
      <c r="G39" s="94">
        <v>1107955856</v>
      </c>
      <c r="H39" s="94">
        <v>644711136</v>
      </c>
      <c r="I39" s="94">
        <v>1323435</v>
      </c>
      <c r="J39" s="94">
        <v>153924080</v>
      </c>
      <c r="K39" s="94">
        <v>105470909</v>
      </c>
      <c r="L39" s="94">
        <v>134962212</v>
      </c>
    </row>
    <row r="40" spans="1:12">
      <c r="A40" s="140">
        <v>124</v>
      </c>
      <c r="B40" s="93" t="s">
        <v>53</v>
      </c>
      <c r="C40" s="94">
        <v>259025590</v>
      </c>
      <c r="D40" s="94">
        <v>232724154</v>
      </c>
      <c r="E40" s="94">
        <v>24089586</v>
      </c>
      <c r="F40" s="94">
        <v>9470568</v>
      </c>
      <c r="G40" s="94">
        <v>399762984</v>
      </c>
      <c r="H40" s="94">
        <v>177598051</v>
      </c>
      <c r="I40" s="94">
        <v>1279914</v>
      </c>
      <c r="J40" s="94">
        <v>22246655</v>
      </c>
      <c r="K40" s="94">
        <v>46139748</v>
      </c>
      <c r="L40" s="94">
        <v>31660000</v>
      </c>
    </row>
    <row r="41" spans="1:12">
      <c r="A41" s="140">
        <v>129</v>
      </c>
      <c r="B41" s="93" t="s">
        <v>54</v>
      </c>
      <c r="C41" s="94">
        <v>265959064</v>
      </c>
      <c r="D41" s="94">
        <v>236201143</v>
      </c>
      <c r="E41" s="94">
        <v>26547419</v>
      </c>
      <c r="F41" s="94">
        <v>10109069</v>
      </c>
      <c r="G41" s="94">
        <v>421690381</v>
      </c>
      <c r="H41" s="94">
        <v>193582194</v>
      </c>
      <c r="I41" s="94">
        <v>1280838</v>
      </c>
      <c r="J41" s="94">
        <v>22836635</v>
      </c>
      <c r="K41" s="94">
        <v>48169048</v>
      </c>
      <c r="L41" s="94">
        <v>31684529</v>
      </c>
    </row>
    <row r="42" spans="1:12">
      <c r="A42" s="140">
        <v>211</v>
      </c>
      <c r="B42" s="93" t="s">
        <v>55</v>
      </c>
      <c r="C42" s="94">
        <v>4163660954</v>
      </c>
      <c r="D42" s="94">
        <v>3777321638</v>
      </c>
      <c r="E42" s="94">
        <v>255584407</v>
      </c>
      <c r="F42" s="94">
        <v>63944472</v>
      </c>
      <c r="G42" s="94">
        <v>6297564330</v>
      </c>
      <c r="H42" s="94">
        <v>2294128751</v>
      </c>
      <c r="I42" s="94">
        <v>17748474</v>
      </c>
      <c r="J42" s="94">
        <v>740325632</v>
      </c>
      <c r="K42" s="94">
        <v>771040643</v>
      </c>
      <c r="L42" s="94">
        <v>237010713</v>
      </c>
    </row>
    <row r="43" spans="1:12">
      <c r="A43" s="140">
        <v>212</v>
      </c>
      <c r="B43" s="93" t="s">
        <v>56</v>
      </c>
      <c r="C43" s="94">
        <v>3442277640</v>
      </c>
      <c r="D43" s="94">
        <v>1428803979</v>
      </c>
      <c r="E43" s="94">
        <v>890865290</v>
      </c>
      <c r="F43" s="94">
        <v>120148966</v>
      </c>
      <c r="G43" s="94">
        <v>6965570900</v>
      </c>
      <c r="H43" s="94">
        <v>1583526653</v>
      </c>
      <c r="I43" s="94">
        <v>21478245</v>
      </c>
      <c r="J43" s="94">
        <v>829595681</v>
      </c>
      <c r="K43" s="94">
        <v>1067569195</v>
      </c>
      <c r="L43" s="94">
        <v>84995203</v>
      </c>
    </row>
    <row r="44" spans="1:12">
      <c r="A44" s="140">
        <v>213</v>
      </c>
      <c r="B44" s="93" t="s">
        <v>57</v>
      </c>
      <c r="C44" s="94">
        <v>2223949219</v>
      </c>
      <c r="D44" s="94">
        <v>1943062468</v>
      </c>
      <c r="E44" s="94">
        <v>222523087</v>
      </c>
      <c r="F44" s="94">
        <v>16254917</v>
      </c>
      <c r="G44" s="94">
        <v>2355853736</v>
      </c>
      <c r="H44" s="94">
        <v>538285975</v>
      </c>
      <c r="I44" s="94">
        <v>6177805</v>
      </c>
      <c r="J44" s="94">
        <v>374676046</v>
      </c>
      <c r="K44" s="94">
        <v>593113295</v>
      </c>
      <c r="L44" s="94">
        <v>136664645</v>
      </c>
    </row>
    <row r="45" spans="1:12">
      <c r="A45" s="140">
        <v>214</v>
      </c>
      <c r="B45" s="93" t="s">
        <v>58</v>
      </c>
      <c r="C45" s="94">
        <v>19034035479</v>
      </c>
      <c r="D45" s="94">
        <v>11322283977</v>
      </c>
      <c r="E45" s="94">
        <v>6300918039</v>
      </c>
      <c r="F45" s="94">
        <v>311851645</v>
      </c>
      <c r="G45" s="94">
        <v>29418696903</v>
      </c>
      <c r="H45" s="94">
        <v>9198246434</v>
      </c>
      <c r="I45" s="94">
        <v>1465689290</v>
      </c>
      <c r="J45" s="94">
        <v>6026867642</v>
      </c>
      <c r="K45" s="94">
        <v>3678655793</v>
      </c>
      <c r="L45" s="94">
        <v>1674112653</v>
      </c>
    </row>
    <row r="46" spans="1:12">
      <c r="A46" s="140">
        <v>215</v>
      </c>
      <c r="B46" s="93" t="s">
        <v>59</v>
      </c>
      <c r="C46" s="94">
        <v>12767826019</v>
      </c>
      <c r="D46" s="94">
        <v>7101935524</v>
      </c>
      <c r="E46" s="94">
        <v>4646113616</v>
      </c>
      <c r="F46" s="94">
        <v>228886690</v>
      </c>
      <c r="G46" s="94">
        <v>11798006040</v>
      </c>
      <c r="H46" s="94">
        <v>4186586081</v>
      </c>
      <c r="I46" s="94">
        <v>272331783</v>
      </c>
      <c r="J46" s="94">
        <v>1771145971</v>
      </c>
      <c r="K46" s="94">
        <v>1293003403</v>
      </c>
      <c r="L46" s="94">
        <v>967007272</v>
      </c>
    </row>
    <row r="47" spans="1:12">
      <c r="A47" s="140">
        <v>219</v>
      </c>
      <c r="B47" s="93" t="s">
        <v>60</v>
      </c>
      <c r="C47" s="94">
        <v>12375252464</v>
      </c>
      <c r="D47" s="94">
        <v>10154167249</v>
      </c>
      <c r="E47" s="94">
        <v>1291090653</v>
      </c>
      <c r="F47" s="94">
        <v>179116230</v>
      </c>
      <c r="G47" s="94">
        <v>12765731764</v>
      </c>
      <c r="H47" s="94">
        <v>5723266638</v>
      </c>
      <c r="I47" s="94">
        <v>476302077</v>
      </c>
      <c r="J47" s="94">
        <v>2296295663</v>
      </c>
      <c r="K47" s="94">
        <v>1309944441</v>
      </c>
      <c r="L47" s="94">
        <v>1149197255</v>
      </c>
    </row>
    <row r="48" spans="1:12">
      <c r="A48" s="140">
        <v>221</v>
      </c>
      <c r="B48" s="93" t="s">
        <v>61</v>
      </c>
      <c r="C48" s="94">
        <v>6457940153</v>
      </c>
      <c r="D48" s="94">
        <v>5905187507</v>
      </c>
      <c r="E48" s="94">
        <v>655985843</v>
      </c>
      <c r="F48" s="94">
        <v>44397905</v>
      </c>
      <c r="G48" s="94">
        <v>9894469472</v>
      </c>
      <c r="H48" s="94">
        <v>4761590292</v>
      </c>
      <c r="I48" s="94">
        <v>55734744</v>
      </c>
      <c r="J48" s="94">
        <v>1205986590</v>
      </c>
      <c r="K48" s="94">
        <v>968052336</v>
      </c>
      <c r="L48" s="94">
        <v>384154876</v>
      </c>
    </row>
    <row r="49" spans="1:12">
      <c r="A49" s="140">
        <v>222</v>
      </c>
      <c r="B49" s="93" t="s">
        <v>62</v>
      </c>
      <c r="C49" s="94">
        <v>1655654121</v>
      </c>
      <c r="D49" s="94">
        <v>1209989264</v>
      </c>
      <c r="E49" s="94">
        <v>368657393</v>
      </c>
      <c r="F49" s="94">
        <v>8473751</v>
      </c>
      <c r="G49" s="94">
        <v>2536171991</v>
      </c>
      <c r="H49" s="94">
        <v>955310291</v>
      </c>
      <c r="I49" s="94">
        <v>118003136</v>
      </c>
      <c r="J49" s="94">
        <v>247792386</v>
      </c>
      <c r="K49" s="94">
        <v>672326633</v>
      </c>
      <c r="L49" s="94">
        <v>209464112</v>
      </c>
    </row>
    <row r="50" spans="1:12">
      <c r="A50" s="140">
        <v>223</v>
      </c>
      <c r="B50" s="93" t="s">
        <v>63</v>
      </c>
      <c r="C50" s="94">
        <v>40672019448</v>
      </c>
      <c r="D50" s="94">
        <v>34639375809</v>
      </c>
      <c r="E50" s="94">
        <v>3928480555</v>
      </c>
      <c r="F50" s="94">
        <v>977806885</v>
      </c>
      <c r="G50" s="94">
        <v>34785109860</v>
      </c>
      <c r="H50" s="94">
        <v>15067655673</v>
      </c>
      <c r="I50" s="94">
        <v>352075939</v>
      </c>
      <c r="J50" s="94">
        <v>7066215471</v>
      </c>
      <c r="K50" s="94">
        <v>3308988154</v>
      </c>
      <c r="L50" s="94">
        <v>3856738246</v>
      </c>
    </row>
    <row r="51" spans="1:12">
      <c r="A51" s="140">
        <v>224</v>
      </c>
      <c r="B51" s="93" t="s">
        <v>64</v>
      </c>
      <c r="C51" s="94">
        <v>56775883481</v>
      </c>
      <c r="D51" s="94">
        <v>48467907603</v>
      </c>
      <c r="E51" s="94">
        <v>5314429084</v>
      </c>
      <c r="F51" s="94">
        <v>1437915166</v>
      </c>
      <c r="G51" s="94">
        <v>54748743948</v>
      </c>
      <c r="H51" s="94">
        <v>24162167928</v>
      </c>
      <c r="I51" s="94">
        <v>539921280</v>
      </c>
      <c r="J51" s="94">
        <v>11363157966</v>
      </c>
      <c r="K51" s="94">
        <v>5883041591</v>
      </c>
      <c r="L51" s="94">
        <v>5797302204</v>
      </c>
    </row>
    <row r="52" spans="1:12">
      <c r="A52" s="140">
        <v>225</v>
      </c>
      <c r="B52" s="93" t="s">
        <v>65</v>
      </c>
      <c r="C52" s="94">
        <v>2603216500</v>
      </c>
      <c r="D52" s="94">
        <v>2097391823</v>
      </c>
      <c r="E52" s="94">
        <v>385798739</v>
      </c>
      <c r="F52" s="94">
        <v>48068658</v>
      </c>
      <c r="G52" s="94">
        <v>2486785993</v>
      </c>
      <c r="H52" s="94">
        <v>932874038</v>
      </c>
      <c r="I52" s="94">
        <v>39604403</v>
      </c>
      <c r="J52" s="94">
        <v>624030718</v>
      </c>
      <c r="K52" s="94">
        <v>428461603</v>
      </c>
      <c r="L52" s="94">
        <v>335701473</v>
      </c>
    </row>
    <row r="53" spans="1:12">
      <c r="A53" s="140">
        <v>226</v>
      </c>
      <c r="B53" s="93" t="s">
        <v>66</v>
      </c>
      <c r="C53" s="94">
        <v>9155462941</v>
      </c>
      <c r="D53" s="94">
        <v>6964522477</v>
      </c>
      <c r="E53" s="94">
        <v>1552265080</v>
      </c>
      <c r="F53" s="94">
        <v>191007767</v>
      </c>
      <c r="G53" s="94">
        <v>9269897299</v>
      </c>
      <c r="H53" s="94">
        <v>2641832059</v>
      </c>
      <c r="I53" s="94">
        <v>427796914</v>
      </c>
      <c r="J53" s="94">
        <v>1922581776</v>
      </c>
      <c r="K53" s="94">
        <v>1023962457</v>
      </c>
      <c r="L53" s="94">
        <v>911999335</v>
      </c>
    </row>
    <row r="54" spans="1:12">
      <c r="A54" s="140">
        <v>227</v>
      </c>
      <c r="B54" s="93" t="s">
        <v>67</v>
      </c>
      <c r="C54" s="94">
        <v>19034035479</v>
      </c>
      <c r="D54" s="94">
        <v>11322283977</v>
      </c>
      <c r="E54" s="94">
        <v>6300918039</v>
      </c>
      <c r="F54" s="94">
        <v>311851645</v>
      </c>
      <c r="G54" s="94">
        <v>29418696903</v>
      </c>
      <c r="H54" s="94">
        <v>9198246434</v>
      </c>
      <c r="I54" s="94">
        <v>1465689290</v>
      </c>
      <c r="J54" s="94">
        <v>6026867642</v>
      </c>
      <c r="K54" s="94">
        <v>3678655793</v>
      </c>
      <c r="L54" s="94">
        <v>1674112653</v>
      </c>
    </row>
    <row r="55" spans="1:12">
      <c r="A55" s="140">
        <v>229</v>
      </c>
      <c r="B55" s="93" t="s">
        <v>68</v>
      </c>
      <c r="C55" s="94">
        <v>1891055432</v>
      </c>
      <c r="D55" s="94">
        <v>1580804305</v>
      </c>
      <c r="E55" s="94">
        <v>211607113</v>
      </c>
      <c r="F55" s="94">
        <v>26675342</v>
      </c>
      <c r="G55" s="94">
        <v>1655524733</v>
      </c>
      <c r="H55" s="94">
        <v>521200038</v>
      </c>
      <c r="I55" s="94">
        <v>14959598</v>
      </c>
      <c r="J55" s="94">
        <v>360957874</v>
      </c>
      <c r="K55" s="94">
        <v>188316883</v>
      </c>
      <c r="L55" s="94">
        <v>221084827</v>
      </c>
    </row>
    <row r="56" spans="1:12">
      <c r="A56" s="140">
        <v>231</v>
      </c>
      <c r="B56" s="93" t="s">
        <v>69</v>
      </c>
      <c r="C56" s="94">
        <v>179115534</v>
      </c>
      <c r="D56" s="94">
        <v>147115426</v>
      </c>
      <c r="E56" s="94">
        <v>29500395</v>
      </c>
      <c r="F56" s="94">
        <v>3346510</v>
      </c>
      <c r="G56" s="94">
        <v>326544113</v>
      </c>
      <c r="H56" s="94">
        <v>62992593</v>
      </c>
      <c r="I56" s="94">
        <v>746273</v>
      </c>
      <c r="J56" s="94">
        <v>145063891</v>
      </c>
      <c r="K56" s="94">
        <v>13385255</v>
      </c>
      <c r="L56" s="94">
        <v>2677471</v>
      </c>
    </row>
    <row r="57" spans="1:12">
      <c r="A57" s="140">
        <v>232</v>
      </c>
      <c r="B57" s="93" t="s">
        <v>70</v>
      </c>
      <c r="C57" s="94">
        <v>57408705</v>
      </c>
      <c r="D57" s="94">
        <v>4952735</v>
      </c>
      <c r="E57" s="94">
        <v>55183313</v>
      </c>
      <c r="F57" s="94">
        <v>2191557</v>
      </c>
      <c r="G57" s="94">
        <v>35923293</v>
      </c>
      <c r="H57" s="94">
        <v>15272467</v>
      </c>
      <c r="I57" s="94">
        <v>339926</v>
      </c>
      <c r="J57" s="94">
        <v>1138838</v>
      </c>
      <c r="K57" s="94">
        <v>1086795</v>
      </c>
      <c r="L57" s="94">
        <v>1041471</v>
      </c>
    </row>
    <row r="58" spans="1:12">
      <c r="A58" s="140">
        <v>233</v>
      </c>
      <c r="B58" s="93" t="s">
        <v>71</v>
      </c>
      <c r="C58" s="94">
        <v>281179069</v>
      </c>
      <c r="D58" s="94">
        <v>251894221</v>
      </c>
      <c r="E58" s="94">
        <v>31288789</v>
      </c>
      <c r="F58" s="94">
        <v>1819213</v>
      </c>
      <c r="G58" s="94">
        <v>139652759</v>
      </c>
      <c r="H58" s="94">
        <v>76217211</v>
      </c>
      <c r="I58" s="94">
        <v>2778547</v>
      </c>
      <c r="J58" s="94">
        <v>867748</v>
      </c>
      <c r="K58" s="94">
        <v>48946</v>
      </c>
      <c r="L58" s="94">
        <v>37177</v>
      </c>
    </row>
    <row r="59" spans="1:12">
      <c r="A59" s="140">
        <v>234</v>
      </c>
      <c r="B59" s="93" t="s">
        <v>72</v>
      </c>
      <c r="C59" s="94">
        <v>49326529706</v>
      </c>
      <c r="D59" s="94">
        <v>27654712012</v>
      </c>
      <c r="E59" s="94">
        <v>18535359148</v>
      </c>
      <c r="F59" s="94">
        <v>864610110</v>
      </c>
      <c r="G59" s="94">
        <v>48717003216</v>
      </c>
      <c r="H59" s="94">
        <v>8261468420</v>
      </c>
      <c r="I59" s="94">
        <v>4127660371</v>
      </c>
      <c r="J59" s="94">
        <v>10245805037</v>
      </c>
      <c r="K59" s="94">
        <v>1839451740</v>
      </c>
      <c r="L59" s="94">
        <v>4323490674</v>
      </c>
    </row>
    <row r="60" spans="1:12">
      <c r="A60" s="140">
        <v>235</v>
      </c>
      <c r="B60" s="93" t="s">
        <v>73</v>
      </c>
      <c r="C60" s="94">
        <v>13234550228</v>
      </c>
      <c r="D60" s="94">
        <v>10116414370</v>
      </c>
      <c r="E60" s="94">
        <v>2558651450</v>
      </c>
      <c r="F60" s="94">
        <v>380690556</v>
      </c>
      <c r="G60" s="94">
        <v>16239159172</v>
      </c>
      <c r="H60" s="94">
        <v>7062482946</v>
      </c>
      <c r="I60" s="94">
        <v>1038308289</v>
      </c>
      <c r="J60" s="94">
        <v>1079399654</v>
      </c>
      <c r="K60" s="94">
        <v>712040932</v>
      </c>
      <c r="L60" s="94">
        <v>347395422</v>
      </c>
    </row>
    <row r="61" spans="1:12">
      <c r="A61" s="140">
        <v>236</v>
      </c>
      <c r="B61" s="93" t="s">
        <v>74</v>
      </c>
      <c r="C61" s="94">
        <v>2908874474</v>
      </c>
      <c r="D61" s="94">
        <v>809808368</v>
      </c>
      <c r="E61" s="94">
        <v>1583507743</v>
      </c>
      <c r="F61" s="94">
        <v>114855380</v>
      </c>
      <c r="G61" s="94">
        <v>3443440437</v>
      </c>
      <c r="H61" s="94">
        <v>1079654512</v>
      </c>
      <c r="I61" s="94">
        <v>70595169</v>
      </c>
      <c r="J61" s="94">
        <v>346496888</v>
      </c>
      <c r="K61" s="94">
        <v>13154348</v>
      </c>
      <c r="L61" s="94">
        <v>30313206</v>
      </c>
    </row>
    <row r="62" spans="1:12">
      <c r="A62" s="140">
        <v>237</v>
      </c>
      <c r="B62" s="93" t="s">
        <v>75</v>
      </c>
      <c r="C62" s="94">
        <v>16020172579</v>
      </c>
      <c r="D62" s="94">
        <v>11053559783</v>
      </c>
      <c r="E62" s="94">
        <v>4029119980</v>
      </c>
      <c r="F62" s="94">
        <v>133874725</v>
      </c>
      <c r="G62" s="94">
        <v>13844774384</v>
      </c>
      <c r="H62" s="94">
        <v>2383925635</v>
      </c>
      <c r="I62" s="94">
        <v>317167102</v>
      </c>
      <c r="J62" s="94">
        <v>3585161103</v>
      </c>
      <c r="K62" s="94">
        <v>471095680</v>
      </c>
      <c r="L62" s="94">
        <v>1297883572</v>
      </c>
    </row>
    <row r="63" spans="1:12">
      <c r="A63" s="140">
        <v>239</v>
      </c>
      <c r="B63" s="93" t="s">
        <v>76</v>
      </c>
      <c r="C63" s="94">
        <v>4293723814</v>
      </c>
      <c r="D63" s="94">
        <v>3103859226</v>
      </c>
      <c r="E63" s="94">
        <v>1008777633</v>
      </c>
      <c r="F63" s="94">
        <v>65370779</v>
      </c>
      <c r="G63" s="94">
        <v>10439454018</v>
      </c>
      <c r="H63" s="94">
        <v>3239995472</v>
      </c>
      <c r="I63" s="94">
        <v>216210079</v>
      </c>
      <c r="J63" s="94">
        <v>886214584</v>
      </c>
      <c r="K63" s="94">
        <v>399763505</v>
      </c>
      <c r="L63" s="94">
        <v>213615493</v>
      </c>
    </row>
    <row r="64" spans="1:12">
      <c r="A64" s="140">
        <v>311</v>
      </c>
      <c r="B64" s="93" t="s">
        <v>4</v>
      </c>
      <c r="C64" s="94">
        <v>28699091</v>
      </c>
      <c r="D64" s="94">
        <v>12591168</v>
      </c>
      <c r="E64" s="94">
        <v>13708039</v>
      </c>
      <c r="F64" s="94">
        <v>2107549</v>
      </c>
      <c r="G64" s="94">
        <v>139795415</v>
      </c>
      <c r="H64" s="94">
        <v>114827770</v>
      </c>
      <c r="I64" s="94">
        <v>711933</v>
      </c>
      <c r="J64" s="94">
        <v>1378148</v>
      </c>
      <c r="K64" s="94">
        <v>4299213</v>
      </c>
      <c r="L64" s="94">
        <v>598049</v>
      </c>
    </row>
    <row r="65" spans="1:12">
      <c r="A65" s="140">
        <v>312</v>
      </c>
      <c r="B65" s="93" t="s">
        <v>77</v>
      </c>
      <c r="C65" s="94">
        <v>10739638</v>
      </c>
      <c r="D65" s="94">
        <v>7346431</v>
      </c>
      <c r="E65" s="94">
        <v>2731920</v>
      </c>
      <c r="F65" s="94">
        <v>383674</v>
      </c>
      <c r="G65" s="94">
        <v>4640616</v>
      </c>
      <c r="H65" s="94">
        <v>1181267</v>
      </c>
      <c r="I65" s="94">
        <v>0</v>
      </c>
      <c r="J65" s="94">
        <v>1737987</v>
      </c>
      <c r="K65" s="94">
        <v>138094</v>
      </c>
      <c r="L65" s="94">
        <v>288239</v>
      </c>
    </row>
    <row r="66" spans="1:12">
      <c r="A66" s="140">
        <v>390</v>
      </c>
      <c r="B66" s="93" t="s">
        <v>23</v>
      </c>
      <c r="C66" s="94">
        <v>3503561</v>
      </c>
      <c r="D66" s="94">
        <v>3325773</v>
      </c>
      <c r="E66" s="94">
        <v>194951</v>
      </c>
      <c r="F66" s="94">
        <v>173565</v>
      </c>
      <c r="G66" s="94">
        <v>6768803</v>
      </c>
      <c r="H66" s="94">
        <v>3765626</v>
      </c>
      <c r="I66" s="94">
        <v>2500</v>
      </c>
      <c r="J66" s="94">
        <v>261677</v>
      </c>
      <c r="K66" s="94">
        <v>113274</v>
      </c>
      <c r="L66" s="94">
        <v>275880</v>
      </c>
    </row>
    <row r="67" spans="1:12">
      <c r="A67" s="140">
        <v>411</v>
      </c>
      <c r="B67" s="93" t="s">
        <v>78</v>
      </c>
      <c r="C67" s="94">
        <v>1273394402</v>
      </c>
      <c r="D67" s="94">
        <v>1114851804</v>
      </c>
      <c r="E67" s="94">
        <v>108563813</v>
      </c>
      <c r="F67" s="94">
        <v>17770303</v>
      </c>
      <c r="G67" s="94">
        <v>1152191697</v>
      </c>
      <c r="H67" s="94">
        <v>547382661</v>
      </c>
      <c r="I67" s="94">
        <v>2213441</v>
      </c>
      <c r="J67" s="94">
        <v>226892215</v>
      </c>
      <c r="K67" s="94">
        <v>174486473</v>
      </c>
      <c r="L67" s="94">
        <v>95710787</v>
      </c>
    </row>
    <row r="68" spans="1:12">
      <c r="A68" s="140">
        <v>412</v>
      </c>
      <c r="B68" s="93" t="s">
        <v>79</v>
      </c>
      <c r="C68" s="94">
        <v>1696605746</v>
      </c>
      <c r="D68" s="94">
        <v>1478289269</v>
      </c>
      <c r="E68" s="94">
        <v>172408966</v>
      </c>
      <c r="F68" s="94">
        <v>37247710</v>
      </c>
      <c r="G68" s="94">
        <v>2791846726</v>
      </c>
      <c r="H68" s="94">
        <v>1472118074</v>
      </c>
      <c r="I68" s="94">
        <v>19401508</v>
      </c>
      <c r="J68" s="94">
        <v>405443769</v>
      </c>
      <c r="K68" s="94">
        <v>340973591</v>
      </c>
      <c r="L68" s="94">
        <v>191544006</v>
      </c>
    </row>
    <row r="69" spans="1:12">
      <c r="A69" s="140">
        <v>413</v>
      </c>
      <c r="B69" s="93" t="s">
        <v>80</v>
      </c>
      <c r="C69" s="94">
        <v>809085367</v>
      </c>
      <c r="D69" s="94">
        <v>668719709</v>
      </c>
      <c r="E69" s="94">
        <v>101117515</v>
      </c>
      <c r="F69" s="94">
        <v>13896442</v>
      </c>
      <c r="G69" s="94">
        <v>716424908</v>
      </c>
      <c r="H69" s="94">
        <v>338118532</v>
      </c>
      <c r="I69" s="94">
        <v>5396108</v>
      </c>
      <c r="J69" s="94">
        <v>139754606</v>
      </c>
      <c r="K69" s="94">
        <v>104825358</v>
      </c>
      <c r="L69" s="94">
        <v>75106606</v>
      </c>
    </row>
    <row r="70" spans="1:12">
      <c r="A70" s="140">
        <v>414</v>
      </c>
      <c r="B70" s="93" t="s">
        <v>81</v>
      </c>
      <c r="C70" s="94">
        <v>1106726731</v>
      </c>
      <c r="D70" s="94">
        <v>942845809</v>
      </c>
      <c r="E70" s="94">
        <v>99756271</v>
      </c>
      <c r="F70" s="94">
        <v>13860538</v>
      </c>
      <c r="G70" s="94">
        <v>1223438612</v>
      </c>
      <c r="H70" s="94">
        <v>522963681</v>
      </c>
      <c r="I70" s="94">
        <v>3592723</v>
      </c>
      <c r="J70" s="94">
        <v>203903089</v>
      </c>
      <c r="K70" s="94">
        <v>97117494</v>
      </c>
      <c r="L70" s="94">
        <v>102961542</v>
      </c>
    </row>
    <row r="71" spans="1:12">
      <c r="A71" s="140">
        <v>415</v>
      </c>
      <c r="B71" s="93" t="s">
        <v>82</v>
      </c>
      <c r="C71" s="94">
        <v>12216163</v>
      </c>
      <c r="D71" s="94">
        <v>9595398</v>
      </c>
      <c r="E71" s="94">
        <v>2211871</v>
      </c>
      <c r="F71" s="94">
        <v>346227</v>
      </c>
      <c r="G71" s="94">
        <v>16215462</v>
      </c>
      <c r="H71" s="94">
        <v>6842708</v>
      </c>
      <c r="I71" s="94">
        <v>300887</v>
      </c>
      <c r="J71" s="94">
        <v>2247340</v>
      </c>
      <c r="K71" s="94">
        <v>1740535</v>
      </c>
      <c r="L71" s="94">
        <v>1845041</v>
      </c>
    </row>
    <row r="72" spans="1:12">
      <c r="A72" s="140">
        <v>416</v>
      </c>
      <c r="B72" s="93" t="s">
        <v>83</v>
      </c>
      <c r="C72" s="94">
        <v>3925546271</v>
      </c>
      <c r="D72" s="94">
        <v>3028388349</v>
      </c>
      <c r="E72" s="94">
        <v>705858030</v>
      </c>
      <c r="F72" s="94">
        <v>41543382</v>
      </c>
      <c r="G72" s="94">
        <v>3157798941</v>
      </c>
      <c r="H72" s="94">
        <v>1149672434</v>
      </c>
      <c r="I72" s="94">
        <v>16948665</v>
      </c>
      <c r="J72" s="94">
        <v>549121951</v>
      </c>
      <c r="K72" s="94">
        <v>377567600</v>
      </c>
      <c r="L72" s="94">
        <v>428187268</v>
      </c>
    </row>
    <row r="73" spans="1:12">
      <c r="A73" s="140">
        <v>419</v>
      </c>
      <c r="B73" s="93" t="s">
        <v>84</v>
      </c>
      <c r="C73" s="94">
        <v>190818802</v>
      </c>
      <c r="D73" s="94">
        <v>157444381</v>
      </c>
      <c r="E73" s="94">
        <v>25908822</v>
      </c>
      <c r="F73" s="94">
        <v>3601625</v>
      </c>
      <c r="G73" s="94">
        <v>198146504</v>
      </c>
      <c r="H73" s="94">
        <v>90146280</v>
      </c>
      <c r="I73" s="94">
        <v>2179599</v>
      </c>
      <c r="J73" s="94">
        <v>28474569</v>
      </c>
      <c r="K73" s="94">
        <v>34055728</v>
      </c>
      <c r="L73" s="94">
        <v>11970790</v>
      </c>
    </row>
    <row r="74" spans="1:12">
      <c r="A74" s="140">
        <v>421</v>
      </c>
      <c r="B74" s="93" t="s">
        <v>85</v>
      </c>
      <c r="C74" s="94">
        <v>765496034</v>
      </c>
      <c r="D74" s="94">
        <v>640183980</v>
      </c>
      <c r="E74" s="94">
        <v>63722390</v>
      </c>
      <c r="F74" s="94">
        <v>2388531</v>
      </c>
      <c r="G74" s="94">
        <v>1372864699</v>
      </c>
      <c r="H74" s="94">
        <v>924786065</v>
      </c>
      <c r="I74" s="94">
        <v>6014656</v>
      </c>
      <c r="J74" s="94">
        <v>131291828</v>
      </c>
      <c r="K74" s="94">
        <v>154428995</v>
      </c>
      <c r="L74" s="94">
        <v>27074688</v>
      </c>
    </row>
    <row r="75" spans="1:12">
      <c r="A75" s="140">
        <v>422</v>
      </c>
      <c r="B75" s="93" t="s">
        <v>86</v>
      </c>
      <c r="C75" s="94">
        <v>88784212</v>
      </c>
      <c r="D75" s="94">
        <v>73795123</v>
      </c>
      <c r="E75" s="94">
        <v>7416125</v>
      </c>
      <c r="F75" s="94">
        <v>2810854</v>
      </c>
      <c r="G75" s="94">
        <v>93596472</v>
      </c>
      <c r="H75" s="94">
        <v>31185015</v>
      </c>
      <c r="I75" s="94">
        <v>132329</v>
      </c>
      <c r="J75" s="94">
        <v>12657077</v>
      </c>
      <c r="K75" s="94">
        <v>13947196</v>
      </c>
      <c r="L75" s="94">
        <v>5413998</v>
      </c>
    </row>
    <row r="76" spans="1:12">
      <c r="A76" s="140">
        <v>423</v>
      </c>
      <c r="B76" s="93" t="s">
        <v>87</v>
      </c>
      <c r="C76" s="94">
        <v>6999625038</v>
      </c>
      <c r="D76" s="94">
        <v>6052808116</v>
      </c>
      <c r="E76" s="94">
        <v>718108745</v>
      </c>
      <c r="F76" s="94">
        <v>146708754</v>
      </c>
      <c r="G76" s="94">
        <v>7779773551</v>
      </c>
      <c r="H76" s="94">
        <v>3719624476</v>
      </c>
      <c r="I76" s="94">
        <v>54686179</v>
      </c>
      <c r="J76" s="94">
        <v>1226063501</v>
      </c>
      <c r="K76" s="94">
        <v>889431098</v>
      </c>
      <c r="L76" s="94">
        <v>479796954</v>
      </c>
    </row>
    <row r="77" spans="1:12">
      <c r="A77" s="140">
        <v>429</v>
      </c>
      <c r="B77" s="93" t="s">
        <v>88</v>
      </c>
      <c r="C77" s="94">
        <v>7466290125</v>
      </c>
      <c r="D77" s="94">
        <v>3654792142</v>
      </c>
      <c r="E77" s="94">
        <v>3189062805</v>
      </c>
      <c r="F77" s="94">
        <v>147290686</v>
      </c>
      <c r="G77" s="94">
        <v>7151685797</v>
      </c>
      <c r="H77" s="94">
        <v>3113271688</v>
      </c>
      <c r="I77" s="94">
        <v>202445033</v>
      </c>
      <c r="J77" s="94">
        <v>940904870</v>
      </c>
      <c r="K77" s="94">
        <v>765716132</v>
      </c>
      <c r="L77" s="94">
        <v>542352812</v>
      </c>
    </row>
    <row r="78" spans="1:12">
      <c r="A78" s="140">
        <v>431</v>
      </c>
      <c r="B78" s="93" t="s">
        <v>89</v>
      </c>
      <c r="C78" s="94">
        <v>3210741595</v>
      </c>
      <c r="D78" s="94">
        <v>2549992590</v>
      </c>
      <c r="E78" s="94">
        <v>379398259</v>
      </c>
      <c r="F78" s="94">
        <v>107058660</v>
      </c>
      <c r="G78" s="94">
        <v>3781035062</v>
      </c>
      <c r="H78" s="94">
        <v>1372339733</v>
      </c>
      <c r="I78" s="94">
        <v>47882996</v>
      </c>
      <c r="J78" s="94">
        <v>755888175</v>
      </c>
      <c r="K78" s="94">
        <v>570215418</v>
      </c>
      <c r="L78" s="94">
        <v>263368360</v>
      </c>
    </row>
    <row r="79" spans="1:12">
      <c r="A79" s="140">
        <v>432</v>
      </c>
      <c r="B79" s="93" t="s">
        <v>90</v>
      </c>
      <c r="C79" s="94">
        <v>15990869622</v>
      </c>
      <c r="D79" s="94">
        <v>13831076525</v>
      </c>
      <c r="E79" s="94">
        <v>1428451641</v>
      </c>
      <c r="F79" s="94">
        <v>294419815</v>
      </c>
      <c r="G79" s="94">
        <v>14101833867</v>
      </c>
      <c r="H79" s="94">
        <v>5991144502</v>
      </c>
      <c r="I79" s="94">
        <v>118838058</v>
      </c>
      <c r="J79" s="94">
        <v>3308853339</v>
      </c>
      <c r="K79" s="94">
        <v>1649998858</v>
      </c>
      <c r="L79" s="94">
        <v>1755465145</v>
      </c>
    </row>
    <row r="80" spans="1:12">
      <c r="A80" s="140">
        <v>433</v>
      </c>
      <c r="B80" s="93" t="s">
        <v>91</v>
      </c>
      <c r="C80" s="94">
        <v>3011127429</v>
      </c>
      <c r="D80" s="94">
        <v>2413835182</v>
      </c>
      <c r="E80" s="94">
        <v>450392520</v>
      </c>
      <c r="F80" s="94">
        <v>53305939</v>
      </c>
      <c r="G80" s="94">
        <v>2860363947</v>
      </c>
      <c r="H80" s="94">
        <v>1056605581</v>
      </c>
      <c r="I80" s="94">
        <v>44103782</v>
      </c>
      <c r="J80" s="94">
        <v>695495186</v>
      </c>
      <c r="K80" s="94">
        <v>486503252</v>
      </c>
      <c r="L80" s="94">
        <v>361388799</v>
      </c>
    </row>
    <row r="81" spans="1:12">
      <c r="A81" s="140">
        <v>439</v>
      </c>
      <c r="B81" s="93" t="s">
        <v>92</v>
      </c>
      <c r="C81" s="94">
        <v>16118439048</v>
      </c>
      <c r="D81" s="94">
        <v>13178516994</v>
      </c>
      <c r="E81" s="94">
        <v>2103945542</v>
      </c>
      <c r="F81" s="94">
        <v>318335873</v>
      </c>
      <c r="G81" s="94">
        <v>16459771628</v>
      </c>
      <c r="H81" s="94">
        <v>5798723057</v>
      </c>
      <c r="I81" s="94">
        <v>1001928916</v>
      </c>
      <c r="J81" s="94">
        <v>2893743464</v>
      </c>
      <c r="K81" s="94">
        <v>1948564022</v>
      </c>
      <c r="L81" s="94">
        <v>1578571926</v>
      </c>
    </row>
    <row r="82" spans="1:12">
      <c r="A82" s="140">
        <v>441</v>
      </c>
      <c r="B82" s="93" t="s">
        <v>5</v>
      </c>
      <c r="C82" s="94">
        <v>155592429</v>
      </c>
      <c r="D82" s="94">
        <v>83300032</v>
      </c>
      <c r="E82" s="94">
        <v>59941152</v>
      </c>
      <c r="F82" s="94">
        <v>1401455</v>
      </c>
      <c r="G82" s="94">
        <v>278704745</v>
      </c>
      <c r="H82" s="94">
        <v>100441369</v>
      </c>
      <c r="I82" s="94">
        <v>246147</v>
      </c>
      <c r="J82" s="94">
        <v>4507957</v>
      </c>
      <c r="K82" s="94">
        <v>3291041</v>
      </c>
      <c r="L82" s="94">
        <v>1616407</v>
      </c>
    </row>
    <row r="83" spans="1:12">
      <c r="A83" s="140">
        <v>442</v>
      </c>
      <c r="B83" s="93" t="s">
        <v>93</v>
      </c>
      <c r="C83" s="94">
        <v>49326529706</v>
      </c>
      <c r="D83" s="94">
        <v>27654712012</v>
      </c>
      <c r="E83" s="94">
        <v>18535359148</v>
      </c>
      <c r="F83" s="94">
        <v>864610110</v>
      </c>
      <c r="G83" s="94">
        <v>48717003216</v>
      </c>
      <c r="H83" s="94">
        <v>8261468420</v>
      </c>
      <c r="I83" s="94">
        <v>4127660371</v>
      </c>
      <c r="J83" s="94">
        <v>10245805037</v>
      </c>
      <c r="K83" s="94">
        <v>1839451740</v>
      </c>
      <c r="L83" s="94">
        <v>4323490674</v>
      </c>
    </row>
    <row r="84" spans="1:12">
      <c r="A84" s="140">
        <v>443</v>
      </c>
      <c r="B84" s="93" t="s">
        <v>94</v>
      </c>
      <c r="C84" s="94">
        <v>1751455817</v>
      </c>
      <c r="D84" s="94">
        <v>1446502355</v>
      </c>
      <c r="E84" s="94">
        <v>234732156</v>
      </c>
      <c r="F84" s="94">
        <v>12646680</v>
      </c>
      <c r="G84" s="94">
        <v>1769272542</v>
      </c>
      <c r="H84" s="94">
        <v>394098796</v>
      </c>
      <c r="I84" s="94">
        <v>8795066</v>
      </c>
      <c r="J84" s="94">
        <v>247828756</v>
      </c>
      <c r="K84" s="94">
        <v>257842326</v>
      </c>
      <c r="L84" s="94">
        <v>75796367</v>
      </c>
    </row>
    <row r="85" spans="1:12">
      <c r="A85" s="140">
        <v>444</v>
      </c>
      <c r="B85" s="93" t="s">
        <v>95</v>
      </c>
      <c r="C85" s="94">
        <v>61478245</v>
      </c>
      <c r="D85" s="94">
        <v>36183564</v>
      </c>
      <c r="E85" s="94">
        <v>22179163</v>
      </c>
      <c r="F85" s="94">
        <v>1752435</v>
      </c>
      <c r="G85" s="94">
        <v>115847185</v>
      </c>
      <c r="H85" s="94">
        <v>82752855</v>
      </c>
      <c r="I85" s="94">
        <v>349527</v>
      </c>
      <c r="J85" s="94">
        <v>7811883</v>
      </c>
      <c r="K85" s="94">
        <v>7723963</v>
      </c>
      <c r="L85" s="94">
        <v>2067342</v>
      </c>
    </row>
    <row r="86" spans="1:12">
      <c r="A86" s="140">
        <v>445</v>
      </c>
      <c r="B86" s="93" t="s">
        <v>96</v>
      </c>
      <c r="C86" s="94">
        <v>228661752</v>
      </c>
      <c r="D86" s="94">
        <v>104008812</v>
      </c>
      <c r="E86" s="94">
        <v>112012827</v>
      </c>
      <c r="F86" s="94">
        <v>4096337</v>
      </c>
      <c r="G86" s="94">
        <v>549803431</v>
      </c>
      <c r="H86" s="94">
        <v>86253345</v>
      </c>
      <c r="I86" s="94">
        <v>3778139</v>
      </c>
      <c r="J86" s="94">
        <v>51911530</v>
      </c>
      <c r="K86" s="94">
        <v>8730950</v>
      </c>
      <c r="L86" s="94">
        <v>2316468</v>
      </c>
    </row>
    <row r="87" spans="1:12">
      <c r="A87" s="140">
        <v>446</v>
      </c>
      <c r="B87" s="93" t="s">
        <v>97</v>
      </c>
      <c r="C87" s="94">
        <v>13234550228</v>
      </c>
      <c r="D87" s="94">
        <v>10116414370</v>
      </c>
      <c r="E87" s="94">
        <v>2558651450</v>
      </c>
      <c r="F87" s="94">
        <v>380690556</v>
      </c>
      <c r="G87" s="94">
        <v>16239159172</v>
      </c>
      <c r="H87" s="94">
        <v>7062482946</v>
      </c>
      <c r="I87" s="94">
        <v>1038308289</v>
      </c>
      <c r="J87" s="94">
        <v>1079399654</v>
      </c>
      <c r="K87" s="94">
        <v>712040932</v>
      </c>
      <c r="L87" s="94">
        <v>347395422</v>
      </c>
    </row>
    <row r="88" spans="1:12">
      <c r="A88" s="140">
        <v>447</v>
      </c>
      <c r="B88" s="93" t="s">
        <v>98</v>
      </c>
      <c r="C88" s="94">
        <v>1938933431</v>
      </c>
      <c r="D88" s="94">
        <v>1338258339</v>
      </c>
      <c r="E88" s="94">
        <v>804959278</v>
      </c>
      <c r="F88" s="94">
        <v>47618590</v>
      </c>
      <c r="G88" s="94">
        <v>3532396695</v>
      </c>
      <c r="H88" s="94">
        <v>1522714120</v>
      </c>
      <c r="I88" s="94">
        <v>362966372</v>
      </c>
      <c r="J88" s="94">
        <v>160615755</v>
      </c>
      <c r="K88" s="94">
        <v>180907436</v>
      </c>
      <c r="L88" s="94">
        <v>25166045</v>
      </c>
    </row>
    <row r="89" spans="1:12">
      <c r="A89" s="140">
        <v>449</v>
      </c>
      <c r="B89" s="93" t="s">
        <v>99</v>
      </c>
      <c r="C89" s="94">
        <v>155592429</v>
      </c>
      <c r="D89" s="94">
        <v>83300032</v>
      </c>
      <c r="E89" s="94">
        <v>59941152</v>
      </c>
      <c r="F89" s="94">
        <v>1401455</v>
      </c>
      <c r="G89" s="94">
        <v>278704745</v>
      </c>
      <c r="H89" s="94">
        <v>100441369</v>
      </c>
      <c r="I89" s="94">
        <v>246147</v>
      </c>
      <c r="J89" s="94">
        <v>4507957</v>
      </c>
      <c r="K89" s="94">
        <v>3291041</v>
      </c>
      <c r="L89" s="94">
        <v>1616407</v>
      </c>
    </row>
    <row r="90" spans="1:12">
      <c r="A90" s="140">
        <v>511</v>
      </c>
      <c r="B90" s="93" t="s">
        <v>100</v>
      </c>
      <c r="C90" s="94">
        <v>2344285935</v>
      </c>
      <c r="D90" s="94">
        <v>2161706388</v>
      </c>
      <c r="E90" s="94">
        <v>178360595</v>
      </c>
      <c r="F90" s="94">
        <v>24249878</v>
      </c>
      <c r="G90" s="94">
        <v>2947512959</v>
      </c>
      <c r="H90" s="94">
        <v>946680259</v>
      </c>
      <c r="I90" s="94">
        <v>4068703</v>
      </c>
      <c r="J90" s="94">
        <v>166623904</v>
      </c>
      <c r="K90" s="94">
        <v>355210873</v>
      </c>
      <c r="L90" s="94">
        <v>111044860</v>
      </c>
    </row>
    <row r="91" spans="1:12">
      <c r="A91" s="140">
        <v>512</v>
      </c>
      <c r="B91" s="93" t="s">
        <v>101</v>
      </c>
      <c r="C91" s="94">
        <v>10078218</v>
      </c>
      <c r="D91" s="94">
        <v>7999137</v>
      </c>
      <c r="E91" s="94">
        <v>2422401</v>
      </c>
      <c r="F91" s="94">
        <v>177494</v>
      </c>
      <c r="G91" s="94">
        <v>4649581</v>
      </c>
      <c r="H91" s="94">
        <v>2750082</v>
      </c>
      <c r="I91" s="94">
        <v>380</v>
      </c>
      <c r="J91" s="94">
        <v>314420</v>
      </c>
      <c r="K91" s="94">
        <v>428644</v>
      </c>
      <c r="L91" s="94">
        <v>748132</v>
      </c>
    </row>
    <row r="92" spans="1:12">
      <c r="A92" s="140">
        <v>520</v>
      </c>
      <c r="B92" s="93" t="s">
        <v>29</v>
      </c>
      <c r="C92" s="94">
        <v>149199886</v>
      </c>
      <c r="D92" s="94">
        <v>127745212</v>
      </c>
      <c r="E92" s="94">
        <v>15597121</v>
      </c>
      <c r="F92" s="94">
        <v>5754435</v>
      </c>
      <c r="G92" s="94">
        <v>285070845</v>
      </c>
      <c r="H92" s="94">
        <v>130565151</v>
      </c>
      <c r="I92" s="94">
        <v>8727863</v>
      </c>
      <c r="J92" s="94">
        <v>16793664</v>
      </c>
      <c r="K92" s="94">
        <v>81343709</v>
      </c>
      <c r="L92" s="94">
        <v>8446266</v>
      </c>
    </row>
    <row r="93" spans="1:12">
      <c r="A93" s="140">
        <v>611</v>
      </c>
      <c r="B93" s="93" t="s">
        <v>102</v>
      </c>
      <c r="C93" s="94">
        <v>530093033</v>
      </c>
      <c r="D93" s="94">
        <v>403340184</v>
      </c>
      <c r="E93" s="94">
        <v>107167130</v>
      </c>
      <c r="F93" s="94">
        <v>4759309</v>
      </c>
      <c r="G93" s="94">
        <v>390227933</v>
      </c>
      <c r="H93" s="94">
        <v>123523601</v>
      </c>
      <c r="I93" s="94">
        <v>2831676</v>
      </c>
      <c r="J93" s="94">
        <v>60822552</v>
      </c>
      <c r="K93" s="94">
        <v>120786661</v>
      </c>
      <c r="L93" s="94">
        <v>15954104</v>
      </c>
    </row>
    <row r="94" spans="1:12">
      <c r="A94" s="140">
        <v>612</v>
      </c>
      <c r="B94" s="93" t="s">
        <v>103</v>
      </c>
      <c r="C94" s="94">
        <v>56962226</v>
      </c>
      <c r="D94" s="94">
        <v>46116469</v>
      </c>
      <c r="E94" s="94">
        <v>8586930</v>
      </c>
      <c r="F94" s="94">
        <v>906552</v>
      </c>
      <c r="G94" s="94">
        <v>86285075</v>
      </c>
      <c r="H94" s="94">
        <v>41756909</v>
      </c>
      <c r="I94" s="94">
        <v>913790</v>
      </c>
      <c r="J94" s="94">
        <v>6400622</v>
      </c>
      <c r="K94" s="94">
        <v>14272482</v>
      </c>
      <c r="L94" s="94">
        <v>2814285</v>
      </c>
    </row>
    <row r="95" spans="1:12">
      <c r="A95" s="140">
        <v>619</v>
      </c>
      <c r="B95" s="93" t="s">
        <v>104</v>
      </c>
      <c r="C95" s="94">
        <v>99566873105</v>
      </c>
      <c r="D95" s="94">
        <v>88006161273</v>
      </c>
      <c r="E95" s="94">
        <v>6896181008</v>
      </c>
      <c r="F95" s="94">
        <v>356822850</v>
      </c>
      <c r="G95" s="94">
        <v>73086577518</v>
      </c>
      <c r="H95" s="94">
        <v>29547186605</v>
      </c>
      <c r="I95" s="94">
        <v>777158105</v>
      </c>
      <c r="J95" s="94">
        <v>11327346008</v>
      </c>
      <c r="K95" s="94">
        <v>8299861485</v>
      </c>
      <c r="L95" s="94">
        <v>6964380781</v>
      </c>
    </row>
    <row r="96" spans="1:12">
      <c r="A96" s="140">
        <v>621</v>
      </c>
      <c r="B96" s="93" t="s">
        <v>105</v>
      </c>
      <c r="C96" s="94">
        <v>78849254156</v>
      </c>
      <c r="D96" s="94">
        <v>74021808841</v>
      </c>
      <c r="E96" s="94">
        <v>4401258761</v>
      </c>
      <c r="F96" s="94">
        <v>559664503</v>
      </c>
      <c r="G96" s="94">
        <v>101716966353</v>
      </c>
      <c r="H96" s="94">
        <v>31904846568</v>
      </c>
      <c r="I96" s="94">
        <v>785123602</v>
      </c>
      <c r="J96" s="94">
        <v>26487378330</v>
      </c>
      <c r="K96" s="94">
        <v>6051762299</v>
      </c>
      <c r="L96" s="94">
        <v>7537555419</v>
      </c>
    </row>
    <row r="97" spans="1:12">
      <c r="A97" s="140">
        <v>622</v>
      </c>
      <c r="B97" s="93" t="s">
        <v>106</v>
      </c>
      <c r="C97" s="94">
        <v>68771123</v>
      </c>
      <c r="D97" s="94">
        <v>52770421</v>
      </c>
      <c r="E97" s="94">
        <v>9843879</v>
      </c>
      <c r="F97" s="94">
        <v>1940173</v>
      </c>
      <c r="G97" s="94">
        <v>105506206</v>
      </c>
      <c r="H97" s="94">
        <v>36581639</v>
      </c>
      <c r="I97" s="94">
        <v>262559</v>
      </c>
      <c r="J97" s="94">
        <v>18382558</v>
      </c>
      <c r="K97" s="94">
        <v>14159004</v>
      </c>
      <c r="L97" s="94">
        <v>6863054</v>
      </c>
    </row>
    <row r="98" spans="1:12">
      <c r="A98" s="140">
        <v>623</v>
      </c>
      <c r="B98" s="93" t="s">
        <v>107</v>
      </c>
      <c r="C98" s="94">
        <v>12304238042</v>
      </c>
      <c r="D98" s="94">
        <v>10601359814</v>
      </c>
      <c r="E98" s="94">
        <v>1120751393</v>
      </c>
      <c r="F98" s="94">
        <v>292751064</v>
      </c>
      <c r="G98" s="94">
        <v>14375490636</v>
      </c>
      <c r="H98" s="94">
        <v>7333202207</v>
      </c>
      <c r="I98" s="94">
        <v>132993396</v>
      </c>
      <c r="J98" s="94">
        <v>2119077436</v>
      </c>
      <c r="K98" s="94">
        <v>1115812469</v>
      </c>
      <c r="L98" s="94">
        <v>1102028082</v>
      </c>
    </row>
    <row r="99" spans="1:12">
      <c r="A99" s="140">
        <v>624</v>
      </c>
      <c r="B99" s="93" t="s">
        <v>108</v>
      </c>
      <c r="C99" s="94">
        <v>9155462941</v>
      </c>
      <c r="D99" s="94">
        <v>6964522477</v>
      </c>
      <c r="E99" s="94">
        <v>1552265080</v>
      </c>
      <c r="F99" s="94">
        <v>191007767</v>
      </c>
      <c r="G99" s="94">
        <v>9269897299</v>
      </c>
      <c r="H99" s="94">
        <v>2641832059</v>
      </c>
      <c r="I99" s="94">
        <v>427796914</v>
      </c>
      <c r="J99" s="94">
        <v>1922581776</v>
      </c>
      <c r="K99" s="94">
        <v>1023962457</v>
      </c>
      <c r="L99" s="94">
        <v>911999335</v>
      </c>
    </row>
    <row r="100" spans="1:12">
      <c r="A100" s="140">
        <v>625</v>
      </c>
      <c r="B100" s="93" t="s">
        <v>109</v>
      </c>
      <c r="C100" s="94">
        <v>406372433</v>
      </c>
      <c r="D100" s="94">
        <v>342000011</v>
      </c>
      <c r="E100" s="94">
        <v>41701660</v>
      </c>
      <c r="F100" s="94">
        <v>8500361</v>
      </c>
      <c r="G100" s="94">
        <v>338342869</v>
      </c>
      <c r="H100" s="94">
        <v>124996866</v>
      </c>
      <c r="I100" s="94">
        <v>112641</v>
      </c>
      <c r="J100" s="94">
        <v>85844017</v>
      </c>
      <c r="K100" s="94">
        <v>59456022</v>
      </c>
      <c r="L100" s="94">
        <v>31922591</v>
      </c>
    </row>
    <row r="101" spans="1:12">
      <c r="A101" s="140">
        <v>626</v>
      </c>
      <c r="B101" s="93" t="s">
        <v>110</v>
      </c>
      <c r="C101" s="94">
        <v>15990869622</v>
      </c>
      <c r="D101" s="94">
        <v>13831076525</v>
      </c>
      <c r="E101" s="94">
        <v>1428451641</v>
      </c>
      <c r="F101" s="94">
        <v>294419815</v>
      </c>
      <c r="G101" s="94">
        <v>14101833867</v>
      </c>
      <c r="H101" s="94">
        <v>5991144502</v>
      </c>
      <c r="I101" s="94">
        <v>118838058</v>
      </c>
      <c r="J101" s="94">
        <v>3308853339</v>
      </c>
      <c r="K101" s="94">
        <v>1649998858</v>
      </c>
      <c r="L101" s="94">
        <v>1755465145</v>
      </c>
    </row>
    <row r="102" spans="1:12">
      <c r="A102" s="140">
        <v>627</v>
      </c>
      <c r="B102" s="93" t="s">
        <v>111</v>
      </c>
      <c r="C102" s="94">
        <v>1199942352</v>
      </c>
      <c r="D102" s="94">
        <v>1040990880</v>
      </c>
      <c r="E102" s="94">
        <v>128203909</v>
      </c>
      <c r="F102" s="94">
        <v>31632504</v>
      </c>
      <c r="G102" s="94">
        <v>1353564494</v>
      </c>
      <c r="H102" s="94">
        <v>740735258</v>
      </c>
      <c r="I102" s="94">
        <v>11915783</v>
      </c>
      <c r="J102" s="94">
        <v>230999655</v>
      </c>
      <c r="K102" s="94">
        <v>89269242</v>
      </c>
      <c r="L102" s="94">
        <v>97985416</v>
      </c>
    </row>
    <row r="103" spans="1:12">
      <c r="A103" s="140">
        <v>628</v>
      </c>
      <c r="B103" s="93" t="s">
        <v>112</v>
      </c>
      <c r="C103" s="94">
        <v>13762918940</v>
      </c>
      <c r="D103" s="94">
        <v>11281314360</v>
      </c>
      <c r="E103" s="94">
        <v>1723431587</v>
      </c>
      <c r="F103" s="94">
        <v>253303625</v>
      </c>
      <c r="G103" s="94">
        <v>16534803773</v>
      </c>
      <c r="H103" s="94">
        <v>6366040857</v>
      </c>
      <c r="I103" s="94">
        <v>218161115</v>
      </c>
      <c r="J103" s="94">
        <v>3165942523</v>
      </c>
      <c r="K103" s="94">
        <v>1389206142</v>
      </c>
      <c r="L103" s="94">
        <v>2010131791</v>
      </c>
    </row>
    <row r="104" spans="1:12">
      <c r="A104" s="140">
        <v>629</v>
      </c>
      <c r="B104" s="93" t="s">
        <v>113</v>
      </c>
      <c r="C104" s="94">
        <v>220574995291</v>
      </c>
      <c r="D104" s="94">
        <v>182824855701</v>
      </c>
      <c r="E104" s="94">
        <v>26177463030</v>
      </c>
      <c r="F104" s="94">
        <v>4773933098</v>
      </c>
      <c r="G104" s="94">
        <v>224800060827</v>
      </c>
      <c r="H104" s="94">
        <v>79639719915</v>
      </c>
      <c r="I104" s="94">
        <v>4613906140</v>
      </c>
      <c r="J104" s="94">
        <v>45044405631</v>
      </c>
      <c r="K104" s="94">
        <v>22794969021</v>
      </c>
      <c r="L104" s="94">
        <v>23489225662</v>
      </c>
    </row>
    <row r="105" spans="1:12">
      <c r="A105" s="140">
        <v>631</v>
      </c>
      <c r="B105" s="93" t="s">
        <v>114</v>
      </c>
      <c r="C105" s="94">
        <v>770764409</v>
      </c>
      <c r="D105" s="94">
        <v>707530310</v>
      </c>
      <c r="E105" s="94">
        <v>61446877</v>
      </c>
      <c r="F105" s="94">
        <v>18066013</v>
      </c>
      <c r="G105" s="94">
        <v>534032642</v>
      </c>
      <c r="H105" s="94">
        <v>206342799</v>
      </c>
      <c r="I105" s="94">
        <v>5838933</v>
      </c>
      <c r="J105" s="94">
        <v>108252157</v>
      </c>
      <c r="K105" s="94">
        <v>14765983</v>
      </c>
      <c r="L105" s="94">
        <v>34653047</v>
      </c>
    </row>
    <row r="106" spans="1:12">
      <c r="A106" s="140">
        <v>632</v>
      </c>
      <c r="B106" s="93" t="s">
        <v>115</v>
      </c>
      <c r="C106" s="94">
        <v>49326529706</v>
      </c>
      <c r="D106" s="94">
        <v>27654712012</v>
      </c>
      <c r="E106" s="94">
        <v>18535359148</v>
      </c>
      <c r="F106" s="94">
        <v>864610110</v>
      </c>
      <c r="G106" s="94">
        <v>48717003216</v>
      </c>
      <c r="H106" s="94">
        <v>8261468420</v>
      </c>
      <c r="I106" s="94">
        <v>4127660371</v>
      </c>
      <c r="J106" s="94">
        <v>10245805037</v>
      </c>
      <c r="K106" s="94">
        <v>1839451740</v>
      </c>
      <c r="L106" s="94">
        <v>4323490674</v>
      </c>
    </row>
    <row r="107" spans="1:12">
      <c r="A107" s="140">
        <v>633</v>
      </c>
      <c r="B107" s="93" t="s">
        <v>116</v>
      </c>
      <c r="C107" s="94">
        <v>5314203909</v>
      </c>
      <c r="D107" s="94">
        <v>4132946469</v>
      </c>
      <c r="E107" s="94">
        <v>1411502552</v>
      </c>
      <c r="F107" s="94">
        <v>89323592</v>
      </c>
      <c r="G107" s="94">
        <v>7543124366</v>
      </c>
      <c r="H107" s="94">
        <v>3596412912</v>
      </c>
      <c r="I107" s="94">
        <v>413240823</v>
      </c>
      <c r="J107" s="94">
        <v>403153318</v>
      </c>
      <c r="K107" s="94">
        <v>226090667</v>
      </c>
      <c r="L107" s="94">
        <v>113558370</v>
      </c>
    </row>
    <row r="108" spans="1:12">
      <c r="A108" s="140">
        <v>634</v>
      </c>
      <c r="B108" s="93" t="s">
        <v>117</v>
      </c>
      <c r="C108" s="94">
        <v>2908874474</v>
      </c>
      <c r="D108" s="94">
        <v>809808368</v>
      </c>
      <c r="E108" s="94">
        <v>1583507743</v>
      </c>
      <c r="F108" s="94">
        <v>114855380</v>
      </c>
      <c r="G108" s="94">
        <v>3443440437</v>
      </c>
      <c r="H108" s="94">
        <v>1079654512</v>
      </c>
      <c r="I108" s="94">
        <v>70595169</v>
      </c>
      <c r="J108" s="94">
        <v>346496888</v>
      </c>
      <c r="K108" s="94">
        <v>13154348</v>
      </c>
      <c r="L108" s="94">
        <v>30313206</v>
      </c>
    </row>
    <row r="109" spans="1:12">
      <c r="A109" s="140">
        <v>635</v>
      </c>
      <c r="B109" s="93" t="s">
        <v>118</v>
      </c>
      <c r="C109" s="94">
        <v>16020172579</v>
      </c>
      <c r="D109" s="94">
        <v>11053559783</v>
      </c>
      <c r="E109" s="94">
        <v>4029119980</v>
      </c>
      <c r="F109" s="94">
        <v>133874725</v>
      </c>
      <c r="G109" s="94">
        <v>13844774384</v>
      </c>
      <c r="H109" s="94">
        <v>2383925635</v>
      </c>
      <c r="I109" s="94">
        <v>317167102</v>
      </c>
      <c r="J109" s="94">
        <v>3585161103</v>
      </c>
      <c r="K109" s="94">
        <v>471095680</v>
      </c>
      <c r="L109" s="94">
        <v>1297883572</v>
      </c>
    </row>
    <row r="110" spans="1:12">
      <c r="A110" s="140">
        <v>636</v>
      </c>
      <c r="B110" s="93" t="s">
        <v>119</v>
      </c>
      <c r="C110" s="94">
        <v>57408705</v>
      </c>
      <c r="D110" s="94">
        <v>4952735</v>
      </c>
      <c r="E110" s="94">
        <v>55183313</v>
      </c>
      <c r="F110" s="94">
        <v>2191557</v>
      </c>
      <c r="G110" s="94">
        <v>35923293</v>
      </c>
      <c r="H110" s="94">
        <v>15272467</v>
      </c>
      <c r="I110" s="94">
        <v>339926</v>
      </c>
      <c r="J110" s="94">
        <v>1138838</v>
      </c>
      <c r="K110" s="94">
        <v>1086795</v>
      </c>
      <c r="L110" s="94">
        <v>1041471</v>
      </c>
    </row>
    <row r="111" spans="1:12">
      <c r="A111" s="140">
        <v>637</v>
      </c>
      <c r="B111" s="93" t="s">
        <v>120</v>
      </c>
      <c r="C111" s="94">
        <v>13234550228</v>
      </c>
      <c r="D111" s="94">
        <v>10116414370</v>
      </c>
      <c r="E111" s="94">
        <v>2558651450</v>
      </c>
      <c r="F111" s="94">
        <v>380690556</v>
      </c>
      <c r="G111" s="94">
        <v>16239159172</v>
      </c>
      <c r="H111" s="94">
        <v>7062482946</v>
      </c>
      <c r="I111" s="94">
        <v>1038308289</v>
      </c>
      <c r="J111" s="94">
        <v>1079399654</v>
      </c>
      <c r="K111" s="94">
        <v>712040932</v>
      </c>
      <c r="L111" s="94">
        <v>347395422</v>
      </c>
    </row>
    <row r="112" spans="1:12">
      <c r="A112" s="140">
        <v>639</v>
      </c>
      <c r="B112" s="93" t="s">
        <v>121</v>
      </c>
      <c r="C112" s="94">
        <v>11870219397</v>
      </c>
      <c r="D112" s="94">
        <v>9720161685</v>
      </c>
      <c r="E112" s="94">
        <v>1813133385</v>
      </c>
      <c r="F112" s="94">
        <v>77026545</v>
      </c>
      <c r="G112" s="94">
        <v>7261648851</v>
      </c>
      <c r="H112" s="94">
        <v>1461364745</v>
      </c>
      <c r="I112" s="94">
        <v>119525371</v>
      </c>
      <c r="J112" s="94">
        <v>1852242075</v>
      </c>
      <c r="K112" s="94">
        <v>437508963</v>
      </c>
      <c r="L112" s="94">
        <v>781380997</v>
      </c>
    </row>
    <row r="113" spans="1:12">
      <c r="A113" s="140">
        <v>711</v>
      </c>
      <c r="B113" s="93" t="s">
        <v>6</v>
      </c>
      <c r="C113" s="94">
        <v>1448852318</v>
      </c>
      <c r="D113" s="94">
        <v>1310340570</v>
      </c>
      <c r="E113" s="94">
        <v>107525462</v>
      </c>
      <c r="F113" s="94">
        <v>19134128</v>
      </c>
      <c r="G113" s="94">
        <v>899321511</v>
      </c>
      <c r="H113" s="94">
        <v>457510001</v>
      </c>
      <c r="I113" s="94">
        <v>788577</v>
      </c>
      <c r="J113" s="94">
        <v>128936173</v>
      </c>
      <c r="K113" s="94">
        <v>75520275</v>
      </c>
      <c r="L113" s="94">
        <v>90191682</v>
      </c>
    </row>
    <row r="114" spans="1:12">
      <c r="A114" s="140">
        <v>712</v>
      </c>
      <c r="B114" s="93" t="s">
        <v>122</v>
      </c>
      <c r="C114" s="94">
        <v>11075632863</v>
      </c>
      <c r="D114" s="94">
        <v>9776552587</v>
      </c>
      <c r="E114" s="94">
        <v>1053606487</v>
      </c>
      <c r="F114" s="94">
        <v>159473108</v>
      </c>
      <c r="G114" s="94">
        <v>5854273176</v>
      </c>
      <c r="H114" s="94">
        <v>2710385964</v>
      </c>
      <c r="I114" s="94">
        <v>26844210</v>
      </c>
      <c r="J114" s="94">
        <v>1027576663</v>
      </c>
      <c r="K114" s="94">
        <v>802555719</v>
      </c>
      <c r="L114" s="94">
        <v>528020603</v>
      </c>
    </row>
    <row r="115" spans="1:12">
      <c r="A115" s="140">
        <v>721</v>
      </c>
      <c r="B115" s="93" t="s">
        <v>123</v>
      </c>
      <c r="C115" s="94">
        <v>5036810481</v>
      </c>
      <c r="D115" s="94">
        <v>4139551887</v>
      </c>
      <c r="E115" s="94">
        <v>747565982</v>
      </c>
      <c r="F115" s="94">
        <v>47627940</v>
      </c>
      <c r="G115" s="94">
        <v>3598214245</v>
      </c>
      <c r="H115" s="94">
        <v>1319363363</v>
      </c>
      <c r="I115" s="94">
        <v>15115456</v>
      </c>
      <c r="J115" s="94">
        <v>495120937</v>
      </c>
      <c r="K115" s="94">
        <v>753334681</v>
      </c>
      <c r="L115" s="94">
        <v>272674047</v>
      </c>
    </row>
    <row r="116" spans="1:12">
      <c r="A116" s="140">
        <v>722</v>
      </c>
      <c r="B116" s="93" t="s">
        <v>124</v>
      </c>
      <c r="C116" s="94">
        <v>811907281</v>
      </c>
      <c r="D116" s="94">
        <v>682089951</v>
      </c>
      <c r="E116" s="94">
        <v>85864775</v>
      </c>
      <c r="F116" s="94">
        <v>18355840</v>
      </c>
      <c r="G116" s="94">
        <v>659685385</v>
      </c>
      <c r="H116" s="94">
        <v>323697187</v>
      </c>
      <c r="I116" s="94">
        <v>2863158</v>
      </c>
      <c r="J116" s="94">
        <v>74221131</v>
      </c>
      <c r="K116" s="94">
        <v>134802496</v>
      </c>
      <c r="L116" s="94">
        <v>42546398</v>
      </c>
    </row>
    <row r="117" spans="1:12">
      <c r="A117" s="140">
        <v>730</v>
      </c>
      <c r="B117" s="93" t="s">
        <v>35</v>
      </c>
      <c r="C117" s="94">
        <v>3032656012</v>
      </c>
      <c r="D117" s="94">
        <v>2482832963</v>
      </c>
      <c r="E117" s="94">
        <v>441043900</v>
      </c>
      <c r="F117" s="94">
        <v>63925230</v>
      </c>
      <c r="G117" s="94">
        <v>2434261480</v>
      </c>
      <c r="H117" s="94">
        <v>1090533421</v>
      </c>
      <c r="I117" s="94">
        <v>153145467</v>
      </c>
      <c r="J117" s="94">
        <v>343457761</v>
      </c>
      <c r="K117" s="94">
        <v>375768490</v>
      </c>
      <c r="L117" s="94">
        <v>183450222</v>
      </c>
    </row>
    <row r="118" spans="1:12">
      <c r="A118" s="140">
        <v>740</v>
      </c>
      <c r="B118" s="93" t="s">
        <v>36</v>
      </c>
      <c r="C118" s="94">
        <v>1727449598</v>
      </c>
      <c r="D118" s="94">
        <v>1546789541</v>
      </c>
      <c r="E118" s="94">
        <v>138562585</v>
      </c>
      <c r="F118" s="94">
        <v>13977223</v>
      </c>
      <c r="G118" s="94">
        <v>1129562370</v>
      </c>
      <c r="H118" s="94">
        <v>399058263</v>
      </c>
      <c r="I118" s="94">
        <v>7755358</v>
      </c>
      <c r="J118" s="94">
        <v>188762117</v>
      </c>
      <c r="K118" s="94">
        <v>188782982</v>
      </c>
      <c r="L118" s="94">
        <v>119765288</v>
      </c>
    </row>
    <row r="119" spans="1:12">
      <c r="A119" s="140">
        <v>750</v>
      </c>
      <c r="B119" s="93" t="s">
        <v>37</v>
      </c>
      <c r="C119" s="94">
        <v>9407670733</v>
      </c>
      <c r="D119" s="94">
        <v>6775710778</v>
      </c>
      <c r="E119" s="94">
        <v>2255878951</v>
      </c>
      <c r="F119" s="94">
        <v>82648213</v>
      </c>
      <c r="G119" s="94">
        <v>7017797539</v>
      </c>
      <c r="H119" s="94">
        <v>2286322598</v>
      </c>
      <c r="I119" s="94">
        <v>86401679</v>
      </c>
      <c r="J119" s="94">
        <v>1603655754</v>
      </c>
      <c r="K119" s="94">
        <v>735619131</v>
      </c>
      <c r="L119" s="94">
        <v>525138208</v>
      </c>
    </row>
    <row r="120" spans="1:12">
      <c r="A120" s="140">
        <v>761</v>
      </c>
      <c r="B120" s="93" t="s">
        <v>125</v>
      </c>
      <c r="C120" s="94">
        <v>6315881521</v>
      </c>
      <c r="D120" s="94">
        <v>5492551731</v>
      </c>
      <c r="E120" s="94">
        <v>659854882</v>
      </c>
      <c r="F120" s="94">
        <v>78097504</v>
      </c>
      <c r="G120" s="94">
        <v>5788051642</v>
      </c>
      <c r="H120" s="94">
        <v>1932627798</v>
      </c>
      <c r="I120" s="94">
        <v>225824230</v>
      </c>
      <c r="J120" s="94">
        <v>729494718</v>
      </c>
      <c r="K120" s="94">
        <v>1131358426</v>
      </c>
      <c r="L120" s="94">
        <v>272832496</v>
      </c>
    </row>
    <row r="121" spans="1:12">
      <c r="A121" s="140">
        <v>762</v>
      </c>
      <c r="B121" s="93" t="s">
        <v>126</v>
      </c>
      <c r="C121" s="94">
        <v>589559140</v>
      </c>
      <c r="D121" s="94">
        <v>490524081</v>
      </c>
      <c r="E121" s="94">
        <v>64912268</v>
      </c>
      <c r="F121" s="94">
        <v>12258159</v>
      </c>
      <c r="G121" s="94">
        <v>651374824</v>
      </c>
      <c r="H121" s="94">
        <v>202512229</v>
      </c>
      <c r="I121" s="94">
        <v>6594754</v>
      </c>
      <c r="J121" s="94">
        <v>67563993</v>
      </c>
      <c r="K121" s="94">
        <v>88729644</v>
      </c>
      <c r="L121" s="94">
        <v>33272481</v>
      </c>
    </row>
    <row r="122" spans="1:12">
      <c r="A122" s="140">
        <v>770</v>
      </c>
      <c r="B122" s="93" t="s">
        <v>39</v>
      </c>
      <c r="C122" s="94">
        <v>9566570586</v>
      </c>
      <c r="D122" s="94">
        <v>8350951095</v>
      </c>
      <c r="E122" s="94">
        <v>926598694</v>
      </c>
      <c r="F122" s="94">
        <v>39637283</v>
      </c>
      <c r="G122" s="94">
        <v>6414947852</v>
      </c>
      <c r="H122" s="94">
        <v>1619676900</v>
      </c>
      <c r="I122" s="94">
        <v>31309563</v>
      </c>
      <c r="J122" s="94">
        <v>1360536478</v>
      </c>
      <c r="K122" s="94">
        <v>1070710666</v>
      </c>
      <c r="L122" s="94">
        <v>569118111</v>
      </c>
    </row>
    <row r="123" spans="1:12">
      <c r="A123" s="140">
        <v>791</v>
      </c>
      <c r="B123" s="93" t="s">
        <v>127</v>
      </c>
      <c r="C123" s="94">
        <v>8240263301</v>
      </c>
      <c r="D123" s="94">
        <v>5642238614</v>
      </c>
      <c r="E123" s="94">
        <v>2197365455</v>
      </c>
      <c r="F123" s="94">
        <v>158570348</v>
      </c>
      <c r="G123" s="94">
        <v>9766158889</v>
      </c>
      <c r="H123" s="94">
        <v>3512719215</v>
      </c>
      <c r="I123" s="94">
        <v>39666341</v>
      </c>
      <c r="J123" s="94">
        <v>952471238</v>
      </c>
      <c r="K123" s="94">
        <v>475863465</v>
      </c>
      <c r="L123" s="94">
        <v>622514208</v>
      </c>
    </row>
    <row r="124" spans="1:12">
      <c r="A124" s="140">
        <v>792</v>
      </c>
      <c r="B124" s="93" t="s">
        <v>128</v>
      </c>
      <c r="C124" s="94">
        <v>6988724416</v>
      </c>
      <c r="D124" s="94">
        <v>5324542413</v>
      </c>
      <c r="E124" s="94">
        <v>1318896581</v>
      </c>
      <c r="F124" s="94">
        <v>60159073</v>
      </c>
      <c r="G124" s="94">
        <v>7970749362</v>
      </c>
      <c r="H124" s="94">
        <v>2880536732</v>
      </c>
      <c r="I124" s="94">
        <v>304593608</v>
      </c>
      <c r="J124" s="94">
        <v>712037417</v>
      </c>
      <c r="K124" s="94">
        <v>808086146</v>
      </c>
      <c r="L124" s="94">
        <v>516123142</v>
      </c>
    </row>
    <row r="125" spans="1:12">
      <c r="A125" s="140">
        <v>793</v>
      </c>
      <c r="B125" s="93" t="s">
        <v>129</v>
      </c>
      <c r="C125" s="94">
        <v>3619381075</v>
      </c>
      <c r="D125" s="94">
        <v>2821562614</v>
      </c>
      <c r="E125" s="94">
        <v>673104579</v>
      </c>
      <c r="F125" s="94">
        <v>59109941</v>
      </c>
      <c r="G125" s="94">
        <v>3899629433</v>
      </c>
      <c r="H125" s="94">
        <v>1601303333</v>
      </c>
      <c r="I125" s="94">
        <v>25173791</v>
      </c>
      <c r="J125" s="94">
        <v>383178870</v>
      </c>
      <c r="K125" s="94">
        <v>275801689</v>
      </c>
      <c r="L125" s="94">
        <v>431717174</v>
      </c>
    </row>
    <row r="126" spans="1:12">
      <c r="A126" s="140">
        <v>794</v>
      </c>
      <c r="B126" s="93" t="s">
        <v>130</v>
      </c>
      <c r="C126" s="94">
        <v>6254527164</v>
      </c>
      <c r="D126" s="94">
        <v>4758576479</v>
      </c>
      <c r="E126" s="94">
        <v>1096498723</v>
      </c>
      <c r="F126" s="94">
        <v>60874656</v>
      </c>
      <c r="G126" s="94">
        <v>5261022311</v>
      </c>
      <c r="H126" s="94">
        <v>2067266857</v>
      </c>
      <c r="I126" s="94">
        <v>41385646</v>
      </c>
      <c r="J126" s="94">
        <v>772123345</v>
      </c>
      <c r="K126" s="94">
        <v>663721452</v>
      </c>
      <c r="L126" s="94">
        <v>487698018</v>
      </c>
    </row>
    <row r="127" spans="1:12">
      <c r="A127" s="140">
        <v>795</v>
      </c>
      <c r="B127" s="93" t="s">
        <v>131</v>
      </c>
      <c r="C127" s="94">
        <v>6455159779</v>
      </c>
      <c r="D127" s="94">
        <v>4539357035</v>
      </c>
      <c r="E127" s="94">
        <v>1548854616</v>
      </c>
      <c r="F127" s="94">
        <v>157940549</v>
      </c>
      <c r="G127" s="94">
        <v>6523922917</v>
      </c>
      <c r="H127" s="94">
        <v>2478836137</v>
      </c>
      <c r="I127" s="94">
        <v>114703379</v>
      </c>
      <c r="J127" s="94">
        <v>879151376</v>
      </c>
      <c r="K127" s="94">
        <v>1474017575</v>
      </c>
      <c r="L127" s="94">
        <v>444019254</v>
      </c>
    </row>
    <row r="128" spans="1:12">
      <c r="A128" s="140">
        <v>799</v>
      </c>
      <c r="B128" s="93" t="s">
        <v>132</v>
      </c>
      <c r="C128" s="94">
        <v>6455159779</v>
      </c>
      <c r="D128" s="94">
        <v>4539357035</v>
      </c>
      <c r="E128" s="94">
        <v>1548854616</v>
      </c>
      <c r="F128" s="94">
        <v>157940549</v>
      </c>
      <c r="G128" s="94">
        <v>6523922917</v>
      </c>
      <c r="H128" s="94">
        <v>2478836137</v>
      </c>
      <c r="I128" s="94">
        <v>114703379</v>
      </c>
      <c r="J128" s="94">
        <v>879151376</v>
      </c>
      <c r="K128" s="94">
        <v>1474017575</v>
      </c>
      <c r="L128" s="94">
        <v>444019254</v>
      </c>
    </row>
    <row r="129" spans="1:12">
      <c r="A129" s="140">
        <v>811</v>
      </c>
      <c r="B129" s="93" t="s">
        <v>133</v>
      </c>
      <c r="C129" s="94">
        <v>1878077730</v>
      </c>
      <c r="D129" s="94">
        <v>834229975</v>
      </c>
      <c r="E129" s="94">
        <v>532417944</v>
      </c>
      <c r="F129" s="94">
        <v>20780297</v>
      </c>
      <c r="G129" s="94">
        <v>3779599021</v>
      </c>
      <c r="H129" s="94">
        <v>1008900752</v>
      </c>
      <c r="I129" s="94">
        <v>1481605295</v>
      </c>
      <c r="J129" s="94">
        <v>371132386</v>
      </c>
      <c r="K129" s="94">
        <v>136327084</v>
      </c>
      <c r="L129" s="94">
        <v>119048052</v>
      </c>
    </row>
    <row r="130" spans="1:12">
      <c r="A130" s="140">
        <v>812</v>
      </c>
      <c r="B130" s="93" t="s">
        <v>134</v>
      </c>
      <c r="C130" s="94">
        <v>3185605581</v>
      </c>
      <c r="D130" s="94">
        <v>1740937573</v>
      </c>
      <c r="E130" s="94">
        <v>1014040210</v>
      </c>
      <c r="F130" s="94">
        <v>29843845</v>
      </c>
      <c r="G130" s="94">
        <v>5951067438</v>
      </c>
      <c r="H130" s="94">
        <v>2652476919</v>
      </c>
      <c r="I130" s="94">
        <v>198549557</v>
      </c>
      <c r="J130" s="94">
        <v>827604568</v>
      </c>
      <c r="K130" s="94">
        <v>337384828</v>
      </c>
      <c r="L130" s="94">
        <v>187702926</v>
      </c>
    </row>
    <row r="131" spans="1:12">
      <c r="A131" s="140">
        <v>821</v>
      </c>
      <c r="B131" s="93" t="s">
        <v>146</v>
      </c>
      <c r="C131" s="94">
        <v>6573606815</v>
      </c>
      <c r="D131" s="94">
        <v>4034841972</v>
      </c>
      <c r="E131" s="94">
        <v>1988631738</v>
      </c>
      <c r="F131" s="94">
        <v>165987674</v>
      </c>
      <c r="G131" s="94">
        <v>7612290863</v>
      </c>
      <c r="H131" s="94">
        <v>3484045334</v>
      </c>
      <c r="I131" s="94">
        <v>348896983</v>
      </c>
      <c r="J131" s="94">
        <v>678620262</v>
      </c>
      <c r="K131" s="94">
        <v>591386487</v>
      </c>
      <c r="L131" s="94">
        <v>417497580</v>
      </c>
    </row>
    <row r="132" spans="1:12">
      <c r="A132" s="140">
        <v>822</v>
      </c>
      <c r="B132" s="93" t="s">
        <v>146</v>
      </c>
      <c r="C132" s="94">
        <v>15037107</v>
      </c>
      <c r="D132" s="94">
        <v>12044753</v>
      </c>
      <c r="E132" s="94">
        <v>2068656</v>
      </c>
      <c r="F132" s="94">
        <v>994586</v>
      </c>
      <c r="G132" s="94">
        <v>19154567</v>
      </c>
      <c r="H132" s="94">
        <v>14971855</v>
      </c>
      <c r="I132" s="94">
        <v>387035</v>
      </c>
      <c r="J132" s="94">
        <v>166144</v>
      </c>
      <c r="K132" s="94">
        <v>1408365</v>
      </c>
      <c r="L132" s="94">
        <v>1327502</v>
      </c>
    </row>
    <row r="133" spans="1:12">
      <c r="A133" s="140">
        <v>911</v>
      </c>
      <c r="B133" s="93" t="s">
        <v>135</v>
      </c>
      <c r="C133" s="94">
        <v>2171147710</v>
      </c>
      <c r="D133" s="94">
        <v>1723234876</v>
      </c>
      <c r="E133" s="94">
        <v>340532075</v>
      </c>
      <c r="F133" s="94">
        <v>35107611</v>
      </c>
      <c r="G133" s="94">
        <v>2561467369</v>
      </c>
      <c r="H133" s="94">
        <v>733194580</v>
      </c>
      <c r="I133" s="94">
        <v>25474002</v>
      </c>
      <c r="J133" s="94">
        <v>349781801</v>
      </c>
      <c r="K133" s="94">
        <v>249627349</v>
      </c>
      <c r="L133" s="94">
        <v>257854586</v>
      </c>
    </row>
    <row r="134" spans="1:12">
      <c r="A134" s="140">
        <v>912</v>
      </c>
      <c r="B134" s="93" t="s">
        <v>136</v>
      </c>
      <c r="C134" s="94">
        <v>1369675768</v>
      </c>
      <c r="D134" s="94">
        <v>924311272</v>
      </c>
      <c r="E134" s="94">
        <v>325334556</v>
      </c>
      <c r="F134" s="94">
        <v>19852948</v>
      </c>
      <c r="G134" s="94">
        <v>1167659035</v>
      </c>
      <c r="H134" s="94">
        <v>359181049</v>
      </c>
      <c r="I134" s="94">
        <v>23253969</v>
      </c>
      <c r="J134" s="94">
        <v>177016815</v>
      </c>
      <c r="K134" s="94">
        <v>129518887</v>
      </c>
      <c r="L134" s="94">
        <v>111127879</v>
      </c>
    </row>
    <row r="135" spans="1:12">
      <c r="A135" s="140">
        <v>913</v>
      </c>
      <c r="B135" s="93" t="s">
        <v>137</v>
      </c>
      <c r="C135" s="94">
        <v>56775883481</v>
      </c>
      <c r="D135" s="94">
        <v>48467907603</v>
      </c>
      <c r="E135" s="94">
        <v>5314429084</v>
      </c>
      <c r="F135" s="94">
        <v>1437915166</v>
      </c>
      <c r="G135" s="94">
        <v>54748743948</v>
      </c>
      <c r="H135" s="94">
        <v>24162167928</v>
      </c>
      <c r="I135" s="94">
        <v>539921280</v>
      </c>
      <c r="J135" s="94">
        <v>11363157966</v>
      </c>
      <c r="K135" s="94">
        <v>5883041591</v>
      </c>
      <c r="L135" s="94">
        <v>5797302204</v>
      </c>
    </row>
    <row r="136" spans="1:12">
      <c r="A136" s="140">
        <v>914</v>
      </c>
      <c r="B136" s="93" t="s">
        <v>138</v>
      </c>
      <c r="C136" s="94">
        <v>8546530275</v>
      </c>
      <c r="D136" s="94">
        <v>5959594135</v>
      </c>
      <c r="E136" s="94">
        <v>1940186246</v>
      </c>
      <c r="F136" s="94">
        <v>118006392</v>
      </c>
      <c r="G136" s="94">
        <v>7349887607</v>
      </c>
      <c r="H136" s="94">
        <v>2578027054</v>
      </c>
      <c r="I136" s="94">
        <v>81967517</v>
      </c>
      <c r="J136" s="94">
        <v>1287839211</v>
      </c>
      <c r="K136" s="94">
        <v>818427821</v>
      </c>
      <c r="L136" s="94">
        <v>653306657</v>
      </c>
    </row>
    <row r="137" spans="1:12">
      <c r="A137" s="140">
        <v>915</v>
      </c>
      <c r="B137" s="93" t="s">
        <v>139</v>
      </c>
      <c r="C137" s="94">
        <v>22501309551</v>
      </c>
      <c r="D137" s="94">
        <v>19134638102</v>
      </c>
      <c r="E137" s="94">
        <v>2044789688</v>
      </c>
      <c r="F137" s="94">
        <v>572975440</v>
      </c>
      <c r="G137" s="94">
        <v>21899411236</v>
      </c>
      <c r="H137" s="94">
        <v>9498659528</v>
      </c>
      <c r="I137" s="94">
        <v>265289457</v>
      </c>
      <c r="J137" s="94">
        <v>4263017794</v>
      </c>
      <c r="K137" s="94">
        <v>2098117914</v>
      </c>
      <c r="L137" s="94">
        <v>2253956299</v>
      </c>
    </row>
    <row r="138" spans="1:12">
      <c r="A138" s="140">
        <v>919</v>
      </c>
      <c r="B138" s="93" t="s">
        <v>140</v>
      </c>
      <c r="C138" s="94">
        <v>7130228123</v>
      </c>
      <c r="D138" s="94">
        <v>5921094728</v>
      </c>
      <c r="E138" s="94">
        <v>905310096</v>
      </c>
      <c r="F138" s="94">
        <v>171013239</v>
      </c>
      <c r="G138" s="94">
        <v>8303741773</v>
      </c>
      <c r="H138" s="94">
        <v>3138275598</v>
      </c>
      <c r="I138" s="94">
        <v>235994978</v>
      </c>
      <c r="J138" s="94">
        <v>1560507268</v>
      </c>
      <c r="K138" s="94">
        <v>745719190</v>
      </c>
      <c r="L138" s="94">
        <v>929030827</v>
      </c>
    </row>
    <row r="139" spans="1:12">
      <c r="A139" s="140">
        <v>921</v>
      </c>
      <c r="B139" s="93" t="s">
        <v>141</v>
      </c>
      <c r="C139" s="94">
        <v>5314203909</v>
      </c>
      <c r="D139" s="94">
        <v>4132946469</v>
      </c>
      <c r="E139" s="94">
        <v>1411502552</v>
      </c>
      <c r="F139" s="94">
        <v>89323592</v>
      </c>
      <c r="G139" s="94">
        <v>7543124366</v>
      </c>
      <c r="H139" s="94">
        <v>3596412912</v>
      </c>
      <c r="I139" s="94">
        <v>413240823</v>
      </c>
      <c r="J139" s="94">
        <v>403153318</v>
      </c>
      <c r="K139" s="94">
        <v>226090667</v>
      </c>
      <c r="L139" s="94">
        <v>113558370</v>
      </c>
    </row>
    <row r="140" spans="1:12">
      <c r="A140" s="140">
        <v>922</v>
      </c>
      <c r="B140" s="93" t="s">
        <v>142</v>
      </c>
      <c r="C140" s="94">
        <v>49326529706</v>
      </c>
      <c r="D140" s="94">
        <v>27654712012</v>
      </c>
      <c r="E140" s="94">
        <v>18535359148</v>
      </c>
      <c r="F140" s="94">
        <v>864610110</v>
      </c>
      <c r="G140" s="94">
        <v>48717003216</v>
      </c>
      <c r="H140" s="94">
        <v>8261468420</v>
      </c>
      <c r="I140" s="94">
        <v>4127660371</v>
      </c>
      <c r="J140" s="94">
        <v>10245805037</v>
      </c>
      <c r="K140" s="94">
        <v>1839451740</v>
      </c>
      <c r="L140" s="94">
        <v>4323490674</v>
      </c>
    </row>
    <row r="141" spans="1:12">
      <c r="A141" s="140">
        <v>923</v>
      </c>
      <c r="B141" s="93" t="s">
        <v>143</v>
      </c>
      <c r="C141" s="94">
        <v>2908874474</v>
      </c>
      <c r="D141" s="94">
        <v>809808368</v>
      </c>
      <c r="E141" s="94">
        <v>1583507743</v>
      </c>
      <c r="F141" s="94">
        <v>114855380</v>
      </c>
      <c r="G141" s="94">
        <v>3443440437</v>
      </c>
      <c r="H141" s="94">
        <v>1079654512</v>
      </c>
      <c r="I141" s="94">
        <v>70595169</v>
      </c>
      <c r="J141" s="94">
        <v>346496888</v>
      </c>
      <c r="K141" s="94">
        <v>13154348</v>
      </c>
      <c r="L141" s="94">
        <v>30313206</v>
      </c>
    </row>
    <row r="142" spans="1:12">
      <c r="A142" s="140">
        <v>924</v>
      </c>
      <c r="B142" s="93" t="s">
        <v>144</v>
      </c>
      <c r="C142" s="94">
        <v>13234550228</v>
      </c>
      <c r="D142" s="94">
        <v>10116414370</v>
      </c>
      <c r="E142" s="94">
        <v>2558651450</v>
      </c>
      <c r="F142" s="94">
        <v>380690556</v>
      </c>
      <c r="G142" s="94">
        <v>16239159172</v>
      </c>
      <c r="H142" s="94">
        <v>7062482946</v>
      </c>
      <c r="I142" s="94">
        <v>1038308289</v>
      </c>
      <c r="J142" s="94">
        <v>1079399654</v>
      </c>
      <c r="K142" s="94">
        <v>712040932</v>
      </c>
      <c r="L142" s="94">
        <v>347395422</v>
      </c>
    </row>
    <row r="143" spans="1:12">
      <c r="A143" s="140">
        <v>929</v>
      </c>
      <c r="B143" s="93" t="s">
        <v>145</v>
      </c>
      <c r="C143" s="94">
        <v>764876760</v>
      </c>
      <c r="D143" s="94">
        <v>409944147</v>
      </c>
      <c r="E143" s="94">
        <v>316163691</v>
      </c>
      <c r="F143" s="94">
        <v>12846063</v>
      </c>
      <c r="G143" s="94">
        <v>764916281</v>
      </c>
      <c r="H143" s="94">
        <v>346642884</v>
      </c>
      <c r="I143" s="94">
        <v>22813566</v>
      </c>
      <c r="J143" s="94">
        <v>63520672</v>
      </c>
      <c r="K143" s="94">
        <v>4752375</v>
      </c>
      <c r="L143" s="94">
        <v>26039649</v>
      </c>
    </row>
  </sheetData>
  <mergeCells count="3">
    <mergeCell ref="C1:E1"/>
    <mergeCell ref="G1:I1"/>
    <mergeCell ref="J1:L1"/>
  </mergeCells>
  <phoneticPr fontId="11"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O143"/>
  <sheetViews>
    <sheetView workbookViewId="0">
      <selection activeCell="E23" sqref="E23"/>
    </sheetView>
  </sheetViews>
  <sheetFormatPr defaultRowHeight="13.5"/>
  <cols>
    <col min="1" max="1" width="8.88671875" style="89"/>
    <col min="2" max="2" width="42.5546875" style="89" customWidth="1"/>
    <col min="3" max="4" width="11.6640625" style="95" bestFit="1" customWidth="1"/>
    <col min="5" max="6" width="10.88671875" style="95" bestFit="1" customWidth="1"/>
    <col min="7" max="8" width="11.6640625" style="95" bestFit="1" customWidth="1"/>
    <col min="9" max="9" width="10.88671875" style="95" bestFit="1" customWidth="1"/>
    <col min="10" max="10" width="11.6640625" style="95" bestFit="1" customWidth="1"/>
    <col min="11" max="12" width="10.8867187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207454370</v>
      </c>
      <c r="D3" s="94">
        <v>110266532</v>
      </c>
      <c r="E3" s="94">
        <v>61223620</v>
      </c>
      <c r="F3" s="94">
        <v>7005573</v>
      </c>
      <c r="G3" s="94">
        <v>694423483</v>
      </c>
      <c r="H3" s="94">
        <v>388452467</v>
      </c>
      <c r="I3" s="94">
        <v>8307141</v>
      </c>
      <c r="J3" s="94">
        <v>51353756</v>
      </c>
      <c r="K3" s="94">
        <v>92417771</v>
      </c>
      <c r="L3" s="94">
        <v>7593573</v>
      </c>
    </row>
    <row r="4" spans="1:15">
      <c r="A4" s="140">
        <v>12</v>
      </c>
      <c r="B4" s="93" t="s">
        <v>2</v>
      </c>
      <c r="C4" s="94">
        <v>815741796</v>
      </c>
      <c r="D4" s="94">
        <v>748713408</v>
      </c>
      <c r="E4" s="94">
        <v>47696293</v>
      </c>
      <c r="F4" s="94">
        <v>37421524</v>
      </c>
      <c r="G4" s="94">
        <v>1273524898</v>
      </c>
      <c r="H4" s="94">
        <v>796585566</v>
      </c>
      <c r="I4" s="94">
        <v>460637</v>
      </c>
      <c r="J4" s="94">
        <v>60211002</v>
      </c>
      <c r="K4" s="94">
        <v>245526752</v>
      </c>
      <c r="L4" s="94">
        <v>130989931</v>
      </c>
    </row>
    <row r="5" spans="1:15">
      <c r="A5" s="140">
        <v>21</v>
      </c>
      <c r="B5" s="93" t="s">
        <v>19</v>
      </c>
      <c r="C5" s="94">
        <v>22451490061</v>
      </c>
      <c r="D5" s="94">
        <v>12159050293</v>
      </c>
      <c r="E5" s="94">
        <v>6623685873</v>
      </c>
      <c r="F5" s="94">
        <v>453027607</v>
      </c>
      <c r="G5" s="94">
        <v>34344331122</v>
      </c>
      <c r="H5" s="94">
        <v>11783283514</v>
      </c>
      <c r="I5" s="94">
        <v>1416431390</v>
      </c>
      <c r="J5" s="94">
        <v>5034915228</v>
      </c>
      <c r="K5" s="94">
        <v>3719980907</v>
      </c>
      <c r="L5" s="94">
        <v>1466552623</v>
      </c>
    </row>
    <row r="6" spans="1:15">
      <c r="A6" s="140">
        <v>22</v>
      </c>
      <c r="B6" s="93" t="s">
        <v>20</v>
      </c>
      <c r="C6" s="94">
        <v>31940928609</v>
      </c>
      <c r="D6" s="94">
        <v>22615112357</v>
      </c>
      <c r="E6" s="94">
        <v>5065040167</v>
      </c>
      <c r="F6" s="94">
        <v>814787005</v>
      </c>
      <c r="G6" s="94">
        <v>38160421509</v>
      </c>
      <c r="H6" s="94">
        <v>15549532436</v>
      </c>
      <c r="I6" s="94">
        <v>1096169034</v>
      </c>
      <c r="J6" s="94">
        <v>7362284693</v>
      </c>
      <c r="K6" s="94">
        <v>3501260723</v>
      </c>
      <c r="L6" s="94">
        <v>2460233453</v>
      </c>
    </row>
    <row r="7" spans="1:15">
      <c r="A7" s="140">
        <v>23</v>
      </c>
      <c r="B7" s="93" t="s">
        <v>21</v>
      </c>
      <c r="C7" s="94">
        <v>18496992519</v>
      </c>
      <c r="D7" s="94">
        <v>5871350907</v>
      </c>
      <c r="E7" s="94">
        <v>8930572271</v>
      </c>
      <c r="F7" s="94">
        <v>580829015</v>
      </c>
      <c r="G7" s="94">
        <v>28036357994</v>
      </c>
      <c r="H7" s="94">
        <v>7289626826</v>
      </c>
      <c r="I7" s="94">
        <v>1872229344</v>
      </c>
      <c r="J7" s="94">
        <v>3522765178</v>
      </c>
      <c r="K7" s="94">
        <v>635974204</v>
      </c>
      <c r="L7" s="94">
        <v>822802651</v>
      </c>
    </row>
    <row r="8" spans="1:15">
      <c r="A8" s="140">
        <v>31</v>
      </c>
      <c r="B8" s="93" t="s">
        <v>22</v>
      </c>
      <c r="C8" s="94">
        <v>17031338</v>
      </c>
      <c r="D8" s="94">
        <v>4261847</v>
      </c>
      <c r="E8" s="94">
        <v>8757370</v>
      </c>
      <c r="F8" s="94">
        <v>1881554</v>
      </c>
      <c r="G8" s="94">
        <v>83976871</v>
      </c>
      <c r="H8" s="94">
        <v>77591848</v>
      </c>
      <c r="I8" s="94">
        <v>39167</v>
      </c>
      <c r="J8" s="94">
        <v>528794</v>
      </c>
      <c r="K8" s="94">
        <v>2143830</v>
      </c>
      <c r="L8" s="94">
        <v>73847</v>
      </c>
    </row>
    <row r="9" spans="1:15">
      <c r="A9" s="140">
        <v>39</v>
      </c>
      <c r="B9" s="93" t="s">
        <v>23</v>
      </c>
      <c r="C9" s="94">
        <v>1516398</v>
      </c>
      <c r="D9" s="94">
        <v>1415121</v>
      </c>
      <c r="E9" s="94">
        <v>51949</v>
      </c>
      <c r="F9" s="94">
        <v>0</v>
      </c>
      <c r="G9" s="94">
        <v>588520</v>
      </c>
      <c r="H9" s="94">
        <v>0</v>
      </c>
      <c r="I9" s="94">
        <v>2500</v>
      </c>
      <c r="J9" s="94">
        <v>109800</v>
      </c>
      <c r="K9" s="94">
        <v>30704</v>
      </c>
      <c r="L9" s="94">
        <v>29260</v>
      </c>
    </row>
    <row r="10" spans="1:15">
      <c r="A10" s="140">
        <v>41</v>
      </c>
      <c r="B10" s="93" t="s">
        <v>24</v>
      </c>
      <c r="C10" s="94">
        <v>1639484883</v>
      </c>
      <c r="D10" s="94">
        <v>1229493710</v>
      </c>
      <c r="E10" s="94">
        <v>243815694</v>
      </c>
      <c r="F10" s="94">
        <v>29138817</v>
      </c>
      <c r="G10" s="94">
        <v>2430797330</v>
      </c>
      <c r="H10" s="94">
        <v>1124894526</v>
      </c>
      <c r="I10" s="94">
        <v>9476786</v>
      </c>
      <c r="J10" s="94">
        <v>281387902</v>
      </c>
      <c r="K10" s="94">
        <v>156202061</v>
      </c>
      <c r="L10" s="94">
        <v>124402653</v>
      </c>
    </row>
    <row r="11" spans="1:15">
      <c r="A11" s="140">
        <v>42</v>
      </c>
      <c r="B11" s="93" t="s">
        <v>25</v>
      </c>
      <c r="C11" s="94">
        <v>4956369442</v>
      </c>
      <c r="D11" s="94">
        <v>2237901158</v>
      </c>
      <c r="E11" s="94">
        <v>2062607588</v>
      </c>
      <c r="F11" s="94">
        <v>99568623</v>
      </c>
      <c r="G11" s="94">
        <v>5426485086</v>
      </c>
      <c r="H11" s="94">
        <v>2529623069</v>
      </c>
      <c r="I11" s="94">
        <v>163213011</v>
      </c>
      <c r="J11" s="94">
        <v>570969377</v>
      </c>
      <c r="K11" s="94">
        <v>519998680</v>
      </c>
      <c r="L11" s="94">
        <v>284506032</v>
      </c>
    </row>
    <row r="12" spans="1:15">
      <c r="A12" s="140">
        <v>43</v>
      </c>
      <c r="B12" s="93" t="s">
        <v>26</v>
      </c>
      <c r="C12" s="94">
        <v>10362705396</v>
      </c>
      <c r="D12" s="94">
        <v>7917401872</v>
      </c>
      <c r="E12" s="94">
        <v>1226476582</v>
      </c>
      <c r="F12" s="94">
        <v>247542549</v>
      </c>
      <c r="G12" s="94">
        <v>12189277929</v>
      </c>
      <c r="H12" s="94">
        <v>5007568321</v>
      </c>
      <c r="I12" s="94">
        <v>563414314</v>
      </c>
      <c r="J12" s="94">
        <v>2194224476</v>
      </c>
      <c r="K12" s="94">
        <v>1429893623</v>
      </c>
      <c r="L12" s="94">
        <v>970818132</v>
      </c>
    </row>
    <row r="13" spans="1:15">
      <c r="A13" s="140">
        <v>44</v>
      </c>
      <c r="B13" s="93" t="s">
        <v>27</v>
      </c>
      <c r="C13" s="94">
        <v>15459660776</v>
      </c>
      <c r="D13" s="94">
        <v>5137192123</v>
      </c>
      <c r="E13" s="94">
        <v>7322442963</v>
      </c>
      <c r="F13" s="94">
        <v>469918838</v>
      </c>
      <c r="G13" s="94">
        <v>24280239357</v>
      </c>
      <c r="H13" s="94">
        <v>6168857187</v>
      </c>
      <c r="I13" s="94">
        <v>1839390188</v>
      </c>
      <c r="J13" s="94">
        <v>3052617953</v>
      </c>
      <c r="K13" s="94">
        <v>736248779</v>
      </c>
      <c r="L13" s="94">
        <v>779034806</v>
      </c>
    </row>
    <row r="14" spans="1:15">
      <c r="A14" s="140">
        <v>51</v>
      </c>
      <c r="B14" s="93" t="s">
        <v>28</v>
      </c>
      <c r="C14" s="94">
        <v>117945349</v>
      </c>
      <c r="D14" s="94">
        <v>105188029</v>
      </c>
      <c r="E14" s="94">
        <v>11788717</v>
      </c>
      <c r="F14" s="94">
        <v>2203280</v>
      </c>
      <c r="G14" s="94">
        <v>127255483</v>
      </c>
      <c r="H14" s="94">
        <v>50361141</v>
      </c>
      <c r="I14" s="94">
        <v>0</v>
      </c>
      <c r="J14" s="94">
        <v>6966650</v>
      </c>
      <c r="K14" s="94">
        <v>7106878</v>
      </c>
      <c r="L14" s="94">
        <v>8217879</v>
      </c>
    </row>
    <row r="15" spans="1:15">
      <c r="A15" s="140">
        <v>52</v>
      </c>
      <c r="B15" s="93" t="s">
        <v>29</v>
      </c>
      <c r="C15" s="94">
        <v>27551210</v>
      </c>
      <c r="D15" s="94">
        <v>21687148</v>
      </c>
      <c r="E15" s="94">
        <v>2713572</v>
      </c>
      <c r="F15" s="94">
        <v>1289282</v>
      </c>
      <c r="G15" s="94">
        <v>67022583</v>
      </c>
      <c r="H15" s="94">
        <v>39448562</v>
      </c>
      <c r="I15" s="94">
        <v>202303</v>
      </c>
      <c r="J15" s="94">
        <v>2789093</v>
      </c>
      <c r="K15" s="94">
        <v>13851966</v>
      </c>
      <c r="L15" s="94">
        <v>1355872</v>
      </c>
    </row>
    <row r="16" spans="1:15">
      <c r="A16" s="140">
        <v>61</v>
      </c>
      <c r="B16" s="93" t="s">
        <v>30</v>
      </c>
      <c r="C16" s="94">
        <v>19344198319</v>
      </c>
      <c r="D16" s="94">
        <v>15529158572</v>
      </c>
      <c r="E16" s="94">
        <v>2510138316</v>
      </c>
      <c r="F16" s="94">
        <v>109729057</v>
      </c>
      <c r="G16" s="94">
        <v>19053689744</v>
      </c>
      <c r="H16" s="94">
        <v>6362010227</v>
      </c>
      <c r="I16" s="94">
        <v>172569762</v>
      </c>
      <c r="J16" s="94">
        <v>2020419771</v>
      </c>
      <c r="K16" s="94">
        <v>1769142427</v>
      </c>
      <c r="L16" s="94">
        <v>1305096504</v>
      </c>
    </row>
    <row r="17" spans="1:12">
      <c r="A17" s="140">
        <v>62</v>
      </c>
      <c r="B17" s="93" t="s">
        <v>31</v>
      </c>
      <c r="C17" s="94">
        <v>69211542054</v>
      </c>
      <c r="D17" s="94">
        <v>51158123856</v>
      </c>
      <c r="E17" s="94">
        <v>9217589090</v>
      </c>
      <c r="F17" s="94">
        <v>1574143854</v>
      </c>
      <c r="G17" s="94">
        <v>80325573133</v>
      </c>
      <c r="H17" s="94">
        <v>31306222893</v>
      </c>
      <c r="I17" s="94">
        <v>1409128783</v>
      </c>
      <c r="J17" s="94">
        <v>14460016027</v>
      </c>
      <c r="K17" s="94">
        <v>6533269603</v>
      </c>
      <c r="L17" s="94">
        <v>6268526872</v>
      </c>
    </row>
    <row r="18" spans="1:12">
      <c r="A18" s="140">
        <v>63</v>
      </c>
      <c r="B18" s="93" t="s">
        <v>32</v>
      </c>
      <c r="C18" s="94">
        <v>19751247187</v>
      </c>
      <c r="D18" s="94">
        <v>6751883835</v>
      </c>
      <c r="E18" s="94">
        <v>9165603037</v>
      </c>
      <c r="F18" s="94">
        <v>597074668</v>
      </c>
      <c r="G18" s="94">
        <v>29185694046</v>
      </c>
      <c r="H18" s="94">
        <v>7276384143</v>
      </c>
      <c r="I18" s="94">
        <v>1949937326</v>
      </c>
      <c r="J18" s="94">
        <v>3745569294</v>
      </c>
      <c r="K18" s="94">
        <v>843447001</v>
      </c>
      <c r="L18" s="94">
        <v>864467690</v>
      </c>
    </row>
    <row r="19" spans="1:12">
      <c r="A19" s="140">
        <v>71</v>
      </c>
      <c r="B19" s="93" t="s">
        <v>33</v>
      </c>
      <c r="C19" s="94">
        <v>2120524822</v>
      </c>
      <c r="D19" s="94">
        <v>1754356849</v>
      </c>
      <c r="E19" s="94">
        <v>218875692</v>
      </c>
      <c r="F19" s="94">
        <v>53975897</v>
      </c>
      <c r="G19" s="94">
        <v>1745460985</v>
      </c>
      <c r="H19" s="94">
        <v>970841187</v>
      </c>
      <c r="I19" s="94">
        <v>11303355</v>
      </c>
      <c r="J19" s="94">
        <v>253678583</v>
      </c>
      <c r="K19" s="94">
        <v>178943901</v>
      </c>
      <c r="L19" s="94">
        <v>97466934</v>
      </c>
    </row>
    <row r="20" spans="1:12">
      <c r="A20" s="140">
        <v>72</v>
      </c>
      <c r="B20" s="93" t="s">
        <v>34</v>
      </c>
      <c r="C20" s="94">
        <v>919096734</v>
      </c>
      <c r="D20" s="94">
        <v>744153497</v>
      </c>
      <c r="E20" s="94">
        <v>101262513</v>
      </c>
      <c r="F20" s="94">
        <v>18263385</v>
      </c>
      <c r="G20" s="94">
        <v>911875181</v>
      </c>
      <c r="H20" s="94">
        <v>438647094</v>
      </c>
      <c r="I20" s="94">
        <v>2836010</v>
      </c>
      <c r="J20" s="94">
        <v>104186220</v>
      </c>
      <c r="K20" s="94">
        <v>173180473</v>
      </c>
      <c r="L20" s="94">
        <v>40560342</v>
      </c>
    </row>
    <row r="21" spans="1:12">
      <c r="A21" s="140">
        <v>73</v>
      </c>
      <c r="B21" s="93" t="s">
        <v>35</v>
      </c>
      <c r="C21" s="94">
        <v>626497775</v>
      </c>
      <c r="D21" s="94">
        <v>495955547</v>
      </c>
      <c r="E21" s="94">
        <v>77560392</v>
      </c>
      <c r="F21" s="94">
        <v>17764177</v>
      </c>
      <c r="G21" s="94">
        <v>635039979</v>
      </c>
      <c r="H21" s="94">
        <v>357946061</v>
      </c>
      <c r="I21" s="94">
        <v>3778900</v>
      </c>
      <c r="J21" s="94">
        <v>82201257</v>
      </c>
      <c r="K21" s="94">
        <v>89920251</v>
      </c>
      <c r="L21" s="94">
        <v>35151482</v>
      </c>
    </row>
    <row r="22" spans="1:12">
      <c r="A22" s="140">
        <v>74</v>
      </c>
      <c r="B22" s="93" t="s">
        <v>36</v>
      </c>
      <c r="C22" s="94">
        <v>317675406</v>
      </c>
      <c r="D22" s="94">
        <v>271548005</v>
      </c>
      <c r="E22" s="94">
        <v>17975039</v>
      </c>
      <c r="F22" s="94">
        <v>3773260</v>
      </c>
      <c r="G22" s="94">
        <v>229620215</v>
      </c>
      <c r="H22" s="94">
        <v>75835464</v>
      </c>
      <c r="I22" s="94">
        <v>733920</v>
      </c>
      <c r="J22" s="94">
        <v>33643865</v>
      </c>
      <c r="K22" s="94">
        <v>20573980</v>
      </c>
      <c r="L22" s="94">
        <v>21800219</v>
      </c>
    </row>
    <row r="23" spans="1:12">
      <c r="A23" s="140">
        <v>75</v>
      </c>
      <c r="B23" s="93" t="s">
        <v>37</v>
      </c>
      <c r="C23" s="94">
        <v>1738956854</v>
      </c>
      <c r="D23" s="94">
        <v>772475757</v>
      </c>
      <c r="E23" s="94">
        <v>805473227</v>
      </c>
      <c r="F23" s="94">
        <v>31274530</v>
      </c>
      <c r="G23" s="94">
        <v>1581124629</v>
      </c>
      <c r="H23" s="94">
        <v>461228922</v>
      </c>
      <c r="I23" s="94">
        <v>9969051</v>
      </c>
      <c r="J23" s="94">
        <v>123111744</v>
      </c>
      <c r="K23" s="94">
        <v>83599379</v>
      </c>
      <c r="L23" s="94">
        <v>66185461</v>
      </c>
    </row>
    <row r="24" spans="1:12">
      <c r="A24" s="140">
        <v>76</v>
      </c>
      <c r="B24" s="93" t="s">
        <v>38</v>
      </c>
      <c r="C24" s="94">
        <v>1810775699</v>
      </c>
      <c r="D24" s="94">
        <v>1490863229</v>
      </c>
      <c r="E24" s="94">
        <v>225717498</v>
      </c>
      <c r="F24" s="94">
        <v>28241178</v>
      </c>
      <c r="G24" s="94">
        <v>2326264156</v>
      </c>
      <c r="H24" s="94">
        <v>817694064</v>
      </c>
      <c r="I24" s="94">
        <v>12230033</v>
      </c>
      <c r="J24" s="94">
        <v>236930811</v>
      </c>
      <c r="K24" s="94">
        <v>232984534</v>
      </c>
      <c r="L24" s="94">
        <v>69205657</v>
      </c>
    </row>
    <row r="25" spans="1:12">
      <c r="A25" s="140">
        <v>77</v>
      </c>
      <c r="B25" s="93" t="s">
        <v>39</v>
      </c>
      <c r="C25" s="94">
        <v>602821978</v>
      </c>
      <c r="D25" s="94">
        <v>479698603</v>
      </c>
      <c r="E25" s="94">
        <v>68353563</v>
      </c>
      <c r="F25" s="94">
        <v>9552041</v>
      </c>
      <c r="G25" s="94">
        <v>883103820</v>
      </c>
      <c r="H25" s="94">
        <v>220741589</v>
      </c>
      <c r="I25" s="94">
        <v>4559940</v>
      </c>
      <c r="J25" s="94">
        <v>109089896</v>
      </c>
      <c r="K25" s="94">
        <v>66348837</v>
      </c>
      <c r="L25" s="94">
        <v>40550250</v>
      </c>
    </row>
    <row r="26" spans="1:12">
      <c r="A26" s="140">
        <v>79</v>
      </c>
      <c r="B26" s="93" t="s">
        <v>40</v>
      </c>
      <c r="C26" s="94">
        <v>7459858886</v>
      </c>
      <c r="D26" s="94">
        <v>4913881202</v>
      </c>
      <c r="E26" s="94">
        <v>1620588947</v>
      </c>
      <c r="F26" s="94">
        <v>188137726</v>
      </c>
      <c r="G26" s="94">
        <v>9344122848</v>
      </c>
      <c r="H26" s="94">
        <v>3211522276</v>
      </c>
      <c r="I26" s="94">
        <v>133709077</v>
      </c>
      <c r="J26" s="94">
        <v>1091245271</v>
      </c>
      <c r="K26" s="94">
        <v>2102165597</v>
      </c>
      <c r="L26" s="94">
        <v>390537969</v>
      </c>
    </row>
    <row r="27" spans="1:12">
      <c r="A27" s="140">
        <v>81</v>
      </c>
      <c r="B27" s="93" t="s">
        <v>41</v>
      </c>
      <c r="C27" s="94">
        <v>2885353807</v>
      </c>
      <c r="D27" s="94">
        <v>1291001642</v>
      </c>
      <c r="E27" s="94">
        <v>810481002</v>
      </c>
      <c r="F27" s="94">
        <v>20763968</v>
      </c>
      <c r="G27" s="94">
        <v>5438403533</v>
      </c>
      <c r="H27" s="94">
        <v>1156949522</v>
      </c>
      <c r="I27" s="94">
        <v>1485590333</v>
      </c>
      <c r="J27" s="94">
        <v>609232358</v>
      </c>
      <c r="K27" s="94">
        <v>230026849</v>
      </c>
      <c r="L27" s="94">
        <v>174125579</v>
      </c>
    </row>
    <row r="28" spans="1:12">
      <c r="A28" s="140">
        <v>82</v>
      </c>
      <c r="B28" s="93" t="s">
        <v>42</v>
      </c>
      <c r="C28" s="94">
        <v>1921972797</v>
      </c>
      <c r="D28" s="94">
        <v>1153658702</v>
      </c>
      <c r="E28" s="94">
        <v>497360298</v>
      </c>
      <c r="F28" s="94">
        <v>20535326</v>
      </c>
      <c r="G28" s="94">
        <v>1504513809</v>
      </c>
      <c r="H28" s="94">
        <v>505825622</v>
      </c>
      <c r="I28" s="94">
        <v>14750843</v>
      </c>
      <c r="J28" s="94">
        <v>166065771</v>
      </c>
      <c r="K28" s="94">
        <v>163722629</v>
      </c>
      <c r="L28" s="94">
        <v>66309815</v>
      </c>
    </row>
    <row r="29" spans="1:12">
      <c r="A29" s="140">
        <v>91</v>
      </c>
      <c r="B29" s="93" t="s">
        <v>43</v>
      </c>
      <c r="C29" s="94">
        <v>24758143572</v>
      </c>
      <c r="D29" s="94">
        <v>18099312111</v>
      </c>
      <c r="E29" s="94">
        <v>3576926658</v>
      </c>
      <c r="F29" s="94">
        <v>631964409</v>
      </c>
      <c r="G29" s="94">
        <v>26512069148</v>
      </c>
      <c r="H29" s="94">
        <v>11341095625</v>
      </c>
      <c r="I29" s="94">
        <v>289517469</v>
      </c>
      <c r="J29" s="94">
        <v>4722613036</v>
      </c>
      <c r="K29" s="94">
        <v>2175933405</v>
      </c>
      <c r="L29" s="94">
        <v>1892332345</v>
      </c>
    </row>
    <row r="30" spans="1:12">
      <c r="A30" s="140">
        <v>92</v>
      </c>
      <c r="B30" s="93" t="s">
        <v>44</v>
      </c>
      <c r="C30" s="94">
        <v>16854504402</v>
      </c>
      <c r="D30" s="94">
        <v>5346418256</v>
      </c>
      <c r="E30" s="94">
        <v>8037276542</v>
      </c>
      <c r="F30" s="94">
        <v>546914133</v>
      </c>
      <c r="G30" s="94">
        <v>25877387042</v>
      </c>
      <c r="H30" s="94">
        <v>6458364546</v>
      </c>
      <c r="I30" s="94">
        <v>1876597937</v>
      </c>
      <c r="J30" s="94">
        <v>3255501006</v>
      </c>
      <c r="K30" s="94">
        <v>729237302</v>
      </c>
      <c r="L30" s="94">
        <v>773872521</v>
      </c>
    </row>
    <row r="31" spans="1:12">
      <c r="A31" s="140">
        <v>111</v>
      </c>
      <c r="B31" s="93" t="s">
        <v>45</v>
      </c>
      <c r="C31" s="94">
        <v>23600914</v>
      </c>
      <c r="D31" s="94">
        <v>20339797</v>
      </c>
      <c r="E31" s="94">
        <v>2505854</v>
      </c>
      <c r="F31" s="94">
        <v>168331</v>
      </c>
      <c r="G31" s="94">
        <v>119210960</v>
      </c>
      <c r="H31" s="94">
        <v>96127993</v>
      </c>
      <c r="I31" s="94">
        <v>61200</v>
      </c>
      <c r="J31" s="94">
        <v>1954607</v>
      </c>
      <c r="K31" s="94">
        <v>9171752</v>
      </c>
      <c r="L31" s="94">
        <v>1655483</v>
      </c>
    </row>
    <row r="32" spans="1:12">
      <c r="A32" s="140">
        <v>112</v>
      </c>
      <c r="B32" s="93" t="s">
        <v>46</v>
      </c>
      <c r="C32" s="94">
        <v>14663715</v>
      </c>
      <c r="D32" s="94">
        <v>9441194</v>
      </c>
      <c r="E32" s="94">
        <v>2707730</v>
      </c>
      <c r="F32" s="94">
        <v>1381498</v>
      </c>
      <c r="G32" s="94">
        <v>44365894</v>
      </c>
      <c r="H32" s="94">
        <v>34510731</v>
      </c>
      <c r="I32" s="94">
        <v>15124</v>
      </c>
      <c r="J32" s="94">
        <v>1264275</v>
      </c>
      <c r="K32" s="94">
        <v>1678314</v>
      </c>
      <c r="L32" s="94">
        <v>414795</v>
      </c>
    </row>
    <row r="33" spans="1:12">
      <c r="A33" s="140">
        <v>113</v>
      </c>
      <c r="B33" s="93" t="s">
        <v>47</v>
      </c>
      <c r="C33" s="94">
        <v>3154597</v>
      </c>
      <c r="D33" s="94">
        <v>1989133</v>
      </c>
      <c r="E33" s="94">
        <v>726092</v>
      </c>
      <c r="F33" s="94">
        <v>383464</v>
      </c>
      <c r="G33" s="94">
        <v>5693154</v>
      </c>
      <c r="H33" s="94">
        <v>3642698</v>
      </c>
      <c r="I33" s="94">
        <v>126648</v>
      </c>
      <c r="J33" s="94">
        <v>218800</v>
      </c>
      <c r="K33" s="94">
        <v>866943</v>
      </c>
      <c r="L33" s="94">
        <v>25637</v>
      </c>
    </row>
    <row r="34" spans="1:12">
      <c r="A34" s="140">
        <v>114</v>
      </c>
      <c r="B34" s="93" t="s">
        <v>48</v>
      </c>
      <c r="C34" s="94">
        <v>109776176</v>
      </c>
      <c r="D34" s="94">
        <v>50888054</v>
      </c>
      <c r="E34" s="94">
        <v>38424471</v>
      </c>
      <c r="F34" s="94">
        <v>1167965</v>
      </c>
      <c r="G34" s="94">
        <v>247141286</v>
      </c>
      <c r="H34" s="94">
        <v>68791058</v>
      </c>
      <c r="I34" s="94">
        <v>1657811</v>
      </c>
      <c r="J34" s="94">
        <v>38763476</v>
      </c>
      <c r="K34" s="94">
        <v>38685516</v>
      </c>
      <c r="L34" s="94">
        <v>3652067</v>
      </c>
    </row>
    <row r="35" spans="1:12">
      <c r="A35" s="140">
        <v>115</v>
      </c>
      <c r="B35" s="93" t="s">
        <v>49</v>
      </c>
      <c r="C35" s="94">
        <v>61292372</v>
      </c>
      <c r="D35" s="94">
        <v>37375598</v>
      </c>
      <c r="E35" s="94">
        <v>14376179</v>
      </c>
      <c r="F35" s="94">
        <v>3520372</v>
      </c>
      <c r="G35" s="94">
        <v>265830313</v>
      </c>
      <c r="H35" s="94">
        <v>196311646</v>
      </c>
      <c r="I35" s="94">
        <v>6251253</v>
      </c>
      <c r="J35" s="94">
        <v>7756123</v>
      </c>
      <c r="K35" s="94">
        <v>26990356</v>
      </c>
      <c r="L35" s="94">
        <v>1834196</v>
      </c>
    </row>
    <row r="36" spans="1:12">
      <c r="A36" s="140">
        <v>119</v>
      </c>
      <c r="B36" s="93" t="s">
        <v>50</v>
      </c>
      <c r="C36" s="94">
        <v>10448049</v>
      </c>
      <c r="D36" s="94">
        <v>5999082</v>
      </c>
      <c r="E36" s="94">
        <v>2465278</v>
      </c>
      <c r="F36" s="94">
        <v>320405</v>
      </c>
      <c r="G36" s="94">
        <v>58933803</v>
      </c>
      <c r="H36" s="94">
        <v>28019003</v>
      </c>
      <c r="I36" s="94">
        <v>153621</v>
      </c>
      <c r="J36" s="94">
        <v>1964464</v>
      </c>
      <c r="K36" s="94">
        <v>22825946</v>
      </c>
      <c r="L36" s="94">
        <v>1307366</v>
      </c>
    </row>
    <row r="37" spans="1:12">
      <c r="A37" s="140">
        <v>121</v>
      </c>
      <c r="B37" s="93" t="s">
        <v>51</v>
      </c>
      <c r="C37" s="94">
        <v>36461232</v>
      </c>
      <c r="D37" s="94">
        <v>27388385</v>
      </c>
      <c r="E37" s="94">
        <v>2513293</v>
      </c>
      <c r="F37" s="94">
        <v>213243</v>
      </c>
      <c r="G37" s="94">
        <v>80995967</v>
      </c>
      <c r="H37" s="94">
        <v>25467496</v>
      </c>
      <c r="I37" s="94">
        <v>0</v>
      </c>
      <c r="J37" s="94">
        <v>788439</v>
      </c>
      <c r="K37" s="94">
        <v>50299688</v>
      </c>
      <c r="L37" s="94">
        <v>324004</v>
      </c>
    </row>
    <row r="38" spans="1:12">
      <c r="A38" s="140">
        <v>122</v>
      </c>
      <c r="B38" s="93" t="s">
        <v>3</v>
      </c>
      <c r="C38" s="94">
        <v>325088209</v>
      </c>
      <c r="D38" s="94">
        <v>315240532</v>
      </c>
      <c r="E38" s="94">
        <v>14017197</v>
      </c>
      <c r="F38" s="94">
        <v>12393791</v>
      </c>
      <c r="G38" s="94">
        <v>512918104</v>
      </c>
      <c r="H38" s="94">
        <v>329142444</v>
      </c>
      <c r="I38" s="94">
        <v>1639</v>
      </c>
      <c r="J38" s="94">
        <v>13937390</v>
      </c>
      <c r="K38" s="94">
        <v>89730596</v>
      </c>
      <c r="L38" s="94">
        <v>58968279</v>
      </c>
    </row>
    <row r="39" spans="1:12">
      <c r="A39" s="140">
        <v>123</v>
      </c>
      <c r="B39" s="93" t="s">
        <v>52</v>
      </c>
      <c r="C39" s="94">
        <v>287103848</v>
      </c>
      <c r="D39" s="94">
        <v>236373197</v>
      </c>
      <c r="E39" s="94">
        <v>17872236</v>
      </c>
      <c r="F39" s="94">
        <v>19493161</v>
      </c>
      <c r="G39" s="94">
        <v>358460362</v>
      </c>
      <c r="H39" s="94">
        <v>245922782</v>
      </c>
      <c r="I39" s="94">
        <v>16946</v>
      </c>
      <c r="J39" s="94">
        <v>38870790</v>
      </c>
      <c r="K39" s="94">
        <v>35527941</v>
      </c>
      <c r="L39" s="94">
        <v>25598929</v>
      </c>
    </row>
    <row r="40" spans="1:12">
      <c r="A40" s="140">
        <v>124</v>
      </c>
      <c r="B40" s="93" t="s">
        <v>53</v>
      </c>
      <c r="C40" s="94">
        <v>48631414</v>
      </c>
      <c r="D40" s="94">
        <v>41586494</v>
      </c>
      <c r="E40" s="94">
        <v>5607605</v>
      </c>
      <c r="F40" s="94">
        <v>2356227</v>
      </c>
      <c r="G40" s="94">
        <v>92650012</v>
      </c>
      <c r="H40" s="94">
        <v>62669603</v>
      </c>
      <c r="I40" s="94">
        <v>5316</v>
      </c>
      <c r="J40" s="94">
        <v>1986975</v>
      </c>
      <c r="K40" s="94">
        <v>14315178</v>
      </c>
      <c r="L40" s="94">
        <v>6233626</v>
      </c>
    </row>
    <row r="41" spans="1:12">
      <c r="A41" s="140">
        <v>129</v>
      </c>
      <c r="B41" s="93" t="s">
        <v>54</v>
      </c>
      <c r="C41" s="94">
        <v>53972833</v>
      </c>
      <c r="D41" s="94">
        <v>43891171</v>
      </c>
      <c r="E41" s="94">
        <v>7565917</v>
      </c>
      <c r="F41" s="94">
        <v>2984418</v>
      </c>
      <c r="G41" s="94">
        <v>109057759</v>
      </c>
      <c r="H41" s="94">
        <v>74671232</v>
      </c>
      <c r="I41" s="94">
        <v>6240</v>
      </c>
      <c r="J41" s="94">
        <v>2576955</v>
      </c>
      <c r="K41" s="94">
        <v>16164184</v>
      </c>
      <c r="L41" s="94">
        <v>6258155</v>
      </c>
    </row>
    <row r="42" spans="1:12">
      <c r="A42" s="140">
        <v>211</v>
      </c>
      <c r="B42" s="93" t="s">
        <v>55</v>
      </c>
      <c r="C42" s="94">
        <v>662990769</v>
      </c>
      <c r="D42" s="94">
        <v>548340971</v>
      </c>
      <c r="E42" s="94">
        <v>43739369</v>
      </c>
      <c r="F42" s="94">
        <v>18968748</v>
      </c>
      <c r="G42" s="94">
        <v>1724810763</v>
      </c>
      <c r="H42" s="94">
        <v>526526528</v>
      </c>
      <c r="I42" s="94">
        <v>1729527</v>
      </c>
      <c r="J42" s="94">
        <v>109922785</v>
      </c>
      <c r="K42" s="94">
        <v>96256916</v>
      </c>
      <c r="L42" s="94">
        <v>42909602</v>
      </c>
    </row>
    <row r="43" spans="1:12">
      <c r="A43" s="140">
        <v>212</v>
      </c>
      <c r="B43" s="93" t="s">
        <v>56</v>
      </c>
      <c r="C43" s="94">
        <v>3200488500</v>
      </c>
      <c r="D43" s="94">
        <v>1219876700</v>
      </c>
      <c r="E43" s="94">
        <v>873061500</v>
      </c>
      <c r="F43" s="94">
        <v>106299697</v>
      </c>
      <c r="G43" s="94">
        <v>6640206800</v>
      </c>
      <c r="H43" s="94">
        <v>1447277600</v>
      </c>
      <c r="I43" s="94">
        <v>21190850</v>
      </c>
      <c r="J43" s="94">
        <v>737689040</v>
      </c>
      <c r="K43" s="94">
        <v>1030640950</v>
      </c>
      <c r="L43" s="94">
        <v>76212260</v>
      </c>
    </row>
    <row r="44" spans="1:12">
      <c r="A44" s="140">
        <v>213</v>
      </c>
      <c r="B44" s="93" t="s">
        <v>57</v>
      </c>
      <c r="C44" s="94">
        <v>360249577</v>
      </c>
      <c r="D44" s="94">
        <v>289826446</v>
      </c>
      <c r="E44" s="94">
        <v>42466831</v>
      </c>
      <c r="F44" s="94">
        <v>2328388</v>
      </c>
      <c r="G44" s="94">
        <v>330480107</v>
      </c>
      <c r="H44" s="94">
        <v>86087201</v>
      </c>
      <c r="I44" s="94">
        <v>501661</v>
      </c>
      <c r="J44" s="94">
        <v>64550459</v>
      </c>
      <c r="K44" s="94">
        <v>101493428</v>
      </c>
      <c r="L44" s="94">
        <v>18560201</v>
      </c>
    </row>
    <row r="45" spans="1:12">
      <c r="A45" s="140">
        <v>214</v>
      </c>
      <c r="B45" s="93" t="s">
        <v>58</v>
      </c>
      <c r="C45" s="94">
        <v>5710357403</v>
      </c>
      <c r="D45" s="94">
        <v>2945206510</v>
      </c>
      <c r="E45" s="94">
        <v>1817219874</v>
      </c>
      <c r="F45" s="94">
        <v>79746803</v>
      </c>
      <c r="G45" s="94">
        <v>9744976218</v>
      </c>
      <c r="H45" s="94">
        <v>3033708150</v>
      </c>
      <c r="I45" s="94">
        <v>774842414</v>
      </c>
      <c r="J45" s="94">
        <v>1852925412</v>
      </c>
      <c r="K45" s="94">
        <v>1139865692</v>
      </c>
      <c r="L45" s="94">
        <v>378293971</v>
      </c>
    </row>
    <row r="46" spans="1:12">
      <c r="A46" s="140">
        <v>215</v>
      </c>
      <c r="B46" s="93" t="s">
        <v>59</v>
      </c>
      <c r="C46" s="94">
        <v>6887397495</v>
      </c>
      <c r="D46" s="94">
        <v>3070548276</v>
      </c>
      <c r="E46" s="94">
        <v>2947607145</v>
      </c>
      <c r="F46" s="94">
        <v>134530702</v>
      </c>
      <c r="G46" s="94">
        <v>7439625959</v>
      </c>
      <c r="H46" s="94">
        <v>2743038521</v>
      </c>
      <c r="I46" s="94">
        <v>210016219</v>
      </c>
      <c r="J46" s="94">
        <v>772158466</v>
      </c>
      <c r="K46" s="94">
        <v>638340596</v>
      </c>
      <c r="L46" s="94">
        <v>347141430</v>
      </c>
    </row>
    <row r="47" spans="1:12">
      <c r="A47" s="140">
        <v>219</v>
      </c>
      <c r="B47" s="93" t="s">
        <v>60</v>
      </c>
      <c r="C47" s="94">
        <v>4753844213</v>
      </c>
      <c r="D47" s="94">
        <v>3606533383</v>
      </c>
      <c r="E47" s="94">
        <v>586177240</v>
      </c>
      <c r="F47" s="94">
        <v>96966716</v>
      </c>
      <c r="G47" s="94">
        <v>7039779448</v>
      </c>
      <c r="H47" s="94">
        <v>3444265968</v>
      </c>
      <c r="I47" s="94">
        <v>373940410</v>
      </c>
      <c r="J47" s="94">
        <v>1066618185</v>
      </c>
      <c r="K47" s="94">
        <v>622740786</v>
      </c>
      <c r="L47" s="94">
        <v>506576060</v>
      </c>
    </row>
    <row r="48" spans="1:12">
      <c r="A48" s="140">
        <v>221</v>
      </c>
      <c r="B48" s="93" t="s">
        <v>61</v>
      </c>
      <c r="C48" s="94">
        <v>187038946</v>
      </c>
      <c r="D48" s="94">
        <v>114786224</v>
      </c>
      <c r="E48" s="94">
        <v>48898763</v>
      </c>
      <c r="F48" s="94">
        <v>6215290</v>
      </c>
      <c r="G48" s="94">
        <v>286819715</v>
      </c>
      <c r="H48" s="94">
        <v>126952877</v>
      </c>
      <c r="I48" s="94">
        <v>2539653</v>
      </c>
      <c r="J48" s="94">
        <v>60892979</v>
      </c>
      <c r="K48" s="94">
        <v>31676177</v>
      </c>
      <c r="L48" s="94">
        <v>5628236</v>
      </c>
    </row>
    <row r="49" spans="1:12">
      <c r="A49" s="140">
        <v>222</v>
      </c>
      <c r="B49" s="93" t="s">
        <v>62</v>
      </c>
      <c r="C49" s="94">
        <v>335927120</v>
      </c>
      <c r="D49" s="94">
        <v>223674048</v>
      </c>
      <c r="E49" s="94">
        <v>78026943</v>
      </c>
      <c r="F49" s="94">
        <v>3592054</v>
      </c>
      <c r="G49" s="94">
        <v>373456025</v>
      </c>
      <c r="H49" s="94">
        <v>83850725</v>
      </c>
      <c r="I49" s="94">
        <v>8495266</v>
      </c>
      <c r="J49" s="94">
        <v>41933872</v>
      </c>
      <c r="K49" s="94">
        <v>139023894</v>
      </c>
      <c r="L49" s="94">
        <v>51204216</v>
      </c>
    </row>
    <row r="50" spans="1:12">
      <c r="A50" s="140">
        <v>223</v>
      </c>
      <c r="B50" s="93" t="s">
        <v>63</v>
      </c>
      <c r="C50" s="94">
        <v>10264742150</v>
      </c>
      <c r="D50" s="94">
        <v>8123756550</v>
      </c>
      <c r="E50" s="94">
        <v>964138456</v>
      </c>
      <c r="F50" s="94">
        <v>325027423</v>
      </c>
      <c r="G50" s="94">
        <v>10009982723</v>
      </c>
      <c r="H50" s="94">
        <v>4604484158</v>
      </c>
      <c r="I50" s="94">
        <v>71650672</v>
      </c>
      <c r="J50" s="94">
        <v>1768704566</v>
      </c>
      <c r="K50" s="94">
        <v>804379507</v>
      </c>
      <c r="L50" s="94">
        <v>726066204</v>
      </c>
    </row>
    <row r="51" spans="1:12">
      <c r="A51" s="140">
        <v>224</v>
      </c>
      <c r="B51" s="93" t="s">
        <v>64</v>
      </c>
      <c r="C51" s="94">
        <v>12657834337</v>
      </c>
      <c r="D51" s="94">
        <v>9722912839</v>
      </c>
      <c r="E51" s="94">
        <v>1312172560</v>
      </c>
      <c r="F51" s="94">
        <v>411366282</v>
      </c>
      <c r="G51" s="94">
        <v>14238400208</v>
      </c>
      <c r="H51" s="94">
        <v>7001514143</v>
      </c>
      <c r="I51" s="94">
        <v>85454387</v>
      </c>
      <c r="J51" s="94">
        <v>2727982075</v>
      </c>
      <c r="K51" s="94">
        <v>1101119947</v>
      </c>
      <c r="L51" s="94">
        <v>1037052986</v>
      </c>
    </row>
    <row r="52" spans="1:12">
      <c r="A52" s="140">
        <v>225</v>
      </c>
      <c r="B52" s="93" t="s">
        <v>65</v>
      </c>
      <c r="C52" s="94">
        <v>424052679</v>
      </c>
      <c r="D52" s="94">
        <v>315007004</v>
      </c>
      <c r="E52" s="94">
        <v>61221970</v>
      </c>
      <c r="F52" s="94">
        <v>9419733</v>
      </c>
      <c r="G52" s="94">
        <v>463689467</v>
      </c>
      <c r="H52" s="94">
        <v>229494640</v>
      </c>
      <c r="I52" s="94">
        <v>4149655</v>
      </c>
      <c r="J52" s="94">
        <v>83978879</v>
      </c>
      <c r="K52" s="94">
        <v>44726375</v>
      </c>
      <c r="L52" s="94">
        <v>40451257</v>
      </c>
    </row>
    <row r="53" spans="1:12">
      <c r="A53" s="140">
        <v>226</v>
      </c>
      <c r="B53" s="93" t="s">
        <v>66</v>
      </c>
      <c r="C53" s="94">
        <v>3328608933</v>
      </c>
      <c r="D53" s="94">
        <v>2330580756</v>
      </c>
      <c r="E53" s="94">
        <v>560620710</v>
      </c>
      <c r="F53" s="94">
        <v>68082242</v>
      </c>
      <c r="G53" s="94">
        <v>3580671258</v>
      </c>
      <c r="H53" s="94">
        <v>1015858480</v>
      </c>
      <c r="I53" s="94">
        <v>134572763</v>
      </c>
      <c r="J53" s="94">
        <v>754778274</v>
      </c>
      <c r="K53" s="94">
        <v>285032494</v>
      </c>
      <c r="L53" s="94">
        <v>298556390</v>
      </c>
    </row>
    <row r="54" spans="1:12">
      <c r="A54" s="140">
        <v>227</v>
      </c>
      <c r="B54" s="93" t="s">
        <v>67</v>
      </c>
      <c r="C54" s="94">
        <v>5710357403</v>
      </c>
      <c r="D54" s="94">
        <v>2945206510</v>
      </c>
      <c r="E54" s="94">
        <v>1817219874</v>
      </c>
      <c r="F54" s="94">
        <v>79746803</v>
      </c>
      <c r="G54" s="94">
        <v>9744976218</v>
      </c>
      <c r="H54" s="94">
        <v>3033708150</v>
      </c>
      <c r="I54" s="94">
        <v>774842414</v>
      </c>
      <c r="J54" s="94">
        <v>1852925412</v>
      </c>
      <c r="K54" s="94">
        <v>1139865692</v>
      </c>
      <c r="L54" s="94">
        <v>378293971</v>
      </c>
    </row>
    <row r="55" spans="1:12">
      <c r="A55" s="140">
        <v>229</v>
      </c>
      <c r="B55" s="93" t="s">
        <v>68</v>
      </c>
      <c r="C55" s="94">
        <v>561691050</v>
      </c>
      <c r="D55" s="94">
        <v>438916378</v>
      </c>
      <c r="E55" s="94">
        <v>65274694</v>
      </c>
      <c r="F55" s="94">
        <v>9388190</v>
      </c>
      <c r="G55" s="94">
        <v>727418324</v>
      </c>
      <c r="H55" s="94">
        <v>234623217</v>
      </c>
      <c r="I55" s="94">
        <v>4986089</v>
      </c>
      <c r="J55" s="94">
        <v>92341617</v>
      </c>
      <c r="K55" s="94">
        <v>58848387</v>
      </c>
      <c r="L55" s="94">
        <v>58337587</v>
      </c>
    </row>
    <row r="56" spans="1:12">
      <c r="A56" s="140">
        <v>231</v>
      </c>
      <c r="B56" s="93" t="s">
        <v>69</v>
      </c>
      <c r="C56" s="94">
        <v>8618074</v>
      </c>
      <c r="D56" s="94">
        <v>5004423</v>
      </c>
      <c r="E56" s="94">
        <v>1211201</v>
      </c>
      <c r="F56" s="94">
        <v>336696</v>
      </c>
      <c r="G56" s="94">
        <v>21154972</v>
      </c>
      <c r="H56" s="94">
        <v>12520724</v>
      </c>
      <c r="I56" s="94">
        <v>107465</v>
      </c>
      <c r="J56" s="94">
        <v>889021</v>
      </c>
      <c r="K56" s="94">
        <v>1282183</v>
      </c>
      <c r="L56" s="94">
        <v>128584</v>
      </c>
    </row>
    <row r="57" spans="1:12">
      <c r="A57" s="140">
        <v>232</v>
      </c>
      <c r="B57" s="93" t="s">
        <v>70</v>
      </c>
      <c r="C57" s="94">
        <v>797625</v>
      </c>
      <c r="D57" s="94">
        <v>166459</v>
      </c>
      <c r="E57" s="94">
        <v>445856</v>
      </c>
      <c r="F57" s="94">
        <v>71913</v>
      </c>
      <c r="G57" s="94">
        <v>1499498</v>
      </c>
      <c r="H57" s="94">
        <v>1454728</v>
      </c>
      <c r="I57" s="94">
        <v>4186</v>
      </c>
      <c r="J57" s="94">
        <v>0</v>
      </c>
      <c r="K57" s="94">
        <v>8618</v>
      </c>
      <c r="L57" s="94">
        <v>0</v>
      </c>
    </row>
    <row r="58" spans="1:12">
      <c r="A58" s="140">
        <v>233</v>
      </c>
      <c r="B58" s="93" t="s">
        <v>71</v>
      </c>
      <c r="C58" s="94">
        <v>6062899</v>
      </c>
      <c r="D58" s="94">
        <v>488070</v>
      </c>
      <c r="E58" s="94">
        <v>4201216</v>
      </c>
      <c r="F58" s="94">
        <v>505870</v>
      </c>
      <c r="G58" s="94">
        <v>28559420</v>
      </c>
      <c r="H58" s="94">
        <v>25869584</v>
      </c>
      <c r="I58" s="94">
        <v>47325</v>
      </c>
      <c r="J58" s="94">
        <v>365439</v>
      </c>
      <c r="K58" s="94">
        <v>0</v>
      </c>
      <c r="L58" s="94">
        <v>9259</v>
      </c>
    </row>
    <row r="59" spans="1:12">
      <c r="A59" s="140">
        <v>234</v>
      </c>
      <c r="B59" s="93" t="s">
        <v>72</v>
      </c>
      <c r="C59" s="94">
        <v>11589653048</v>
      </c>
      <c r="D59" s="94">
        <v>2957719399</v>
      </c>
      <c r="E59" s="94">
        <v>6170367964</v>
      </c>
      <c r="F59" s="94">
        <v>263451987</v>
      </c>
      <c r="G59" s="94">
        <v>16466378778</v>
      </c>
      <c r="H59" s="94">
        <v>2660983838</v>
      </c>
      <c r="I59" s="94">
        <v>1160870078</v>
      </c>
      <c r="J59" s="94">
        <v>2474169879</v>
      </c>
      <c r="K59" s="94">
        <v>425092858</v>
      </c>
      <c r="L59" s="94">
        <v>641981291</v>
      </c>
    </row>
    <row r="60" spans="1:12">
      <c r="A60" s="140">
        <v>235</v>
      </c>
      <c r="B60" s="93" t="s">
        <v>73</v>
      </c>
      <c r="C60" s="94">
        <v>2581329204</v>
      </c>
      <c r="D60" s="94">
        <v>1512039826</v>
      </c>
      <c r="E60" s="94">
        <v>650009789</v>
      </c>
      <c r="F60" s="94">
        <v>161006122</v>
      </c>
      <c r="G60" s="94">
        <v>5211199843</v>
      </c>
      <c r="H60" s="94">
        <v>2435582128</v>
      </c>
      <c r="I60" s="94">
        <v>573016876</v>
      </c>
      <c r="J60" s="94">
        <v>369562905</v>
      </c>
      <c r="K60" s="94">
        <v>129491016</v>
      </c>
      <c r="L60" s="94">
        <v>76465152</v>
      </c>
    </row>
    <row r="61" spans="1:12">
      <c r="A61" s="140">
        <v>236</v>
      </c>
      <c r="B61" s="93" t="s">
        <v>74</v>
      </c>
      <c r="C61" s="94">
        <v>1177370811</v>
      </c>
      <c r="D61" s="94">
        <v>161808067</v>
      </c>
      <c r="E61" s="94">
        <v>573452503</v>
      </c>
      <c r="F61" s="94">
        <v>42854844</v>
      </c>
      <c r="G61" s="94">
        <v>1930309759</v>
      </c>
      <c r="H61" s="94">
        <v>368374590</v>
      </c>
      <c r="I61" s="94">
        <v>11385481</v>
      </c>
      <c r="J61" s="94">
        <v>172224991</v>
      </c>
      <c r="K61" s="94">
        <v>2172982</v>
      </c>
      <c r="L61" s="94">
        <v>7968014</v>
      </c>
    </row>
    <row r="62" spans="1:12">
      <c r="A62" s="140">
        <v>237</v>
      </c>
      <c r="B62" s="93" t="s">
        <v>75</v>
      </c>
      <c r="C62" s="94">
        <v>1375902074</v>
      </c>
      <c r="D62" s="94">
        <v>445226604</v>
      </c>
      <c r="E62" s="94">
        <v>733852060</v>
      </c>
      <c r="F62" s="94">
        <v>27711411</v>
      </c>
      <c r="G62" s="94">
        <v>1761027972</v>
      </c>
      <c r="H62" s="94">
        <v>420301702</v>
      </c>
      <c r="I62" s="94">
        <v>38781521</v>
      </c>
      <c r="J62" s="94">
        <v>228450954</v>
      </c>
      <c r="K62" s="94">
        <v>45390423</v>
      </c>
      <c r="L62" s="94">
        <v>44286499</v>
      </c>
    </row>
    <row r="63" spans="1:12">
      <c r="A63" s="140">
        <v>239</v>
      </c>
      <c r="B63" s="93" t="s">
        <v>76</v>
      </c>
      <c r="C63" s="94">
        <v>459298389</v>
      </c>
      <c r="D63" s="94">
        <v>107636732</v>
      </c>
      <c r="E63" s="94">
        <v>289304222</v>
      </c>
      <c r="F63" s="94">
        <v>15378822</v>
      </c>
      <c r="G63" s="94">
        <v>935902713</v>
      </c>
      <c r="H63" s="94">
        <v>570759702</v>
      </c>
      <c r="I63" s="94">
        <v>30979001</v>
      </c>
      <c r="J63" s="94">
        <v>40942130</v>
      </c>
      <c r="K63" s="94">
        <v>4397330</v>
      </c>
      <c r="L63" s="94">
        <v>24945148</v>
      </c>
    </row>
    <row r="64" spans="1:12">
      <c r="A64" s="140">
        <v>311</v>
      </c>
      <c r="B64" s="93" t="s">
        <v>4</v>
      </c>
      <c r="C64" s="94">
        <v>14859026</v>
      </c>
      <c r="D64" s="94">
        <v>2710507</v>
      </c>
      <c r="E64" s="94">
        <v>8343959</v>
      </c>
      <c r="F64" s="94">
        <v>1815063</v>
      </c>
      <c r="G64" s="94">
        <v>82610421</v>
      </c>
      <c r="H64" s="94">
        <v>77415195</v>
      </c>
      <c r="I64" s="94">
        <v>39167</v>
      </c>
      <c r="J64" s="94">
        <v>399925</v>
      </c>
      <c r="K64" s="94">
        <v>2143830</v>
      </c>
      <c r="L64" s="94">
        <v>73847</v>
      </c>
    </row>
    <row r="65" spans="1:12">
      <c r="A65" s="140">
        <v>312</v>
      </c>
      <c r="B65" s="93" t="s">
        <v>77</v>
      </c>
      <c r="C65" s="94">
        <v>1029123</v>
      </c>
      <c r="D65" s="94">
        <v>753489</v>
      </c>
      <c r="E65" s="94">
        <v>150326</v>
      </c>
      <c r="F65" s="94">
        <v>65399</v>
      </c>
      <c r="G65" s="94">
        <v>607691</v>
      </c>
      <c r="H65" s="94">
        <v>133873</v>
      </c>
      <c r="I65" s="94">
        <v>0</v>
      </c>
      <c r="J65" s="94">
        <v>128869</v>
      </c>
      <c r="K65" s="94">
        <v>0</v>
      </c>
      <c r="L65" s="94">
        <v>0</v>
      </c>
    </row>
    <row r="66" spans="1:12">
      <c r="A66" s="140">
        <v>390</v>
      </c>
      <c r="B66" s="93" t="s">
        <v>23</v>
      </c>
      <c r="C66" s="94">
        <v>1516398</v>
      </c>
      <c r="D66" s="94">
        <v>1415121</v>
      </c>
      <c r="E66" s="94">
        <v>51949</v>
      </c>
      <c r="F66" s="94">
        <v>0</v>
      </c>
      <c r="G66" s="94">
        <v>588520</v>
      </c>
      <c r="H66" s="94">
        <v>0</v>
      </c>
      <c r="I66" s="94">
        <v>2500</v>
      </c>
      <c r="J66" s="94">
        <v>109800</v>
      </c>
      <c r="K66" s="94">
        <v>30704</v>
      </c>
      <c r="L66" s="94">
        <v>29260</v>
      </c>
    </row>
    <row r="67" spans="1:12">
      <c r="A67" s="140">
        <v>411</v>
      </c>
      <c r="B67" s="93" t="s">
        <v>78</v>
      </c>
      <c r="C67" s="94">
        <v>212795682</v>
      </c>
      <c r="D67" s="94">
        <v>174394252</v>
      </c>
      <c r="E67" s="94">
        <v>21326141</v>
      </c>
      <c r="F67" s="94">
        <v>4610090</v>
      </c>
      <c r="G67" s="94">
        <v>284635801</v>
      </c>
      <c r="H67" s="94">
        <v>173439819</v>
      </c>
      <c r="I67" s="94">
        <v>273322</v>
      </c>
      <c r="J67" s="94">
        <v>42141053</v>
      </c>
      <c r="K67" s="94">
        <v>30935833</v>
      </c>
      <c r="L67" s="94">
        <v>17644428</v>
      </c>
    </row>
    <row r="68" spans="1:12">
      <c r="A68" s="140">
        <v>412</v>
      </c>
      <c r="B68" s="93" t="s">
        <v>79</v>
      </c>
      <c r="C68" s="94">
        <v>340991078</v>
      </c>
      <c r="D68" s="94">
        <v>276727014</v>
      </c>
      <c r="E68" s="94">
        <v>44384170</v>
      </c>
      <c r="F68" s="94">
        <v>6024928</v>
      </c>
      <c r="G68" s="94">
        <v>985609394</v>
      </c>
      <c r="H68" s="94">
        <v>538547038</v>
      </c>
      <c r="I68" s="94">
        <v>12587596</v>
      </c>
      <c r="J68" s="94">
        <v>114105589</v>
      </c>
      <c r="K68" s="94">
        <v>75480941</v>
      </c>
      <c r="L68" s="94">
        <v>61226125</v>
      </c>
    </row>
    <row r="69" spans="1:12">
      <c r="A69" s="140">
        <v>413</v>
      </c>
      <c r="B69" s="93" t="s">
        <v>80</v>
      </c>
      <c r="C69" s="94">
        <v>217002439</v>
      </c>
      <c r="D69" s="94">
        <v>153724054</v>
      </c>
      <c r="E69" s="94">
        <v>38133455</v>
      </c>
      <c r="F69" s="94">
        <v>4140220</v>
      </c>
      <c r="G69" s="94">
        <v>207871552</v>
      </c>
      <c r="H69" s="94">
        <v>112372394</v>
      </c>
      <c r="I69" s="94">
        <v>1772361</v>
      </c>
      <c r="J69" s="94">
        <v>34432798</v>
      </c>
      <c r="K69" s="94">
        <v>14627869</v>
      </c>
      <c r="L69" s="94">
        <v>10862368</v>
      </c>
    </row>
    <row r="70" spans="1:12">
      <c r="A70" s="140">
        <v>414</v>
      </c>
      <c r="B70" s="93" t="s">
        <v>81</v>
      </c>
      <c r="C70" s="94">
        <v>268137441</v>
      </c>
      <c r="D70" s="94">
        <v>214021679</v>
      </c>
      <c r="E70" s="94">
        <v>24367195</v>
      </c>
      <c r="F70" s="94">
        <v>3624121</v>
      </c>
      <c r="G70" s="94">
        <v>528609493</v>
      </c>
      <c r="H70" s="94">
        <v>180769727</v>
      </c>
      <c r="I70" s="94">
        <v>228184</v>
      </c>
      <c r="J70" s="94">
        <v>71805679</v>
      </c>
      <c r="K70" s="94">
        <v>10084450</v>
      </c>
      <c r="L70" s="94">
        <v>36765194</v>
      </c>
    </row>
    <row r="71" spans="1:12">
      <c r="A71" s="140">
        <v>415</v>
      </c>
      <c r="B71" s="93" t="s">
        <v>82</v>
      </c>
      <c r="C71" s="94">
        <v>1791441</v>
      </c>
      <c r="D71" s="94">
        <v>925093</v>
      </c>
      <c r="E71" s="94">
        <v>627372</v>
      </c>
      <c r="F71" s="94">
        <v>121649</v>
      </c>
      <c r="G71" s="94">
        <v>4299582</v>
      </c>
      <c r="H71" s="94">
        <v>2618122</v>
      </c>
      <c r="I71" s="94">
        <v>0</v>
      </c>
      <c r="J71" s="94">
        <v>368474</v>
      </c>
      <c r="K71" s="94">
        <v>458494</v>
      </c>
      <c r="L71" s="94">
        <v>147305</v>
      </c>
    </row>
    <row r="72" spans="1:12">
      <c r="A72" s="140">
        <v>416</v>
      </c>
      <c r="B72" s="93" t="s">
        <v>83</v>
      </c>
      <c r="C72" s="94">
        <v>810157911</v>
      </c>
      <c r="D72" s="94">
        <v>571431334</v>
      </c>
      <c r="E72" s="94">
        <v>149686091</v>
      </c>
      <c r="F72" s="94">
        <v>10678021</v>
      </c>
      <c r="G72" s="94">
        <v>1167511372</v>
      </c>
      <c r="H72" s="94">
        <v>508869777</v>
      </c>
      <c r="I72" s="94">
        <v>5450257</v>
      </c>
      <c r="J72" s="94">
        <v>113929419</v>
      </c>
      <c r="K72" s="94">
        <v>89734485</v>
      </c>
      <c r="L72" s="94">
        <v>63580839</v>
      </c>
    </row>
    <row r="73" spans="1:12">
      <c r="A73" s="140">
        <v>419</v>
      </c>
      <c r="B73" s="93" t="s">
        <v>84</v>
      </c>
      <c r="C73" s="94">
        <v>33524452</v>
      </c>
      <c r="D73" s="94">
        <v>25203626</v>
      </c>
      <c r="E73" s="94">
        <v>5156257</v>
      </c>
      <c r="F73" s="94">
        <v>1038515</v>
      </c>
      <c r="G73" s="94">
        <v>53819789</v>
      </c>
      <c r="H73" s="94">
        <v>34162268</v>
      </c>
      <c r="I73" s="94">
        <v>202564</v>
      </c>
      <c r="J73" s="94">
        <v>7490365</v>
      </c>
      <c r="K73" s="94">
        <v>4041841</v>
      </c>
      <c r="L73" s="94">
        <v>2139135</v>
      </c>
    </row>
    <row r="74" spans="1:12">
      <c r="A74" s="140">
        <v>421</v>
      </c>
      <c r="B74" s="93" t="s">
        <v>85</v>
      </c>
      <c r="C74" s="94">
        <v>752113202</v>
      </c>
      <c r="D74" s="94">
        <v>628540701</v>
      </c>
      <c r="E74" s="94">
        <v>62555863</v>
      </c>
      <c r="F74" s="94">
        <v>2291218</v>
      </c>
      <c r="G74" s="94">
        <v>1357034642</v>
      </c>
      <c r="H74" s="94">
        <v>915038300</v>
      </c>
      <c r="I74" s="94">
        <v>5872873</v>
      </c>
      <c r="J74" s="94">
        <v>129668887</v>
      </c>
      <c r="K74" s="94">
        <v>153075843</v>
      </c>
      <c r="L74" s="94">
        <v>26642212</v>
      </c>
    </row>
    <row r="75" spans="1:12">
      <c r="A75" s="140">
        <v>422</v>
      </c>
      <c r="B75" s="93" t="s">
        <v>86</v>
      </c>
      <c r="C75" s="94">
        <v>47492867</v>
      </c>
      <c r="D75" s="94">
        <v>38070375</v>
      </c>
      <c r="E75" s="94">
        <v>2824391</v>
      </c>
      <c r="F75" s="94">
        <v>836857</v>
      </c>
      <c r="G75" s="94">
        <v>57553682</v>
      </c>
      <c r="H75" s="94">
        <v>12472120</v>
      </c>
      <c r="I75" s="94">
        <v>23001</v>
      </c>
      <c r="J75" s="94">
        <v>7821325</v>
      </c>
      <c r="K75" s="94">
        <v>9384052</v>
      </c>
      <c r="L75" s="94">
        <v>1370744</v>
      </c>
    </row>
    <row r="76" spans="1:12">
      <c r="A76" s="140">
        <v>423</v>
      </c>
      <c r="B76" s="93" t="s">
        <v>87</v>
      </c>
      <c r="C76" s="94">
        <v>803961084</v>
      </c>
      <c r="D76" s="94">
        <v>651147338</v>
      </c>
      <c r="E76" s="94">
        <v>70800716</v>
      </c>
      <c r="F76" s="94">
        <v>10142737</v>
      </c>
      <c r="G76" s="94">
        <v>877832456</v>
      </c>
      <c r="H76" s="94">
        <v>284140318</v>
      </c>
      <c r="I76" s="94">
        <v>1878814</v>
      </c>
      <c r="J76" s="94">
        <v>164644651</v>
      </c>
      <c r="K76" s="94">
        <v>153445088</v>
      </c>
      <c r="L76" s="94">
        <v>49446272</v>
      </c>
    </row>
    <row r="77" spans="1:12">
      <c r="A77" s="140">
        <v>429</v>
      </c>
      <c r="B77" s="93" t="s">
        <v>88</v>
      </c>
      <c r="C77" s="94">
        <v>4095238944</v>
      </c>
      <c r="D77" s="94">
        <v>1564158935</v>
      </c>
      <c r="E77" s="94">
        <v>1959221779</v>
      </c>
      <c r="F77" s="94">
        <v>88862883</v>
      </c>
      <c r="G77" s="94">
        <v>4552884521</v>
      </c>
      <c r="H77" s="94">
        <v>2231594763</v>
      </c>
      <c r="I77" s="94">
        <v>158841160</v>
      </c>
      <c r="J77" s="94">
        <v>384336611</v>
      </c>
      <c r="K77" s="94">
        <v>372842949</v>
      </c>
      <c r="L77" s="94">
        <v>185994127</v>
      </c>
    </row>
    <row r="78" spans="1:12">
      <c r="A78" s="140">
        <v>431</v>
      </c>
      <c r="B78" s="93" t="s">
        <v>89</v>
      </c>
      <c r="C78" s="94">
        <v>1187014952</v>
      </c>
      <c r="D78" s="94">
        <v>890900085</v>
      </c>
      <c r="E78" s="94">
        <v>135838075</v>
      </c>
      <c r="F78" s="94">
        <v>49135105</v>
      </c>
      <c r="G78" s="94">
        <v>1687284853</v>
      </c>
      <c r="H78" s="94">
        <v>629746392</v>
      </c>
      <c r="I78" s="94">
        <v>8335350</v>
      </c>
      <c r="J78" s="94">
        <v>341554797</v>
      </c>
      <c r="K78" s="94">
        <v>248372516</v>
      </c>
      <c r="L78" s="94">
        <v>98917149</v>
      </c>
    </row>
    <row r="79" spans="1:12">
      <c r="A79" s="140">
        <v>432</v>
      </c>
      <c r="B79" s="93" t="s">
        <v>90</v>
      </c>
      <c r="C79" s="94">
        <v>3684765333</v>
      </c>
      <c r="D79" s="94">
        <v>2936696652</v>
      </c>
      <c r="E79" s="94">
        <v>359191268</v>
      </c>
      <c r="F79" s="94">
        <v>83324440</v>
      </c>
      <c r="G79" s="94">
        <v>3873723562</v>
      </c>
      <c r="H79" s="94">
        <v>1856319530</v>
      </c>
      <c r="I79" s="94">
        <v>30760746</v>
      </c>
      <c r="J79" s="94">
        <v>817917877</v>
      </c>
      <c r="K79" s="94">
        <v>377322919</v>
      </c>
      <c r="L79" s="94">
        <v>371782115</v>
      </c>
    </row>
    <row r="80" spans="1:12">
      <c r="A80" s="140">
        <v>433</v>
      </c>
      <c r="B80" s="93" t="s">
        <v>91</v>
      </c>
      <c r="C80" s="94">
        <v>510874055</v>
      </c>
      <c r="D80" s="94">
        <v>372329744</v>
      </c>
      <c r="E80" s="94">
        <v>74441283</v>
      </c>
      <c r="F80" s="94">
        <v>10939584</v>
      </c>
      <c r="G80" s="94">
        <v>597082011</v>
      </c>
      <c r="H80" s="94">
        <v>280894175</v>
      </c>
      <c r="I80" s="94">
        <v>4344944</v>
      </c>
      <c r="J80" s="94">
        <v>97765254</v>
      </c>
      <c r="K80" s="94">
        <v>61577765</v>
      </c>
      <c r="L80" s="94">
        <v>44894653</v>
      </c>
    </row>
    <row r="81" spans="1:12">
      <c r="A81" s="140">
        <v>439</v>
      </c>
      <c r="B81" s="93" t="s">
        <v>92</v>
      </c>
      <c r="C81" s="94">
        <v>4835285858</v>
      </c>
      <c r="D81" s="94">
        <v>3624465598</v>
      </c>
      <c r="E81" s="94">
        <v>622366258</v>
      </c>
      <c r="F81" s="94">
        <v>93918098</v>
      </c>
      <c r="G81" s="94">
        <v>5805588197</v>
      </c>
      <c r="H81" s="94">
        <v>2204537576</v>
      </c>
      <c r="I81" s="94">
        <v>527641267</v>
      </c>
      <c r="J81" s="94">
        <v>914247903</v>
      </c>
      <c r="K81" s="94">
        <v>660603679</v>
      </c>
      <c r="L81" s="94">
        <v>459766449</v>
      </c>
    </row>
    <row r="82" spans="1:12">
      <c r="A82" s="140">
        <v>441</v>
      </c>
      <c r="B82" s="93" t="s">
        <v>5</v>
      </c>
      <c r="C82" s="94">
        <v>65491979</v>
      </c>
      <c r="D82" s="94">
        <v>26862835</v>
      </c>
      <c r="E82" s="94">
        <v>27774362</v>
      </c>
      <c r="F82" s="94">
        <v>879530</v>
      </c>
      <c r="G82" s="94">
        <v>86432068</v>
      </c>
      <c r="H82" s="94">
        <v>61120465</v>
      </c>
      <c r="I82" s="94">
        <v>49203</v>
      </c>
      <c r="J82" s="94">
        <v>2475824</v>
      </c>
      <c r="K82" s="94">
        <v>1280816</v>
      </c>
      <c r="L82" s="94">
        <v>798057</v>
      </c>
    </row>
    <row r="83" spans="1:12">
      <c r="A83" s="140">
        <v>442</v>
      </c>
      <c r="B83" s="93" t="s">
        <v>93</v>
      </c>
      <c r="C83" s="94">
        <v>11589653048</v>
      </c>
      <c r="D83" s="94">
        <v>2957719399</v>
      </c>
      <c r="E83" s="94">
        <v>6170367964</v>
      </c>
      <c r="F83" s="94">
        <v>263451987</v>
      </c>
      <c r="G83" s="94">
        <v>16466378778</v>
      </c>
      <c r="H83" s="94">
        <v>2660983838</v>
      </c>
      <c r="I83" s="94">
        <v>1160870078</v>
      </c>
      <c r="J83" s="94">
        <v>2474169879</v>
      </c>
      <c r="K83" s="94">
        <v>425092858</v>
      </c>
      <c r="L83" s="94">
        <v>641981291</v>
      </c>
    </row>
    <row r="84" spans="1:12">
      <c r="A84" s="140">
        <v>443</v>
      </c>
      <c r="B84" s="93" t="s">
        <v>94</v>
      </c>
      <c r="C84" s="94">
        <v>548214121</v>
      </c>
      <c r="D84" s="94">
        <v>414513054</v>
      </c>
      <c r="E84" s="94">
        <v>88480794</v>
      </c>
      <c r="F84" s="94">
        <v>4985135</v>
      </c>
      <c r="G84" s="94">
        <v>712542624</v>
      </c>
      <c r="H84" s="94">
        <v>216087211</v>
      </c>
      <c r="I84" s="94">
        <v>3185235</v>
      </c>
      <c r="J84" s="94">
        <v>74513525</v>
      </c>
      <c r="K84" s="94">
        <v>88076703</v>
      </c>
      <c r="L84" s="94">
        <v>30339668</v>
      </c>
    </row>
    <row r="85" spans="1:12">
      <c r="A85" s="140">
        <v>444</v>
      </c>
      <c r="B85" s="93" t="s">
        <v>95</v>
      </c>
      <c r="C85" s="94">
        <v>19033086</v>
      </c>
      <c r="D85" s="94">
        <v>7285892</v>
      </c>
      <c r="E85" s="94">
        <v>9275349</v>
      </c>
      <c r="F85" s="94">
        <v>1329676</v>
      </c>
      <c r="G85" s="94">
        <v>62756664</v>
      </c>
      <c r="H85" s="94">
        <v>55568067</v>
      </c>
      <c r="I85" s="94">
        <v>96899</v>
      </c>
      <c r="J85" s="94">
        <v>1661788</v>
      </c>
      <c r="K85" s="94">
        <v>452634</v>
      </c>
      <c r="L85" s="94">
        <v>837646</v>
      </c>
    </row>
    <row r="86" spans="1:12">
      <c r="A86" s="140">
        <v>445</v>
      </c>
      <c r="B86" s="93" t="s">
        <v>96</v>
      </c>
      <c r="C86" s="94">
        <v>42483864</v>
      </c>
      <c r="D86" s="94">
        <v>4178973</v>
      </c>
      <c r="E86" s="94">
        <v>31574499</v>
      </c>
      <c r="F86" s="94">
        <v>2787538</v>
      </c>
      <c r="G86" s="94">
        <v>368820028</v>
      </c>
      <c r="H86" s="94">
        <v>60096456</v>
      </c>
      <c r="I86" s="94">
        <v>536882</v>
      </c>
      <c r="J86" s="94">
        <v>4148615</v>
      </c>
      <c r="K86" s="94">
        <v>767861</v>
      </c>
      <c r="L86" s="94">
        <v>143779</v>
      </c>
    </row>
    <row r="87" spans="1:12">
      <c r="A87" s="140">
        <v>446</v>
      </c>
      <c r="B87" s="93" t="s">
        <v>97</v>
      </c>
      <c r="C87" s="94">
        <v>2581329204</v>
      </c>
      <c r="D87" s="94">
        <v>1512039826</v>
      </c>
      <c r="E87" s="94">
        <v>650009789</v>
      </c>
      <c r="F87" s="94">
        <v>161006122</v>
      </c>
      <c r="G87" s="94">
        <v>5211199843</v>
      </c>
      <c r="H87" s="94">
        <v>2435582128</v>
      </c>
      <c r="I87" s="94">
        <v>573016876</v>
      </c>
      <c r="J87" s="94">
        <v>369562905</v>
      </c>
      <c r="K87" s="94">
        <v>129491016</v>
      </c>
      <c r="L87" s="94">
        <v>76465152</v>
      </c>
    </row>
    <row r="88" spans="1:12">
      <c r="A88" s="140">
        <v>447</v>
      </c>
      <c r="B88" s="93" t="s">
        <v>98</v>
      </c>
      <c r="C88" s="94">
        <v>108265400</v>
      </c>
      <c r="D88" s="94">
        <v>53238095</v>
      </c>
      <c r="E88" s="94">
        <v>45561892</v>
      </c>
      <c r="F88" s="94">
        <v>3123805</v>
      </c>
      <c r="G88" s="94">
        <v>362556028</v>
      </c>
      <c r="H88" s="94">
        <v>139707802</v>
      </c>
      <c r="I88" s="94">
        <v>7042182</v>
      </c>
      <c r="J88" s="94">
        <v>10907306</v>
      </c>
      <c r="K88" s="94">
        <v>106393910</v>
      </c>
      <c r="L88" s="94">
        <v>1115397</v>
      </c>
    </row>
    <row r="89" spans="1:12">
      <c r="A89" s="140">
        <v>449</v>
      </c>
      <c r="B89" s="93" t="s">
        <v>99</v>
      </c>
      <c r="C89" s="94">
        <v>65491979</v>
      </c>
      <c r="D89" s="94">
        <v>26862835</v>
      </c>
      <c r="E89" s="94">
        <v>27774362</v>
      </c>
      <c r="F89" s="94">
        <v>879530</v>
      </c>
      <c r="G89" s="94">
        <v>86432068</v>
      </c>
      <c r="H89" s="94">
        <v>61120465</v>
      </c>
      <c r="I89" s="94">
        <v>49203</v>
      </c>
      <c r="J89" s="94">
        <v>2475824</v>
      </c>
      <c r="K89" s="94">
        <v>1280816</v>
      </c>
      <c r="L89" s="94">
        <v>798057</v>
      </c>
    </row>
    <row r="90" spans="1:12">
      <c r="A90" s="140">
        <v>511</v>
      </c>
      <c r="B90" s="93" t="s">
        <v>100</v>
      </c>
      <c r="C90" s="94">
        <v>116139123</v>
      </c>
      <c r="D90" s="94">
        <v>103555986</v>
      </c>
      <c r="E90" s="94">
        <v>11738070</v>
      </c>
      <c r="F90" s="94">
        <v>2171948</v>
      </c>
      <c r="G90" s="94">
        <v>125734832</v>
      </c>
      <c r="H90" s="94">
        <v>49405489</v>
      </c>
      <c r="I90" s="94">
        <v>0</v>
      </c>
      <c r="J90" s="94">
        <v>6966650</v>
      </c>
      <c r="K90" s="94">
        <v>6858581</v>
      </c>
      <c r="L90" s="94">
        <v>8217879</v>
      </c>
    </row>
    <row r="91" spans="1:12">
      <c r="A91" s="140">
        <v>512</v>
      </c>
      <c r="B91" s="93" t="s">
        <v>101</v>
      </c>
      <c r="C91" s="94">
        <v>1806226</v>
      </c>
      <c r="D91" s="94">
        <v>1632043</v>
      </c>
      <c r="E91" s="94">
        <v>50647</v>
      </c>
      <c r="F91" s="94">
        <v>31332</v>
      </c>
      <c r="G91" s="94">
        <v>1520651</v>
      </c>
      <c r="H91" s="94">
        <v>955652</v>
      </c>
      <c r="I91" s="94">
        <v>0</v>
      </c>
      <c r="J91" s="94">
        <v>0</v>
      </c>
      <c r="K91" s="94">
        <v>248297</v>
      </c>
      <c r="L91" s="94">
        <v>0</v>
      </c>
    </row>
    <row r="92" spans="1:12">
      <c r="A92" s="140">
        <v>520</v>
      </c>
      <c r="B92" s="93" t="s">
        <v>29</v>
      </c>
      <c r="C92" s="94">
        <v>27551210</v>
      </c>
      <c r="D92" s="94">
        <v>21687148</v>
      </c>
      <c r="E92" s="94">
        <v>2713572</v>
      </c>
      <c r="F92" s="94">
        <v>1289282</v>
      </c>
      <c r="G92" s="94">
        <v>67022583</v>
      </c>
      <c r="H92" s="94">
        <v>39448562</v>
      </c>
      <c r="I92" s="94">
        <v>202303</v>
      </c>
      <c r="J92" s="94">
        <v>2789093</v>
      </c>
      <c r="K92" s="94">
        <v>13851966</v>
      </c>
      <c r="L92" s="94">
        <v>1355872</v>
      </c>
    </row>
    <row r="93" spans="1:12">
      <c r="A93" s="140">
        <v>611</v>
      </c>
      <c r="B93" s="93" t="s">
        <v>102</v>
      </c>
      <c r="C93" s="94">
        <v>77610328</v>
      </c>
      <c r="D93" s="94">
        <v>49994052</v>
      </c>
      <c r="E93" s="94">
        <v>13440119</v>
      </c>
      <c r="F93" s="94">
        <v>1537534</v>
      </c>
      <c r="G93" s="94">
        <v>171157359</v>
      </c>
      <c r="H93" s="94">
        <v>96075728</v>
      </c>
      <c r="I93" s="94">
        <v>1083152</v>
      </c>
      <c r="J93" s="94">
        <v>25167020</v>
      </c>
      <c r="K93" s="94">
        <v>37005433</v>
      </c>
      <c r="L93" s="94">
        <v>9150058</v>
      </c>
    </row>
    <row r="94" spans="1:12">
      <c r="A94" s="140">
        <v>612</v>
      </c>
      <c r="B94" s="93" t="s">
        <v>103</v>
      </c>
      <c r="C94" s="94">
        <v>12116213</v>
      </c>
      <c r="D94" s="94">
        <v>8360350</v>
      </c>
      <c r="E94" s="94">
        <v>3030762</v>
      </c>
      <c r="F94" s="94">
        <v>185946</v>
      </c>
      <c r="G94" s="94">
        <v>29132667</v>
      </c>
      <c r="H94" s="94">
        <v>19931476</v>
      </c>
      <c r="I94" s="94">
        <v>52467</v>
      </c>
      <c r="J94" s="94">
        <v>1967938</v>
      </c>
      <c r="K94" s="94">
        <v>2115562</v>
      </c>
      <c r="L94" s="94">
        <v>977168</v>
      </c>
    </row>
    <row r="95" spans="1:12">
      <c r="A95" s="140">
        <v>619</v>
      </c>
      <c r="B95" s="93" t="s">
        <v>104</v>
      </c>
      <c r="C95" s="94">
        <v>18751790226</v>
      </c>
      <c r="D95" s="94">
        <v>15070565355</v>
      </c>
      <c r="E95" s="94">
        <v>2423166408</v>
      </c>
      <c r="F95" s="94">
        <v>102027889</v>
      </c>
      <c r="G95" s="94">
        <v>18362765292</v>
      </c>
      <c r="H95" s="94">
        <v>6057119917</v>
      </c>
      <c r="I95" s="94">
        <v>167347735</v>
      </c>
      <c r="J95" s="94">
        <v>1864759159</v>
      </c>
      <c r="K95" s="94">
        <v>1685044412</v>
      </c>
      <c r="L95" s="94">
        <v>1220070903</v>
      </c>
    </row>
    <row r="96" spans="1:12">
      <c r="A96" s="140">
        <v>621</v>
      </c>
      <c r="B96" s="93" t="s">
        <v>105</v>
      </c>
      <c r="C96" s="94">
        <v>4091869485</v>
      </c>
      <c r="D96" s="94">
        <v>3249247262</v>
      </c>
      <c r="E96" s="94">
        <v>379465609</v>
      </c>
      <c r="F96" s="94">
        <v>97707688</v>
      </c>
      <c r="G96" s="94">
        <v>5085620565</v>
      </c>
      <c r="H96" s="94">
        <v>2167216894</v>
      </c>
      <c r="I96" s="94">
        <v>101561327</v>
      </c>
      <c r="J96" s="94">
        <v>926360364</v>
      </c>
      <c r="K96" s="94">
        <v>276648800</v>
      </c>
      <c r="L96" s="94">
        <v>386268116</v>
      </c>
    </row>
    <row r="97" spans="1:12">
      <c r="A97" s="140">
        <v>622</v>
      </c>
      <c r="B97" s="93" t="s">
        <v>106</v>
      </c>
      <c r="C97" s="94">
        <v>63739099</v>
      </c>
      <c r="D97" s="94">
        <v>49058476</v>
      </c>
      <c r="E97" s="94">
        <v>7687731</v>
      </c>
      <c r="F97" s="94">
        <v>886313</v>
      </c>
      <c r="G97" s="94">
        <v>86116376</v>
      </c>
      <c r="H97" s="94">
        <v>21140461</v>
      </c>
      <c r="I97" s="94">
        <v>237295</v>
      </c>
      <c r="J97" s="94">
        <v>17633642</v>
      </c>
      <c r="K97" s="94">
        <v>13852780</v>
      </c>
      <c r="L97" s="94">
        <v>5596021</v>
      </c>
    </row>
    <row r="98" spans="1:12">
      <c r="A98" s="140">
        <v>623</v>
      </c>
      <c r="B98" s="93" t="s">
        <v>107</v>
      </c>
      <c r="C98" s="94">
        <v>3805680014</v>
      </c>
      <c r="D98" s="94">
        <v>3024568751</v>
      </c>
      <c r="E98" s="94">
        <v>347102572</v>
      </c>
      <c r="F98" s="94">
        <v>92797292</v>
      </c>
      <c r="G98" s="94">
        <v>4652181479</v>
      </c>
      <c r="H98" s="94">
        <v>1991399427</v>
      </c>
      <c r="I98" s="94">
        <v>96473154</v>
      </c>
      <c r="J98" s="94">
        <v>896666720</v>
      </c>
      <c r="K98" s="94">
        <v>263155525</v>
      </c>
      <c r="L98" s="94">
        <v>374988027</v>
      </c>
    </row>
    <row r="99" spans="1:12">
      <c r="A99" s="140">
        <v>624</v>
      </c>
      <c r="B99" s="93" t="s">
        <v>108</v>
      </c>
      <c r="C99" s="94">
        <v>3328608933</v>
      </c>
      <c r="D99" s="94">
        <v>2330580756</v>
      </c>
      <c r="E99" s="94">
        <v>560620710</v>
      </c>
      <c r="F99" s="94">
        <v>68082242</v>
      </c>
      <c r="G99" s="94">
        <v>3580671258</v>
      </c>
      <c r="H99" s="94">
        <v>1015858480</v>
      </c>
      <c r="I99" s="94">
        <v>134572763</v>
      </c>
      <c r="J99" s="94">
        <v>754778274</v>
      </c>
      <c r="K99" s="94">
        <v>285032494</v>
      </c>
      <c r="L99" s="94">
        <v>298556390</v>
      </c>
    </row>
    <row r="100" spans="1:12">
      <c r="A100" s="140">
        <v>625</v>
      </c>
      <c r="B100" s="93" t="s">
        <v>109</v>
      </c>
      <c r="C100" s="94">
        <v>79491597</v>
      </c>
      <c r="D100" s="94">
        <v>63069615</v>
      </c>
      <c r="E100" s="94">
        <v>9043874</v>
      </c>
      <c r="F100" s="94">
        <v>1778606</v>
      </c>
      <c r="G100" s="94">
        <v>71652119</v>
      </c>
      <c r="H100" s="94">
        <v>36234305</v>
      </c>
      <c r="I100" s="94">
        <v>64329</v>
      </c>
      <c r="J100" s="94">
        <v>11623357</v>
      </c>
      <c r="K100" s="94">
        <v>11490241</v>
      </c>
      <c r="L100" s="94">
        <v>4970344</v>
      </c>
    </row>
    <row r="101" spans="1:12">
      <c r="A101" s="140">
        <v>626</v>
      </c>
      <c r="B101" s="93" t="s">
        <v>110</v>
      </c>
      <c r="C101" s="94">
        <v>3684765333</v>
      </c>
      <c r="D101" s="94">
        <v>2936696652</v>
      </c>
      <c r="E101" s="94">
        <v>359191268</v>
      </c>
      <c r="F101" s="94">
        <v>83324440</v>
      </c>
      <c r="G101" s="94">
        <v>3873723562</v>
      </c>
      <c r="H101" s="94">
        <v>1856319530</v>
      </c>
      <c r="I101" s="94">
        <v>30760746</v>
      </c>
      <c r="J101" s="94">
        <v>817917877</v>
      </c>
      <c r="K101" s="94">
        <v>377322919</v>
      </c>
      <c r="L101" s="94">
        <v>371782115</v>
      </c>
    </row>
    <row r="102" spans="1:12">
      <c r="A102" s="140">
        <v>627</v>
      </c>
      <c r="B102" s="93" t="s">
        <v>111</v>
      </c>
      <c r="C102" s="94">
        <v>289611121</v>
      </c>
      <c r="D102" s="94">
        <v>226502762</v>
      </c>
      <c r="E102" s="94">
        <v>31990753</v>
      </c>
      <c r="F102" s="94">
        <v>9468002</v>
      </c>
      <c r="G102" s="94">
        <v>380085222</v>
      </c>
      <c r="H102" s="94">
        <v>226334823</v>
      </c>
      <c r="I102" s="94">
        <v>3707788</v>
      </c>
      <c r="J102" s="94">
        <v>61656790</v>
      </c>
      <c r="K102" s="94">
        <v>17130673</v>
      </c>
      <c r="L102" s="94">
        <v>17468233</v>
      </c>
    </row>
    <row r="103" spans="1:12">
      <c r="A103" s="140">
        <v>628</v>
      </c>
      <c r="B103" s="93" t="s">
        <v>112</v>
      </c>
      <c r="C103" s="94">
        <v>5146779159</v>
      </c>
      <c r="D103" s="94">
        <v>4011433525</v>
      </c>
      <c r="E103" s="94">
        <v>636308951</v>
      </c>
      <c r="F103" s="94">
        <v>101686645</v>
      </c>
      <c r="G103" s="94">
        <v>6592976086</v>
      </c>
      <c r="H103" s="94">
        <v>2349432257</v>
      </c>
      <c r="I103" s="94">
        <v>123637983</v>
      </c>
      <c r="J103" s="94">
        <v>959216686</v>
      </c>
      <c r="K103" s="94">
        <v>705731895</v>
      </c>
      <c r="L103" s="94">
        <v>501339483</v>
      </c>
    </row>
    <row r="104" spans="1:12">
      <c r="A104" s="140">
        <v>629</v>
      </c>
      <c r="B104" s="93" t="s">
        <v>113</v>
      </c>
      <c r="C104" s="94">
        <v>52928724883</v>
      </c>
      <c r="D104" s="94">
        <v>38853995851</v>
      </c>
      <c r="E104" s="94">
        <v>7186019041</v>
      </c>
      <c r="F104" s="94">
        <v>1293670440</v>
      </c>
      <c r="G104" s="94">
        <v>60536758828</v>
      </c>
      <c r="H104" s="94">
        <v>23914394031</v>
      </c>
      <c r="I104" s="94">
        <v>917367472</v>
      </c>
      <c r="J104" s="94">
        <v>10658781268</v>
      </c>
      <c r="K104" s="94">
        <v>4972512217</v>
      </c>
      <c r="L104" s="94">
        <v>4583646312</v>
      </c>
    </row>
    <row r="105" spans="1:12">
      <c r="A105" s="140">
        <v>631</v>
      </c>
      <c r="B105" s="93" t="s">
        <v>114</v>
      </c>
      <c r="C105" s="94">
        <v>63829302</v>
      </c>
      <c r="D105" s="94">
        <v>39805806</v>
      </c>
      <c r="E105" s="94">
        <v>13567775</v>
      </c>
      <c r="F105" s="94">
        <v>3371056</v>
      </c>
      <c r="G105" s="94">
        <v>103955927</v>
      </c>
      <c r="H105" s="94">
        <v>57982705</v>
      </c>
      <c r="I105" s="94">
        <v>143340</v>
      </c>
      <c r="J105" s="94">
        <v>19575266</v>
      </c>
      <c r="K105" s="94">
        <v>217922</v>
      </c>
      <c r="L105" s="94">
        <v>705077</v>
      </c>
    </row>
    <row r="106" spans="1:12">
      <c r="A106" s="140">
        <v>632</v>
      </c>
      <c r="B106" s="93" t="s">
        <v>115</v>
      </c>
      <c r="C106" s="94">
        <v>11589653048</v>
      </c>
      <c r="D106" s="94">
        <v>2957719399</v>
      </c>
      <c r="E106" s="94">
        <v>6170367964</v>
      </c>
      <c r="F106" s="94">
        <v>263451987</v>
      </c>
      <c r="G106" s="94">
        <v>16466378778</v>
      </c>
      <c r="H106" s="94">
        <v>2660983838</v>
      </c>
      <c r="I106" s="94">
        <v>1160870078</v>
      </c>
      <c r="J106" s="94">
        <v>2474169879</v>
      </c>
      <c r="K106" s="94">
        <v>425092858</v>
      </c>
      <c r="L106" s="94">
        <v>641981291</v>
      </c>
    </row>
    <row r="107" spans="1:12">
      <c r="A107" s="140">
        <v>633</v>
      </c>
      <c r="B107" s="93" t="s">
        <v>116</v>
      </c>
      <c r="C107" s="94">
        <v>309707957</v>
      </c>
      <c r="D107" s="94">
        <v>172679267</v>
      </c>
      <c r="E107" s="94">
        <v>101367282</v>
      </c>
      <c r="F107" s="94">
        <v>10667329</v>
      </c>
      <c r="G107" s="94">
        <v>597202383</v>
      </c>
      <c r="H107" s="94">
        <v>257863626</v>
      </c>
      <c r="I107" s="94">
        <v>13520341</v>
      </c>
      <c r="J107" s="94">
        <v>21369139</v>
      </c>
      <c r="K107" s="94">
        <v>133909355</v>
      </c>
      <c r="L107" s="94">
        <v>3268192</v>
      </c>
    </row>
    <row r="108" spans="1:12">
      <c r="A108" s="140">
        <v>634</v>
      </c>
      <c r="B108" s="93" t="s">
        <v>117</v>
      </c>
      <c r="C108" s="94">
        <v>1177370811</v>
      </c>
      <c r="D108" s="94">
        <v>161808067</v>
      </c>
      <c r="E108" s="94">
        <v>573452503</v>
      </c>
      <c r="F108" s="94">
        <v>42854844</v>
      </c>
      <c r="G108" s="94">
        <v>1930309759</v>
      </c>
      <c r="H108" s="94">
        <v>368374590</v>
      </c>
      <c r="I108" s="94">
        <v>11385481</v>
      </c>
      <c r="J108" s="94">
        <v>172224991</v>
      </c>
      <c r="K108" s="94">
        <v>2172982</v>
      </c>
      <c r="L108" s="94">
        <v>7968014</v>
      </c>
    </row>
    <row r="109" spans="1:12">
      <c r="A109" s="140">
        <v>635</v>
      </c>
      <c r="B109" s="93" t="s">
        <v>118</v>
      </c>
      <c r="C109" s="94">
        <v>1375902074</v>
      </c>
      <c r="D109" s="94">
        <v>445226604</v>
      </c>
      <c r="E109" s="94">
        <v>733852060</v>
      </c>
      <c r="F109" s="94">
        <v>27711411</v>
      </c>
      <c r="G109" s="94">
        <v>1761027972</v>
      </c>
      <c r="H109" s="94">
        <v>420301702</v>
      </c>
      <c r="I109" s="94">
        <v>38781521</v>
      </c>
      <c r="J109" s="94">
        <v>228450954</v>
      </c>
      <c r="K109" s="94">
        <v>45390423</v>
      </c>
      <c r="L109" s="94">
        <v>44286499</v>
      </c>
    </row>
    <row r="110" spans="1:12">
      <c r="A110" s="140">
        <v>636</v>
      </c>
      <c r="B110" s="93" t="s">
        <v>119</v>
      </c>
      <c r="C110" s="94">
        <v>797625</v>
      </c>
      <c r="D110" s="94">
        <v>166459</v>
      </c>
      <c r="E110" s="94">
        <v>445856</v>
      </c>
      <c r="F110" s="94">
        <v>71913</v>
      </c>
      <c r="G110" s="94">
        <v>1499498</v>
      </c>
      <c r="H110" s="94">
        <v>1454728</v>
      </c>
      <c r="I110" s="94">
        <v>4186</v>
      </c>
      <c r="J110" s="94">
        <v>0</v>
      </c>
      <c r="K110" s="94">
        <v>8618</v>
      </c>
      <c r="L110" s="94">
        <v>0</v>
      </c>
    </row>
    <row r="111" spans="1:12">
      <c r="A111" s="140">
        <v>637</v>
      </c>
      <c r="B111" s="93" t="s">
        <v>120</v>
      </c>
      <c r="C111" s="94">
        <v>2581329204</v>
      </c>
      <c r="D111" s="94">
        <v>1512039826</v>
      </c>
      <c r="E111" s="94">
        <v>650009789</v>
      </c>
      <c r="F111" s="94">
        <v>161006122</v>
      </c>
      <c r="G111" s="94">
        <v>5211199843</v>
      </c>
      <c r="H111" s="94">
        <v>2435582128</v>
      </c>
      <c r="I111" s="94">
        <v>573016876</v>
      </c>
      <c r="J111" s="94">
        <v>369562905</v>
      </c>
      <c r="K111" s="94">
        <v>129491016</v>
      </c>
      <c r="L111" s="94">
        <v>76465152</v>
      </c>
    </row>
    <row r="112" spans="1:12">
      <c r="A112" s="140">
        <v>639</v>
      </c>
      <c r="B112" s="93" t="s">
        <v>121</v>
      </c>
      <c r="C112" s="94">
        <v>2528297923</v>
      </c>
      <c r="D112" s="94">
        <v>1758730009</v>
      </c>
      <c r="E112" s="94">
        <v>539589881</v>
      </c>
      <c r="F112" s="94">
        <v>25948177</v>
      </c>
      <c r="G112" s="94">
        <v>2098744296</v>
      </c>
      <c r="H112" s="94">
        <v>455166009</v>
      </c>
      <c r="I112" s="94">
        <v>42759033</v>
      </c>
      <c r="J112" s="94">
        <v>398720479</v>
      </c>
      <c r="K112" s="94">
        <v>107644980</v>
      </c>
      <c r="L112" s="94">
        <v>113154016</v>
      </c>
    </row>
    <row r="113" spans="1:12">
      <c r="A113" s="140">
        <v>711</v>
      </c>
      <c r="B113" s="93" t="s">
        <v>6</v>
      </c>
      <c r="C113" s="94">
        <v>82360439</v>
      </c>
      <c r="D113" s="94">
        <v>56810824</v>
      </c>
      <c r="E113" s="94">
        <v>13780088</v>
      </c>
      <c r="F113" s="94">
        <v>8506539</v>
      </c>
      <c r="G113" s="94">
        <v>173077366</v>
      </c>
      <c r="H113" s="94">
        <v>124077066</v>
      </c>
      <c r="I113" s="94">
        <v>1478</v>
      </c>
      <c r="J113" s="94">
        <v>5813013</v>
      </c>
      <c r="K113" s="94">
        <v>927641</v>
      </c>
      <c r="L113" s="94">
        <v>630754</v>
      </c>
    </row>
    <row r="114" spans="1:12">
      <c r="A114" s="140">
        <v>712</v>
      </c>
      <c r="B114" s="93" t="s">
        <v>122</v>
      </c>
      <c r="C114" s="94">
        <v>2057301328</v>
      </c>
      <c r="D114" s="94">
        <v>1718757930</v>
      </c>
      <c r="E114" s="94">
        <v>202437723</v>
      </c>
      <c r="F114" s="94">
        <v>43997370</v>
      </c>
      <c r="G114" s="94">
        <v>1568309894</v>
      </c>
      <c r="H114" s="94">
        <v>831629559</v>
      </c>
      <c r="I114" s="94">
        <v>11575116</v>
      </c>
      <c r="J114" s="94">
        <v>252316582</v>
      </c>
      <c r="K114" s="94">
        <v>184003016</v>
      </c>
      <c r="L114" s="94">
        <v>97991005</v>
      </c>
    </row>
    <row r="115" spans="1:12">
      <c r="A115" s="140">
        <v>721</v>
      </c>
      <c r="B115" s="93" t="s">
        <v>123</v>
      </c>
      <c r="C115" s="94">
        <v>706715688</v>
      </c>
      <c r="D115" s="94">
        <v>576341455</v>
      </c>
      <c r="E115" s="94">
        <v>80221782</v>
      </c>
      <c r="F115" s="94">
        <v>12416726</v>
      </c>
      <c r="G115" s="94">
        <v>692099058</v>
      </c>
      <c r="H115" s="94">
        <v>325546262</v>
      </c>
      <c r="I115" s="94">
        <v>2434763</v>
      </c>
      <c r="J115" s="94">
        <v>87024865</v>
      </c>
      <c r="K115" s="94">
        <v>127676605</v>
      </c>
      <c r="L115" s="94">
        <v>26957354</v>
      </c>
    </row>
    <row r="116" spans="1:12">
      <c r="A116" s="140">
        <v>722</v>
      </c>
      <c r="B116" s="93" t="s">
        <v>124</v>
      </c>
      <c r="C116" s="94">
        <v>228549514</v>
      </c>
      <c r="D116" s="94">
        <v>180842718</v>
      </c>
      <c r="E116" s="94">
        <v>23905333</v>
      </c>
      <c r="F116" s="94">
        <v>6812130</v>
      </c>
      <c r="G116" s="94">
        <v>232947319</v>
      </c>
      <c r="H116" s="94">
        <v>121116513</v>
      </c>
      <c r="I116" s="94">
        <v>659665</v>
      </c>
      <c r="J116" s="94">
        <v>21302253</v>
      </c>
      <c r="K116" s="94">
        <v>46777159</v>
      </c>
      <c r="L116" s="94">
        <v>10956798</v>
      </c>
    </row>
    <row r="117" spans="1:12">
      <c r="A117" s="140">
        <v>730</v>
      </c>
      <c r="B117" s="93" t="s">
        <v>35</v>
      </c>
      <c r="C117" s="94">
        <v>626497775</v>
      </c>
      <c r="D117" s="94">
        <v>495955547</v>
      </c>
      <c r="E117" s="94">
        <v>77560392</v>
      </c>
      <c r="F117" s="94">
        <v>17764177</v>
      </c>
      <c r="G117" s="94">
        <v>635039979</v>
      </c>
      <c r="H117" s="94">
        <v>357946061</v>
      </c>
      <c r="I117" s="94">
        <v>3778900</v>
      </c>
      <c r="J117" s="94">
        <v>82201257</v>
      </c>
      <c r="K117" s="94">
        <v>89920251</v>
      </c>
      <c r="L117" s="94">
        <v>35151482</v>
      </c>
    </row>
    <row r="118" spans="1:12">
      <c r="A118" s="140">
        <v>740</v>
      </c>
      <c r="B118" s="93" t="s">
        <v>36</v>
      </c>
      <c r="C118" s="94">
        <v>317675406</v>
      </c>
      <c r="D118" s="94">
        <v>271548005</v>
      </c>
      <c r="E118" s="94">
        <v>17975039</v>
      </c>
      <c r="F118" s="94">
        <v>3773260</v>
      </c>
      <c r="G118" s="94">
        <v>229620215</v>
      </c>
      <c r="H118" s="94">
        <v>75835464</v>
      </c>
      <c r="I118" s="94">
        <v>733920</v>
      </c>
      <c r="J118" s="94">
        <v>33643865</v>
      </c>
      <c r="K118" s="94">
        <v>20573980</v>
      </c>
      <c r="L118" s="94">
        <v>21800219</v>
      </c>
    </row>
    <row r="119" spans="1:12">
      <c r="A119" s="140">
        <v>750</v>
      </c>
      <c r="B119" s="93" t="s">
        <v>37</v>
      </c>
      <c r="C119" s="94">
        <v>1738956854</v>
      </c>
      <c r="D119" s="94">
        <v>772475757</v>
      </c>
      <c r="E119" s="94">
        <v>805473227</v>
      </c>
      <c r="F119" s="94">
        <v>31274530</v>
      </c>
      <c r="G119" s="94">
        <v>1581124629</v>
      </c>
      <c r="H119" s="94">
        <v>461228922</v>
      </c>
      <c r="I119" s="94">
        <v>9969051</v>
      </c>
      <c r="J119" s="94">
        <v>123111744</v>
      </c>
      <c r="K119" s="94">
        <v>83599379</v>
      </c>
      <c r="L119" s="94">
        <v>66185461</v>
      </c>
    </row>
    <row r="120" spans="1:12">
      <c r="A120" s="140">
        <v>761</v>
      </c>
      <c r="B120" s="93" t="s">
        <v>125</v>
      </c>
      <c r="C120" s="94">
        <v>1294573758</v>
      </c>
      <c r="D120" s="94">
        <v>1062882406</v>
      </c>
      <c r="E120" s="94">
        <v>168755142</v>
      </c>
      <c r="F120" s="94">
        <v>17925282</v>
      </c>
      <c r="G120" s="94">
        <v>1723993544</v>
      </c>
      <c r="H120" s="94">
        <v>633103718</v>
      </c>
      <c r="I120" s="94">
        <v>6014899</v>
      </c>
      <c r="J120" s="94">
        <v>183435286</v>
      </c>
      <c r="K120" s="94">
        <v>150347340</v>
      </c>
      <c r="L120" s="94">
        <v>40253659</v>
      </c>
    </row>
    <row r="121" spans="1:12">
      <c r="A121" s="140">
        <v>762</v>
      </c>
      <c r="B121" s="93" t="s">
        <v>126</v>
      </c>
      <c r="C121" s="94">
        <v>475597739</v>
      </c>
      <c r="D121" s="94">
        <v>392965738</v>
      </c>
      <c r="E121" s="94">
        <v>54721655</v>
      </c>
      <c r="F121" s="94">
        <v>9353260</v>
      </c>
      <c r="G121" s="94">
        <v>529573575</v>
      </c>
      <c r="H121" s="94">
        <v>166729582</v>
      </c>
      <c r="I121" s="94">
        <v>6258330</v>
      </c>
      <c r="J121" s="94">
        <v>44966708</v>
      </c>
      <c r="K121" s="94">
        <v>77603469</v>
      </c>
      <c r="L121" s="94">
        <v>21864621</v>
      </c>
    </row>
    <row r="122" spans="1:12">
      <c r="A122" s="140">
        <v>770</v>
      </c>
      <c r="B122" s="93" t="s">
        <v>39</v>
      </c>
      <c r="C122" s="94">
        <v>602821978</v>
      </c>
      <c r="D122" s="94">
        <v>479698603</v>
      </c>
      <c r="E122" s="94">
        <v>68353563</v>
      </c>
      <c r="F122" s="94">
        <v>9552041</v>
      </c>
      <c r="G122" s="94">
        <v>883103820</v>
      </c>
      <c r="H122" s="94">
        <v>220741589</v>
      </c>
      <c r="I122" s="94">
        <v>4559940</v>
      </c>
      <c r="J122" s="94">
        <v>109089896</v>
      </c>
      <c r="K122" s="94">
        <v>66348837</v>
      </c>
      <c r="L122" s="94">
        <v>40550250</v>
      </c>
    </row>
    <row r="123" spans="1:12">
      <c r="A123" s="140">
        <v>791</v>
      </c>
      <c r="B123" s="93" t="s">
        <v>127</v>
      </c>
      <c r="C123" s="94">
        <v>1879725680</v>
      </c>
      <c r="D123" s="94">
        <v>1214569358</v>
      </c>
      <c r="E123" s="94">
        <v>504650822</v>
      </c>
      <c r="F123" s="94">
        <v>33680419</v>
      </c>
      <c r="G123" s="94">
        <v>2589663145</v>
      </c>
      <c r="H123" s="94">
        <v>1054354212</v>
      </c>
      <c r="I123" s="94">
        <v>17555632</v>
      </c>
      <c r="J123" s="94">
        <v>265671977</v>
      </c>
      <c r="K123" s="94">
        <v>122425388</v>
      </c>
      <c r="L123" s="94">
        <v>114970354</v>
      </c>
    </row>
    <row r="124" spans="1:12">
      <c r="A124" s="140">
        <v>792</v>
      </c>
      <c r="B124" s="93" t="s">
        <v>128</v>
      </c>
      <c r="C124" s="94">
        <v>4515135416</v>
      </c>
      <c r="D124" s="94">
        <v>3155320413</v>
      </c>
      <c r="E124" s="94">
        <v>1069532241</v>
      </c>
      <c r="F124" s="94">
        <v>55079502</v>
      </c>
      <c r="G124" s="94">
        <v>6218123062</v>
      </c>
      <c r="H124" s="94">
        <v>2309393532</v>
      </c>
      <c r="I124" s="94">
        <v>300147500</v>
      </c>
      <c r="J124" s="94">
        <v>422644717</v>
      </c>
      <c r="K124" s="94">
        <v>534906166</v>
      </c>
      <c r="L124" s="94">
        <v>341764802</v>
      </c>
    </row>
    <row r="125" spans="1:12">
      <c r="A125" s="140">
        <v>793</v>
      </c>
      <c r="B125" s="93" t="s">
        <v>129</v>
      </c>
      <c r="C125" s="94">
        <v>142545289</v>
      </c>
      <c r="D125" s="94">
        <v>111523449</v>
      </c>
      <c r="E125" s="94">
        <v>14626617</v>
      </c>
      <c r="F125" s="94">
        <v>3245803</v>
      </c>
      <c r="G125" s="94">
        <v>177423956</v>
      </c>
      <c r="H125" s="94">
        <v>104322387</v>
      </c>
      <c r="I125" s="94">
        <v>2932030</v>
      </c>
      <c r="J125" s="94">
        <v>16996301</v>
      </c>
      <c r="K125" s="94">
        <v>19200056</v>
      </c>
      <c r="L125" s="94">
        <v>10552453</v>
      </c>
    </row>
    <row r="126" spans="1:12">
      <c r="A126" s="140">
        <v>794</v>
      </c>
      <c r="B126" s="93" t="s">
        <v>130</v>
      </c>
      <c r="C126" s="94">
        <v>880574410</v>
      </c>
      <c r="D126" s="94">
        <v>655711182</v>
      </c>
      <c r="E126" s="94">
        <v>119293092</v>
      </c>
      <c r="F126" s="94">
        <v>17208679</v>
      </c>
      <c r="G126" s="94">
        <v>882147111</v>
      </c>
      <c r="H126" s="94">
        <v>383178992</v>
      </c>
      <c r="I126" s="94">
        <v>5165512</v>
      </c>
      <c r="J126" s="94">
        <v>152721597</v>
      </c>
      <c r="K126" s="94">
        <v>108173430</v>
      </c>
      <c r="L126" s="94">
        <v>58534983</v>
      </c>
    </row>
    <row r="127" spans="1:12">
      <c r="A127" s="140">
        <v>795</v>
      </c>
      <c r="B127" s="93" t="s">
        <v>131</v>
      </c>
      <c r="C127" s="94">
        <v>2465125155</v>
      </c>
      <c r="D127" s="94">
        <v>1564573061</v>
      </c>
      <c r="E127" s="94">
        <v>563630238</v>
      </c>
      <c r="F127" s="94">
        <v>72956466</v>
      </c>
      <c r="G127" s="94">
        <v>3099179737</v>
      </c>
      <c r="H127" s="94">
        <v>924412353</v>
      </c>
      <c r="I127" s="94">
        <v>54813777</v>
      </c>
      <c r="J127" s="94">
        <v>354005414</v>
      </c>
      <c r="K127" s="94">
        <v>938015343</v>
      </c>
      <c r="L127" s="94">
        <v>113663643</v>
      </c>
    </row>
    <row r="128" spans="1:12">
      <c r="A128" s="140">
        <v>799</v>
      </c>
      <c r="B128" s="93" t="s">
        <v>132</v>
      </c>
      <c r="C128" s="94">
        <v>2465125155</v>
      </c>
      <c r="D128" s="94">
        <v>1564573061</v>
      </c>
      <c r="E128" s="94">
        <v>563630238</v>
      </c>
      <c r="F128" s="94">
        <v>72956466</v>
      </c>
      <c r="G128" s="94">
        <v>3099179737</v>
      </c>
      <c r="H128" s="94">
        <v>924412353</v>
      </c>
      <c r="I128" s="94">
        <v>54813777</v>
      </c>
      <c r="J128" s="94">
        <v>354005414</v>
      </c>
      <c r="K128" s="94">
        <v>938015343</v>
      </c>
      <c r="L128" s="94">
        <v>113663643</v>
      </c>
    </row>
    <row r="129" spans="1:12">
      <c r="A129" s="140">
        <v>811</v>
      </c>
      <c r="B129" s="93" t="s">
        <v>133</v>
      </c>
      <c r="C129" s="94">
        <v>1668498561</v>
      </c>
      <c r="D129" s="94">
        <v>693272804</v>
      </c>
      <c r="E129" s="94">
        <v>460817499</v>
      </c>
      <c r="F129" s="94">
        <v>12923891</v>
      </c>
      <c r="G129" s="94">
        <v>3384822712</v>
      </c>
      <c r="H129" s="94">
        <v>818526785</v>
      </c>
      <c r="I129" s="94">
        <v>1473794594</v>
      </c>
      <c r="J129" s="94">
        <v>347567169</v>
      </c>
      <c r="K129" s="94">
        <v>97562774</v>
      </c>
      <c r="L129" s="94">
        <v>107709200</v>
      </c>
    </row>
    <row r="130" spans="1:12">
      <c r="A130" s="140">
        <v>812</v>
      </c>
      <c r="B130" s="93" t="s">
        <v>134</v>
      </c>
      <c r="C130" s="94">
        <v>1050921468</v>
      </c>
      <c r="D130" s="94">
        <v>464305797</v>
      </c>
      <c r="E130" s="94">
        <v>338236071</v>
      </c>
      <c r="F130" s="94">
        <v>5636143</v>
      </c>
      <c r="G130" s="94">
        <v>1813231592</v>
      </c>
      <c r="H130" s="94">
        <v>296653543</v>
      </c>
      <c r="I130" s="94">
        <v>11748741</v>
      </c>
      <c r="J130" s="94">
        <v>232339635</v>
      </c>
      <c r="K130" s="94">
        <v>110280803</v>
      </c>
      <c r="L130" s="94">
        <v>65564405</v>
      </c>
    </row>
    <row r="131" spans="1:12">
      <c r="A131" s="140">
        <v>821</v>
      </c>
      <c r="B131" s="93" t="s">
        <v>146</v>
      </c>
      <c r="C131" s="94">
        <v>1966910862</v>
      </c>
      <c r="D131" s="94">
        <v>1191308396</v>
      </c>
      <c r="E131" s="94">
        <v>500251692</v>
      </c>
      <c r="F131" s="94">
        <v>20962191</v>
      </c>
      <c r="G131" s="94">
        <v>1533111664</v>
      </c>
      <c r="H131" s="94">
        <v>520421134</v>
      </c>
      <c r="I131" s="94">
        <v>15883117</v>
      </c>
      <c r="J131" s="94">
        <v>171350950</v>
      </c>
      <c r="K131" s="94">
        <v>166183933</v>
      </c>
      <c r="L131" s="94">
        <v>70238309</v>
      </c>
    </row>
    <row r="132" spans="1:12">
      <c r="A132" s="140">
        <v>822</v>
      </c>
      <c r="B132" s="93" t="s">
        <v>146</v>
      </c>
      <c r="C132" s="94">
        <v>423102</v>
      </c>
      <c r="D132" s="94">
        <v>212587</v>
      </c>
      <c r="E132" s="94">
        <v>117822</v>
      </c>
      <c r="F132" s="94">
        <v>27404</v>
      </c>
      <c r="G132" s="94">
        <v>2977717</v>
      </c>
      <c r="H132" s="94">
        <v>2795837</v>
      </c>
      <c r="I132" s="94">
        <v>0</v>
      </c>
      <c r="J132" s="94">
        <v>60581</v>
      </c>
      <c r="K132" s="94">
        <v>15628</v>
      </c>
      <c r="L132" s="94">
        <v>0</v>
      </c>
    </row>
    <row r="133" spans="1:12">
      <c r="A133" s="140">
        <v>911</v>
      </c>
      <c r="B133" s="93" t="s">
        <v>135</v>
      </c>
      <c r="C133" s="94">
        <v>251848627</v>
      </c>
      <c r="D133" s="94">
        <v>183127264</v>
      </c>
      <c r="E133" s="94">
        <v>36567324</v>
      </c>
      <c r="F133" s="94">
        <v>4018263</v>
      </c>
      <c r="G133" s="94">
        <v>282621050</v>
      </c>
      <c r="H133" s="94">
        <v>113234529</v>
      </c>
      <c r="I133" s="94">
        <v>2069693</v>
      </c>
      <c r="J133" s="94">
        <v>42832613</v>
      </c>
      <c r="K133" s="94">
        <v>16522314</v>
      </c>
      <c r="L133" s="94">
        <v>22375927</v>
      </c>
    </row>
    <row r="134" spans="1:12">
      <c r="A134" s="140">
        <v>912</v>
      </c>
      <c r="B134" s="93" t="s">
        <v>136</v>
      </c>
      <c r="C134" s="94">
        <v>930293519</v>
      </c>
      <c r="D134" s="94">
        <v>565836415</v>
      </c>
      <c r="E134" s="94">
        <v>237666145</v>
      </c>
      <c r="F134" s="94">
        <v>6213615</v>
      </c>
      <c r="G134" s="94">
        <v>759349469</v>
      </c>
      <c r="H134" s="94">
        <v>191181040</v>
      </c>
      <c r="I134" s="94">
        <v>7670939</v>
      </c>
      <c r="J134" s="94">
        <v>122720232</v>
      </c>
      <c r="K134" s="94">
        <v>74796949</v>
      </c>
      <c r="L134" s="94">
        <v>62318999</v>
      </c>
    </row>
    <row r="135" spans="1:12">
      <c r="A135" s="140">
        <v>913</v>
      </c>
      <c r="B135" s="93" t="s">
        <v>137</v>
      </c>
      <c r="C135" s="94">
        <v>12657834337</v>
      </c>
      <c r="D135" s="94">
        <v>9722912839</v>
      </c>
      <c r="E135" s="94">
        <v>1312172560</v>
      </c>
      <c r="F135" s="94">
        <v>411366282</v>
      </c>
      <c r="G135" s="94">
        <v>14238400208</v>
      </c>
      <c r="H135" s="94">
        <v>7001514143</v>
      </c>
      <c r="I135" s="94">
        <v>85454387</v>
      </c>
      <c r="J135" s="94">
        <v>2727982075</v>
      </c>
      <c r="K135" s="94">
        <v>1101119947</v>
      </c>
      <c r="L135" s="94">
        <v>1037052986</v>
      </c>
    </row>
    <row r="136" spans="1:12">
      <c r="A136" s="140">
        <v>914</v>
      </c>
      <c r="B136" s="93" t="s">
        <v>138</v>
      </c>
      <c r="C136" s="94">
        <v>4708712280</v>
      </c>
      <c r="D136" s="94">
        <v>2841478740</v>
      </c>
      <c r="E136" s="94">
        <v>1362687090</v>
      </c>
      <c r="F136" s="94">
        <v>57692187</v>
      </c>
      <c r="G136" s="94">
        <v>4295119835</v>
      </c>
      <c r="H136" s="94">
        <v>1177302684</v>
      </c>
      <c r="I136" s="94">
        <v>53478580</v>
      </c>
      <c r="J136" s="94">
        <v>567863969</v>
      </c>
      <c r="K136" s="94">
        <v>403232912</v>
      </c>
      <c r="L136" s="94">
        <v>284745870</v>
      </c>
    </row>
    <row r="137" spans="1:12">
      <c r="A137" s="140">
        <v>915</v>
      </c>
      <c r="B137" s="93" t="s">
        <v>139</v>
      </c>
      <c r="C137" s="94">
        <v>7333385004</v>
      </c>
      <c r="D137" s="94">
        <v>5876896057</v>
      </c>
      <c r="E137" s="94">
        <v>647765159</v>
      </c>
      <c r="F137" s="94">
        <v>224730008</v>
      </c>
      <c r="G137" s="94">
        <v>7858138622</v>
      </c>
      <c r="H137" s="94">
        <v>3451248739</v>
      </c>
      <c r="I137" s="94">
        <v>126159233</v>
      </c>
      <c r="J137" s="94">
        <v>1356292621</v>
      </c>
      <c r="K137" s="94">
        <v>641713703</v>
      </c>
      <c r="L137" s="94">
        <v>574538045</v>
      </c>
    </row>
    <row r="138" spans="1:12">
      <c r="A138" s="140">
        <v>919</v>
      </c>
      <c r="B138" s="93" t="s">
        <v>140</v>
      </c>
      <c r="C138" s="94">
        <v>1815292804</v>
      </c>
      <c r="D138" s="94">
        <v>1389123869</v>
      </c>
      <c r="E138" s="94">
        <v>206958601</v>
      </c>
      <c r="F138" s="94">
        <v>31554318</v>
      </c>
      <c r="G138" s="94">
        <v>2298140680</v>
      </c>
      <c r="H138" s="94">
        <v>764288532</v>
      </c>
      <c r="I138" s="94">
        <v>43833660</v>
      </c>
      <c r="J138" s="94">
        <v>376244091</v>
      </c>
      <c r="K138" s="94">
        <v>213440510</v>
      </c>
      <c r="L138" s="94">
        <v>181167511</v>
      </c>
    </row>
    <row r="139" spans="1:12">
      <c r="A139" s="140">
        <v>921</v>
      </c>
      <c r="B139" s="93" t="s">
        <v>141</v>
      </c>
      <c r="C139" s="94">
        <v>309707957</v>
      </c>
      <c r="D139" s="94">
        <v>172679267</v>
      </c>
      <c r="E139" s="94">
        <v>101367282</v>
      </c>
      <c r="F139" s="94">
        <v>10667329</v>
      </c>
      <c r="G139" s="94">
        <v>597202383</v>
      </c>
      <c r="H139" s="94">
        <v>257863626</v>
      </c>
      <c r="I139" s="94">
        <v>13520341</v>
      </c>
      <c r="J139" s="94">
        <v>21369139</v>
      </c>
      <c r="K139" s="94">
        <v>133909355</v>
      </c>
      <c r="L139" s="94">
        <v>3268192</v>
      </c>
    </row>
    <row r="140" spans="1:12">
      <c r="A140" s="140">
        <v>922</v>
      </c>
      <c r="B140" s="93" t="s">
        <v>142</v>
      </c>
      <c r="C140" s="94">
        <v>11589653048</v>
      </c>
      <c r="D140" s="94">
        <v>2957719399</v>
      </c>
      <c r="E140" s="94">
        <v>6170367964</v>
      </c>
      <c r="F140" s="94">
        <v>263451987</v>
      </c>
      <c r="G140" s="94">
        <v>16466378778</v>
      </c>
      <c r="H140" s="94">
        <v>2660983838</v>
      </c>
      <c r="I140" s="94">
        <v>1160870078</v>
      </c>
      <c r="J140" s="94">
        <v>2474169879</v>
      </c>
      <c r="K140" s="94">
        <v>425092858</v>
      </c>
      <c r="L140" s="94">
        <v>641981291</v>
      </c>
    </row>
    <row r="141" spans="1:12">
      <c r="A141" s="140">
        <v>923</v>
      </c>
      <c r="B141" s="93" t="s">
        <v>143</v>
      </c>
      <c r="C141" s="94">
        <v>1177370811</v>
      </c>
      <c r="D141" s="94">
        <v>161808067</v>
      </c>
      <c r="E141" s="94">
        <v>573452503</v>
      </c>
      <c r="F141" s="94">
        <v>42854844</v>
      </c>
      <c r="G141" s="94">
        <v>1930309759</v>
      </c>
      <c r="H141" s="94">
        <v>368374590</v>
      </c>
      <c r="I141" s="94">
        <v>11385481</v>
      </c>
      <c r="J141" s="94">
        <v>172224991</v>
      </c>
      <c r="K141" s="94">
        <v>2172982</v>
      </c>
      <c r="L141" s="94">
        <v>7968014</v>
      </c>
    </row>
    <row r="142" spans="1:12">
      <c r="A142" s="140">
        <v>924</v>
      </c>
      <c r="B142" s="93" t="s">
        <v>144</v>
      </c>
      <c r="C142" s="94">
        <v>2581329204</v>
      </c>
      <c r="D142" s="94">
        <v>1512039826</v>
      </c>
      <c r="E142" s="94">
        <v>650009789</v>
      </c>
      <c r="F142" s="94">
        <v>161006122</v>
      </c>
      <c r="G142" s="94">
        <v>5211199843</v>
      </c>
      <c r="H142" s="94">
        <v>2435582128</v>
      </c>
      <c r="I142" s="94">
        <v>573016876</v>
      </c>
      <c r="J142" s="94">
        <v>369562905</v>
      </c>
      <c r="K142" s="94">
        <v>129491016</v>
      </c>
      <c r="L142" s="94">
        <v>76465152</v>
      </c>
    </row>
    <row r="143" spans="1:12">
      <c r="A143" s="140">
        <v>929</v>
      </c>
      <c r="B143" s="93" t="s">
        <v>145</v>
      </c>
      <c r="C143" s="94">
        <v>323784808</v>
      </c>
      <c r="D143" s="94">
        <v>83916345</v>
      </c>
      <c r="E143" s="94">
        <v>203551102</v>
      </c>
      <c r="F143" s="94">
        <v>5907148</v>
      </c>
      <c r="G143" s="94">
        <v>315982399</v>
      </c>
      <c r="H143" s="94">
        <v>81963097</v>
      </c>
      <c r="I143" s="94">
        <v>13404807</v>
      </c>
      <c r="J143" s="94">
        <v>34499912</v>
      </c>
      <c r="K143" s="94">
        <v>2916190</v>
      </c>
      <c r="L143" s="94">
        <v>19615234</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O143"/>
  <sheetViews>
    <sheetView workbookViewId="0">
      <selection activeCell="N42" sqref="N42"/>
    </sheetView>
  </sheetViews>
  <sheetFormatPr defaultRowHeight="13.5"/>
  <cols>
    <col min="1" max="1" width="8.88671875" style="89"/>
    <col min="2" max="2" width="42.5546875" style="89" customWidth="1"/>
    <col min="3" max="5" width="11.6640625" style="95" bestFit="1" customWidth="1"/>
    <col min="6" max="6" width="10.88671875" style="95" bestFit="1" customWidth="1"/>
    <col min="7" max="7" width="12.5546875" style="95" bestFit="1" customWidth="1"/>
    <col min="8" max="8" width="11.6640625" style="95" bestFit="1" customWidth="1"/>
    <col min="9" max="9" width="10.88671875" style="95" bestFit="1" customWidth="1"/>
    <col min="10" max="10" width="11.6640625" style="95" bestFit="1" customWidth="1"/>
    <col min="11" max="12" width="10.8867187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260289725</v>
      </c>
      <c r="D3" s="94">
        <v>138462001</v>
      </c>
      <c r="E3" s="94">
        <v>70638153</v>
      </c>
      <c r="F3" s="94">
        <v>8239812</v>
      </c>
      <c r="G3" s="94">
        <v>796262950</v>
      </c>
      <c r="H3" s="94">
        <v>447575091</v>
      </c>
      <c r="I3" s="94">
        <v>14628049</v>
      </c>
      <c r="J3" s="94">
        <v>63676076</v>
      </c>
      <c r="K3" s="94">
        <v>93556014</v>
      </c>
      <c r="L3" s="94">
        <v>15244061</v>
      </c>
    </row>
    <row r="4" spans="1:15">
      <c r="A4" s="140">
        <v>12</v>
      </c>
      <c r="B4" s="93" t="s">
        <v>2</v>
      </c>
      <c r="C4" s="94">
        <v>1255875777</v>
      </c>
      <c r="D4" s="94">
        <v>936665372</v>
      </c>
      <c r="E4" s="94">
        <v>61973845</v>
      </c>
      <c r="F4" s="94">
        <v>43410653</v>
      </c>
      <c r="G4" s="94">
        <v>1618625404</v>
      </c>
      <c r="H4" s="94">
        <v>1005281276</v>
      </c>
      <c r="I4" s="94">
        <v>327454</v>
      </c>
      <c r="J4" s="94">
        <v>78695100</v>
      </c>
      <c r="K4" s="94">
        <v>298416841</v>
      </c>
      <c r="L4" s="94">
        <v>92553280</v>
      </c>
    </row>
    <row r="5" spans="1:15">
      <c r="A5" s="140">
        <v>21</v>
      </c>
      <c r="B5" s="93" t="s">
        <v>19</v>
      </c>
      <c r="C5" s="94">
        <v>39849341415</v>
      </c>
      <c r="D5" s="94">
        <v>21295548720</v>
      </c>
      <c r="E5" s="94">
        <v>12163763208</v>
      </c>
      <c r="F5" s="94">
        <v>709206694</v>
      </c>
      <c r="G5" s="94">
        <v>54310656491</v>
      </c>
      <c r="H5" s="94">
        <v>18283030934</v>
      </c>
      <c r="I5" s="94">
        <v>2103907328</v>
      </c>
      <c r="J5" s="94">
        <v>7411699376</v>
      </c>
      <c r="K5" s="94">
        <v>5464238439</v>
      </c>
      <c r="L5" s="94">
        <v>2413777800</v>
      </c>
    </row>
    <row r="6" spans="1:15">
      <c r="A6" s="140">
        <v>22</v>
      </c>
      <c r="B6" s="93" t="s">
        <v>20</v>
      </c>
      <c r="C6" s="94">
        <v>46321576340</v>
      </c>
      <c r="D6" s="94">
        <v>32428437475</v>
      </c>
      <c r="E6" s="94">
        <v>7623148273</v>
      </c>
      <c r="F6" s="94">
        <v>1232284009</v>
      </c>
      <c r="G6" s="94">
        <v>58258178331</v>
      </c>
      <c r="H6" s="94">
        <v>23481536692</v>
      </c>
      <c r="I6" s="94">
        <v>1658009874</v>
      </c>
      <c r="J6" s="94">
        <v>10927066667</v>
      </c>
      <c r="K6" s="94">
        <v>5091102698</v>
      </c>
      <c r="L6" s="94">
        <v>3478153197</v>
      </c>
    </row>
    <row r="7" spans="1:15">
      <c r="A7" s="140">
        <v>23</v>
      </c>
      <c r="B7" s="93" t="s">
        <v>21</v>
      </c>
      <c r="C7" s="94">
        <v>27433450394</v>
      </c>
      <c r="D7" s="94">
        <v>8638115053</v>
      </c>
      <c r="E7" s="94">
        <v>13979774725</v>
      </c>
      <c r="F7" s="94">
        <v>853649856</v>
      </c>
      <c r="G7" s="94">
        <v>43400991098</v>
      </c>
      <c r="H7" s="94">
        <v>10936473846</v>
      </c>
      <c r="I7" s="94">
        <v>3993350790</v>
      </c>
      <c r="J7" s="94">
        <v>5253440072</v>
      </c>
      <c r="K7" s="94">
        <v>899925261</v>
      </c>
      <c r="L7" s="94">
        <v>1204798181</v>
      </c>
    </row>
    <row r="8" spans="1:15">
      <c r="A8" s="140">
        <v>31</v>
      </c>
      <c r="B8" s="93" t="s">
        <v>22</v>
      </c>
      <c r="C8" s="94">
        <v>18532654</v>
      </c>
      <c r="D8" s="94">
        <v>4788996</v>
      </c>
      <c r="E8" s="94">
        <v>9793516</v>
      </c>
      <c r="F8" s="94">
        <v>1561277</v>
      </c>
      <c r="G8" s="94">
        <v>84860444</v>
      </c>
      <c r="H8" s="94">
        <v>77297076</v>
      </c>
      <c r="I8" s="94">
        <v>20588</v>
      </c>
      <c r="J8" s="94">
        <v>685597</v>
      </c>
      <c r="K8" s="94">
        <v>2154644</v>
      </c>
      <c r="L8" s="94">
        <v>202092</v>
      </c>
    </row>
    <row r="9" spans="1:15">
      <c r="A9" s="140">
        <v>39</v>
      </c>
      <c r="B9" s="93" t="s">
        <v>23</v>
      </c>
      <c r="C9" s="94">
        <v>1954272</v>
      </c>
      <c r="D9" s="94">
        <v>1821597</v>
      </c>
      <c r="E9" s="94">
        <v>58083</v>
      </c>
      <c r="F9" s="94">
        <v>0</v>
      </c>
      <c r="G9" s="94">
        <v>764694</v>
      </c>
      <c r="H9" s="94">
        <v>0</v>
      </c>
      <c r="I9" s="94">
        <v>2500</v>
      </c>
      <c r="J9" s="94">
        <v>493938</v>
      </c>
      <c r="K9" s="94">
        <v>97314</v>
      </c>
      <c r="L9" s="94">
        <v>36209</v>
      </c>
    </row>
    <row r="10" spans="1:15">
      <c r="A10" s="140">
        <v>41</v>
      </c>
      <c r="B10" s="93" t="s">
        <v>24</v>
      </c>
      <c r="C10" s="94">
        <v>2469743343</v>
      </c>
      <c r="D10" s="94">
        <v>1814230072</v>
      </c>
      <c r="E10" s="94">
        <v>357917496</v>
      </c>
      <c r="F10" s="94">
        <v>37851023</v>
      </c>
      <c r="G10" s="94">
        <v>3571028439</v>
      </c>
      <c r="H10" s="94">
        <v>1739557643</v>
      </c>
      <c r="I10" s="94">
        <v>13335439</v>
      </c>
      <c r="J10" s="94">
        <v>434211520</v>
      </c>
      <c r="K10" s="94">
        <v>227161641</v>
      </c>
      <c r="L10" s="94">
        <v>221240956</v>
      </c>
    </row>
    <row r="11" spans="1:15">
      <c r="A11" s="140">
        <v>42</v>
      </c>
      <c r="B11" s="93" t="s">
        <v>25</v>
      </c>
      <c r="C11" s="94">
        <v>11125182577</v>
      </c>
      <c r="D11" s="94">
        <v>4717468940</v>
      </c>
      <c r="E11" s="94">
        <v>4678450953</v>
      </c>
      <c r="F11" s="94">
        <v>198869217</v>
      </c>
      <c r="G11" s="94">
        <v>11311649798</v>
      </c>
      <c r="H11" s="94">
        <v>4523780678</v>
      </c>
      <c r="I11" s="94">
        <v>385709573</v>
      </c>
      <c r="J11" s="94">
        <v>1201814414</v>
      </c>
      <c r="K11" s="94">
        <v>963198524</v>
      </c>
      <c r="L11" s="94">
        <v>664923699</v>
      </c>
    </row>
    <row r="12" spans="1:15">
      <c r="A12" s="140">
        <v>43</v>
      </c>
      <c r="B12" s="93" t="s">
        <v>26</v>
      </c>
      <c r="C12" s="94">
        <v>15216206558</v>
      </c>
      <c r="D12" s="94">
        <v>11456053071</v>
      </c>
      <c r="E12" s="94">
        <v>1849171282</v>
      </c>
      <c r="F12" s="94">
        <v>385182082</v>
      </c>
      <c r="G12" s="94">
        <v>19079721437</v>
      </c>
      <c r="H12" s="94">
        <v>7742445936</v>
      </c>
      <c r="I12" s="94">
        <v>704318316</v>
      </c>
      <c r="J12" s="94">
        <v>3216538723</v>
      </c>
      <c r="K12" s="94">
        <v>2380222464</v>
      </c>
      <c r="L12" s="94">
        <v>1443957677</v>
      </c>
    </row>
    <row r="13" spans="1:15">
      <c r="A13" s="140">
        <v>44</v>
      </c>
      <c r="B13" s="93" t="s">
        <v>27</v>
      </c>
      <c r="C13" s="94">
        <v>23804547298</v>
      </c>
      <c r="D13" s="94">
        <v>7706182953</v>
      </c>
      <c r="E13" s="94">
        <v>11788213090</v>
      </c>
      <c r="F13" s="94">
        <v>691715724</v>
      </c>
      <c r="G13" s="94">
        <v>39282637173</v>
      </c>
      <c r="H13" s="94">
        <v>9238081125</v>
      </c>
      <c r="I13" s="94">
        <v>3962398355</v>
      </c>
      <c r="J13" s="94">
        <v>4602286716</v>
      </c>
      <c r="K13" s="94">
        <v>975963878</v>
      </c>
      <c r="L13" s="94">
        <v>1166421249</v>
      </c>
    </row>
    <row r="14" spans="1:15">
      <c r="A14" s="140">
        <v>51</v>
      </c>
      <c r="B14" s="93" t="s">
        <v>28</v>
      </c>
      <c r="C14" s="94">
        <v>186221750</v>
      </c>
      <c r="D14" s="94">
        <v>159140334</v>
      </c>
      <c r="E14" s="94">
        <v>19506524</v>
      </c>
      <c r="F14" s="94">
        <v>5391919</v>
      </c>
      <c r="G14" s="94">
        <v>244778504</v>
      </c>
      <c r="H14" s="94">
        <v>102911275</v>
      </c>
      <c r="I14" s="94">
        <v>5082</v>
      </c>
      <c r="J14" s="94">
        <v>14243924</v>
      </c>
      <c r="K14" s="94">
        <v>13571966</v>
      </c>
      <c r="L14" s="94">
        <v>15634137</v>
      </c>
    </row>
    <row r="15" spans="1:15">
      <c r="A15" s="140">
        <v>52</v>
      </c>
      <c r="B15" s="93" t="s">
        <v>29</v>
      </c>
      <c r="C15" s="94">
        <v>27182801</v>
      </c>
      <c r="D15" s="94">
        <v>20644384</v>
      </c>
      <c r="E15" s="94">
        <v>3107223</v>
      </c>
      <c r="F15" s="94">
        <v>1447215</v>
      </c>
      <c r="G15" s="94">
        <v>75349318</v>
      </c>
      <c r="H15" s="94">
        <v>45545569</v>
      </c>
      <c r="I15" s="94">
        <v>582748</v>
      </c>
      <c r="J15" s="94">
        <v>2824058</v>
      </c>
      <c r="K15" s="94">
        <v>16371014</v>
      </c>
      <c r="L15" s="94">
        <v>3345988</v>
      </c>
    </row>
    <row r="16" spans="1:15">
      <c r="A16" s="140">
        <v>61</v>
      </c>
      <c r="B16" s="93" t="s">
        <v>30</v>
      </c>
      <c r="C16" s="94">
        <v>27254579045</v>
      </c>
      <c r="D16" s="94">
        <v>19749194100</v>
      </c>
      <c r="E16" s="94">
        <v>5264207816</v>
      </c>
      <c r="F16" s="94">
        <v>213655026</v>
      </c>
      <c r="G16" s="94">
        <v>28420601953</v>
      </c>
      <c r="H16" s="94">
        <v>9193616834</v>
      </c>
      <c r="I16" s="94">
        <v>399127809</v>
      </c>
      <c r="J16" s="94">
        <v>2859202046</v>
      </c>
      <c r="K16" s="94">
        <v>2281388539</v>
      </c>
      <c r="L16" s="94">
        <v>1680848841</v>
      </c>
    </row>
    <row r="17" spans="1:12">
      <c r="A17" s="140">
        <v>62</v>
      </c>
      <c r="B17" s="93" t="s">
        <v>31</v>
      </c>
      <c r="C17" s="94">
        <v>97794692605</v>
      </c>
      <c r="D17" s="94">
        <v>72253831507</v>
      </c>
      <c r="E17" s="94">
        <v>13181226372</v>
      </c>
      <c r="F17" s="94">
        <v>2335323951</v>
      </c>
      <c r="G17" s="94">
        <v>116614500849</v>
      </c>
      <c r="H17" s="94">
        <v>46204481397</v>
      </c>
      <c r="I17" s="94">
        <v>2121645742</v>
      </c>
      <c r="J17" s="94">
        <v>20880351175</v>
      </c>
      <c r="K17" s="94">
        <v>9489582197</v>
      </c>
      <c r="L17" s="94">
        <v>8487108225</v>
      </c>
    </row>
    <row r="18" spans="1:12">
      <c r="A18" s="140">
        <v>63</v>
      </c>
      <c r="B18" s="93" t="s">
        <v>32</v>
      </c>
      <c r="C18" s="94">
        <v>29211728747</v>
      </c>
      <c r="D18" s="94">
        <v>9932405033</v>
      </c>
      <c r="E18" s="94">
        <v>14253164604</v>
      </c>
      <c r="F18" s="94">
        <v>870620693</v>
      </c>
      <c r="G18" s="94">
        <v>44829114884</v>
      </c>
      <c r="H18" s="94">
        <v>10654301468</v>
      </c>
      <c r="I18" s="94">
        <v>4225055352</v>
      </c>
      <c r="J18" s="94">
        <v>5585199793</v>
      </c>
      <c r="K18" s="94">
        <v>1061338789</v>
      </c>
      <c r="L18" s="94">
        <v>1274165111</v>
      </c>
    </row>
    <row r="19" spans="1:12">
      <c r="A19" s="140">
        <v>71</v>
      </c>
      <c r="B19" s="93" t="s">
        <v>33</v>
      </c>
      <c r="C19" s="94">
        <v>3369582606</v>
      </c>
      <c r="D19" s="94">
        <v>2779927355</v>
      </c>
      <c r="E19" s="94">
        <v>360499842</v>
      </c>
      <c r="F19" s="94">
        <v>81866012</v>
      </c>
      <c r="G19" s="94">
        <v>4457408760</v>
      </c>
      <c r="H19" s="94">
        <v>1456452375</v>
      </c>
      <c r="I19" s="94">
        <v>15086356</v>
      </c>
      <c r="J19" s="94">
        <v>1598714861</v>
      </c>
      <c r="K19" s="94">
        <v>256807240</v>
      </c>
      <c r="L19" s="94">
        <v>148096117</v>
      </c>
    </row>
    <row r="20" spans="1:12">
      <c r="A20" s="140">
        <v>72</v>
      </c>
      <c r="B20" s="93" t="s">
        <v>34</v>
      </c>
      <c r="C20" s="94">
        <v>1449792436</v>
      </c>
      <c r="D20" s="94">
        <v>1144224299</v>
      </c>
      <c r="E20" s="94">
        <v>154374827</v>
      </c>
      <c r="F20" s="94">
        <v>27475778</v>
      </c>
      <c r="G20" s="94">
        <v>1416793701</v>
      </c>
      <c r="H20" s="94">
        <v>678589779</v>
      </c>
      <c r="I20" s="94">
        <v>7131186</v>
      </c>
      <c r="J20" s="94">
        <v>179987642</v>
      </c>
      <c r="K20" s="94">
        <v>254220692</v>
      </c>
      <c r="L20" s="94">
        <v>66860322</v>
      </c>
    </row>
    <row r="21" spans="1:12">
      <c r="A21" s="140">
        <v>73</v>
      </c>
      <c r="B21" s="93" t="s">
        <v>35</v>
      </c>
      <c r="C21" s="94">
        <v>855187626</v>
      </c>
      <c r="D21" s="94">
        <v>659214885</v>
      </c>
      <c r="E21" s="94">
        <v>115229522</v>
      </c>
      <c r="F21" s="94">
        <v>24791943</v>
      </c>
      <c r="G21" s="94">
        <v>887136238</v>
      </c>
      <c r="H21" s="94">
        <v>488073982</v>
      </c>
      <c r="I21" s="94">
        <v>5879499</v>
      </c>
      <c r="J21" s="94">
        <v>116539960</v>
      </c>
      <c r="K21" s="94">
        <v>127865074</v>
      </c>
      <c r="L21" s="94">
        <v>43638996</v>
      </c>
    </row>
    <row r="22" spans="1:12">
      <c r="A22" s="140">
        <v>74</v>
      </c>
      <c r="B22" s="93" t="s">
        <v>36</v>
      </c>
      <c r="C22" s="94">
        <v>380173496</v>
      </c>
      <c r="D22" s="94">
        <v>322184809</v>
      </c>
      <c r="E22" s="94">
        <v>19913808</v>
      </c>
      <c r="F22" s="94">
        <v>7002580</v>
      </c>
      <c r="G22" s="94">
        <v>304466639</v>
      </c>
      <c r="H22" s="94">
        <v>98797528</v>
      </c>
      <c r="I22" s="94">
        <v>759404</v>
      </c>
      <c r="J22" s="94">
        <v>44797488</v>
      </c>
      <c r="K22" s="94">
        <v>30022333</v>
      </c>
      <c r="L22" s="94">
        <v>24209010</v>
      </c>
    </row>
    <row r="23" spans="1:12">
      <c r="A23" s="140">
        <v>75</v>
      </c>
      <c r="B23" s="93" t="s">
        <v>37</v>
      </c>
      <c r="C23" s="94">
        <v>2833156638</v>
      </c>
      <c r="D23" s="94">
        <v>1220292138</v>
      </c>
      <c r="E23" s="94">
        <v>1362548903</v>
      </c>
      <c r="F23" s="94">
        <v>57149565</v>
      </c>
      <c r="G23" s="94">
        <v>2831326029</v>
      </c>
      <c r="H23" s="94">
        <v>846448657</v>
      </c>
      <c r="I23" s="94">
        <v>13275205</v>
      </c>
      <c r="J23" s="94">
        <v>205509320</v>
      </c>
      <c r="K23" s="94">
        <v>145123304</v>
      </c>
      <c r="L23" s="94">
        <v>110340145</v>
      </c>
    </row>
    <row r="24" spans="1:12">
      <c r="A24" s="140">
        <v>76</v>
      </c>
      <c r="B24" s="93" t="s">
        <v>38</v>
      </c>
      <c r="C24" s="94">
        <v>2624881530</v>
      </c>
      <c r="D24" s="94">
        <v>2084372887</v>
      </c>
      <c r="E24" s="94">
        <v>312349346</v>
      </c>
      <c r="F24" s="94">
        <v>36376426</v>
      </c>
      <c r="G24" s="94">
        <v>3502107381</v>
      </c>
      <c r="H24" s="94">
        <v>1303989362</v>
      </c>
      <c r="I24" s="94">
        <v>18411559</v>
      </c>
      <c r="J24" s="94">
        <v>339028612</v>
      </c>
      <c r="K24" s="94">
        <v>358192801</v>
      </c>
      <c r="L24" s="94">
        <v>122009931</v>
      </c>
    </row>
    <row r="25" spans="1:12">
      <c r="A25" s="140">
        <v>77</v>
      </c>
      <c r="B25" s="93" t="s">
        <v>39</v>
      </c>
      <c r="C25" s="94">
        <v>1032937821</v>
      </c>
      <c r="D25" s="94">
        <v>777576395</v>
      </c>
      <c r="E25" s="94">
        <v>118623919</v>
      </c>
      <c r="F25" s="94">
        <v>14851058</v>
      </c>
      <c r="G25" s="94">
        <v>1597668654</v>
      </c>
      <c r="H25" s="94">
        <v>348325416</v>
      </c>
      <c r="I25" s="94">
        <v>7964323</v>
      </c>
      <c r="J25" s="94">
        <v>174771813</v>
      </c>
      <c r="K25" s="94">
        <v>144032635</v>
      </c>
      <c r="L25" s="94">
        <v>86663483</v>
      </c>
    </row>
    <row r="26" spans="1:12">
      <c r="A26" s="140">
        <v>79</v>
      </c>
      <c r="B26" s="93" t="s">
        <v>40</v>
      </c>
      <c r="C26" s="94">
        <v>12105708130</v>
      </c>
      <c r="D26" s="94">
        <v>7799572461</v>
      </c>
      <c r="E26" s="94">
        <v>2785405404</v>
      </c>
      <c r="F26" s="94">
        <v>241859985</v>
      </c>
      <c r="G26" s="94">
        <v>15994825807</v>
      </c>
      <c r="H26" s="94">
        <v>5145272705</v>
      </c>
      <c r="I26" s="94">
        <v>175319860</v>
      </c>
      <c r="J26" s="94">
        <v>1817423003</v>
      </c>
      <c r="K26" s="94">
        <v>4378322061</v>
      </c>
      <c r="L26" s="94">
        <v>601965411</v>
      </c>
    </row>
    <row r="27" spans="1:12">
      <c r="A27" s="140">
        <v>81</v>
      </c>
      <c r="B27" s="93" t="s">
        <v>41</v>
      </c>
      <c r="C27" s="94">
        <v>4905764797</v>
      </c>
      <c r="D27" s="94">
        <v>2215730090</v>
      </c>
      <c r="E27" s="94">
        <v>1597721960</v>
      </c>
      <c r="F27" s="94">
        <v>34657191</v>
      </c>
      <c r="G27" s="94">
        <v>9185136780</v>
      </c>
      <c r="H27" s="94">
        <v>2037197593</v>
      </c>
      <c r="I27" s="94">
        <v>2957002489</v>
      </c>
      <c r="J27" s="94">
        <v>1008779809</v>
      </c>
      <c r="K27" s="94">
        <v>335697050</v>
      </c>
      <c r="L27" s="94">
        <v>256366307</v>
      </c>
    </row>
    <row r="28" spans="1:12">
      <c r="A28" s="140">
        <v>82</v>
      </c>
      <c r="B28" s="93" t="s">
        <v>42</v>
      </c>
      <c r="C28" s="94">
        <v>1991354301</v>
      </c>
      <c r="D28" s="94">
        <v>1202478247</v>
      </c>
      <c r="E28" s="94">
        <v>495108240</v>
      </c>
      <c r="F28" s="94">
        <v>12906823</v>
      </c>
      <c r="G28" s="94">
        <v>1665968149</v>
      </c>
      <c r="H28" s="94">
        <v>538530947</v>
      </c>
      <c r="I28" s="94">
        <v>14322890</v>
      </c>
      <c r="J28" s="94">
        <v>152912920</v>
      </c>
      <c r="K28" s="94">
        <v>209630530</v>
      </c>
      <c r="L28" s="94">
        <v>74375631</v>
      </c>
    </row>
    <row r="29" spans="1:12">
      <c r="A29" s="140">
        <v>91</v>
      </c>
      <c r="B29" s="93" t="s">
        <v>43</v>
      </c>
      <c r="C29" s="94">
        <v>37003207321</v>
      </c>
      <c r="D29" s="94">
        <v>26382118316</v>
      </c>
      <c r="E29" s="94">
        <v>5975792563</v>
      </c>
      <c r="F29" s="94">
        <v>931314652</v>
      </c>
      <c r="G29" s="94">
        <v>42555834952</v>
      </c>
      <c r="H29" s="94">
        <v>17118939029</v>
      </c>
      <c r="I29" s="94">
        <v>685062839</v>
      </c>
      <c r="J29" s="94">
        <v>7147798163</v>
      </c>
      <c r="K29" s="94">
        <v>3307450717</v>
      </c>
      <c r="L29" s="94">
        <v>2711141967</v>
      </c>
    </row>
    <row r="30" spans="1:12">
      <c r="A30" s="140">
        <v>92</v>
      </c>
      <c r="B30" s="93" t="s">
        <v>44</v>
      </c>
      <c r="C30" s="94">
        <v>25186868717</v>
      </c>
      <c r="D30" s="94">
        <v>7941230740</v>
      </c>
      <c r="E30" s="94">
        <v>12683304675</v>
      </c>
      <c r="F30" s="94">
        <v>795128101</v>
      </c>
      <c r="G30" s="94">
        <v>40284703428</v>
      </c>
      <c r="H30" s="94">
        <v>9692668112</v>
      </c>
      <c r="I30" s="94">
        <v>4013983035</v>
      </c>
      <c r="J30" s="94">
        <v>4894225932</v>
      </c>
      <c r="K30" s="94">
        <v>914440155</v>
      </c>
      <c r="L30" s="94">
        <v>1141413893</v>
      </c>
    </row>
    <row r="31" spans="1:12">
      <c r="A31" s="140">
        <v>111</v>
      </c>
      <c r="B31" s="93" t="s">
        <v>45</v>
      </c>
      <c r="C31" s="94">
        <v>27971422</v>
      </c>
      <c r="D31" s="94">
        <v>21320129</v>
      </c>
      <c r="E31" s="94">
        <v>2943092</v>
      </c>
      <c r="F31" s="94">
        <v>185711</v>
      </c>
      <c r="G31" s="94">
        <v>127835002</v>
      </c>
      <c r="H31" s="94">
        <v>101225649</v>
      </c>
      <c r="I31" s="94">
        <v>58895</v>
      </c>
      <c r="J31" s="94">
        <v>1663635</v>
      </c>
      <c r="K31" s="94">
        <v>9011462</v>
      </c>
      <c r="L31" s="94">
        <v>2101131</v>
      </c>
    </row>
    <row r="32" spans="1:12">
      <c r="A32" s="140">
        <v>112</v>
      </c>
      <c r="B32" s="93" t="s">
        <v>46</v>
      </c>
      <c r="C32" s="94">
        <v>18360418</v>
      </c>
      <c r="D32" s="94">
        <v>11398026</v>
      </c>
      <c r="E32" s="94">
        <v>4079562</v>
      </c>
      <c r="F32" s="94">
        <v>1430702</v>
      </c>
      <c r="G32" s="94">
        <v>51610315</v>
      </c>
      <c r="H32" s="94">
        <v>37517702</v>
      </c>
      <c r="I32" s="94">
        <v>95467</v>
      </c>
      <c r="J32" s="94">
        <v>1770271</v>
      </c>
      <c r="K32" s="94">
        <v>3879728</v>
      </c>
      <c r="L32" s="94">
        <v>1572133</v>
      </c>
    </row>
    <row r="33" spans="1:12">
      <c r="A33" s="140">
        <v>113</v>
      </c>
      <c r="B33" s="93" t="s">
        <v>47</v>
      </c>
      <c r="C33" s="94">
        <v>11960415</v>
      </c>
      <c r="D33" s="94">
        <v>7768668</v>
      </c>
      <c r="E33" s="94">
        <v>1789734</v>
      </c>
      <c r="F33" s="94">
        <v>659398</v>
      </c>
      <c r="G33" s="94">
        <v>12635596</v>
      </c>
      <c r="H33" s="94">
        <v>7005775</v>
      </c>
      <c r="I33" s="94">
        <v>134643</v>
      </c>
      <c r="J33" s="94">
        <v>1464463</v>
      </c>
      <c r="K33" s="94">
        <v>1340594</v>
      </c>
      <c r="L33" s="94">
        <v>183230</v>
      </c>
    </row>
    <row r="34" spans="1:12">
      <c r="A34" s="140">
        <v>114</v>
      </c>
      <c r="B34" s="93" t="s">
        <v>48</v>
      </c>
      <c r="C34" s="94">
        <v>118491162</v>
      </c>
      <c r="D34" s="94">
        <v>51716255</v>
      </c>
      <c r="E34" s="94">
        <v>40864101</v>
      </c>
      <c r="F34" s="94">
        <v>1192760</v>
      </c>
      <c r="G34" s="94">
        <v>262090970</v>
      </c>
      <c r="H34" s="94">
        <v>74069189</v>
      </c>
      <c r="I34" s="94">
        <v>1499464</v>
      </c>
      <c r="J34" s="94">
        <v>42107096</v>
      </c>
      <c r="K34" s="94">
        <v>42093952</v>
      </c>
      <c r="L34" s="94">
        <v>4536883</v>
      </c>
    </row>
    <row r="35" spans="1:12">
      <c r="A35" s="140">
        <v>115</v>
      </c>
      <c r="B35" s="93" t="s">
        <v>49</v>
      </c>
      <c r="C35" s="94">
        <v>94881409</v>
      </c>
      <c r="D35" s="94">
        <v>57780130</v>
      </c>
      <c r="E35" s="94">
        <v>19865136</v>
      </c>
      <c r="F35" s="94">
        <v>4538203</v>
      </c>
      <c r="G35" s="94">
        <v>360151556</v>
      </c>
      <c r="H35" s="94">
        <v>248459622</v>
      </c>
      <c r="I35" s="94">
        <v>12643075</v>
      </c>
      <c r="J35" s="94">
        <v>15865621</v>
      </c>
      <c r="K35" s="94">
        <v>36329354</v>
      </c>
      <c r="L35" s="94">
        <v>8208365</v>
      </c>
    </row>
    <row r="36" spans="1:12">
      <c r="A36" s="140">
        <v>119</v>
      </c>
      <c r="B36" s="93" t="s">
        <v>50</v>
      </c>
      <c r="C36" s="94">
        <v>7620344</v>
      </c>
      <c r="D36" s="94">
        <v>4685557</v>
      </c>
      <c r="E36" s="94">
        <v>1506546</v>
      </c>
      <c r="F36" s="94">
        <v>286191</v>
      </c>
      <c r="G36" s="94">
        <v>32453180</v>
      </c>
      <c r="H36" s="94">
        <v>18952559</v>
      </c>
      <c r="I36" s="94">
        <v>155021</v>
      </c>
      <c r="J36" s="94">
        <v>1253447</v>
      </c>
      <c r="K36" s="94">
        <v>8274868</v>
      </c>
      <c r="L36" s="94">
        <v>62470</v>
      </c>
    </row>
    <row r="37" spans="1:12">
      <c r="A37" s="140">
        <v>121</v>
      </c>
      <c r="B37" s="93" t="s">
        <v>51</v>
      </c>
      <c r="C37" s="94">
        <v>55408718</v>
      </c>
      <c r="D37" s="94">
        <v>45664691</v>
      </c>
      <c r="E37" s="94">
        <v>2356982</v>
      </c>
      <c r="F37" s="94">
        <v>456024</v>
      </c>
      <c r="G37" s="94">
        <v>94505946</v>
      </c>
      <c r="H37" s="94">
        <v>30411973</v>
      </c>
      <c r="I37" s="94">
        <v>0</v>
      </c>
      <c r="J37" s="94">
        <v>530304</v>
      </c>
      <c r="K37" s="94">
        <v>58425139</v>
      </c>
      <c r="L37" s="94">
        <v>1017699</v>
      </c>
    </row>
    <row r="38" spans="1:12">
      <c r="A38" s="140">
        <v>122</v>
      </c>
      <c r="B38" s="93" t="s">
        <v>3</v>
      </c>
      <c r="C38" s="94">
        <v>522795607</v>
      </c>
      <c r="D38" s="94">
        <v>378286366</v>
      </c>
      <c r="E38" s="94">
        <v>18414978</v>
      </c>
      <c r="F38" s="94">
        <v>15401197</v>
      </c>
      <c r="G38" s="94">
        <v>614278113</v>
      </c>
      <c r="H38" s="94">
        <v>367423384</v>
      </c>
      <c r="I38" s="94">
        <v>6497</v>
      </c>
      <c r="J38" s="94">
        <v>25534950</v>
      </c>
      <c r="K38" s="94">
        <v>109832449</v>
      </c>
      <c r="L38" s="94">
        <v>37820125</v>
      </c>
    </row>
    <row r="39" spans="1:12">
      <c r="A39" s="140">
        <v>123</v>
      </c>
      <c r="B39" s="93" t="s">
        <v>52</v>
      </c>
      <c r="C39" s="94">
        <v>420846907</v>
      </c>
      <c r="D39" s="94">
        <v>324723638</v>
      </c>
      <c r="E39" s="94">
        <v>26229365</v>
      </c>
      <c r="F39" s="94">
        <v>23012054</v>
      </c>
      <c r="G39" s="94">
        <v>490876720</v>
      </c>
      <c r="H39" s="94">
        <v>338197414</v>
      </c>
      <c r="I39" s="94">
        <v>81758</v>
      </c>
      <c r="J39" s="94">
        <v>43310970</v>
      </c>
      <c r="K39" s="94">
        <v>34302501</v>
      </c>
      <c r="L39" s="94">
        <v>29329942</v>
      </c>
    </row>
    <row r="40" spans="1:12">
      <c r="A40" s="140">
        <v>124</v>
      </c>
      <c r="B40" s="93" t="s">
        <v>53</v>
      </c>
      <c r="C40" s="94">
        <v>76879693</v>
      </c>
      <c r="D40" s="94">
        <v>54954630</v>
      </c>
      <c r="E40" s="94">
        <v>6641344</v>
      </c>
      <c r="F40" s="94">
        <v>2588158</v>
      </c>
      <c r="G40" s="94">
        <v>150838415</v>
      </c>
      <c r="H40" s="94">
        <v>108877546</v>
      </c>
      <c r="I40" s="94">
        <v>14838</v>
      </c>
      <c r="J40" s="94">
        <v>4417467</v>
      </c>
      <c r="K40" s="94">
        <v>22034167</v>
      </c>
      <c r="L40" s="94">
        <v>6283098</v>
      </c>
    </row>
    <row r="41" spans="1:12">
      <c r="A41" s="140">
        <v>129</v>
      </c>
      <c r="B41" s="93" t="s">
        <v>54</v>
      </c>
      <c r="C41" s="94">
        <v>81430442</v>
      </c>
      <c r="D41" s="94">
        <v>57372843</v>
      </c>
      <c r="E41" s="94">
        <v>8614170</v>
      </c>
      <c r="F41" s="94">
        <v>3004390</v>
      </c>
      <c r="G41" s="94">
        <v>166383345</v>
      </c>
      <c r="H41" s="94">
        <v>120180203</v>
      </c>
      <c r="I41" s="94">
        <v>15762</v>
      </c>
      <c r="J41" s="94">
        <v>5061448</v>
      </c>
      <c r="K41" s="94">
        <v>23243075</v>
      </c>
      <c r="L41" s="94">
        <v>6379114</v>
      </c>
    </row>
    <row r="42" spans="1:12">
      <c r="A42" s="140">
        <v>211</v>
      </c>
      <c r="B42" s="93" t="s">
        <v>55</v>
      </c>
      <c r="C42" s="94">
        <v>1060083935</v>
      </c>
      <c r="D42" s="94">
        <v>858708277</v>
      </c>
      <c r="E42" s="94">
        <v>84414913</v>
      </c>
      <c r="F42" s="94">
        <v>22309687</v>
      </c>
      <c r="G42" s="94">
        <v>3229696962</v>
      </c>
      <c r="H42" s="94">
        <v>884636413</v>
      </c>
      <c r="I42" s="94">
        <v>3027687</v>
      </c>
      <c r="J42" s="94">
        <v>187081481</v>
      </c>
      <c r="K42" s="94">
        <v>150428882</v>
      </c>
      <c r="L42" s="94">
        <v>81154919</v>
      </c>
    </row>
    <row r="43" spans="1:12">
      <c r="A43" s="140">
        <v>212</v>
      </c>
      <c r="B43" s="93" t="s">
        <v>56</v>
      </c>
      <c r="C43" s="94">
        <v>4148615800</v>
      </c>
      <c r="D43" s="94">
        <v>1642517800</v>
      </c>
      <c r="E43" s="94">
        <v>1081026700</v>
      </c>
      <c r="F43" s="94">
        <v>100522150</v>
      </c>
      <c r="G43" s="94">
        <v>7708267800</v>
      </c>
      <c r="H43" s="94">
        <v>1851052000</v>
      </c>
      <c r="I43" s="94">
        <v>19636020</v>
      </c>
      <c r="J43" s="94">
        <v>892308140</v>
      </c>
      <c r="K43" s="94">
        <v>1112417800</v>
      </c>
      <c r="L43" s="94">
        <v>113244640</v>
      </c>
    </row>
    <row r="44" spans="1:12">
      <c r="A44" s="140">
        <v>213</v>
      </c>
      <c r="B44" s="93" t="s">
        <v>57</v>
      </c>
      <c r="C44" s="94">
        <v>433845266</v>
      </c>
      <c r="D44" s="94">
        <v>336540213</v>
      </c>
      <c r="E44" s="94">
        <v>59040588</v>
      </c>
      <c r="F44" s="94">
        <v>3455552</v>
      </c>
      <c r="G44" s="94">
        <v>483648745</v>
      </c>
      <c r="H44" s="94">
        <v>138692167</v>
      </c>
      <c r="I44" s="94">
        <v>497204</v>
      </c>
      <c r="J44" s="94">
        <v>80565051</v>
      </c>
      <c r="K44" s="94">
        <v>165693630</v>
      </c>
      <c r="L44" s="94">
        <v>28820307</v>
      </c>
    </row>
    <row r="45" spans="1:12">
      <c r="A45" s="140">
        <v>214</v>
      </c>
      <c r="B45" s="93" t="s">
        <v>58</v>
      </c>
      <c r="C45" s="94">
        <v>8109956805</v>
      </c>
      <c r="D45" s="94">
        <v>4214491060</v>
      </c>
      <c r="E45" s="94">
        <v>2496866645</v>
      </c>
      <c r="F45" s="94">
        <v>127670897</v>
      </c>
      <c r="G45" s="94">
        <v>13416718405</v>
      </c>
      <c r="H45" s="94">
        <v>4232303055</v>
      </c>
      <c r="I45" s="94">
        <v>935212755</v>
      </c>
      <c r="J45" s="94">
        <v>2465562369</v>
      </c>
      <c r="K45" s="94">
        <v>1527520424</v>
      </c>
      <c r="L45" s="94">
        <v>484087882</v>
      </c>
    </row>
    <row r="46" spans="1:12">
      <c r="A46" s="140">
        <v>215</v>
      </c>
      <c r="B46" s="93" t="s">
        <v>59</v>
      </c>
      <c r="C46" s="94">
        <v>15494166490</v>
      </c>
      <c r="D46" s="94">
        <v>6455361957</v>
      </c>
      <c r="E46" s="94">
        <v>6763632576</v>
      </c>
      <c r="F46" s="94">
        <v>273707015</v>
      </c>
      <c r="G46" s="94">
        <v>16208350949</v>
      </c>
      <c r="H46" s="94">
        <v>5080657687</v>
      </c>
      <c r="I46" s="94">
        <v>480203650</v>
      </c>
      <c r="J46" s="94">
        <v>1518774704</v>
      </c>
      <c r="K46" s="94">
        <v>1324223775</v>
      </c>
      <c r="L46" s="94">
        <v>797655951</v>
      </c>
    </row>
    <row r="47" spans="1:12">
      <c r="A47" s="140">
        <v>219</v>
      </c>
      <c r="B47" s="93" t="s">
        <v>60</v>
      </c>
      <c r="C47" s="94">
        <v>8426722076</v>
      </c>
      <c r="D47" s="94">
        <v>6551808680</v>
      </c>
      <c r="E47" s="94">
        <v>923644333</v>
      </c>
      <c r="F47" s="94">
        <v>146382299</v>
      </c>
      <c r="G47" s="94">
        <v>9940356816</v>
      </c>
      <c r="H47" s="94">
        <v>4951814675</v>
      </c>
      <c r="I47" s="94">
        <v>396400352</v>
      </c>
      <c r="J47" s="94">
        <v>1501873384</v>
      </c>
      <c r="K47" s="94">
        <v>916858760</v>
      </c>
      <c r="L47" s="94">
        <v>687101050</v>
      </c>
    </row>
    <row r="48" spans="1:12">
      <c r="A48" s="140">
        <v>221</v>
      </c>
      <c r="B48" s="93" t="s">
        <v>61</v>
      </c>
      <c r="C48" s="94">
        <v>292966408</v>
      </c>
      <c r="D48" s="94">
        <v>169481344</v>
      </c>
      <c r="E48" s="94">
        <v>76308149</v>
      </c>
      <c r="F48" s="94">
        <v>11349479</v>
      </c>
      <c r="G48" s="94">
        <v>464662652</v>
      </c>
      <c r="H48" s="94">
        <v>223003252</v>
      </c>
      <c r="I48" s="94">
        <v>3387653</v>
      </c>
      <c r="J48" s="94">
        <v>79202969</v>
      </c>
      <c r="K48" s="94">
        <v>53191081</v>
      </c>
      <c r="L48" s="94">
        <v>9580739</v>
      </c>
    </row>
    <row r="49" spans="1:12">
      <c r="A49" s="140">
        <v>222</v>
      </c>
      <c r="B49" s="93" t="s">
        <v>62</v>
      </c>
      <c r="C49" s="94">
        <v>356610754</v>
      </c>
      <c r="D49" s="94">
        <v>231757265</v>
      </c>
      <c r="E49" s="94">
        <v>84637014</v>
      </c>
      <c r="F49" s="94">
        <v>4898259</v>
      </c>
      <c r="G49" s="94">
        <v>449384505</v>
      </c>
      <c r="H49" s="94">
        <v>93031323</v>
      </c>
      <c r="I49" s="94">
        <v>12142618</v>
      </c>
      <c r="J49" s="94">
        <v>63646130</v>
      </c>
      <c r="K49" s="94">
        <v>152118277</v>
      </c>
      <c r="L49" s="94">
        <v>57670224</v>
      </c>
    </row>
    <row r="50" spans="1:12">
      <c r="A50" s="140">
        <v>223</v>
      </c>
      <c r="B50" s="93" t="s">
        <v>63</v>
      </c>
      <c r="C50" s="94">
        <v>14164233787</v>
      </c>
      <c r="D50" s="94">
        <v>11120484310</v>
      </c>
      <c r="E50" s="94">
        <v>1408986422</v>
      </c>
      <c r="F50" s="94">
        <v>443528696</v>
      </c>
      <c r="G50" s="94">
        <v>15018768308</v>
      </c>
      <c r="H50" s="94">
        <v>6752718873</v>
      </c>
      <c r="I50" s="94">
        <v>132279950</v>
      </c>
      <c r="J50" s="94">
        <v>2566033853</v>
      </c>
      <c r="K50" s="94">
        <v>1106419729</v>
      </c>
      <c r="L50" s="94">
        <v>934954371</v>
      </c>
    </row>
    <row r="51" spans="1:12">
      <c r="A51" s="140">
        <v>224</v>
      </c>
      <c r="B51" s="93" t="s">
        <v>64</v>
      </c>
      <c r="C51" s="94">
        <v>18113432456</v>
      </c>
      <c r="D51" s="94">
        <v>13828458667</v>
      </c>
      <c r="E51" s="94">
        <v>1948667767</v>
      </c>
      <c r="F51" s="94">
        <v>582819831</v>
      </c>
      <c r="G51" s="94">
        <v>21411429230</v>
      </c>
      <c r="H51" s="94">
        <v>10232903684</v>
      </c>
      <c r="I51" s="94">
        <v>137836909</v>
      </c>
      <c r="J51" s="94">
        <v>4001559225</v>
      </c>
      <c r="K51" s="94">
        <v>1612785412</v>
      </c>
      <c r="L51" s="94">
        <v>1460797617</v>
      </c>
    </row>
    <row r="52" spans="1:12">
      <c r="A52" s="140">
        <v>225</v>
      </c>
      <c r="B52" s="93" t="s">
        <v>65</v>
      </c>
      <c r="C52" s="94">
        <v>600675246</v>
      </c>
      <c r="D52" s="94">
        <v>438111132</v>
      </c>
      <c r="E52" s="94">
        <v>96973217</v>
      </c>
      <c r="F52" s="94">
        <v>13267594</v>
      </c>
      <c r="G52" s="94">
        <v>755680191</v>
      </c>
      <c r="H52" s="94">
        <v>354031673</v>
      </c>
      <c r="I52" s="94">
        <v>5962094</v>
      </c>
      <c r="J52" s="94">
        <v>127994123</v>
      </c>
      <c r="K52" s="94">
        <v>81091846</v>
      </c>
      <c r="L52" s="94">
        <v>57474767</v>
      </c>
    </row>
    <row r="53" spans="1:12">
      <c r="A53" s="140">
        <v>226</v>
      </c>
      <c r="B53" s="93" t="s">
        <v>66</v>
      </c>
      <c r="C53" s="94">
        <v>5371041344</v>
      </c>
      <c r="D53" s="94">
        <v>3702019231</v>
      </c>
      <c r="E53" s="94">
        <v>910449813</v>
      </c>
      <c r="F53" s="94">
        <v>125860320</v>
      </c>
      <c r="G53" s="94">
        <v>6102513357</v>
      </c>
      <c r="H53" s="94">
        <v>1788834986</v>
      </c>
      <c r="I53" s="94">
        <v>185073555</v>
      </c>
      <c r="J53" s="94">
        <v>1327707352</v>
      </c>
      <c r="K53" s="94">
        <v>462346671</v>
      </c>
      <c r="L53" s="94">
        <v>500431781</v>
      </c>
    </row>
    <row r="54" spans="1:12">
      <c r="A54" s="140">
        <v>227</v>
      </c>
      <c r="B54" s="93" t="s">
        <v>67</v>
      </c>
      <c r="C54" s="94">
        <v>8109956805</v>
      </c>
      <c r="D54" s="94">
        <v>4214491060</v>
      </c>
      <c r="E54" s="94">
        <v>2496866645</v>
      </c>
      <c r="F54" s="94">
        <v>127670897</v>
      </c>
      <c r="G54" s="94">
        <v>13416718405</v>
      </c>
      <c r="H54" s="94">
        <v>4232303055</v>
      </c>
      <c r="I54" s="94">
        <v>935212755</v>
      </c>
      <c r="J54" s="94">
        <v>2465562369</v>
      </c>
      <c r="K54" s="94">
        <v>1527520424</v>
      </c>
      <c r="L54" s="94">
        <v>484087882</v>
      </c>
    </row>
    <row r="55" spans="1:12">
      <c r="A55" s="140">
        <v>229</v>
      </c>
      <c r="B55" s="93" t="s">
        <v>68</v>
      </c>
      <c r="C55" s="94">
        <v>767215403</v>
      </c>
      <c r="D55" s="94">
        <v>573940484</v>
      </c>
      <c r="E55" s="94">
        <v>115452524</v>
      </c>
      <c r="F55" s="94">
        <v>15046125</v>
      </c>
      <c r="G55" s="94">
        <v>987869440</v>
      </c>
      <c r="H55" s="94">
        <v>367745936</v>
      </c>
      <c r="I55" s="94">
        <v>11753187</v>
      </c>
      <c r="J55" s="94">
        <v>142721589</v>
      </c>
      <c r="K55" s="94">
        <v>102858438</v>
      </c>
      <c r="L55" s="94">
        <v>80999110</v>
      </c>
    </row>
    <row r="56" spans="1:12">
      <c r="A56" s="140">
        <v>231</v>
      </c>
      <c r="B56" s="93" t="s">
        <v>69</v>
      </c>
      <c r="C56" s="94">
        <v>9893142</v>
      </c>
      <c r="D56" s="94">
        <v>6800772</v>
      </c>
      <c r="E56" s="94">
        <v>2761995</v>
      </c>
      <c r="F56" s="94">
        <v>465028</v>
      </c>
      <c r="G56" s="94">
        <v>21953478</v>
      </c>
      <c r="H56" s="94">
        <v>12248414</v>
      </c>
      <c r="I56" s="94">
        <v>551085</v>
      </c>
      <c r="J56" s="94">
        <v>1151658</v>
      </c>
      <c r="K56" s="94">
        <v>1393725</v>
      </c>
      <c r="L56" s="94">
        <v>738096</v>
      </c>
    </row>
    <row r="57" spans="1:12">
      <c r="A57" s="140">
        <v>232</v>
      </c>
      <c r="B57" s="93" t="s">
        <v>70</v>
      </c>
      <c r="C57" s="94">
        <v>1302786</v>
      </c>
      <c r="D57" s="94">
        <v>303608</v>
      </c>
      <c r="E57" s="94">
        <v>723917</v>
      </c>
      <c r="F57" s="94">
        <v>65716</v>
      </c>
      <c r="G57" s="94">
        <v>1758795</v>
      </c>
      <c r="H57" s="94">
        <v>1536446</v>
      </c>
      <c r="I57" s="94">
        <v>3289</v>
      </c>
      <c r="J57" s="94">
        <v>25344</v>
      </c>
      <c r="K57" s="94">
        <v>24083</v>
      </c>
      <c r="L57" s="94">
        <v>0</v>
      </c>
    </row>
    <row r="58" spans="1:12">
      <c r="A58" s="140">
        <v>233</v>
      </c>
      <c r="B58" s="93" t="s">
        <v>71</v>
      </c>
      <c r="C58" s="94">
        <v>8178485</v>
      </c>
      <c r="D58" s="94">
        <v>340525</v>
      </c>
      <c r="E58" s="94">
        <v>6456209</v>
      </c>
      <c r="F58" s="94">
        <v>1090305</v>
      </c>
      <c r="G58" s="94">
        <v>20635643</v>
      </c>
      <c r="H58" s="94">
        <v>17494005</v>
      </c>
      <c r="I58" s="94">
        <v>81797</v>
      </c>
      <c r="J58" s="94">
        <v>266063</v>
      </c>
      <c r="K58" s="94">
        <v>0</v>
      </c>
      <c r="L58" s="94">
        <v>3984</v>
      </c>
    </row>
    <row r="59" spans="1:12">
      <c r="A59" s="140">
        <v>234</v>
      </c>
      <c r="B59" s="93" t="s">
        <v>72</v>
      </c>
      <c r="C59" s="94">
        <v>18500019000</v>
      </c>
      <c r="D59" s="94">
        <v>4738753681</v>
      </c>
      <c r="E59" s="94">
        <v>10288178279</v>
      </c>
      <c r="F59" s="94">
        <v>417257531</v>
      </c>
      <c r="G59" s="94">
        <v>28641121357</v>
      </c>
      <c r="H59" s="94">
        <v>4365230272</v>
      </c>
      <c r="I59" s="94">
        <v>3091459399</v>
      </c>
      <c r="J59" s="94">
        <v>3827280405</v>
      </c>
      <c r="K59" s="94">
        <v>622466746</v>
      </c>
      <c r="L59" s="94">
        <v>971388296</v>
      </c>
    </row>
    <row r="60" spans="1:12">
      <c r="A60" s="140">
        <v>235</v>
      </c>
      <c r="B60" s="93" t="s">
        <v>73</v>
      </c>
      <c r="C60" s="94">
        <v>3448319639</v>
      </c>
      <c r="D60" s="94">
        <v>1973394428</v>
      </c>
      <c r="E60" s="94">
        <v>847228033</v>
      </c>
      <c r="F60" s="94">
        <v>217626714</v>
      </c>
      <c r="G60" s="94">
        <v>7276785744</v>
      </c>
      <c r="H60" s="94">
        <v>3588314679</v>
      </c>
      <c r="I60" s="94">
        <v>674308956</v>
      </c>
      <c r="J60" s="94">
        <v>507601954</v>
      </c>
      <c r="K60" s="94">
        <v>178170457</v>
      </c>
      <c r="L60" s="94">
        <v>95901691</v>
      </c>
    </row>
    <row r="61" spans="1:12">
      <c r="A61" s="140">
        <v>236</v>
      </c>
      <c r="B61" s="93" t="s">
        <v>74</v>
      </c>
      <c r="C61" s="94">
        <v>1260408848</v>
      </c>
      <c r="D61" s="94">
        <v>258053720</v>
      </c>
      <c r="E61" s="94">
        <v>756379772</v>
      </c>
      <c r="F61" s="94">
        <v>54256566</v>
      </c>
      <c r="G61" s="94">
        <v>1414084696</v>
      </c>
      <c r="H61" s="94">
        <v>520433435</v>
      </c>
      <c r="I61" s="94">
        <v>10353029</v>
      </c>
      <c r="J61" s="94">
        <v>246399653</v>
      </c>
      <c r="K61" s="94">
        <v>8337690</v>
      </c>
      <c r="L61" s="94">
        <v>13598187</v>
      </c>
    </row>
    <row r="62" spans="1:12">
      <c r="A62" s="140">
        <v>237</v>
      </c>
      <c r="B62" s="93" t="s">
        <v>75</v>
      </c>
      <c r="C62" s="94">
        <v>1921540230</v>
      </c>
      <c r="D62" s="94">
        <v>622005832</v>
      </c>
      <c r="E62" s="94">
        <v>1043230864</v>
      </c>
      <c r="F62" s="94">
        <v>43594533</v>
      </c>
      <c r="G62" s="94">
        <v>2417841499</v>
      </c>
      <c r="H62" s="94">
        <v>483050622</v>
      </c>
      <c r="I62" s="94">
        <v>101211088</v>
      </c>
      <c r="J62" s="94">
        <v>319461576</v>
      </c>
      <c r="K62" s="94">
        <v>41938464</v>
      </c>
      <c r="L62" s="94">
        <v>46233094</v>
      </c>
    </row>
    <row r="63" spans="1:12">
      <c r="A63" s="140">
        <v>239</v>
      </c>
      <c r="B63" s="93" t="s">
        <v>76</v>
      </c>
      <c r="C63" s="94">
        <v>630096602</v>
      </c>
      <c r="D63" s="94">
        <v>165232092</v>
      </c>
      <c r="E63" s="94">
        <v>390244632</v>
      </c>
      <c r="F63" s="94">
        <v>22632503</v>
      </c>
      <c r="G63" s="94">
        <v>1339395833</v>
      </c>
      <c r="H63" s="94">
        <v>893788903</v>
      </c>
      <c r="I63" s="94">
        <v>44623861</v>
      </c>
      <c r="J63" s="94">
        <v>56370422</v>
      </c>
      <c r="K63" s="94">
        <v>6738729</v>
      </c>
      <c r="L63" s="94">
        <v>22439363</v>
      </c>
    </row>
    <row r="64" spans="1:12">
      <c r="A64" s="140">
        <v>311</v>
      </c>
      <c r="B64" s="93" t="s">
        <v>4</v>
      </c>
      <c r="C64" s="94">
        <v>16357182</v>
      </c>
      <c r="D64" s="94">
        <v>3224391</v>
      </c>
      <c r="E64" s="94">
        <v>9344096</v>
      </c>
      <c r="F64" s="94">
        <v>1560468</v>
      </c>
      <c r="G64" s="94">
        <v>82964703</v>
      </c>
      <c r="H64" s="94">
        <v>76701712</v>
      </c>
      <c r="I64" s="94">
        <v>20588</v>
      </c>
      <c r="J64" s="94">
        <v>628026</v>
      </c>
      <c r="K64" s="94">
        <v>2154644</v>
      </c>
      <c r="L64" s="94">
        <v>75711</v>
      </c>
    </row>
    <row r="65" spans="1:12">
      <c r="A65" s="140">
        <v>312</v>
      </c>
      <c r="B65" s="93" t="s">
        <v>77</v>
      </c>
      <c r="C65" s="94">
        <v>1126870</v>
      </c>
      <c r="D65" s="94">
        <v>649193</v>
      </c>
      <c r="E65" s="94">
        <v>425486</v>
      </c>
      <c r="F65" s="94">
        <v>0</v>
      </c>
      <c r="G65" s="94">
        <v>987656</v>
      </c>
      <c r="H65" s="94">
        <v>553393</v>
      </c>
      <c r="I65" s="94">
        <v>0</v>
      </c>
      <c r="J65" s="94">
        <v>57571</v>
      </c>
      <c r="K65" s="94">
        <v>0</v>
      </c>
      <c r="L65" s="94">
        <v>42706</v>
      </c>
    </row>
    <row r="66" spans="1:12">
      <c r="A66" s="140">
        <v>390</v>
      </c>
      <c r="B66" s="93" t="s">
        <v>23</v>
      </c>
      <c r="C66" s="94">
        <v>1954272</v>
      </c>
      <c r="D66" s="94">
        <v>1821597</v>
      </c>
      <c r="E66" s="94">
        <v>58083</v>
      </c>
      <c r="F66" s="94">
        <v>0</v>
      </c>
      <c r="G66" s="94">
        <v>764694</v>
      </c>
      <c r="H66" s="94">
        <v>0</v>
      </c>
      <c r="I66" s="94">
        <v>2500</v>
      </c>
      <c r="J66" s="94">
        <v>493938</v>
      </c>
      <c r="K66" s="94">
        <v>97314</v>
      </c>
      <c r="L66" s="94">
        <v>36209</v>
      </c>
    </row>
    <row r="67" spans="1:12">
      <c r="A67" s="140">
        <v>411</v>
      </c>
      <c r="B67" s="93" t="s">
        <v>78</v>
      </c>
      <c r="C67" s="94">
        <v>312256358</v>
      </c>
      <c r="D67" s="94">
        <v>245421949</v>
      </c>
      <c r="E67" s="94">
        <v>29060914</v>
      </c>
      <c r="F67" s="94">
        <v>6047116</v>
      </c>
      <c r="G67" s="94">
        <v>404496171</v>
      </c>
      <c r="H67" s="94">
        <v>229013140</v>
      </c>
      <c r="I67" s="94">
        <v>953067</v>
      </c>
      <c r="J67" s="94">
        <v>73294450</v>
      </c>
      <c r="K67" s="94">
        <v>47411458</v>
      </c>
      <c r="L67" s="94">
        <v>35015514</v>
      </c>
    </row>
    <row r="68" spans="1:12">
      <c r="A68" s="140">
        <v>412</v>
      </c>
      <c r="B68" s="93" t="s">
        <v>79</v>
      </c>
      <c r="C68" s="94">
        <v>1164915328</v>
      </c>
      <c r="D68" s="94">
        <v>935594968</v>
      </c>
      <c r="E68" s="94">
        <v>137628814</v>
      </c>
      <c r="F68" s="94">
        <v>21508811</v>
      </c>
      <c r="G68" s="94">
        <v>2054716816</v>
      </c>
      <c r="H68" s="94">
        <v>1126170221</v>
      </c>
      <c r="I68" s="94">
        <v>31631329</v>
      </c>
      <c r="J68" s="94">
        <v>196551276</v>
      </c>
      <c r="K68" s="94">
        <v>146136880</v>
      </c>
      <c r="L68" s="94">
        <v>129790802</v>
      </c>
    </row>
    <row r="69" spans="1:12">
      <c r="A69" s="140">
        <v>413</v>
      </c>
      <c r="B69" s="93" t="s">
        <v>80</v>
      </c>
      <c r="C69" s="94">
        <v>323498611</v>
      </c>
      <c r="D69" s="94">
        <v>229400539</v>
      </c>
      <c r="E69" s="94">
        <v>52948994</v>
      </c>
      <c r="F69" s="94">
        <v>5346680</v>
      </c>
      <c r="G69" s="94">
        <v>309171946</v>
      </c>
      <c r="H69" s="94">
        <v>174203284</v>
      </c>
      <c r="I69" s="94">
        <v>2685390</v>
      </c>
      <c r="J69" s="94">
        <v>55552617</v>
      </c>
      <c r="K69" s="94">
        <v>25419526</v>
      </c>
      <c r="L69" s="94">
        <v>16373278</v>
      </c>
    </row>
    <row r="70" spans="1:12">
      <c r="A70" s="140">
        <v>414</v>
      </c>
      <c r="B70" s="93" t="s">
        <v>81</v>
      </c>
      <c r="C70" s="94">
        <v>402921469</v>
      </c>
      <c r="D70" s="94">
        <v>321096264</v>
      </c>
      <c r="E70" s="94">
        <v>28056034</v>
      </c>
      <c r="F70" s="94">
        <v>4761057</v>
      </c>
      <c r="G70" s="94">
        <v>651907229</v>
      </c>
      <c r="H70" s="94">
        <v>226244011</v>
      </c>
      <c r="I70" s="94">
        <v>554702</v>
      </c>
      <c r="J70" s="94">
        <v>113580887</v>
      </c>
      <c r="K70" s="94">
        <v>14849178</v>
      </c>
      <c r="L70" s="94">
        <v>85311463</v>
      </c>
    </row>
    <row r="71" spans="1:12">
      <c r="A71" s="140">
        <v>415</v>
      </c>
      <c r="B71" s="93" t="s">
        <v>82</v>
      </c>
      <c r="C71" s="94">
        <v>2049679</v>
      </c>
      <c r="D71" s="94">
        <v>1258176</v>
      </c>
      <c r="E71" s="94">
        <v>573890</v>
      </c>
      <c r="F71" s="94">
        <v>77717</v>
      </c>
      <c r="G71" s="94">
        <v>3807672</v>
      </c>
      <c r="H71" s="94">
        <v>2239070</v>
      </c>
      <c r="I71" s="94">
        <v>0</v>
      </c>
      <c r="J71" s="94">
        <v>405308</v>
      </c>
      <c r="K71" s="94">
        <v>152634</v>
      </c>
      <c r="L71" s="94">
        <v>116480</v>
      </c>
    </row>
    <row r="72" spans="1:12">
      <c r="A72" s="140">
        <v>416</v>
      </c>
      <c r="B72" s="93" t="s">
        <v>83</v>
      </c>
      <c r="C72" s="94">
        <v>1179775162</v>
      </c>
      <c r="D72" s="94">
        <v>835871731</v>
      </c>
      <c r="E72" s="94">
        <v>214812514</v>
      </c>
      <c r="F72" s="94">
        <v>15775434</v>
      </c>
      <c r="G72" s="94">
        <v>1694189954</v>
      </c>
      <c r="H72" s="94">
        <v>781956797</v>
      </c>
      <c r="I72" s="94">
        <v>6803747</v>
      </c>
      <c r="J72" s="94">
        <v>174654647</v>
      </c>
      <c r="K72" s="94">
        <v>123730387</v>
      </c>
      <c r="L72" s="94">
        <v>78883021</v>
      </c>
    </row>
    <row r="73" spans="1:12">
      <c r="A73" s="140">
        <v>419</v>
      </c>
      <c r="B73" s="93" t="s">
        <v>84</v>
      </c>
      <c r="C73" s="94">
        <v>51606663</v>
      </c>
      <c r="D73" s="94">
        <v>37941010</v>
      </c>
      <c r="E73" s="94">
        <v>6996417</v>
      </c>
      <c r="F73" s="94">
        <v>1413009</v>
      </c>
      <c r="G73" s="94">
        <v>69746996</v>
      </c>
      <c r="H73" s="94">
        <v>38624693</v>
      </c>
      <c r="I73" s="94">
        <v>330172</v>
      </c>
      <c r="J73" s="94">
        <v>10995370</v>
      </c>
      <c r="K73" s="94">
        <v>5198272</v>
      </c>
      <c r="L73" s="94">
        <v>5403375</v>
      </c>
    </row>
    <row r="74" spans="1:12">
      <c r="A74" s="140">
        <v>421</v>
      </c>
      <c r="B74" s="93" t="s">
        <v>85</v>
      </c>
      <c r="C74" s="94">
        <v>778291011</v>
      </c>
      <c r="D74" s="94">
        <v>683482544</v>
      </c>
      <c r="E74" s="94">
        <v>69923376</v>
      </c>
      <c r="F74" s="94">
        <v>3948626</v>
      </c>
      <c r="G74" s="94">
        <v>1319299227</v>
      </c>
      <c r="H74" s="94">
        <v>892929512</v>
      </c>
      <c r="I74" s="94">
        <v>5298486</v>
      </c>
      <c r="J74" s="94">
        <v>101820220</v>
      </c>
      <c r="K74" s="94">
        <v>132550264</v>
      </c>
      <c r="L74" s="94">
        <v>32292389</v>
      </c>
    </row>
    <row r="75" spans="1:12">
      <c r="A75" s="140">
        <v>422</v>
      </c>
      <c r="B75" s="93" t="s">
        <v>86</v>
      </c>
      <c r="C75" s="94">
        <v>80082708</v>
      </c>
      <c r="D75" s="94">
        <v>70387222</v>
      </c>
      <c r="E75" s="94">
        <v>4098866</v>
      </c>
      <c r="F75" s="94">
        <v>659051</v>
      </c>
      <c r="G75" s="94">
        <v>117982492</v>
      </c>
      <c r="H75" s="94">
        <v>31819472</v>
      </c>
      <c r="I75" s="94">
        <v>46565</v>
      </c>
      <c r="J75" s="94">
        <v>14139057</v>
      </c>
      <c r="K75" s="94">
        <v>10881282</v>
      </c>
      <c r="L75" s="94">
        <v>4038033</v>
      </c>
    </row>
    <row r="76" spans="1:12">
      <c r="A76" s="140">
        <v>423</v>
      </c>
      <c r="B76" s="93" t="s">
        <v>87</v>
      </c>
      <c r="C76" s="94">
        <v>1011193234</v>
      </c>
      <c r="D76" s="94">
        <v>791354196</v>
      </c>
      <c r="E76" s="94">
        <v>106543565</v>
      </c>
      <c r="F76" s="94">
        <v>17967753</v>
      </c>
      <c r="G76" s="94">
        <v>1140547645</v>
      </c>
      <c r="H76" s="94">
        <v>390322974</v>
      </c>
      <c r="I76" s="94">
        <v>2369521</v>
      </c>
      <c r="J76" s="94">
        <v>272259681</v>
      </c>
      <c r="K76" s="94">
        <v>168942056</v>
      </c>
      <c r="L76" s="94">
        <v>50119733</v>
      </c>
    </row>
    <row r="77" spans="1:12">
      <c r="A77" s="140">
        <v>429</v>
      </c>
      <c r="B77" s="93" t="s">
        <v>88</v>
      </c>
      <c r="C77" s="94">
        <v>9586246883</v>
      </c>
      <c r="D77" s="94">
        <v>3534717432</v>
      </c>
      <c r="E77" s="94">
        <v>4491073404</v>
      </c>
      <c r="F77" s="94">
        <v>181147005</v>
      </c>
      <c r="G77" s="94">
        <v>9859379110</v>
      </c>
      <c r="H77" s="94">
        <v>4036328705</v>
      </c>
      <c r="I77" s="94">
        <v>379650613</v>
      </c>
      <c r="J77" s="94">
        <v>805719458</v>
      </c>
      <c r="K77" s="94">
        <v>774110470</v>
      </c>
      <c r="L77" s="94">
        <v>490367142</v>
      </c>
    </row>
    <row r="78" spans="1:12">
      <c r="A78" s="140">
        <v>431</v>
      </c>
      <c r="B78" s="93" t="s">
        <v>89</v>
      </c>
      <c r="C78" s="94">
        <v>1974510933</v>
      </c>
      <c r="D78" s="94">
        <v>1459677725</v>
      </c>
      <c r="E78" s="94">
        <v>234436614</v>
      </c>
      <c r="F78" s="94">
        <v>73398853</v>
      </c>
      <c r="G78" s="94">
        <v>2863460775</v>
      </c>
      <c r="H78" s="94">
        <v>998718883</v>
      </c>
      <c r="I78" s="94">
        <v>11968331</v>
      </c>
      <c r="J78" s="94">
        <v>541624271</v>
      </c>
      <c r="K78" s="94">
        <v>420588198</v>
      </c>
      <c r="L78" s="94">
        <v>165780029</v>
      </c>
    </row>
    <row r="79" spans="1:12">
      <c r="A79" s="140">
        <v>432</v>
      </c>
      <c r="B79" s="93" t="s">
        <v>90</v>
      </c>
      <c r="C79" s="94">
        <v>5176729679</v>
      </c>
      <c r="D79" s="94">
        <v>4046945601</v>
      </c>
      <c r="E79" s="94">
        <v>525226191</v>
      </c>
      <c r="F79" s="94">
        <v>125844568</v>
      </c>
      <c r="G79" s="94">
        <v>5530061922</v>
      </c>
      <c r="H79" s="94">
        <v>2711928147</v>
      </c>
      <c r="I79" s="94">
        <v>46670422</v>
      </c>
      <c r="J79" s="94">
        <v>1139883881</v>
      </c>
      <c r="K79" s="94">
        <v>526723362</v>
      </c>
      <c r="L79" s="94">
        <v>469185732</v>
      </c>
    </row>
    <row r="80" spans="1:12">
      <c r="A80" s="140">
        <v>433</v>
      </c>
      <c r="B80" s="93" t="s">
        <v>91</v>
      </c>
      <c r="C80" s="94">
        <v>723085487</v>
      </c>
      <c r="D80" s="94">
        <v>519243632</v>
      </c>
      <c r="E80" s="94">
        <v>118842421</v>
      </c>
      <c r="F80" s="94">
        <v>15775785</v>
      </c>
      <c r="G80" s="94">
        <v>951669865</v>
      </c>
      <c r="H80" s="94">
        <v>424188185</v>
      </c>
      <c r="I80" s="94">
        <v>6442414</v>
      </c>
      <c r="J80" s="94">
        <v>145488450</v>
      </c>
      <c r="K80" s="94">
        <v>107335426</v>
      </c>
      <c r="L80" s="94">
        <v>63965794</v>
      </c>
    </row>
    <row r="81" spans="1:12">
      <c r="A81" s="140">
        <v>439</v>
      </c>
      <c r="B81" s="93" t="s">
        <v>92</v>
      </c>
      <c r="C81" s="94">
        <v>7256994192</v>
      </c>
      <c r="D81" s="94">
        <v>5385064420</v>
      </c>
      <c r="E81" s="94">
        <v>936409618</v>
      </c>
      <c r="F81" s="94">
        <v>162427744</v>
      </c>
      <c r="G81" s="94">
        <v>9542462830</v>
      </c>
      <c r="H81" s="94">
        <v>3608169501</v>
      </c>
      <c r="I81" s="94">
        <v>646233210</v>
      </c>
      <c r="J81" s="94">
        <v>1381717469</v>
      </c>
      <c r="K81" s="94">
        <v>1247055224</v>
      </c>
      <c r="L81" s="94">
        <v>761804611</v>
      </c>
    </row>
    <row r="82" spans="1:12">
      <c r="A82" s="140">
        <v>441</v>
      </c>
      <c r="B82" s="93" t="s">
        <v>5</v>
      </c>
      <c r="C82" s="94">
        <v>159578440</v>
      </c>
      <c r="D82" s="94">
        <v>87557840</v>
      </c>
      <c r="E82" s="94">
        <v>51172514</v>
      </c>
      <c r="F82" s="94">
        <v>2226105</v>
      </c>
      <c r="G82" s="94">
        <v>136604892</v>
      </c>
      <c r="H82" s="94">
        <v>74798042</v>
      </c>
      <c r="I82" s="94">
        <v>365711</v>
      </c>
      <c r="J82" s="94">
        <v>6566896</v>
      </c>
      <c r="K82" s="94">
        <v>7420063</v>
      </c>
      <c r="L82" s="94">
        <v>13791739</v>
      </c>
    </row>
    <row r="83" spans="1:12">
      <c r="A83" s="140">
        <v>442</v>
      </c>
      <c r="B83" s="93" t="s">
        <v>93</v>
      </c>
      <c r="C83" s="94">
        <v>18500019000</v>
      </c>
      <c r="D83" s="94">
        <v>4738753681</v>
      </c>
      <c r="E83" s="94">
        <v>10288178279</v>
      </c>
      <c r="F83" s="94">
        <v>417257531</v>
      </c>
      <c r="G83" s="94">
        <v>28641121357</v>
      </c>
      <c r="H83" s="94">
        <v>4365230272</v>
      </c>
      <c r="I83" s="94">
        <v>3091459399</v>
      </c>
      <c r="J83" s="94">
        <v>3827280405</v>
      </c>
      <c r="K83" s="94">
        <v>622466746</v>
      </c>
      <c r="L83" s="94">
        <v>971388296</v>
      </c>
    </row>
    <row r="84" spans="1:12">
      <c r="A84" s="140">
        <v>443</v>
      </c>
      <c r="B84" s="93" t="s">
        <v>94</v>
      </c>
      <c r="C84" s="94">
        <v>740811609</v>
      </c>
      <c r="D84" s="94">
        <v>556671905</v>
      </c>
      <c r="E84" s="94">
        <v>115089069</v>
      </c>
      <c r="F84" s="94">
        <v>6744251</v>
      </c>
      <c r="G84" s="94">
        <v>951908790</v>
      </c>
      <c r="H84" s="94">
        <v>258514801</v>
      </c>
      <c r="I84" s="94">
        <v>7446359</v>
      </c>
      <c r="J84" s="94">
        <v>89477728</v>
      </c>
      <c r="K84" s="94">
        <v>113475143</v>
      </c>
      <c r="L84" s="94">
        <v>38615613</v>
      </c>
    </row>
    <row r="85" spans="1:12">
      <c r="A85" s="140">
        <v>444</v>
      </c>
      <c r="B85" s="93" t="s">
        <v>95</v>
      </c>
      <c r="C85" s="94">
        <v>31016170</v>
      </c>
      <c r="D85" s="94">
        <v>15179266</v>
      </c>
      <c r="E85" s="94">
        <v>11788387</v>
      </c>
      <c r="F85" s="94">
        <v>1404359</v>
      </c>
      <c r="G85" s="94">
        <v>78917530</v>
      </c>
      <c r="H85" s="94">
        <v>57524459</v>
      </c>
      <c r="I85" s="94">
        <v>66671</v>
      </c>
      <c r="J85" s="94">
        <v>3478316</v>
      </c>
      <c r="K85" s="94">
        <v>1694949</v>
      </c>
      <c r="L85" s="94">
        <v>1918772</v>
      </c>
    </row>
    <row r="86" spans="1:12">
      <c r="A86" s="140">
        <v>445</v>
      </c>
      <c r="B86" s="93" t="s">
        <v>96</v>
      </c>
      <c r="C86" s="94">
        <v>61875937</v>
      </c>
      <c r="D86" s="94">
        <v>4616665</v>
      </c>
      <c r="E86" s="94">
        <v>46030707</v>
      </c>
      <c r="F86" s="94">
        <v>2873750</v>
      </c>
      <c r="G86" s="94">
        <v>369293664</v>
      </c>
      <c r="H86" s="94">
        <v>58593481</v>
      </c>
      <c r="I86" s="94">
        <v>544714</v>
      </c>
      <c r="J86" s="94">
        <v>6658011</v>
      </c>
      <c r="K86" s="94">
        <v>14189805</v>
      </c>
      <c r="L86" s="94">
        <v>446759</v>
      </c>
    </row>
    <row r="87" spans="1:12">
      <c r="A87" s="140">
        <v>446</v>
      </c>
      <c r="B87" s="93" t="s">
        <v>97</v>
      </c>
      <c r="C87" s="94">
        <v>3448319639</v>
      </c>
      <c r="D87" s="94">
        <v>1973394428</v>
      </c>
      <c r="E87" s="94">
        <v>847228033</v>
      </c>
      <c r="F87" s="94">
        <v>217626714</v>
      </c>
      <c r="G87" s="94">
        <v>7276785744</v>
      </c>
      <c r="H87" s="94">
        <v>3588314679</v>
      </c>
      <c r="I87" s="94">
        <v>674308956</v>
      </c>
      <c r="J87" s="94">
        <v>507601954</v>
      </c>
      <c r="K87" s="94">
        <v>178170457</v>
      </c>
      <c r="L87" s="94">
        <v>95901691</v>
      </c>
    </row>
    <row r="88" spans="1:12">
      <c r="A88" s="140">
        <v>447</v>
      </c>
      <c r="B88" s="93" t="s">
        <v>98</v>
      </c>
      <c r="C88" s="94">
        <v>219102061</v>
      </c>
      <c r="D88" s="94">
        <v>104066879</v>
      </c>
      <c r="E88" s="94">
        <v>69221810</v>
      </c>
      <c r="F88" s="94">
        <v>5416213</v>
      </c>
      <c r="G88" s="94">
        <v>459405546</v>
      </c>
      <c r="H88" s="94">
        <v>152397611</v>
      </c>
      <c r="I88" s="94">
        <v>18937052</v>
      </c>
      <c r="J88" s="94">
        <v>18605333</v>
      </c>
      <c r="K88" s="94">
        <v>51451372</v>
      </c>
      <c r="L88" s="94">
        <v>1714330</v>
      </c>
    </row>
    <row r="89" spans="1:12">
      <c r="A89" s="140">
        <v>449</v>
      </c>
      <c r="B89" s="93" t="s">
        <v>99</v>
      </c>
      <c r="C89" s="94">
        <v>159578440</v>
      </c>
      <c r="D89" s="94">
        <v>87557840</v>
      </c>
      <c r="E89" s="94">
        <v>51172514</v>
      </c>
      <c r="F89" s="94">
        <v>2226105</v>
      </c>
      <c r="G89" s="94">
        <v>136604892</v>
      </c>
      <c r="H89" s="94">
        <v>74798042</v>
      </c>
      <c r="I89" s="94">
        <v>365711</v>
      </c>
      <c r="J89" s="94">
        <v>6566896</v>
      </c>
      <c r="K89" s="94">
        <v>7420063</v>
      </c>
      <c r="L89" s="94">
        <v>13791739</v>
      </c>
    </row>
    <row r="90" spans="1:12">
      <c r="A90" s="140">
        <v>511</v>
      </c>
      <c r="B90" s="93" t="s">
        <v>100</v>
      </c>
      <c r="C90" s="94">
        <v>185496928</v>
      </c>
      <c r="D90" s="94">
        <v>158496957</v>
      </c>
      <c r="E90" s="94">
        <v>19469050</v>
      </c>
      <c r="F90" s="94">
        <v>5300127</v>
      </c>
      <c r="G90" s="94">
        <v>248226728</v>
      </c>
      <c r="H90" s="94">
        <v>103555342</v>
      </c>
      <c r="I90" s="94">
        <v>5082</v>
      </c>
      <c r="J90" s="94">
        <v>14390744</v>
      </c>
      <c r="K90" s="94">
        <v>15078737</v>
      </c>
      <c r="L90" s="94">
        <v>15777013</v>
      </c>
    </row>
    <row r="91" spans="1:12">
      <c r="A91" s="140">
        <v>512</v>
      </c>
      <c r="B91" s="93" t="s">
        <v>101</v>
      </c>
      <c r="C91" s="94">
        <v>4106651</v>
      </c>
      <c r="D91" s="94">
        <v>3655295</v>
      </c>
      <c r="E91" s="94">
        <v>129551</v>
      </c>
      <c r="F91" s="94">
        <v>234987</v>
      </c>
      <c r="G91" s="94">
        <v>3954124</v>
      </c>
      <c r="H91" s="94">
        <v>3194783</v>
      </c>
      <c r="I91" s="94">
        <v>0</v>
      </c>
      <c r="J91" s="94">
        <v>0</v>
      </c>
      <c r="K91" s="94">
        <v>348008</v>
      </c>
      <c r="L91" s="94">
        <v>0</v>
      </c>
    </row>
    <row r="92" spans="1:12">
      <c r="A92" s="140">
        <v>520</v>
      </c>
      <c r="B92" s="93" t="s">
        <v>29</v>
      </c>
      <c r="C92" s="94">
        <v>27182801</v>
      </c>
      <c r="D92" s="94">
        <v>20644384</v>
      </c>
      <c r="E92" s="94">
        <v>3107223</v>
      </c>
      <c r="F92" s="94">
        <v>1447215</v>
      </c>
      <c r="G92" s="94">
        <v>75349318</v>
      </c>
      <c r="H92" s="94">
        <v>45545569</v>
      </c>
      <c r="I92" s="94">
        <v>582748</v>
      </c>
      <c r="J92" s="94">
        <v>2824058</v>
      </c>
      <c r="K92" s="94">
        <v>16371014</v>
      </c>
      <c r="L92" s="94">
        <v>3345988</v>
      </c>
    </row>
    <row r="93" spans="1:12">
      <c r="A93" s="140">
        <v>611</v>
      </c>
      <c r="B93" s="93" t="s">
        <v>102</v>
      </c>
      <c r="C93" s="94">
        <v>109421727</v>
      </c>
      <c r="D93" s="94">
        <v>78801683</v>
      </c>
      <c r="E93" s="94">
        <v>19610877</v>
      </c>
      <c r="F93" s="94">
        <v>3151686</v>
      </c>
      <c r="G93" s="94">
        <v>253091291</v>
      </c>
      <c r="H93" s="94">
        <v>183905941</v>
      </c>
      <c r="I93" s="94">
        <v>1166294</v>
      </c>
      <c r="J93" s="94">
        <v>18898249</v>
      </c>
      <c r="K93" s="94">
        <v>36903045</v>
      </c>
      <c r="L93" s="94">
        <v>4993452</v>
      </c>
    </row>
    <row r="94" spans="1:12">
      <c r="A94" s="140">
        <v>612</v>
      </c>
      <c r="B94" s="93" t="s">
        <v>103</v>
      </c>
      <c r="C94" s="94">
        <v>17581441</v>
      </c>
      <c r="D94" s="94">
        <v>12613031</v>
      </c>
      <c r="E94" s="94">
        <v>3598291</v>
      </c>
      <c r="F94" s="94">
        <v>398866</v>
      </c>
      <c r="G94" s="94">
        <v>26678784</v>
      </c>
      <c r="H94" s="94">
        <v>12631462</v>
      </c>
      <c r="I94" s="94">
        <v>104027</v>
      </c>
      <c r="J94" s="94">
        <v>3852594</v>
      </c>
      <c r="K94" s="94">
        <v>2376496</v>
      </c>
      <c r="L94" s="94">
        <v>1746039</v>
      </c>
    </row>
    <row r="95" spans="1:12">
      <c r="A95" s="140">
        <v>619</v>
      </c>
      <c r="B95" s="93" t="s">
        <v>104</v>
      </c>
      <c r="C95" s="94">
        <v>26167497224</v>
      </c>
      <c r="D95" s="94">
        <v>18901606134</v>
      </c>
      <c r="E95" s="94">
        <v>5115649181</v>
      </c>
      <c r="F95" s="94">
        <v>202626634</v>
      </c>
      <c r="G95" s="94">
        <v>27304854802</v>
      </c>
      <c r="H95" s="94">
        <v>8704828762</v>
      </c>
      <c r="I95" s="94">
        <v>393101304</v>
      </c>
      <c r="J95" s="94">
        <v>2600782090</v>
      </c>
      <c r="K95" s="94">
        <v>2161237516</v>
      </c>
      <c r="L95" s="94">
        <v>1529432874</v>
      </c>
    </row>
    <row r="96" spans="1:12">
      <c r="A96" s="140">
        <v>621</v>
      </c>
      <c r="B96" s="93" t="s">
        <v>105</v>
      </c>
      <c r="C96" s="94">
        <v>5566623512</v>
      </c>
      <c r="D96" s="94">
        <v>4445013389</v>
      </c>
      <c r="E96" s="94">
        <v>492819946</v>
      </c>
      <c r="F96" s="94">
        <v>135527180</v>
      </c>
      <c r="G96" s="94">
        <v>7390199069</v>
      </c>
      <c r="H96" s="94">
        <v>3169511080</v>
      </c>
      <c r="I96" s="94">
        <v>111879510</v>
      </c>
      <c r="J96" s="94">
        <v>1088154195</v>
      </c>
      <c r="K96" s="94">
        <v>481883040</v>
      </c>
      <c r="L96" s="94">
        <v>480224228</v>
      </c>
    </row>
    <row r="97" spans="1:12">
      <c r="A97" s="140">
        <v>622</v>
      </c>
      <c r="B97" s="93" t="s">
        <v>106</v>
      </c>
      <c r="C97" s="94">
        <v>81684745</v>
      </c>
      <c r="D97" s="94">
        <v>65382475</v>
      </c>
      <c r="E97" s="94">
        <v>9844665</v>
      </c>
      <c r="F97" s="94">
        <v>1582739</v>
      </c>
      <c r="G97" s="94">
        <v>96620356</v>
      </c>
      <c r="H97" s="94">
        <v>21732321</v>
      </c>
      <c r="I97" s="94">
        <v>320745</v>
      </c>
      <c r="J97" s="94">
        <v>19885998</v>
      </c>
      <c r="K97" s="94">
        <v>14883904</v>
      </c>
      <c r="L97" s="94">
        <v>5351068</v>
      </c>
    </row>
    <row r="98" spans="1:12">
      <c r="A98" s="140">
        <v>623</v>
      </c>
      <c r="B98" s="93" t="s">
        <v>107</v>
      </c>
      <c r="C98" s="94">
        <v>5205897344</v>
      </c>
      <c r="D98" s="94">
        <v>4158603308</v>
      </c>
      <c r="E98" s="94">
        <v>448397270</v>
      </c>
      <c r="F98" s="94">
        <v>128800346</v>
      </c>
      <c r="G98" s="94">
        <v>6891854265</v>
      </c>
      <c r="H98" s="94">
        <v>2981381040</v>
      </c>
      <c r="I98" s="94">
        <v>104127342</v>
      </c>
      <c r="J98" s="94">
        <v>1038117738</v>
      </c>
      <c r="K98" s="94">
        <v>459595944</v>
      </c>
      <c r="L98" s="94">
        <v>467359043</v>
      </c>
    </row>
    <row r="99" spans="1:12">
      <c r="A99" s="140">
        <v>624</v>
      </c>
      <c r="B99" s="93" t="s">
        <v>108</v>
      </c>
      <c r="C99" s="94">
        <v>5371041344</v>
      </c>
      <c r="D99" s="94">
        <v>3702019231</v>
      </c>
      <c r="E99" s="94">
        <v>910449813</v>
      </c>
      <c r="F99" s="94">
        <v>125860320</v>
      </c>
      <c r="G99" s="94">
        <v>6102513357</v>
      </c>
      <c r="H99" s="94">
        <v>1788834986</v>
      </c>
      <c r="I99" s="94">
        <v>185073555</v>
      </c>
      <c r="J99" s="94">
        <v>1327707352</v>
      </c>
      <c r="K99" s="94">
        <v>462346671</v>
      </c>
      <c r="L99" s="94">
        <v>500431781</v>
      </c>
    </row>
    <row r="100" spans="1:12">
      <c r="A100" s="140">
        <v>625</v>
      </c>
      <c r="B100" s="93" t="s">
        <v>109</v>
      </c>
      <c r="C100" s="94">
        <v>82808434</v>
      </c>
      <c r="D100" s="94">
        <v>66006359</v>
      </c>
      <c r="E100" s="94">
        <v>9362280</v>
      </c>
      <c r="F100" s="94">
        <v>1469132</v>
      </c>
      <c r="G100" s="94">
        <v>72843317</v>
      </c>
      <c r="H100" s="94">
        <v>32590612</v>
      </c>
      <c r="I100" s="94">
        <v>51433</v>
      </c>
      <c r="J100" s="94">
        <v>15269600</v>
      </c>
      <c r="K100" s="94">
        <v>12517459</v>
      </c>
      <c r="L100" s="94">
        <v>5243576</v>
      </c>
    </row>
    <row r="101" spans="1:12">
      <c r="A101" s="140">
        <v>626</v>
      </c>
      <c r="B101" s="93" t="s">
        <v>110</v>
      </c>
      <c r="C101" s="94">
        <v>5176729679</v>
      </c>
      <c r="D101" s="94">
        <v>4046945601</v>
      </c>
      <c r="E101" s="94">
        <v>525226191</v>
      </c>
      <c r="F101" s="94">
        <v>125844568</v>
      </c>
      <c r="G101" s="94">
        <v>5530061922</v>
      </c>
      <c r="H101" s="94">
        <v>2711928147</v>
      </c>
      <c r="I101" s="94">
        <v>46670422</v>
      </c>
      <c r="J101" s="94">
        <v>1139883881</v>
      </c>
      <c r="K101" s="94">
        <v>526723362</v>
      </c>
      <c r="L101" s="94">
        <v>469185732</v>
      </c>
    </row>
    <row r="102" spans="1:12">
      <c r="A102" s="140">
        <v>627</v>
      </c>
      <c r="B102" s="93" t="s">
        <v>111</v>
      </c>
      <c r="C102" s="94">
        <v>403223289</v>
      </c>
      <c r="D102" s="94">
        <v>298513820</v>
      </c>
      <c r="E102" s="94">
        <v>45773873</v>
      </c>
      <c r="F102" s="94">
        <v>13190804</v>
      </c>
      <c r="G102" s="94">
        <v>474554637</v>
      </c>
      <c r="H102" s="94">
        <v>265626381</v>
      </c>
      <c r="I102" s="94">
        <v>5477063</v>
      </c>
      <c r="J102" s="94">
        <v>80456323</v>
      </c>
      <c r="K102" s="94">
        <v>18402245</v>
      </c>
      <c r="L102" s="94">
        <v>17615188</v>
      </c>
    </row>
    <row r="103" spans="1:12">
      <c r="A103" s="140">
        <v>628</v>
      </c>
      <c r="B103" s="93" t="s">
        <v>112</v>
      </c>
      <c r="C103" s="94">
        <v>6981436003</v>
      </c>
      <c r="D103" s="94">
        <v>5310394880</v>
      </c>
      <c r="E103" s="94">
        <v>888791005</v>
      </c>
      <c r="F103" s="94">
        <v>159665900</v>
      </c>
      <c r="G103" s="94">
        <v>9357572608</v>
      </c>
      <c r="H103" s="94">
        <v>3222823829</v>
      </c>
      <c r="I103" s="94">
        <v>177450218</v>
      </c>
      <c r="J103" s="94">
        <v>1493490496</v>
      </c>
      <c r="K103" s="94">
        <v>925533037</v>
      </c>
      <c r="L103" s="94">
        <v>669071709</v>
      </c>
    </row>
    <row r="104" spans="1:12">
      <c r="A104" s="140">
        <v>629</v>
      </c>
      <c r="B104" s="93" t="s">
        <v>113</v>
      </c>
      <c r="C104" s="94">
        <v>73981315518</v>
      </c>
      <c r="D104" s="94">
        <v>54487510500</v>
      </c>
      <c r="E104" s="94">
        <v>10186590313</v>
      </c>
      <c r="F104" s="94">
        <v>1842503315</v>
      </c>
      <c r="G104" s="94">
        <v>86131159132</v>
      </c>
      <c r="H104" s="94">
        <v>34773453707</v>
      </c>
      <c r="I104" s="94">
        <v>1489250093</v>
      </c>
      <c r="J104" s="94">
        <v>15462760177</v>
      </c>
      <c r="K104" s="94">
        <v>7025864993</v>
      </c>
      <c r="L104" s="94">
        <v>6193750099</v>
      </c>
    </row>
    <row r="105" spans="1:12">
      <c r="A105" s="140">
        <v>631</v>
      </c>
      <c r="B105" s="93" t="s">
        <v>114</v>
      </c>
      <c r="C105" s="94">
        <v>111888568</v>
      </c>
      <c r="D105" s="94">
        <v>80379098</v>
      </c>
      <c r="E105" s="94">
        <v>23707033</v>
      </c>
      <c r="F105" s="94">
        <v>7200507</v>
      </c>
      <c r="G105" s="94">
        <v>156048167</v>
      </c>
      <c r="H105" s="94">
        <v>83166966</v>
      </c>
      <c r="I105" s="94">
        <v>402944</v>
      </c>
      <c r="J105" s="94">
        <v>26060190</v>
      </c>
      <c r="K105" s="94">
        <v>1011811</v>
      </c>
      <c r="L105" s="94">
        <v>1626117</v>
      </c>
    </row>
    <row r="106" spans="1:12">
      <c r="A106" s="140">
        <v>632</v>
      </c>
      <c r="B106" s="93" t="s">
        <v>115</v>
      </c>
      <c r="C106" s="94">
        <v>18500019000</v>
      </c>
      <c r="D106" s="94">
        <v>4738753681</v>
      </c>
      <c r="E106" s="94">
        <v>10288178279</v>
      </c>
      <c r="F106" s="94">
        <v>417257531</v>
      </c>
      <c r="G106" s="94">
        <v>28641121357</v>
      </c>
      <c r="H106" s="94">
        <v>4365230272</v>
      </c>
      <c r="I106" s="94">
        <v>3091459399</v>
      </c>
      <c r="J106" s="94">
        <v>3827280405</v>
      </c>
      <c r="K106" s="94">
        <v>622466746</v>
      </c>
      <c r="L106" s="94">
        <v>971388296</v>
      </c>
    </row>
    <row r="107" spans="1:12">
      <c r="A107" s="140">
        <v>633</v>
      </c>
      <c r="B107" s="93" t="s">
        <v>116</v>
      </c>
      <c r="C107" s="94">
        <v>457009209</v>
      </c>
      <c r="D107" s="94">
        <v>256026290</v>
      </c>
      <c r="E107" s="94">
        <v>112785853</v>
      </c>
      <c r="F107" s="94">
        <v>9488889</v>
      </c>
      <c r="G107" s="94">
        <v>678656787</v>
      </c>
      <c r="H107" s="94">
        <v>265289648</v>
      </c>
      <c r="I107" s="94">
        <v>28770578</v>
      </c>
      <c r="J107" s="94">
        <v>34006765</v>
      </c>
      <c r="K107" s="94">
        <v>58524950</v>
      </c>
      <c r="L107" s="94">
        <v>4232844</v>
      </c>
    </row>
    <row r="108" spans="1:12">
      <c r="A108" s="140">
        <v>634</v>
      </c>
      <c r="B108" s="93" t="s">
        <v>117</v>
      </c>
      <c r="C108" s="94">
        <v>1260408848</v>
      </c>
      <c r="D108" s="94">
        <v>258053720</v>
      </c>
      <c r="E108" s="94">
        <v>756379772</v>
      </c>
      <c r="F108" s="94">
        <v>54256566</v>
      </c>
      <c r="G108" s="94">
        <v>1414084696</v>
      </c>
      <c r="H108" s="94">
        <v>520433435</v>
      </c>
      <c r="I108" s="94">
        <v>10353029</v>
      </c>
      <c r="J108" s="94">
        <v>246399653</v>
      </c>
      <c r="K108" s="94">
        <v>8337690</v>
      </c>
      <c r="L108" s="94">
        <v>13598187</v>
      </c>
    </row>
    <row r="109" spans="1:12">
      <c r="A109" s="140">
        <v>635</v>
      </c>
      <c r="B109" s="93" t="s">
        <v>118</v>
      </c>
      <c r="C109" s="94">
        <v>1921540230</v>
      </c>
      <c r="D109" s="94">
        <v>622005832</v>
      </c>
      <c r="E109" s="94">
        <v>1043230864</v>
      </c>
      <c r="F109" s="94">
        <v>43594533</v>
      </c>
      <c r="G109" s="94">
        <v>2417841499</v>
      </c>
      <c r="H109" s="94">
        <v>483050622</v>
      </c>
      <c r="I109" s="94">
        <v>101211088</v>
      </c>
      <c r="J109" s="94">
        <v>319461576</v>
      </c>
      <c r="K109" s="94">
        <v>41938464</v>
      </c>
      <c r="L109" s="94">
        <v>46233094</v>
      </c>
    </row>
    <row r="110" spans="1:12">
      <c r="A110" s="140">
        <v>636</v>
      </c>
      <c r="B110" s="93" t="s">
        <v>119</v>
      </c>
      <c r="C110" s="94">
        <v>1302786</v>
      </c>
      <c r="D110" s="94">
        <v>303608</v>
      </c>
      <c r="E110" s="94">
        <v>723917</v>
      </c>
      <c r="F110" s="94">
        <v>65716</v>
      </c>
      <c r="G110" s="94">
        <v>1758795</v>
      </c>
      <c r="H110" s="94">
        <v>1536446</v>
      </c>
      <c r="I110" s="94">
        <v>3289</v>
      </c>
      <c r="J110" s="94">
        <v>25344</v>
      </c>
      <c r="K110" s="94">
        <v>24083</v>
      </c>
      <c r="L110" s="94">
        <v>0</v>
      </c>
    </row>
    <row r="111" spans="1:12">
      <c r="A111" s="140">
        <v>637</v>
      </c>
      <c r="B111" s="93" t="s">
        <v>120</v>
      </c>
      <c r="C111" s="94">
        <v>3448319639</v>
      </c>
      <c r="D111" s="94">
        <v>1973394428</v>
      </c>
      <c r="E111" s="94">
        <v>847228033</v>
      </c>
      <c r="F111" s="94">
        <v>217626714</v>
      </c>
      <c r="G111" s="94">
        <v>7276785744</v>
      </c>
      <c r="H111" s="94">
        <v>3588314679</v>
      </c>
      <c r="I111" s="94">
        <v>674308956</v>
      </c>
      <c r="J111" s="94">
        <v>507601954</v>
      </c>
      <c r="K111" s="94">
        <v>178170457</v>
      </c>
      <c r="L111" s="94">
        <v>95901691</v>
      </c>
    </row>
    <row r="112" spans="1:12">
      <c r="A112" s="140">
        <v>639</v>
      </c>
      <c r="B112" s="93" t="s">
        <v>121</v>
      </c>
      <c r="C112" s="94">
        <v>3514468650</v>
      </c>
      <c r="D112" s="94">
        <v>2496164900</v>
      </c>
      <c r="E112" s="94">
        <v>736161724</v>
      </c>
      <c r="F112" s="94">
        <v>35352098</v>
      </c>
      <c r="G112" s="94">
        <v>2804165192</v>
      </c>
      <c r="H112" s="94">
        <v>527738130</v>
      </c>
      <c r="I112" s="94">
        <v>129281284</v>
      </c>
      <c r="J112" s="94">
        <v>555665347</v>
      </c>
      <c r="K112" s="94">
        <v>162483823</v>
      </c>
      <c r="L112" s="94">
        <v>164806341</v>
      </c>
    </row>
    <row r="113" spans="1:12">
      <c r="A113" s="140">
        <v>711</v>
      </c>
      <c r="B113" s="93" t="s">
        <v>6</v>
      </c>
      <c r="C113" s="94">
        <v>120726544</v>
      </c>
      <c r="D113" s="94">
        <v>84890436</v>
      </c>
      <c r="E113" s="94">
        <v>19717650</v>
      </c>
      <c r="F113" s="94">
        <v>8944524</v>
      </c>
      <c r="G113" s="94">
        <v>281047040</v>
      </c>
      <c r="H113" s="94">
        <v>200783064</v>
      </c>
      <c r="I113" s="94">
        <v>2954</v>
      </c>
      <c r="J113" s="94">
        <v>21116036</v>
      </c>
      <c r="K113" s="94">
        <v>695921</v>
      </c>
      <c r="L113" s="94">
        <v>781861</v>
      </c>
    </row>
    <row r="114" spans="1:12">
      <c r="A114" s="140">
        <v>712</v>
      </c>
      <c r="B114" s="93" t="s">
        <v>122</v>
      </c>
      <c r="C114" s="94">
        <v>3278451520</v>
      </c>
      <c r="D114" s="94">
        <v>2724671814</v>
      </c>
      <c r="E114" s="94">
        <v>340388493</v>
      </c>
      <c r="F114" s="94">
        <v>70896181</v>
      </c>
      <c r="G114" s="94">
        <v>4154953981</v>
      </c>
      <c r="H114" s="94">
        <v>1224626065</v>
      </c>
      <c r="I114" s="94">
        <v>15006155</v>
      </c>
      <c r="J114" s="94">
        <v>1582120771</v>
      </c>
      <c r="K114" s="94">
        <v>264856630</v>
      </c>
      <c r="L114" s="94">
        <v>149917997</v>
      </c>
    </row>
    <row r="115" spans="1:12">
      <c r="A115" s="140">
        <v>721</v>
      </c>
      <c r="B115" s="93" t="s">
        <v>123</v>
      </c>
      <c r="C115" s="94">
        <v>1054176313</v>
      </c>
      <c r="D115" s="94">
        <v>846688305</v>
      </c>
      <c r="E115" s="94">
        <v>113912158</v>
      </c>
      <c r="F115" s="94">
        <v>17625283</v>
      </c>
      <c r="G115" s="94">
        <v>1044292842</v>
      </c>
      <c r="H115" s="94">
        <v>492964768</v>
      </c>
      <c r="I115" s="94">
        <v>5807811</v>
      </c>
      <c r="J115" s="94">
        <v>145020496</v>
      </c>
      <c r="K115" s="94">
        <v>183921908</v>
      </c>
      <c r="L115" s="94">
        <v>52354810</v>
      </c>
    </row>
    <row r="116" spans="1:12">
      <c r="A116" s="140">
        <v>722</v>
      </c>
      <c r="B116" s="93" t="s">
        <v>124</v>
      </c>
      <c r="C116" s="94">
        <v>392057108</v>
      </c>
      <c r="D116" s="94">
        <v>294441434</v>
      </c>
      <c r="E116" s="94">
        <v>41744255</v>
      </c>
      <c r="F116" s="94">
        <v>10242335</v>
      </c>
      <c r="G116" s="94">
        <v>388678633</v>
      </c>
      <c r="H116" s="94">
        <v>192968553</v>
      </c>
      <c r="I116" s="94">
        <v>1745905</v>
      </c>
      <c r="J116" s="94">
        <v>38382589</v>
      </c>
      <c r="K116" s="94">
        <v>72068889</v>
      </c>
      <c r="L116" s="94">
        <v>12864586</v>
      </c>
    </row>
    <row r="117" spans="1:12">
      <c r="A117" s="140">
        <v>730</v>
      </c>
      <c r="B117" s="93" t="s">
        <v>35</v>
      </c>
      <c r="C117" s="94">
        <v>855187626</v>
      </c>
      <c r="D117" s="94">
        <v>659214885</v>
      </c>
      <c r="E117" s="94">
        <v>115229522</v>
      </c>
      <c r="F117" s="94">
        <v>24791943</v>
      </c>
      <c r="G117" s="94">
        <v>887136238</v>
      </c>
      <c r="H117" s="94">
        <v>488073982</v>
      </c>
      <c r="I117" s="94">
        <v>5879499</v>
      </c>
      <c r="J117" s="94">
        <v>116539960</v>
      </c>
      <c r="K117" s="94">
        <v>127865074</v>
      </c>
      <c r="L117" s="94">
        <v>43638996</v>
      </c>
    </row>
    <row r="118" spans="1:12">
      <c r="A118" s="140">
        <v>740</v>
      </c>
      <c r="B118" s="93" t="s">
        <v>36</v>
      </c>
      <c r="C118" s="94">
        <v>380173496</v>
      </c>
      <c r="D118" s="94">
        <v>322184809</v>
      </c>
      <c r="E118" s="94">
        <v>19913808</v>
      </c>
      <c r="F118" s="94">
        <v>7002580</v>
      </c>
      <c r="G118" s="94">
        <v>304466639</v>
      </c>
      <c r="H118" s="94">
        <v>98797528</v>
      </c>
      <c r="I118" s="94">
        <v>759404</v>
      </c>
      <c r="J118" s="94">
        <v>44797488</v>
      </c>
      <c r="K118" s="94">
        <v>30022333</v>
      </c>
      <c r="L118" s="94">
        <v>24209010</v>
      </c>
    </row>
    <row r="119" spans="1:12">
      <c r="A119" s="140">
        <v>750</v>
      </c>
      <c r="B119" s="93" t="s">
        <v>37</v>
      </c>
      <c r="C119" s="94">
        <v>2833156638</v>
      </c>
      <c r="D119" s="94">
        <v>1220292138</v>
      </c>
      <c r="E119" s="94">
        <v>1362548903</v>
      </c>
      <c r="F119" s="94">
        <v>57149565</v>
      </c>
      <c r="G119" s="94">
        <v>2831326029</v>
      </c>
      <c r="H119" s="94">
        <v>846448657</v>
      </c>
      <c r="I119" s="94">
        <v>13275205</v>
      </c>
      <c r="J119" s="94">
        <v>205509320</v>
      </c>
      <c r="K119" s="94">
        <v>145123304</v>
      </c>
      <c r="L119" s="94">
        <v>110340145</v>
      </c>
    </row>
    <row r="120" spans="1:12">
      <c r="A120" s="140">
        <v>761</v>
      </c>
      <c r="B120" s="93" t="s">
        <v>125</v>
      </c>
      <c r="C120" s="94">
        <v>1632924903</v>
      </c>
      <c r="D120" s="94">
        <v>1291276819</v>
      </c>
      <c r="E120" s="94">
        <v>200311265</v>
      </c>
      <c r="F120" s="94">
        <v>27822123</v>
      </c>
      <c r="G120" s="94">
        <v>2213197238</v>
      </c>
      <c r="H120" s="94">
        <v>920268115</v>
      </c>
      <c r="I120" s="94">
        <v>10143884</v>
      </c>
      <c r="J120" s="94">
        <v>240074649</v>
      </c>
      <c r="K120" s="94">
        <v>198744443</v>
      </c>
      <c r="L120" s="94">
        <v>59953849</v>
      </c>
    </row>
    <row r="121" spans="1:12">
      <c r="A121" s="140">
        <v>762</v>
      </c>
      <c r="B121" s="93" t="s">
        <v>126</v>
      </c>
      <c r="C121" s="94">
        <v>893211856</v>
      </c>
      <c r="D121" s="94">
        <v>706154993</v>
      </c>
      <c r="E121" s="94">
        <v>104251805</v>
      </c>
      <c r="F121" s="94">
        <v>4905063</v>
      </c>
      <c r="G121" s="94">
        <v>1119548645</v>
      </c>
      <c r="H121" s="94">
        <v>338552690</v>
      </c>
      <c r="I121" s="94">
        <v>8377026</v>
      </c>
      <c r="J121" s="94">
        <v>82440120</v>
      </c>
      <c r="K121" s="94">
        <v>145905196</v>
      </c>
      <c r="L121" s="94">
        <v>47859342</v>
      </c>
    </row>
    <row r="122" spans="1:12">
      <c r="A122" s="140">
        <v>770</v>
      </c>
      <c r="B122" s="93" t="s">
        <v>39</v>
      </c>
      <c r="C122" s="94">
        <v>1032937821</v>
      </c>
      <c r="D122" s="94">
        <v>777576395</v>
      </c>
      <c r="E122" s="94">
        <v>118623919</v>
      </c>
      <c r="F122" s="94">
        <v>14851058</v>
      </c>
      <c r="G122" s="94">
        <v>1597668654</v>
      </c>
      <c r="H122" s="94">
        <v>348325416</v>
      </c>
      <c r="I122" s="94">
        <v>7964323</v>
      </c>
      <c r="J122" s="94">
        <v>174771813</v>
      </c>
      <c r="K122" s="94">
        <v>144032635</v>
      </c>
      <c r="L122" s="94">
        <v>86663483</v>
      </c>
    </row>
    <row r="123" spans="1:12">
      <c r="A123" s="140">
        <v>791</v>
      </c>
      <c r="B123" s="93" t="s">
        <v>127</v>
      </c>
      <c r="C123" s="94">
        <v>1915407666</v>
      </c>
      <c r="D123" s="94">
        <v>1225707664</v>
      </c>
      <c r="E123" s="94">
        <v>515948655</v>
      </c>
      <c r="F123" s="94">
        <v>39136434</v>
      </c>
      <c r="G123" s="94">
        <v>2736160648</v>
      </c>
      <c r="H123" s="94">
        <v>1175046534</v>
      </c>
      <c r="I123" s="94">
        <v>29156954</v>
      </c>
      <c r="J123" s="94">
        <v>275477183</v>
      </c>
      <c r="K123" s="94">
        <v>121614603</v>
      </c>
      <c r="L123" s="94">
        <v>106166239</v>
      </c>
    </row>
    <row r="124" spans="1:12">
      <c r="A124" s="140">
        <v>792</v>
      </c>
      <c r="B124" s="93" t="s">
        <v>128</v>
      </c>
      <c r="C124" s="94">
        <v>4330224853</v>
      </c>
      <c r="D124" s="94">
        <v>3017977453</v>
      </c>
      <c r="E124" s="94">
        <v>998945000</v>
      </c>
      <c r="F124" s="94">
        <v>76074404</v>
      </c>
      <c r="G124" s="94">
        <v>6139609913</v>
      </c>
      <c r="H124" s="94">
        <v>2123859667</v>
      </c>
      <c r="I124" s="94">
        <v>273353400</v>
      </c>
      <c r="J124" s="94">
        <v>374233817</v>
      </c>
      <c r="K124" s="94">
        <v>478637727</v>
      </c>
      <c r="L124" s="94">
        <v>349068519</v>
      </c>
    </row>
    <row r="125" spans="1:12">
      <c r="A125" s="140">
        <v>793</v>
      </c>
      <c r="B125" s="93" t="s">
        <v>129</v>
      </c>
      <c r="C125" s="94">
        <v>229120219</v>
      </c>
      <c r="D125" s="94">
        <v>189640404</v>
      </c>
      <c r="E125" s="94">
        <v>20724601</v>
      </c>
      <c r="F125" s="94">
        <v>4463284</v>
      </c>
      <c r="G125" s="94">
        <v>303764869</v>
      </c>
      <c r="H125" s="94">
        <v>175999552</v>
      </c>
      <c r="I125" s="94">
        <v>3412891</v>
      </c>
      <c r="J125" s="94">
        <v>32016272</v>
      </c>
      <c r="K125" s="94">
        <v>30737850</v>
      </c>
      <c r="L125" s="94">
        <v>18505149</v>
      </c>
    </row>
    <row r="126" spans="1:12">
      <c r="A126" s="140">
        <v>794</v>
      </c>
      <c r="B126" s="93" t="s">
        <v>130</v>
      </c>
      <c r="C126" s="94">
        <v>1647182463</v>
      </c>
      <c r="D126" s="94">
        <v>1244975762</v>
      </c>
      <c r="E126" s="94">
        <v>229061333</v>
      </c>
      <c r="F126" s="94">
        <v>30856067</v>
      </c>
      <c r="G126" s="94">
        <v>1430455818</v>
      </c>
      <c r="H126" s="94">
        <v>594733464</v>
      </c>
      <c r="I126" s="94">
        <v>9209799</v>
      </c>
      <c r="J126" s="94">
        <v>278272491</v>
      </c>
      <c r="K126" s="94">
        <v>181042640</v>
      </c>
      <c r="L126" s="94">
        <v>119667840</v>
      </c>
    </row>
    <row r="127" spans="1:12">
      <c r="A127" s="140">
        <v>795</v>
      </c>
      <c r="B127" s="93" t="s">
        <v>131</v>
      </c>
      <c r="C127" s="94">
        <v>4326506540</v>
      </c>
      <c r="D127" s="94">
        <v>2656088050</v>
      </c>
      <c r="E127" s="94">
        <v>1078860865</v>
      </c>
      <c r="F127" s="94">
        <v>88680386</v>
      </c>
      <c r="G127" s="94">
        <v>6010783200</v>
      </c>
      <c r="H127" s="94">
        <v>1697926971</v>
      </c>
      <c r="I127" s="94">
        <v>67484481</v>
      </c>
      <c r="J127" s="94">
        <v>639233289</v>
      </c>
      <c r="K127" s="94">
        <v>2034083916</v>
      </c>
      <c r="L127" s="94">
        <v>187562321</v>
      </c>
    </row>
    <row r="128" spans="1:12">
      <c r="A128" s="140">
        <v>799</v>
      </c>
      <c r="B128" s="93" t="s">
        <v>132</v>
      </c>
      <c r="C128" s="94">
        <v>4326506540</v>
      </c>
      <c r="D128" s="94">
        <v>2656088050</v>
      </c>
      <c r="E128" s="94">
        <v>1078860865</v>
      </c>
      <c r="F128" s="94">
        <v>88680386</v>
      </c>
      <c r="G128" s="94">
        <v>6010783200</v>
      </c>
      <c r="H128" s="94">
        <v>1697926971</v>
      </c>
      <c r="I128" s="94">
        <v>67484481</v>
      </c>
      <c r="J128" s="94">
        <v>639233289</v>
      </c>
      <c r="K128" s="94">
        <v>2034083916</v>
      </c>
      <c r="L128" s="94">
        <v>187562321</v>
      </c>
    </row>
    <row r="129" spans="1:12">
      <c r="A129" s="140">
        <v>811</v>
      </c>
      <c r="B129" s="93" t="s">
        <v>133</v>
      </c>
      <c r="C129" s="94">
        <v>3377079509</v>
      </c>
      <c r="D129" s="94">
        <v>1492041186</v>
      </c>
      <c r="E129" s="94">
        <v>1159017373</v>
      </c>
      <c r="F129" s="94">
        <v>24854626</v>
      </c>
      <c r="G129" s="94">
        <v>6483278349</v>
      </c>
      <c r="H129" s="94">
        <v>1653180658</v>
      </c>
      <c r="I129" s="94">
        <v>2944952894</v>
      </c>
      <c r="J129" s="94">
        <v>702601486</v>
      </c>
      <c r="K129" s="94">
        <v>199408069</v>
      </c>
      <c r="L129" s="94">
        <v>199137130</v>
      </c>
    </row>
    <row r="130" spans="1:12">
      <c r="A130" s="140">
        <v>812</v>
      </c>
      <c r="B130" s="93" t="s">
        <v>134</v>
      </c>
      <c r="C130" s="94">
        <v>1354497473</v>
      </c>
      <c r="D130" s="94">
        <v>584618173</v>
      </c>
      <c r="E130" s="94">
        <v>426843740</v>
      </c>
      <c r="F130" s="94">
        <v>7941456</v>
      </c>
      <c r="G130" s="94">
        <v>2447677653</v>
      </c>
      <c r="H130" s="94">
        <v>345329307</v>
      </c>
      <c r="I130" s="94">
        <v>12002537</v>
      </c>
      <c r="J130" s="94">
        <v>275722781</v>
      </c>
      <c r="K130" s="94">
        <v>116291820</v>
      </c>
      <c r="L130" s="94">
        <v>56160632</v>
      </c>
    </row>
    <row r="131" spans="1:12">
      <c r="A131" s="140">
        <v>821</v>
      </c>
      <c r="B131" s="93" t="s">
        <v>146</v>
      </c>
      <c r="C131" s="94">
        <v>2036687362</v>
      </c>
      <c r="D131" s="94">
        <v>1241446501</v>
      </c>
      <c r="E131" s="94">
        <v>497552061</v>
      </c>
      <c r="F131" s="94">
        <v>13657837</v>
      </c>
      <c r="G131" s="94">
        <v>1694839684</v>
      </c>
      <c r="H131" s="94">
        <v>547930867</v>
      </c>
      <c r="I131" s="94">
        <v>14818799</v>
      </c>
      <c r="J131" s="94">
        <v>160043338</v>
      </c>
      <c r="K131" s="94">
        <v>212300756</v>
      </c>
      <c r="L131" s="94">
        <v>78706660</v>
      </c>
    </row>
    <row r="132" spans="1:12">
      <c r="A132" s="140">
        <v>822</v>
      </c>
      <c r="B132" s="93" t="s">
        <v>146</v>
      </c>
      <c r="C132" s="94">
        <v>524108</v>
      </c>
      <c r="D132" s="94">
        <v>285649</v>
      </c>
      <c r="E132" s="94">
        <v>102996</v>
      </c>
      <c r="F132" s="94">
        <v>1690</v>
      </c>
      <c r="G132" s="94">
        <v>4530366</v>
      </c>
      <c r="H132" s="94">
        <v>3696882</v>
      </c>
      <c r="I132" s="94">
        <v>0</v>
      </c>
      <c r="J132" s="94">
        <v>12601</v>
      </c>
      <c r="K132" s="94">
        <v>12754</v>
      </c>
      <c r="L132" s="94">
        <v>0</v>
      </c>
    </row>
    <row r="133" spans="1:12">
      <c r="A133" s="140">
        <v>911</v>
      </c>
      <c r="B133" s="93" t="s">
        <v>135</v>
      </c>
      <c r="C133" s="94">
        <v>281090163</v>
      </c>
      <c r="D133" s="94">
        <v>202241595</v>
      </c>
      <c r="E133" s="94">
        <v>44339895</v>
      </c>
      <c r="F133" s="94">
        <v>5562038</v>
      </c>
      <c r="G133" s="94">
        <v>390365646</v>
      </c>
      <c r="H133" s="94">
        <v>149704227</v>
      </c>
      <c r="I133" s="94">
        <v>2095073</v>
      </c>
      <c r="J133" s="94">
        <v>63849669</v>
      </c>
      <c r="K133" s="94">
        <v>25619031</v>
      </c>
      <c r="L133" s="94">
        <v>30646998</v>
      </c>
    </row>
    <row r="134" spans="1:12">
      <c r="A134" s="140">
        <v>912</v>
      </c>
      <c r="B134" s="93" t="s">
        <v>136</v>
      </c>
      <c r="C134" s="94">
        <v>1129856298</v>
      </c>
      <c r="D134" s="94">
        <v>674401729</v>
      </c>
      <c r="E134" s="94">
        <v>334050683</v>
      </c>
      <c r="F134" s="94">
        <v>6967527</v>
      </c>
      <c r="G134" s="94">
        <v>1321348851</v>
      </c>
      <c r="H134" s="94">
        <v>346790228</v>
      </c>
      <c r="I134" s="94">
        <v>192603073</v>
      </c>
      <c r="J134" s="94">
        <v>187796428</v>
      </c>
      <c r="K134" s="94">
        <v>96162189</v>
      </c>
      <c r="L134" s="94">
        <v>75938726</v>
      </c>
    </row>
    <row r="135" spans="1:12">
      <c r="A135" s="140">
        <v>913</v>
      </c>
      <c r="B135" s="93" t="s">
        <v>137</v>
      </c>
      <c r="C135" s="94">
        <v>18113432456</v>
      </c>
      <c r="D135" s="94">
        <v>13828458667</v>
      </c>
      <c r="E135" s="94">
        <v>1948667767</v>
      </c>
      <c r="F135" s="94">
        <v>582819831</v>
      </c>
      <c r="G135" s="94">
        <v>21411429230</v>
      </c>
      <c r="H135" s="94">
        <v>10232903684</v>
      </c>
      <c r="I135" s="94">
        <v>137836909</v>
      </c>
      <c r="J135" s="94">
        <v>4001559225</v>
      </c>
      <c r="K135" s="94">
        <v>1612785412</v>
      </c>
      <c r="L135" s="94">
        <v>1460797617</v>
      </c>
    </row>
    <row r="136" spans="1:12">
      <c r="A136" s="140">
        <v>914</v>
      </c>
      <c r="B136" s="93" t="s">
        <v>138</v>
      </c>
      <c r="C136" s="94">
        <v>7934558707</v>
      </c>
      <c r="D136" s="94">
        <v>4333609866</v>
      </c>
      <c r="E136" s="94">
        <v>2668757277</v>
      </c>
      <c r="F136" s="94">
        <v>111714021</v>
      </c>
      <c r="G136" s="94">
        <v>7897123893</v>
      </c>
      <c r="H136" s="94">
        <v>1779500820</v>
      </c>
      <c r="I136" s="94">
        <v>100354402</v>
      </c>
      <c r="J136" s="94">
        <v>909608040</v>
      </c>
      <c r="K136" s="94">
        <v>715842086</v>
      </c>
      <c r="L136" s="94">
        <v>457789178</v>
      </c>
    </row>
    <row r="137" spans="1:12">
      <c r="A137" s="140">
        <v>915</v>
      </c>
      <c r="B137" s="93" t="s">
        <v>139</v>
      </c>
      <c r="C137" s="94">
        <v>10834658037</v>
      </c>
      <c r="D137" s="94">
        <v>8629435434</v>
      </c>
      <c r="E137" s="94">
        <v>1014820074</v>
      </c>
      <c r="F137" s="94">
        <v>301078850</v>
      </c>
      <c r="G137" s="94">
        <v>12560731730</v>
      </c>
      <c r="H137" s="94">
        <v>5254338995</v>
      </c>
      <c r="I137" s="94">
        <v>243085004</v>
      </c>
      <c r="J137" s="94">
        <v>2097258087</v>
      </c>
      <c r="K137" s="94">
        <v>922621644</v>
      </c>
      <c r="L137" s="94">
        <v>816398960</v>
      </c>
    </row>
    <row r="138" spans="1:12">
      <c r="A138" s="140">
        <v>919</v>
      </c>
      <c r="B138" s="93" t="s">
        <v>140</v>
      </c>
      <c r="C138" s="94">
        <v>2490116739</v>
      </c>
      <c r="D138" s="94">
        <v>1867529989</v>
      </c>
      <c r="E138" s="94">
        <v>313991074</v>
      </c>
      <c r="F138" s="94">
        <v>48661393</v>
      </c>
      <c r="G138" s="94">
        <v>3321331212</v>
      </c>
      <c r="H138" s="94">
        <v>1194322591</v>
      </c>
      <c r="I138" s="94">
        <v>64320026</v>
      </c>
      <c r="J138" s="94">
        <v>503285949</v>
      </c>
      <c r="K138" s="94">
        <v>304133963</v>
      </c>
      <c r="L138" s="94">
        <v>214197939</v>
      </c>
    </row>
    <row r="139" spans="1:12">
      <c r="A139" s="140">
        <v>921</v>
      </c>
      <c r="B139" s="93" t="s">
        <v>141</v>
      </c>
      <c r="C139" s="94">
        <v>457009209</v>
      </c>
      <c r="D139" s="94">
        <v>256026290</v>
      </c>
      <c r="E139" s="94">
        <v>112785853</v>
      </c>
      <c r="F139" s="94">
        <v>9488889</v>
      </c>
      <c r="G139" s="94">
        <v>678656787</v>
      </c>
      <c r="H139" s="94">
        <v>265289648</v>
      </c>
      <c r="I139" s="94">
        <v>28770578</v>
      </c>
      <c r="J139" s="94">
        <v>34006765</v>
      </c>
      <c r="K139" s="94">
        <v>58524950</v>
      </c>
      <c r="L139" s="94">
        <v>4232844</v>
      </c>
    </row>
    <row r="140" spans="1:12">
      <c r="A140" s="140">
        <v>922</v>
      </c>
      <c r="B140" s="93" t="s">
        <v>142</v>
      </c>
      <c r="C140" s="94">
        <v>18500019000</v>
      </c>
      <c r="D140" s="94">
        <v>4738753681</v>
      </c>
      <c r="E140" s="94">
        <v>10288178279</v>
      </c>
      <c r="F140" s="94">
        <v>417257531</v>
      </c>
      <c r="G140" s="94">
        <v>28641121357</v>
      </c>
      <c r="H140" s="94">
        <v>4365230272</v>
      </c>
      <c r="I140" s="94">
        <v>3091459399</v>
      </c>
      <c r="J140" s="94">
        <v>3827280405</v>
      </c>
      <c r="K140" s="94">
        <v>622466746</v>
      </c>
      <c r="L140" s="94">
        <v>971388296</v>
      </c>
    </row>
    <row r="141" spans="1:12">
      <c r="A141" s="140">
        <v>923</v>
      </c>
      <c r="B141" s="93" t="s">
        <v>143</v>
      </c>
      <c r="C141" s="94">
        <v>1260408848</v>
      </c>
      <c r="D141" s="94">
        <v>258053720</v>
      </c>
      <c r="E141" s="94">
        <v>756379772</v>
      </c>
      <c r="F141" s="94">
        <v>54256566</v>
      </c>
      <c r="G141" s="94">
        <v>1414084696</v>
      </c>
      <c r="H141" s="94">
        <v>520433435</v>
      </c>
      <c r="I141" s="94">
        <v>10353029</v>
      </c>
      <c r="J141" s="94">
        <v>246399653</v>
      </c>
      <c r="K141" s="94">
        <v>8337690</v>
      </c>
      <c r="L141" s="94">
        <v>13598187</v>
      </c>
    </row>
    <row r="142" spans="1:12">
      <c r="A142" s="140">
        <v>924</v>
      </c>
      <c r="B142" s="93" t="s">
        <v>144</v>
      </c>
      <c r="C142" s="94">
        <v>3448319639</v>
      </c>
      <c r="D142" s="94">
        <v>1973394428</v>
      </c>
      <c r="E142" s="94">
        <v>847228033</v>
      </c>
      <c r="F142" s="94">
        <v>217626714</v>
      </c>
      <c r="G142" s="94">
        <v>7276785744</v>
      </c>
      <c r="H142" s="94">
        <v>3588314679</v>
      </c>
      <c r="I142" s="94">
        <v>674308956</v>
      </c>
      <c r="J142" s="94">
        <v>507601954</v>
      </c>
      <c r="K142" s="94">
        <v>178170457</v>
      </c>
      <c r="L142" s="94">
        <v>95901691</v>
      </c>
    </row>
    <row r="143" spans="1:12">
      <c r="A143" s="140">
        <v>929</v>
      </c>
      <c r="B143" s="93" t="s">
        <v>145</v>
      </c>
      <c r="C143" s="94">
        <v>453450737</v>
      </c>
      <c r="D143" s="94">
        <v>138123332</v>
      </c>
      <c r="E143" s="94">
        <v>269395447</v>
      </c>
      <c r="F143" s="94">
        <v>8198946</v>
      </c>
      <c r="G143" s="94">
        <v>413314142</v>
      </c>
      <c r="H143" s="94">
        <v>105793531</v>
      </c>
      <c r="I143" s="94">
        <v>25533263</v>
      </c>
      <c r="J143" s="94">
        <v>45973448</v>
      </c>
      <c r="K143" s="94">
        <v>5041579</v>
      </c>
      <c r="L143" s="94">
        <v>18502452</v>
      </c>
    </row>
  </sheetData>
  <mergeCells count="3">
    <mergeCell ref="C1:E1"/>
    <mergeCell ref="G1:I1"/>
    <mergeCell ref="J1:L1"/>
  </mergeCells>
  <phoneticPr fontId="11"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O143"/>
  <sheetViews>
    <sheetView topLeftCell="A102" workbookViewId="0">
      <selection activeCell="B122" sqref="B122"/>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9" width="10.88671875" style="95" bestFit="1" customWidth="1"/>
    <col min="10"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775237237</v>
      </c>
      <c r="D3" s="94">
        <v>603180331</v>
      </c>
      <c r="E3" s="94">
        <v>133895325</v>
      </c>
      <c r="F3" s="94">
        <v>15300110</v>
      </c>
      <c r="G3" s="94">
        <v>1062335953</v>
      </c>
      <c r="H3" s="94">
        <v>598116363</v>
      </c>
      <c r="I3" s="94">
        <v>16156881</v>
      </c>
      <c r="J3" s="94">
        <v>93966393</v>
      </c>
      <c r="K3" s="94">
        <v>157722373</v>
      </c>
      <c r="L3" s="94">
        <v>29406158</v>
      </c>
    </row>
    <row r="4" spans="1:15">
      <c r="A4" s="140">
        <v>12</v>
      </c>
      <c r="B4" s="93" t="s">
        <v>2</v>
      </c>
      <c r="C4" s="94">
        <v>2551921607</v>
      </c>
      <c r="D4" s="94">
        <v>2380173878</v>
      </c>
      <c r="E4" s="94">
        <v>168843972</v>
      </c>
      <c r="F4" s="94">
        <v>75517235</v>
      </c>
      <c r="G4" s="94">
        <v>2689436183</v>
      </c>
      <c r="H4" s="94">
        <v>1473970868</v>
      </c>
      <c r="I4" s="94">
        <v>5120649</v>
      </c>
      <c r="J4" s="94">
        <v>243434368</v>
      </c>
      <c r="K4" s="94">
        <v>482147693</v>
      </c>
      <c r="L4" s="94">
        <v>325762668</v>
      </c>
    </row>
    <row r="5" spans="1:15">
      <c r="A5" s="140">
        <v>21</v>
      </c>
      <c r="B5" s="93" t="s">
        <v>19</v>
      </c>
      <c r="C5" s="94">
        <v>40743024952</v>
      </c>
      <c r="D5" s="94">
        <v>29302037146</v>
      </c>
      <c r="E5" s="94">
        <v>9134141254</v>
      </c>
      <c r="F5" s="94">
        <v>606165097</v>
      </c>
      <c r="G5" s="94">
        <v>44506431300</v>
      </c>
      <c r="H5" s="94">
        <v>14994730743</v>
      </c>
      <c r="I5" s="94">
        <v>971965400</v>
      </c>
      <c r="J5" s="94">
        <v>9120660338</v>
      </c>
      <c r="K5" s="94">
        <v>6384505995</v>
      </c>
      <c r="L5" s="94">
        <v>3579611662</v>
      </c>
    </row>
    <row r="6" spans="1:15">
      <c r="A6" s="140">
        <v>22</v>
      </c>
      <c r="B6" s="93" t="s">
        <v>20</v>
      </c>
      <c r="C6" s="94">
        <v>120115466596</v>
      </c>
      <c r="D6" s="94">
        <v>98409181068</v>
      </c>
      <c r="E6" s="94">
        <v>15594015172</v>
      </c>
      <c r="F6" s="94">
        <v>2577223710</v>
      </c>
      <c r="G6" s="94">
        <v>115171386836</v>
      </c>
      <c r="H6" s="94">
        <v>45365631604</v>
      </c>
      <c r="I6" s="94">
        <v>2014423502</v>
      </c>
      <c r="J6" s="94">
        <v>23951291536</v>
      </c>
      <c r="K6" s="94">
        <v>14032390828</v>
      </c>
      <c r="L6" s="94">
        <v>11860229093</v>
      </c>
    </row>
    <row r="7" spans="1:15">
      <c r="A7" s="140">
        <v>23</v>
      </c>
      <c r="B7" s="93" t="s">
        <v>21</v>
      </c>
      <c r="C7" s="94">
        <v>74613979388</v>
      </c>
      <c r="D7" s="94">
        <v>48838987846</v>
      </c>
      <c r="E7" s="94">
        <v>22243699124</v>
      </c>
      <c r="F7" s="94">
        <v>1235241076</v>
      </c>
      <c r="G7" s="94">
        <v>71825012384</v>
      </c>
      <c r="H7" s="94">
        <v>16525628525</v>
      </c>
      <c r="I7" s="94">
        <v>4279846486</v>
      </c>
      <c r="J7" s="94">
        <v>14553291657</v>
      </c>
      <c r="K7" s="94">
        <v>2611839952</v>
      </c>
      <c r="L7" s="94">
        <v>5879696506</v>
      </c>
    </row>
    <row r="8" spans="1:15">
      <c r="A8" s="140">
        <v>31</v>
      </c>
      <c r="B8" s="93" t="s">
        <v>22</v>
      </c>
      <c r="C8" s="94">
        <v>24436985</v>
      </c>
      <c r="D8" s="94">
        <v>16842989</v>
      </c>
      <c r="E8" s="94">
        <v>6845861</v>
      </c>
      <c r="F8" s="94">
        <v>608518</v>
      </c>
      <c r="G8" s="94">
        <v>30732674</v>
      </c>
      <c r="H8" s="94">
        <v>10039682</v>
      </c>
      <c r="I8" s="94">
        <v>1452</v>
      </c>
      <c r="J8" s="94">
        <v>2683353</v>
      </c>
      <c r="K8" s="94">
        <v>2772689</v>
      </c>
      <c r="L8" s="94">
        <v>659651</v>
      </c>
    </row>
    <row r="9" spans="1:15">
      <c r="A9" s="140">
        <v>39</v>
      </c>
      <c r="B9" s="93" t="s">
        <v>23</v>
      </c>
      <c r="C9" s="94">
        <v>1516398</v>
      </c>
      <c r="D9" s="94">
        <v>1415121</v>
      </c>
      <c r="E9" s="94">
        <v>51949</v>
      </c>
      <c r="F9" s="94">
        <v>0</v>
      </c>
      <c r="G9" s="94">
        <v>588520</v>
      </c>
      <c r="H9" s="94">
        <v>0</v>
      </c>
      <c r="I9" s="94">
        <v>2500</v>
      </c>
      <c r="J9" s="94">
        <v>109800</v>
      </c>
      <c r="K9" s="94">
        <v>30704</v>
      </c>
      <c r="L9" s="94">
        <v>29260</v>
      </c>
    </row>
    <row r="10" spans="1:15">
      <c r="A10" s="140">
        <v>41</v>
      </c>
      <c r="B10" s="93" t="s">
        <v>24</v>
      </c>
      <c r="C10" s="94">
        <v>8094813389</v>
      </c>
      <c r="D10" s="94">
        <v>6718903274</v>
      </c>
      <c r="E10" s="94">
        <v>1044532158</v>
      </c>
      <c r="F10" s="94">
        <v>111073750</v>
      </c>
      <c r="G10" s="94">
        <v>7709944547</v>
      </c>
      <c r="H10" s="94">
        <v>3430512518</v>
      </c>
      <c r="I10" s="94">
        <v>43416854</v>
      </c>
      <c r="J10" s="94">
        <v>1400201033</v>
      </c>
      <c r="K10" s="94">
        <v>1027050877</v>
      </c>
      <c r="L10" s="94">
        <v>824020853</v>
      </c>
    </row>
    <row r="11" spans="1:15">
      <c r="A11" s="140">
        <v>42</v>
      </c>
      <c r="B11" s="93" t="s">
        <v>25</v>
      </c>
      <c r="C11" s="94">
        <v>11050501653</v>
      </c>
      <c r="D11" s="94">
        <v>8508453506</v>
      </c>
      <c r="E11" s="94">
        <v>2091976629</v>
      </c>
      <c r="F11" s="94">
        <v>220661993</v>
      </c>
      <c r="G11" s="94">
        <v>11352184974</v>
      </c>
      <c r="H11" s="94">
        <v>5297349514</v>
      </c>
      <c r="I11" s="94">
        <v>112753044</v>
      </c>
      <c r="J11" s="94">
        <v>1871920623</v>
      </c>
      <c r="K11" s="94">
        <v>1316191158</v>
      </c>
      <c r="L11" s="94">
        <v>836104509</v>
      </c>
    </row>
    <row r="12" spans="1:15">
      <c r="A12" s="140">
        <v>43</v>
      </c>
      <c r="B12" s="93" t="s">
        <v>26</v>
      </c>
      <c r="C12" s="94">
        <v>33932556480</v>
      </c>
      <c r="D12" s="94">
        <v>28627158575</v>
      </c>
      <c r="E12" s="94">
        <v>3624804543</v>
      </c>
      <c r="F12" s="94">
        <v>662328464</v>
      </c>
      <c r="G12" s="94">
        <v>30341658662</v>
      </c>
      <c r="H12" s="94">
        <v>11290242380</v>
      </c>
      <c r="I12" s="94">
        <v>728128952</v>
      </c>
      <c r="J12" s="94">
        <v>6662948290</v>
      </c>
      <c r="K12" s="94">
        <v>4007152633</v>
      </c>
      <c r="L12" s="94">
        <v>3499774734</v>
      </c>
    </row>
    <row r="13" spans="1:15">
      <c r="A13" s="140">
        <v>44</v>
      </c>
      <c r="B13" s="93" t="s">
        <v>27</v>
      </c>
      <c r="C13" s="94">
        <v>56601628379</v>
      </c>
      <c r="D13" s="94">
        <v>36985846310</v>
      </c>
      <c r="E13" s="94">
        <v>17170371900</v>
      </c>
      <c r="F13" s="94">
        <v>1000634294</v>
      </c>
      <c r="G13" s="94">
        <v>51576292568</v>
      </c>
      <c r="H13" s="94">
        <v>12263892593</v>
      </c>
      <c r="I13" s="94">
        <v>3821626142</v>
      </c>
      <c r="J13" s="94">
        <v>10275595619</v>
      </c>
      <c r="K13" s="94">
        <v>2047681944</v>
      </c>
      <c r="L13" s="94">
        <v>4465096485</v>
      </c>
    </row>
    <row r="14" spans="1:15">
      <c r="A14" s="140">
        <v>51</v>
      </c>
      <c r="B14" s="93" t="s">
        <v>28</v>
      </c>
      <c r="C14" s="94">
        <v>2213959462</v>
      </c>
      <c r="D14" s="94">
        <v>2033201113</v>
      </c>
      <c r="E14" s="94">
        <v>163557062</v>
      </c>
      <c r="F14" s="94">
        <v>21882241</v>
      </c>
      <c r="G14" s="94">
        <v>2813632816</v>
      </c>
      <c r="H14" s="94">
        <v>891447874</v>
      </c>
      <c r="I14" s="94">
        <v>3500612</v>
      </c>
      <c r="J14" s="94">
        <v>161414208</v>
      </c>
      <c r="K14" s="94">
        <v>328494000</v>
      </c>
      <c r="L14" s="94">
        <v>100710655</v>
      </c>
    </row>
    <row r="15" spans="1:15">
      <c r="A15" s="140">
        <v>52</v>
      </c>
      <c r="B15" s="93" t="s">
        <v>29</v>
      </c>
      <c r="C15" s="94">
        <v>111766642</v>
      </c>
      <c r="D15" s="94">
        <v>96954098</v>
      </c>
      <c r="E15" s="94">
        <v>9094322</v>
      </c>
      <c r="F15" s="94">
        <v>3931639</v>
      </c>
      <c r="G15" s="94">
        <v>168419200</v>
      </c>
      <c r="H15" s="94">
        <v>77322574</v>
      </c>
      <c r="I15" s="94">
        <v>1844932</v>
      </c>
      <c r="J15" s="94">
        <v>8677504</v>
      </c>
      <c r="K15" s="94">
        <v>54975238</v>
      </c>
      <c r="L15" s="94">
        <v>6238618</v>
      </c>
    </row>
    <row r="16" spans="1:15">
      <c r="A16" s="140">
        <v>61</v>
      </c>
      <c r="B16" s="93" t="s">
        <v>30</v>
      </c>
      <c r="C16" s="94">
        <v>89987377860</v>
      </c>
      <c r="D16" s="94">
        <v>80536675703</v>
      </c>
      <c r="E16" s="94">
        <v>4975794311</v>
      </c>
      <c r="F16" s="94">
        <v>247606965</v>
      </c>
      <c r="G16" s="94">
        <v>63853747932</v>
      </c>
      <c r="H16" s="94">
        <v>25965972807</v>
      </c>
      <c r="I16" s="94">
        <v>612561452</v>
      </c>
      <c r="J16" s="94">
        <v>10284891479</v>
      </c>
      <c r="K16" s="94">
        <v>7754747848</v>
      </c>
      <c r="L16" s="94">
        <v>5969786419</v>
      </c>
    </row>
    <row r="17" spans="1:12">
      <c r="A17" s="140">
        <v>62</v>
      </c>
      <c r="B17" s="93" t="s">
        <v>31</v>
      </c>
      <c r="C17" s="94">
        <v>310307450068</v>
      </c>
      <c r="D17" s="94">
        <v>265864026516</v>
      </c>
      <c r="E17" s="94">
        <v>30390202200</v>
      </c>
      <c r="F17" s="94">
        <v>5468416423</v>
      </c>
      <c r="G17" s="94">
        <v>314298950896</v>
      </c>
      <c r="H17" s="94">
        <v>107879345007</v>
      </c>
      <c r="I17" s="94">
        <v>5206924928</v>
      </c>
      <c r="J17" s="94">
        <v>72972956116</v>
      </c>
      <c r="K17" s="94">
        <v>30273120920</v>
      </c>
      <c r="L17" s="94">
        <v>32656295295</v>
      </c>
    </row>
    <row r="18" spans="1:12">
      <c r="A18" s="140">
        <v>63</v>
      </c>
      <c r="B18" s="93" t="s">
        <v>32</v>
      </c>
      <c r="C18" s="94">
        <v>85920037983</v>
      </c>
      <c r="D18" s="94">
        <v>58411626512</v>
      </c>
      <c r="E18" s="94">
        <v>23690945405</v>
      </c>
      <c r="F18" s="94">
        <v>1302492059</v>
      </c>
      <c r="G18" s="94">
        <v>72177630395</v>
      </c>
      <c r="H18" s="94">
        <v>16823769282</v>
      </c>
      <c r="I18" s="94">
        <v>4285606627</v>
      </c>
      <c r="J18" s="94">
        <v>15720862315</v>
      </c>
      <c r="K18" s="94">
        <v>2687838148</v>
      </c>
      <c r="L18" s="94">
        <v>6523903827</v>
      </c>
    </row>
    <row r="19" spans="1:12">
      <c r="A19" s="140">
        <v>71</v>
      </c>
      <c r="B19" s="93" t="s">
        <v>33</v>
      </c>
      <c r="C19" s="94">
        <v>10810776387</v>
      </c>
      <c r="D19" s="94">
        <v>9610203407</v>
      </c>
      <c r="E19" s="94">
        <v>970748122</v>
      </c>
      <c r="F19" s="94">
        <v>138681619</v>
      </c>
      <c r="G19" s="94">
        <v>5301679477</v>
      </c>
      <c r="H19" s="94">
        <v>2418138242</v>
      </c>
      <c r="I19" s="94">
        <v>21871642</v>
      </c>
      <c r="J19" s="94">
        <v>941887475</v>
      </c>
      <c r="K19" s="94">
        <v>737231460</v>
      </c>
      <c r="L19" s="94">
        <v>461455835</v>
      </c>
    </row>
    <row r="20" spans="1:12">
      <c r="A20" s="140">
        <v>72</v>
      </c>
      <c r="B20" s="93" t="s">
        <v>34</v>
      </c>
      <c r="C20" s="94">
        <v>5360900319</v>
      </c>
      <c r="D20" s="94">
        <v>4425834026</v>
      </c>
      <c r="E20" s="94">
        <v>766210435</v>
      </c>
      <c r="F20" s="94">
        <v>54788959</v>
      </c>
      <c r="G20" s="94">
        <v>3676439830</v>
      </c>
      <c r="H20" s="94">
        <v>1336361655</v>
      </c>
      <c r="I20" s="94">
        <v>15981479</v>
      </c>
      <c r="J20" s="94">
        <v>509579574</v>
      </c>
      <c r="K20" s="94">
        <v>793504305</v>
      </c>
      <c r="L20" s="94">
        <v>293707930</v>
      </c>
    </row>
    <row r="21" spans="1:12">
      <c r="A21" s="140">
        <v>73</v>
      </c>
      <c r="B21" s="93" t="s">
        <v>35</v>
      </c>
      <c r="C21" s="94">
        <v>2652055442</v>
      </c>
      <c r="D21" s="94">
        <v>2164998869</v>
      </c>
      <c r="E21" s="94">
        <v>388709746</v>
      </c>
      <c r="F21" s="94">
        <v>54314077</v>
      </c>
      <c r="G21" s="94">
        <v>2035045707</v>
      </c>
      <c r="H21" s="94">
        <v>880277819</v>
      </c>
      <c r="I21" s="94">
        <v>149957903</v>
      </c>
      <c r="J21" s="94">
        <v>299561404</v>
      </c>
      <c r="K21" s="94">
        <v>322419067</v>
      </c>
      <c r="L21" s="94">
        <v>149763817</v>
      </c>
    </row>
    <row r="22" spans="1:12">
      <c r="A22" s="140">
        <v>74</v>
      </c>
      <c r="B22" s="93" t="s">
        <v>36</v>
      </c>
      <c r="C22" s="94">
        <v>1506301332</v>
      </c>
      <c r="D22" s="94">
        <v>1350404947</v>
      </c>
      <c r="E22" s="94">
        <v>128830443</v>
      </c>
      <c r="F22" s="94">
        <v>13061422</v>
      </c>
      <c r="G22" s="94">
        <v>977218884</v>
      </c>
      <c r="H22" s="94">
        <v>343168779</v>
      </c>
      <c r="I22" s="94">
        <v>7399291</v>
      </c>
      <c r="J22" s="94">
        <v>165909455</v>
      </c>
      <c r="K22" s="94">
        <v>171186415</v>
      </c>
      <c r="L22" s="94">
        <v>101270345</v>
      </c>
    </row>
    <row r="23" spans="1:12">
      <c r="A23" s="140">
        <v>75</v>
      </c>
      <c r="B23" s="93" t="s">
        <v>37</v>
      </c>
      <c r="C23" s="94">
        <v>7753744020</v>
      </c>
      <c r="D23" s="94">
        <v>6063709999</v>
      </c>
      <c r="E23" s="94">
        <v>1440821615</v>
      </c>
      <c r="F23" s="94">
        <v>52323164</v>
      </c>
      <c r="G23" s="94">
        <v>5462147399</v>
      </c>
      <c r="H23" s="94">
        <v>1809401091</v>
      </c>
      <c r="I23" s="94">
        <v>69519253</v>
      </c>
      <c r="J23" s="94">
        <v>1489517530</v>
      </c>
      <c r="K23" s="94">
        <v>664738287</v>
      </c>
      <c r="L23" s="94">
        <v>458279571</v>
      </c>
    </row>
    <row r="24" spans="1:12">
      <c r="A24" s="140">
        <v>76</v>
      </c>
      <c r="B24" s="93" t="s">
        <v>38</v>
      </c>
      <c r="C24" s="94">
        <v>6083252597</v>
      </c>
      <c r="D24" s="94">
        <v>5249093037</v>
      </c>
      <c r="E24" s="94">
        <v>665224416</v>
      </c>
      <c r="F24" s="94">
        <v>71535292</v>
      </c>
      <c r="G24" s="94">
        <v>5438497080</v>
      </c>
      <c r="H24" s="94">
        <v>1738041067</v>
      </c>
      <c r="I24" s="94">
        <v>227447776</v>
      </c>
      <c r="J24" s="94">
        <v>720486696</v>
      </c>
      <c r="K24" s="94">
        <v>971334494</v>
      </c>
      <c r="L24" s="94">
        <v>291823913</v>
      </c>
    </row>
    <row r="25" spans="1:12">
      <c r="A25" s="140">
        <v>77</v>
      </c>
      <c r="B25" s="93" t="s">
        <v>39</v>
      </c>
      <c r="C25" s="94">
        <v>9241078030</v>
      </c>
      <c r="D25" s="94">
        <v>8096504312</v>
      </c>
      <c r="E25" s="94">
        <v>885496476</v>
      </c>
      <c r="F25" s="94">
        <v>34397153</v>
      </c>
      <c r="G25" s="94">
        <v>5694267212</v>
      </c>
      <c r="H25" s="94">
        <v>1451024765</v>
      </c>
      <c r="I25" s="94">
        <v>29200645</v>
      </c>
      <c r="J25" s="94">
        <v>1302088897</v>
      </c>
      <c r="K25" s="94">
        <v>1024930985</v>
      </c>
      <c r="L25" s="94">
        <v>542300254</v>
      </c>
    </row>
    <row r="26" spans="1:12">
      <c r="A26" s="140">
        <v>79</v>
      </c>
      <c r="B26" s="93" t="s">
        <v>40</v>
      </c>
      <c r="C26" s="94">
        <v>32933662370</v>
      </c>
      <c r="D26" s="94">
        <v>24407596763</v>
      </c>
      <c r="E26" s="94">
        <v>6947576872</v>
      </c>
      <c r="F26" s="94">
        <v>512207849</v>
      </c>
      <c r="G26" s="94">
        <v>33269527628</v>
      </c>
      <c r="H26" s="94">
        <v>13008563913</v>
      </c>
      <c r="I26" s="94">
        <v>509267596</v>
      </c>
      <c r="J26" s="94">
        <v>3846893649</v>
      </c>
      <c r="K26" s="94">
        <v>3197346998</v>
      </c>
      <c r="L26" s="94">
        <v>2636348547</v>
      </c>
    </row>
    <row r="27" spans="1:12">
      <c r="A27" s="140">
        <v>81</v>
      </c>
      <c r="B27" s="93" t="s">
        <v>41</v>
      </c>
      <c r="C27" s="94">
        <v>2673101037</v>
      </c>
      <c r="D27" s="94">
        <v>1569299147</v>
      </c>
      <c r="E27" s="94">
        <v>867612135</v>
      </c>
      <c r="F27" s="94">
        <v>32739495</v>
      </c>
      <c r="G27" s="94">
        <v>4911916459</v>
      </c>
      <c r="H27" s="94">
        <v>2565824016</v>
      </c>
      <c r="I27" s="94">
        <v>194265623</v>
      </c>
      <c r="J27" s="94">
        <v>710247686</v>
      </c>
      <c r="K27" s="94">
        <v>300672220</v>
      </c>
      <c r="L27" s="94">
        <v>148093235</v>
      </c>
    </row>
    <row r="28" spans="1:12">
      <c r="A28" s="140">
        <v>82</v>
      </c>
      <c r="B28" s="93" t="s">
        <v>42</v>
      </c>
      <c r="C28" s="94">
        <v>4763040216</v>
      </c>
      <c r="D28" s="94">
        <v>2941960745</v>
      </c>
      <c r="E28" s="94">
        <v>1517599118</v>
      </c>
      <c r="F28" s="94">
        <v>156752249</v>
      </c>
      <c r="G28" s="94">
        <v>6164914477</v>
      </c>
      <c r="H28" s="94">
        <v>2975019150</v>
      </c>
      <c r="I28" s="94">
        <v>343442009</v>
      </c>
      <c r="J28" s="94">
        <v>523517325</v>
      </c>
      <c r="K28" s="94">
        <v>429530108</v>
      </c>
      <c r="L28" s="94">
        <v>353340130</v>
      </c>
    </row>
    <row r="29" spans="1:12">
      <c r="A29" s="140">
        <v>91</v>
      </c>
      <c r="B29" s="93" t="s">
        <v>43</v>
      </c>
      <c r="C29" s="94">
        <v>87391778490</v>
      </c>
      <c r="D29" s="94">
        <v>73470831050</v>
      </c>
      <c r="E29" s="94">
        <v>9163853614</v>
      </c>
      <c r="F29" s="94">
        <v>2022772745</v>
      </c>
      <c r="G29" s="94">
        <v>80664695985</v>
      </c>
      <c r="H29" s="94">
        <v>33323497527</v>
      </c>
      <c r="I29" s="94">
        <v>935279585</v>
      </c>
      <c r="J29" s="94">
        <v>16436265189</v>
      </c>
      <c r="K29" s="94">
        <v>8829849262</v>
      </c>
      <c r="L29" s="94">
        <v>8995451897</v>
      </c>
    </row>
    <row r="30" spans="1:12">
      <c r="A30" s="140">
        <v>92</v>
      </c>
      <c r="B30" s="93" t="s">
        <v>44</v>
      </c>
      <c r="C30" s="94">
        <v>59640814448</v>
      </c>
      <c r="D30" s="94">
        <v>38476734274</v>
      </c>
      <c r="E30" s="94">
        <v>18593973866</v>
      </c>
      <c r="F30" s="94">
        <v>1115647991</v>
      </c>
      <c r="G30" s="94">
        <v>54365633592</v>
      </c>
      <c r="H30" s="94">
        <v>14256979920</v>
      </c>
      <c r="I30" s="94">
        <v>3922473701</v>
      </c>
      <c r="J30" s="94">
        <v>10495440680</v>
      </c>
      <c r="K30" s="94">
        <v>1847522208</v>
      </c>
      <c r="L30" s="94">
        <v>4520131221</v>
      </c>
    </row>
    <row r="31" spans="1:12">
      <c r="A31" s="140">
        <v>111</v>
      </c>
      <c r="B31" s="93" t="s">
        <v>45</v>
      </c>
      <c r="C31" s="94">
        <v>108389397</v>
      </c>
      <c r="D31" s="94">
        <v>97323056</v>
      </c>
      <c r="E31" s="94">
        <v>8176086</v>
      </c>
      <c r="F31" s="94">
        <v>1711654</v>
      </c>
      <c r="G31" s="94">
        <v>127517003</v>
      </c>
      <c r="H31" s="94">
        <v>71287169</v>
      </c>
      <c r="I31" s="94">
        <v>389422</v>
      </c>
      <c r="J31" s="94">
        <v>6564936</v>
      </c>
      <c r="K31" s="94">
        <v>39371712</v>
      </c>
      <c r="L31" s="94">
        <v>3855955</v>
      </c>
    </row>
    <row r="32" spans="1:12">
      <c r="A32" s="140">
        <v>112</v>
      </c>
      <c r="B32" s="93" t="s">
        <v>46</v>
      </c>
      <c r="C32" s="94">
        <v>62597071</v>
      </c>
      <c r="D32" s="94">
        <v>49419351</v>
      </c>
      <c r="E32" s="94">
        <v>11944862</v>
      </c>
      <c r="F32" s="94">
        <v>2363786</v>
      </c>
      <c r="G32" s="94">
        <v>82291854</v>
      </c>
      <c r="H32" s="94">
        <v>51954913</v>
      </c>
      <c r="I32" s="94">
        <v>1904250</v>
      </c>
      <c r="J32" s="94">
        <v>4058522</v>
      </c>
      <c r="K32" s="94">
        <v>9129501</v>
      </c>
      <c r="L32" s="94">
        <v>3264436</v>
      </c>
    </row>
    <row r="33" spans="1:12">
      <c r="A33" s="140">
        <v>113</v>
      </c>
      <c r="B33" s="93" t="s">
        <v>47</v>
      </c>
      <c r="C33" s="94">
        <v>40896546</v>
      </c>
      <c r="D33" s="94">
        <v>33986203</v>
      </c>
      <c r="E33" s="94">
        <v>4888186</v>
      </c>
      <c r="F33" s="94">
        <v>948001</v>
      </c>
      <c r="G33" s="94">
        <v>104106093</v>
      </c>
      <c r="H33" s="94">
        <v>80658860</v>
      </c>
      <c r="I33" s="94">
        <v>311798</v>
      </c>
      <c r="J33" s="94">
        <v>4929838</v>
      </c>
      <c r="K33" s="94">
        <v>4847603</v>
      </c>
      <c r="L33" s="94">
        <v>412634</v>
      </c>
    </row>
    <row r="34" spans="1:12">
      <c r="A34" s="140">
        <v>114</v>
      </c>
      <c r="B34" s="93" t="s">
        <v>48</v>
      </c>
      <c r="C34" s="94">
        <v>142920455</v>
      </c>
      <c r="D34" s="94">
        <v>76616989</v>
      </c>
      <c r="E34" s="94">
        <v>49616726</v>
      </c>
      <c r="F34" s="94">
        <v>2197674</v>
      </c>
      <c r="G34" s="94">
        <v>280905695</v>
      </c>
      <c r="H34" s="94">
        <v>85996995</v>
      </c>
      <c r="I34" s="94">
        <v>2566990</v>
      </c>
      <c r="J34" s="94">
        <v>43795178</v>
      </c>
      <c r="K34" s="94">
        <v>56772039</v>
      </c>
      <c r="L34" s="94">
        <v>4631319</v>
      </c>
    </row>
    <row r="35" spans="1:12">
      <c r="A35" s="140">
        <v>115</v>
      </c>
      <c r="B35" s="93" t="s">
        <v>49</v>
      </c>
      <c r="C35" s="94">
        <v>402060199</v>
      </c>
      <c r="D35" s="94">
        <v>331011968</v>
      </c>
      <c r="E35" s="94">
        <v>55644353</v>
      </c>
      <c r="F35" s="94">
        <v>7027259</v>
      </c>
      <c r="G35" s="94">
        <v>428101761</v>
      </c>
      <c r="H35" s="94">
        <v>265741015</v>
      </c>
      <c r="I35" s="94">
        <v>9868904</v>
      </c>
      <c r="J35" s="94">
        <v>39418390</v>
      </c>
      <c r="K35" s="94">
        <v>43632192</v>
      </c>
      <c r="L35" s="94">
        <v>15101048</v>
      </c>
    </row>
    <row r="36" spans="1:12">
      <c r="A36" s="140">
        <v>119</v>
      </c>
      <c r="B36" s="93" t="s">
        <v>50</v>
      </c>
      <c r="C36" s="94">
        <v>33269229</v>
      </c>
      <c r="D36" s="94">
        <v>24997841</v>
      </c>
      <c r="E36" s="94">
        <v>6673909</v>
      </c>
      <c r="F36" s="94">
        <v>678843</v>
      </c>
      <c r="G36" s="94">
        <v>58381289</v>
      </c>
      <c r="H36" s="94">
        <v>36343896</v>
      </c>
      <c r="I36" s="94">
        <v>1115517</v>
      </c>
      <c r="J36" s="94">
        <v>3354874</v>
      </c>
      <c r="K36" s="94">
        <v>7724175</v>
      </c>
      <c r="L36" s="94">
        <v>2449760</v>
      </c>
    </row>
    <row r="37" spans="1:12">
      <c r="A37" s="140">
        <v>121</v>
      </c>
      <c r="B37" s="93" t="s">
        <v>51</v>
      </c>
      <c r="C37" s="94">
        <v>64011259</v>
      </c>
      <c r="D37" s="94">
        <v>61052323</v>
      </c>
      <c r="E37" s="94">
        <v>4937891</v>
      </c>
      <c r="F37" s="94">
        <v>606197</v>
      </c>
      <c r="G37" s="94">
        <v>70395243</v>
      </c>
      <c r="H37" s="94">
        <v>31300711</v>
      </c>
      <c r="I37" s="94">
        <v>3300</v>
      </c>
      <c r="J37" s="94">
        <v>2909204</v>
      </c>
      <c r="K37" s="94">
        <v>24978457</v>
      </c>
      <c r="L37" s="94">
        <v>11130366</v>
      </c>
    </row>
    <row r="38" spans="1:12">
      <c r="A38" s="140">
        <v>122</v>
      </c>
      <c r="B38" s="93" t="s">
        <v>3</v>
      </c>
      <c r="C38" s="94">
        <v>903607604</v>
      </c>
      <c r="D38" s="94">
        <v>898648891</v>
      </c>
      <c r="E38" s="94">
        <v>57196944</v>
      </c>
      <c r="F38" s="94">
        <v>25966262</v>
      </c>
      <c r="G38" s="94">
        <v>1169974099</v>
      </c>
      <c r="H38" s="94">
        <v>636659433</v>
      </c>
      <c r="I38" s="94">
        <v>1268376</v>
      </c>
      <c r="J38" s="94">
        <v>63335864</v>
      </c>
      <c r="K38" s="94">
        <v>257739352</v>
      </c>
      <c r="L38" s="94">
        <v>153510974</v>
      </c>
    </row>
    <row r="39" spans="1:12">
      <c r="A39" s="140">
        <v>123</v>
      </c>
      <c r="B39" s="93" t="s">
        <v>52</v>
      </c>
      <c r="C39" s="94">
        <v>1075100432</v>
      </c>
      <c r="D39" s="94">
        <v>977541927</v>
      </c>
      <c r="E39" s="94">
        <v>66483887</v>
      </c>
      <c r="F39" s="94">
        <v>30117218</v>
      </c>
      <c r="G39" s="94">
        <v>885886337</v>
      </c>
      <c r="H39" s="94">
        <v>490283624</v>
      </c>
      <c r="I39" s="94">
        <v>1298737</v>
      </c>
      <c r="J39" s="94">
        <v>129636454</v>
      </c>
      <c r="K39" s="94">
        <v>91818917</v>
      </c>
      <c r="L39" s="94">
        <v>114864058</v>
      </c>
    </row>
    <row r="40" spans="1:12">
      <c r="A40" s="140">
        <v>124</v>
      </c>
      <c r="B40" s="93" t="s">
        <v>53</v>
      </c>
      <c r="C40" s="94">
        <v>237274064</v>
      </c>
      <c r="D40" s="94">
        <v>214616907</v>
      </c>
      <c r="E40" s="94">
        <v>17493479</v>
      </c>
      <c r="F40" s="94">
        <v>6802234</v>
      </c>
      <c r="G40" s="94">
        <v>245156634</v>
      </c>
      <c r="H40" s="94">
        <v>140255476</v>
      </c>
      <c r="I40" s="94">
        <v>1271647</v>
      </c>
      <c r="J40" s="94">
        <v>21582660</v>
      </c>
      <c r="K40" s="94">
        <v>35912666</v>
      </c>
      <c r="L40" s="94">
        <v>28341253</v>
      </c>
    </row>
    <row r="41" spans="1:12">
      <c r="A41" s="140">
        <v>129</v>
      </c>
      <c r="B41" s="93" t="s">
        <v>54</v>
      </c>
      <c r="C41" s="94">
        <v>242909008</v>
      </c>
      <c r="D41" s="94">
        <v>217744793</v>
      </c>
      <c r="E41" s="94">
        <v>19086901</v>
      </c>
      <c r="F41" s="94">
        <v>7298202</v>
      </c>
      <c r="G41" s="94">
        <v>261587112</v>
      </c>
      <c r="H41" s="94">
        <v>152594093</v>
      </c>
      <c r="I41" s="94">
        <v>1272571</v>
      </c>
      <c r="J41" s="94">
        <v>22172640</v>
      </c>
      <c r="K41" s="94">
        <v>37315871</v>
      </c>
      <c r="L41" s="94">
        <v>28365782</v>
      </c>
    </row>
    <row r="42" spans="1:12">
      <c r="A42" s="140">
        <v>211</v>
      </c>
      <c r="B42" s="93" t="s">
        <v>55</v>
      </c>
      <c r="C42" s="94">
        <v>3418182968</v>
      </c>
      <c r="D42" s="94">
        <v>3093771677</v>
      </c>
      <c r="E42" s="94">
        <v>216389928</v>
      </c>
      <c r="F42" s="94">
        <v>41009925</v>
      </c>
      <c r="G42" s="94">
        <v>3964258495</v>
      </c>
      <c r="H42" s="94">
        <v>1487111959</v>
      </c>
      <c r="I42" s="94">
        <v>11559179</v>
      </c>
      <c r="J42" s="94">
        <v>621643339</v>
      </c>
      <c r="K42" s="94">
        <v>650726151</v>
      </c>
      <c r="L42" s="94">
        <v>217505811</v>
      </c>
    </row>
    <row r="43" spans="1:12">
      <c r="A43" s="140">
        <v>212</v>
      </c>
      <c r="B43" s="93" t="s">
        <v>56</v>
      </c>
      <c r="C43" s="94">
        <v>931612340</v>
      </c>
      <c r="D43" s="94">
        <v>492587560</v>
      </c>
      <c r="E43" s="94">
        <v>239526466</v>
      </c>
      <c r="F43" s="94">
        <v>14903722</v>
      </c>
      <c r="G43" s="94">
        <v>837055290</v>
      </c>
      <c r="H43" s="94">
        <v>397541293</v>
      </c>
      <c r="I43" s="94">
        <v>287395</v>
      </c>
      <c r="J43" s="94">
        <v>162241981</v>
      </c>
      <c r="K43" s="94">
        <v>127825295</v>
      </c>
      <c r="L43" s="94">
        <v>24559203</v>
      </c>
    </row>
    <row r="44" spans="1:12">
      <c r="A44" s="140">
        <v>213</v>
      </c>
      <c r="B44" s="93" t="s">
        <v>57</v>
      </c>
      <c r="C44" s="94">
        <v>2051757350</v>
      </c>
      <c r="D44" s="94">
        <v>1789375744</v>
      </c>
      <c r="E44" s="94">
        <v>201536850</v>
      </c>
      <c r="F44" s="94">
        <v>14983504</v>
      </c>
      <c r="G44" s="94">
        <v>1837143837</v>
      </c>
      <c r="H44" s="94">
        <v>446215114</v>
      </c>
      <c r="I44" s="94">
        <v>5837395</v>
      </c>
      <c r="J44" s="94">
        <v>333714761</v>
      </c>
      <c r="K44" s="94">
        <v>551746041</v>
      </c>
      <c r="L44" s="94">
        <v>121864193</v>
      </c>
    </row>
    <row r="45" spans="1:12">
      <c r="A45" s="140">
        <v>214</v>
      </c>
      <c r="B45" s="93" t="s">
        <v>58</v>
      </c>
      <c r="C45" s="94">
        <v>16150523859</v>
      </c>
      <c r="D45" s="94">
        <v>9943909187</v>
      </c>
      <c r="E45" s="94">
        <v>5215514262</v>
      </c>
      <c r="F45" s="94">
        <v>250838105</v>
      </c>
      <c r="G45" s="94">
        <v>22337609422</v>
      </c>
      <c r="H45" s="94">
        <v>7064456082</v>
      </c>
      <c r="I45" s="94">
        <v>735716488</v>
      </c>
      <c r="J45" s="94">
        <v>4892665572</v>
      </c>
      <c r="K45" s="94">
        <v>3146351525</v>
      </c>
      <c r="L45" s="94">
        <v>1506864591</v>
      </c>
    </row>
    <row r="46" spans="1:12">
      <c r="A46" s="140">
        <v>215</v>
      </c>
      <c r="B46" s="93" t="s">
        <v>59</v>
      </c>
      <c r="C46" s="94">
        <v>9052600293</v>
      </c>
      <c r="D46" s="94">
        <v>5714037986</v>
      </c>
      <c r="E46" s="94">
        <v>2813141463</v>
      </c>
      <c r="F46" s="94">
        <v>148186187</v>
      </c>
      <c r="G46" s="94">
        <v>7471513173</v>
      </c>
      <c r="H46" s="94">
        <v>2043313756</v>
      </c>
      <c r="I46" s="94">
        <v>121866140</v>
      </c>
      <c r="J46" s="94">
        <v>1413746104</v>
      </c>
      <c r="K46" s="94">
        <v>938277863</v>
      </c>
      <c r="L46" s="94">
        <v>799333139</v>
      </c>
    </row>
    <row r="47" spans="1:12">
      <c r="A47" s="140">
        <v>219</v>
      </c>
      <c r="B47" s="93" t="s">
        <v>60</v>
      </c>
      <c r="C47" s="94">
        <v>10669470849</v>
      </c>
      <c r="D47" s="94">
        <v>8973506422</v>
      </c>
      <c r="E47" s="94">
        <v>993097947</v>
      </c>
      <c r="F47" s="94">
        <v>147525632</v>
      </c>
      <c r="G47" s="94">
        <v>10442073380</v>
      </c>
      <c r="H47" s="94">
        <v>4835854775</v>
      </c>
      <c r="I47" s="94">
        <v>110675510</v>
      </c>
      <c r="J47" s="94">
        <v>1999759200</v>
      </c>
      <c r="K47" s="94">
        <v>1175587158</v>
      </c>
      <c r="L47" s="94">
        <v>1005054239</v>
      </c>
    </row>
    <row r="48" spans="1:12">
      <c r="A48" s="140">
        <v>221</v>
      </c>
      <c r="B48" s="93" t="s">
        <v>61</v>
      </c>
      <c r="C48" s="94">
        <v>4150900700</v>
      </c>
      <c r="D48" s="94">
        <v>3588489340</v>
      </c>
      <c r="E48" s="94">
        <v>488779917</v>
      </c>
      <c r="F48" s="94">
        <v>38662816</v>
      </c>
      <c r="G48" s="94">
        <v>3969007935</v>
      </c>
      <c r="H48" s="94">
        <v>1641241666</v>
      </c>
      <c r="I48" s="94">
        <v>39975145</v>
      </c>
      <c r="J48" s="94">
        <v>596415393</v>
      </c>
      <c r="K48" s="94">
        <v>634708164</v>
      </c>
      <c r="L48" s="94">
        <v>262770402</v>
      </c>
    </row>
    <row r="49" spans="1:12">
      <c r="A49" s="140">
        <v>222</v>
      </c>
      <c r="B49" s="93" t="s">
        <v>62</v>
      </c>
      <c r="C49" s="94">
        <v>1631975574</v>
      </c>
      <c r="D49" s="94">
        <v>1195345338</v>
      </c>
      <c r="E49" s="94">
        <v>361131969</v>
      </c>
      <c r="F49" s="94">
        <v>7052104</v>
      </c>
      <c r="G49" s="94">
        <v>2434903319</v>
      </c>
      <c r="H49" s="94">
        <v>909236971</v>
      </c>
      <c r="I49" s="94">
        <v>115763644</v>
      </c>
      <c r="J49" s="94">
        <v>239157650</v>
      </c>
      <c r="K49" s="94">
        <v>664834802</v>
      </c>
      <c r="L49" s="94">
        <v>208542150</v>
      </c>
    </row>
    <row r="50" spans="1:12">
      <c r="A50" s="140">
        <v>223</v>
      </c>
      <c r="B50" s="93" t="s">
        <v>63</v>
      </c>
      <c r="C50" s="94">
        <v>36965671812</v>
      </c>
      <c r="D50" s="94">
        <v>31705693232</v>
      </c>
      <c r="E50" s="94">
        <v>3503288428</v>
      </c>
      <c r="F50" s="94">
        <v>887011624</v>
      </c>
      <c r="G50" s="94">
        <v>30674561967</v>
      </c>
      <c r="H50" s="94">
        <v>13154784657</v>
      </c>
      <c r="I50" s="94">
        <v>308181675</v>
      </c>
      <c r="J50" s="94">
        <v>6448931883</v>
      </c>
      <c r="K50" s="94">
        <v>3051078212</v>
      </c>
      <c r="L50" s="94">
        <v>3552587024</v>
      </c>
    </row>
    <row r="51" spans="1:12">
      <c r="A51" s="140">
        <v>224</v>
      </c>
      <c r="B51" s="93" t="s">
        <v>64</v>
      </c>
      <c r="C51" s="94">
        <v>51182557561</v>
      </c>
      <c r="D51" s="94">
        <v>43810673723</v>
      </c>
      <c r="E51" s="94">
        <v>4653719720</v>
      </c>
      <c r="F51" s="94">
        <v>1219636006</v>
      </c>
      <c r="G51" s="94">
        <v>46600021971</v>
      </c>
      <c r="H51" s="94">
        <v>19963148908</v>
      </c>
      <c r="I51" s="94">
        <v>471650383</v>
      </c>
      <c r="J51" s="94">
        <v>9745509551</v>
      </c>
      <c r="K51" s="94">
        <v>5266010809</v>
      </c>
      <c r="L51" s="94">
        <v>5205667920</v>
      </c>
    </row>
    <row r="52" spans="1:12">
      <c r="A52" s="140">
        <v>225</v>
      </c>
      <c r="B52" s="93" t="s">
        <v>65</v>
      </c>
      <c r="C52" s="94">
        <v>2491716106</v>
      </c>
      <c r="D52" s="94">
        <v>2012713846</v>
      </c>
      <c r="E52" s="94">
        <v>369899754</v>
      </c>
      <c r="F52" s="94">
        <v>44727802</v>
      </c>
      <c r="G52" s="94">
        <v>2337960555</v>
      </c>
      <c r="H52" s="94">
        <v>848410988</v>
      </c>
      <c r="I52" s="94">
        <v>37743179</v>
      </c>
      <c r="J52" s="94">
        <v>603579107</v>
      </c>
      <c r="K52" s="94">
        <v>417814402</v>
      </c>
      <c r="L52" s="94">
        <v>321068622</v>
      </c>
    </row>
    <row r="53" spans="1:12">
      <c r="A53" s="140">
        <v>226</v>
      </c>
      <c r="B53" s="93" t="s">
        <v>66</v>
      </c>
      <c r="C53" s="94">
        <v>7608899612</v>
      </c>
      <c r="D53" s="94">
        <v>5849674651</v>
      </c>
      <c r="E53" s="94">
        <v>1237591309</v>
      </c>
      <c r="F53" s="94">
        <v>142270689</v>
      </c>
      <c r="G53" s="94">
        <v>7325587786</v>
      </c>
      <c r="H53" s="94">
        <v>2086460228</v>
      </c>
      <c r="I53" s="94">
        <v>311157461</v>
      </c>
      <c r="J53" s="94">
        <v>1562229853</v>
      </c>
      <c r="K53" s="94">
        <v>875846614</v>
      </c>
      <c r="L53" s="94">
        <v>754749063</v>
      </c>
    </row>
    <row r="54" spans="1:12">
      <c r="A54" s="140">
        <v>227</v>
      </c>
      <c r="B54" s="93" t="s">
        <v>67</v>
      </c>
      <c r="C54" s="94">
        <v>16150523859</v>
      </c>
      <c r="D54" s="94">
        <v>9943909187</v>
      </c>
      <c r="E54" s="94">
        <v>5215514262</v>
      </c>
      <c r="F54" s="94">
        <v>250838105</v>
      </c>
      <c r="G54" s="94">
        <v>22337609422</v>
      </c>
      <c r="H54" s="94">
        <v>7064456082</v>
      </c>
      <c r="I54" s="94">
        <v>735716488</v>
      </c>
      <c r="J54" s="94">
        <v>4892665572</v>
      </c>
      <c r="K54" s="94">
        <v>3146351525</v>
      </c>
      <c r="L54" s="94">
        <v>1506864591</v>
      </c>
    </row>
    <row r="55" spans="1:12">
      <c r="A55" s="140">
        <v>229</v>
      </c>
      <c r="B55" s="93" t="s">
        <v>68</v>
      </c>
      <c r="C55" s="94">
        <v>1782308478</v>
      </c>
      <c r="D55" s="94">
        <v>1493696768</v>
      </c>
      <c r="E55" s="94">
        <v>196873326</v>
      </c>
      <c r="F55" s="94">
        <v>24794471</v>
      </c>
      <c r="G55" s="94">
        <v>1505983526</v>
      </c>
      <c r="H55" s="94">
        <v>459519768</v>
      </c>
      <c r="I55" s="94">
        <v>13532391</v>
      </c>
      <c r="J55" s="94">
        <v>334450174</v>
      </c>
      <c r="K55" s="94">
        <v>175244120</v>
      </c>
      <c r="L55" s="94">
        <v>206021292</v>
      </c>
    </row>
    <row r="56" spans="1:12">
      <c r="A56" s="140">
        <v>231</v>
      </c>
      <c r="B56" s="93" t="s">
        <v>69</v>
      </c>
      <c r="C56" s="94">
        <v>159659508</v>
      </c>
      <c r="D56" s="94">
        <v>132845501</v>
      </c>
      <c r="E56" s="94">
        <v>24928314</v>
      </c>
      <c r="F56" s="94">
        <v>2738603</v>
      </c>
      <c r="G56" s="94">
        <v>269485602</v>
      </c>
      <c r="H56" s="94">
        <v>35401003</v>
      </c>
      <c r="I56" s="94">
        <v>593630</v>
      </c>
      <c r="J56" s="94">
        <v>143600610</v>
      </c>
      <c r="K56" s="94">
        <v>10807808</v>
      </c>
      <c r="L56" s="94">
        <v>2332042</v>
      </c>
    </row>
    <row r="57" spans="1:12">
      <c r="A57" s="140">
        <v>232</v>
      </c>
      <c r="B57" s="93" t="s">
        <v>70</v>
      </c>
      <c r="C57" s="94">
        <v>15261520</v>
      </c>
      <c r="D57" s="94">
        <v>3158006</v>
      </c>
      <c r="E57" s="94">
        <v>11353655</v>
      </c>
      <c r="F57" s="94">
        <v>978870</v>
      </c>
      <c r="G57" s="94">
        <v>13105360</v>
      </c>
      <c r="H57" s="94">
        <v>6550581</v>
      </c>
      <c r="I57" s="94">
        <v>7078</v>
      </c>
      <c r="J57" s="94">
        <v>890324</v>
      </c>
      <c r="K57" s="94">
        <v>659556</v>
      </c>
      <c r="L57" s="94">
        <v>910161</v>
      </c>
    </row>
    <row r="58" spans="1:12">
      <c r="A58" s="140">
        <v>233</v>
      </c>
      <c r="B58" s="93" t="s">
        <v>71</v>
      </c>
      <c r="C58" s="94">
        <v>190288693</v>
      </c>
      <c r="D58" s="94">
        <v>177140799</v>
      </c>
      <c r="E58" s="94">
        <v>12726363</v>
      </c>
      <c r="F58" s="94">
        <v>638793</v>
      </c>
      <c r="G58" s="94">
        <v>17496420</v>
      </c>
      <c r="H58" s="94">
        <v>6944046</v>
      </c>
      <c r="I58" s="94">
        <v>1470253</v>
      </c>
      <c r="J58" s="94">
        <v>755471</v>
      </c>
      <c r="K58" s="94">
        <v>0</v>
      </c>
      <c r="L58" s="94">
        <v>18822</v>
      </c>
    </row>
    <row r="59" spans="1:12">
      <c r="A59" s="140">
        <v>234</v>
      </c>
      <c r="B59" s="93" t="s">
        <v>72</v>
      </c>
      <c r="C59" s="94">
        <v>40525553174</v>
      </c>
      <c r="D59" s="94">
        <v>26025235151</v>
      </c>
      <c r="E59" s="94">
        <v>12838886510</v>
      </c>
      <c r="F59" s="94">
        <v>616510311</v>
      </c>
      <c r="G59" s="94">
        <v>33912386644</v>
      </c>
      <c r="H59" s="94">
        <v>5813647255</v>
      </c>
      <c r="I59" s="94">
        <v>3075920431</v>
      </c>
      <c r="J59" s="94">
        <v>8537798601</v>
      </c>
      <c r="K59" s="94">
        <v>1096612437</v>
      </c>
      <c r="L59" s="94">
        <v>3857703054</v>
      </c>
    </row>
    <row r="60" spans="1:12">
      <c r="A60" s="140">
        <v>235</v>
      </c>
      <c r="B60" s="93" t="s">
        <v>73</v>
      </c>
      <c r="C60" s="94">
        <v>10577952375</v>
      </c>
      <c r="D60" s="94">
        <v>8361116585</v>
      </c>
      <c r="E60" s="94">
        <v>1796553784</v>
      </c>
      <c r="F60" s="94">
        <v>285780115</v>
      </c>
      <c r="G60" s="94">
        <v>10512069797</v>
      </c>
      <c r="H60" s="94">
        <v>4717799307</v>
      </c>
      <c r="I60" s="94">
        <v>506996432</v>
      </c>
      <c r="J60" s="94">
        <v>866105807</v>
      </c>
      <c r="K60" s="94">
        <v>573520445</v>
      </c>
      <c r="L60" s="94">
        <v>286930981</v>
      </c>
    </row>
    <row r="61" spans="1:12">
      <c r="A61" s="140">
        <v>236</v>
      </c>
      <c r="B61" s="93" t="s">
        <v>74</v>
      </c>
      <c r="C61" s="94">
        <v>2271786152</v>
      </c>
      <c r="D61" s="94">
        <v>779912971</v>
      </c>
      <c r="E61" s="94">
        <v>1335552002</v>
      </c>
      <c r="F61" s="94">
        <v>103842926</v>
      </c>
      <c r="G61" s="94">
        <v>2018813296</v>
      </c>
      <c r="H61" s="94">
        <v>970001081</v>
      </c>
      <c r="I61" s="94">
        <v>64452327</v>
      </c>
      <c r="J61" s="94">
        <v>253069262</v>
      </c>
      <c r="K61" s="94">
        <v>12571997</v>
      </c>
      <c r="L61" s="94">
        <v>28699592</v>
      </c>
    </row>
    <row r="62" spans="1:12">
      <c r="A62" s="140">
        <v>237</v>
      </c>
      <c r="B62" s="93" t="s">
        <v>75</v>
      </c>
      <c r="C62" s="94">
        <v>14919523544</v>
      </c>
      <c r="D62" s="94">
        <v>10313287773</v>
      </c>
      <c r="E62" s="94">
        <v>3683831577</v>
      </c>
      <c r="F62" s="94">
        <v>120383918</v>
      </c>
      <c r="G62" s="94">
        <v>11917422039</v>
      </c>
      <c r="H62" s="94">
        <v>1631731127</v>
      </c>
      <c r="I62" s="94">
        <v>298629039</v>
      </c>
      <c r="J62" s="94">
        <v>3454583050</v>
      </c>
      <c r="K62" s="94">
        <v>434967024</v>
      </c>
      <c r="L62" s="94">
        <v>1270153960</v>
      </c>
    </row>
    <row r="63" spans="1:12">
      <c r="A63" s="140">
        <v>239</v>
      </c>
      <c r="B63" s="93" t="s">
        <v>76</v>
      </c>
      <c r="C63" s="94">
        <v>4100173085</v>
      </c>
      <c r="D63" s="94">
        <v>3045489852</v>
      </c>
      <c r="E63" s="94">
        <v>900479724</v>
      </c>
      <c r="F63" s="94">
        <v>57964441</v>
      </c>
      <c r="G63" s="94">
        <v>9964143227</v>
      </c>
      <c r="H63" s="94">
        <v>2936024136</v>
      </c>
      <c r="I63" s="94">
        <v>204416510</v>
      </c>
      <c r="J63" s="94">
        <v>872647427</v>
      </c>
      <c r="K63" s="94">
        <v>397424145</v>
      </c>
      <c r="L63" s="94">
        <v>210825726</v>
      </c>
    </row>
    <row r="64" spans="1:12">
      <c r="A64" s="140">
        <v>311</v>
      </c>
      <c r="B64" s="93" t="s">
        <v>4</v>
      </c>
      <c r="C64" s="94">
        <v>15555516</v>
      </c>
      <c r="D64" s="94">
        <v>10719914</v>
      </c>
      <c r="E64" s="94">
        <v>4586289</v>
      </c>
      <c r="F64" s="94">
        <v>294035</v>
      </c>
      <c r="G64" s="94">
        <v>29824630</v>
      </c>
      <c r="H64" s="94">
        <v>10600858</v>
      </c>
      <c r="I64" s="94">
        <v>1452</v>
      </c>
      <c r="J64" s="94">
        <v>955503</v>
      </c>
      <c r="K64" s="94">
        <v>2708350</v>
      </c>
      <c r="L64" s="94">
        <v>379716</v>
      </c>
    </row>
    <row r="65" spans="1:12">
      <c r="A65" s="140">
        <v>312</v>
      </c>
      <c r="B65" s="93" t="s">
        <v>77</v>
      </c>
      <c r="C65" s="94">
        <v>10444253</v>
      </c>
      <c r="D65" s="94">
        <v>7229742</v>
      </c>
      <c r="E65" s="94">
        <v>2442960</v>
      </c>
      <c r="F65" s="94">
        <v>375588</v>
      </c>
      <c r="G65" s="94">
        <v>4185103</v>
      </c>
      <c r="H65" s="94">
        <v>1042011</v>
      </c>
      <c r="I65" s="94">
        <v>0</v>
      </c>
      <c r="J65" s="94">
        <v>1727850</v>
      </c>
      <c r="K65" s="94">
        <v>134019</v>
      </c>
      <c r="L65" s="94">
        <v>288239</v>
      </c>
    </row>
    <row r="66" spans="1:12">
      <c r="A66" s="140">
        <v>390</v>
      </c>
      <c r="B66" s="93" t="s">
        <v>23</v>
      </c>
      <c r="C66" s="94">
        <v>1516398</v>
      </c>
      <c r="D66" s="94">
        <v>1415121</v>
      </c>
      <c r="E66" s="94">
        <v>51949</v>
      </c>
      <c r="F66" s="94">
        <v>0</v>
      </c>
      <c r="G66" s="94">
        <v>588520</v>
      </c>
      <c r="H66" s="94">
        <v>0</v>
      </c>
      <c r="I66" s="94">
        <v>2500</v>
      </c>
      <c r="J66" s="94">
        <v>109800</v>
      </c>
      <c r="K66" s="94">
        <v>30704</v>
      </c>
      <c r="L66" s="94">
        <v>29260</v>
      </c>
    </row>
    <row r="67" spans="1:12">
      <c r="A67" s="140">
        <v>411</v>
      </c>
      <c r="B67" s="93" t="s">
        <v>78</v>
      </c>
      <c r="C67" s="94">
        <v>1157106271</v>
      </c>
      <c r="D67" s="94">
        <v>1020988336</v>
      </c>
      <c r="E67" s="94">
        <v>94554694</v>
      </c>
      <c r="F67" s="94">
        <v>14981063</v>
      </c>
      <c r="G67" s="94">
        <v>952952199</v>
      </c>
      <c r="H67" s="94">
        <v>408058374</v>
      </c>
      <c r="I67" s="94">
        <v>1865074</v>
      </c>
      <c r="J67" s="94">
        <v>208547945</v>
      </c>
      <c r="K67" s="94">
        <v>159948664</v>
      </c>
      <c r="L67" s="94">
        <v>86266317</v>
      </c>
    </row>
    <row r="68" spans="1:12">
      <c r="A68" s="140">
        <v>412</v>
      </c>
      <c r="B68" s="93" t="s">
        <v>79</v>
      </c>
      <c r="C68" s="94">
        <v>1657129302</v>
      </c>
      <c r="D68" s="94">
        <v>1445414270</v>
      </c>
      <c r="E68" s="94">
        <v>168338939</v>
      </c>
      <c r="F68" s="94">
        <v>36382205</v>
      </c>
      <c r="G68" s="94">
        <v>2741281898</v>
      </c>
      <c r="H68" s="94">
        <v>1445585519</v>
      </c>
      <c r="I68" s="94">
        <v>19282429</v>
      </c>
      <c r="J68" s="94">
        <v>394168452</v>
      </c>
      <c r="K68" s="94">
        <v>336251174</v>
      </c>
      <c r="L68" s="94">
        <v>186689649</v>
      </c>
    </row>
    <row r="69" spans="1:12">
      <c r="A69" s="140">
        <v>413</v>
      </c>
      <c r="B69" s="93" t="s">
        <v>80</v>
      </c>
      <c r="C69" s="94">
        <v>625197434</v>
      </c>
      <c r="D69" s="94">
        <v>525483651</v>
      </c>
      <c r="E69" s="94">
        <v>70266553</v>
      </c>
      <c r="F69" s="94">
        <v>10471450</v>
      </c>
      <c r="G69" s="94">
        <v>508727302</v>
      </c>
      <c r="H69" s="94">
        <v>212372473</v>
      </c>
      <c r="I69" s="94">
        <v>3983148</v>
      </c>
      <c r="J69" s="94">
        <v>119888207</v>
      </c>
      <c r="K69" s="94">
        <v>85623335</v>
      </c>
      <c r="L69" s="94">
        <v>57131972</v>
      </c>
    </row>
    <row r="70" spans="1:12">
      <c r="A70" s="140">
        <v>414</v>
      </c>
      <c r="B70" s="93" t="s">
        <v>81</v>
      </c>
      <c r="C70" s="94">
        <v>970218054</v>
      </c>
      <c r="D70" s="94">
        <v>837369950</v>
      </c>
      <c r="E70" s="94">
        <v>86492219</v>
      </c>
      <c r="F70" s="94">
        <v>12037335</v>
      </c>
      <c r="G70" s="94">
        <v>795469116</v>
      </c>
      <c r="H70" s="94">
        <v>388576730</v>
      </c>
      <c r="I70" s="94">
        <v>3371479</v>
      </c>
      <c r="J70" s="94">
        <v>156953728</v>
      </c>
      <c r="K70" s="94">
        <v>91192827</v>
      </c>
      <c r="L70" s="94">
        <v>75202786</v>
      </c>
    </row>
    <row r="71" spans="1:12">
      <c r="A71" s="140">
        <v>415</v>
      </c>
      <c r="B71" s="93" t="s">
        <v>82</v>
      </c>
      <c r="C71" s="94">
        <v>9634802</v>
      </c>
      <c r="D71" s="94">
        <v>7413706</v>
      </c>
      <c r="E71" s="94">
        <v>1831317</v>
      </c>
      <c r="F71" s="94">
        <v>211615</v>
      </c>
      <c r="G71" s="94">
        <v>10087717</v>
      </c>
      <c r="H71" s="94">
        <v>4480128</v>
      </c>
      <c r="I71" s="94">
        <v>267634</v>
      </c>
      <c r="J71" s="94">
        <v>1921459</v>
      </c>
      <c r="K71" s="94">
        <v>1143208</v>
      </c>
      <c r="L71" s="94">
        <v>1101781</v>
      </c>
    </row>
    <row r="72" spans="1:12">
      <c r="A72" s="140">
        <v>416</v>
      </c>
      <c r="B72" s="93" t="s">
        <v>83</v>
      </c>
      <c r="C72" s="94">
        <v>3499181163</v>
      </c>
      <c r="D72" s="94">
        <v>2733797772</v>
      </c>
      <c r="E72" s="94">
        <v>601059178</v>
      </c>
      <c r="F72" s="94">
        <v>33905243</v>
      </c>
      <c r="G72" s="94">
        <v>2539679874</v>
      </c>
      <c r="H72" s="94">
        <v>907262128</v>
      </c>
      <c r="I72" s="94">
        <v>12515879</v>
      </c>
      <c r="J72" s="94">
        <v>491267774</v>
      </c>
      <c r="K72" s="94">
        <v>325968688</v>
      </c>
      <c r="L72" s="94">
        <v>405817754</v>
      </c>
    </row>
    <row r="73" spans="1:12">
      <c r="A73" s="140">
        <v>419</v>
      </c>
      <c r="B73" s="93" t="s">
        <v>84</v>
      </c>
      <c r="C73" s="94">
        <v>172771168</v>
      </c>
      <c r="D73" s="94">
        <v>143823632</v>
      </c>
      <c r="E73" s="94">
        <v>22995229</v>
      </c>
      <c r="F73" s="94">
        <v>3024633</v>
      </c>
      <c r="G73" s="94">
        <v>158425502</v>
      </c>
      <c r="H73" s="94">
        <v>63717452</v>
      </c>
      <c r="I73" s="94">
        <v>2167830</v>
      </c>
      <c r="J73" s="94">
        <v>26275085</v>
      </c>
      <c r="K73" s="94">
        <v>25154650</v>
      </c>
      <c r="L73" s="94">
        <v>10718509</v>
      </c>
    </row>
    <row r="74" spans="1:12">
      <c r="A74" s="140">
        <v>421</v>
      </c>
      <c r="B74" s="93" t="s">
        <v>85</v>
      </c>
      <c r="C74" s="94">
        <v>765496034</v>
      </c>
      <c r="D74" s="94">
        <v>640183980</v>
      </c>
      <c r="E74" s="94">
        <v>63721486</v>
      </c>
      <c r="F74" s="94">
        <v>2388531</v>
      </c>
      <c r="G74" s="94">
        <v>1372532609</v>
      </c>
      <c r="H74" s="94">
        <v>924786065</v>
      </c>
      <c r="I74" s="94">
        <v>6014656</v>
      </c>
      <c r="J74" s="94">
        <v>131291828</v>
      </c>
      <c r="K74" s="94">
        <v>154428995</v>
      </c>
      <c r="L74" s="94">
        <v>27074688</v>
      </c>
    </row>
    <row r="75" spans="1:12">
      <c r="A75" s="140">
        <v>422</v>
      </c>
      <c r="B75" s="93" t="s">
        <v>86</v>
      </c>
      <c r="C75" s="94">
        <v>73755740</v>
      </c>
      <c r="D75" s="94">
        <v>60043359</v>
      </c>
      <c r="E75" s="94">
        <v>6228763</v>
      </c>
      <c r="F75" s="94">
        <v>1240928</v>
      </c>
      <c r="G75" s="94">
        <v>70619573</v>
      </c>
      <c r="H75" s="94">
        <v>19256682</v>
      </c>
      <c r="I75" s="94">
        <v>109328</v>
      </c>
      <c r="J75" s="94">
        <v>10874268</v>
      </c>
      <c r="K75" s="94">
        <v>12319700</v>
      </c>
      <c r="L75" s="94">
        <v>2884790</v>
      </c>
    </row>
    <row r="76" spans="1:12">
      <c r="A76" s="140">
        <v>423</v>
      </c>
      <c r="B76" s="93" t="s">
        <v>87</v>
      </c>
      <c r="C76" s="94">
        <v>6141108631</v>
      </c>
      <c r="D76" s="94">
        <v>5301818944</v>
      </c>
      <c r="E76" s="94">
        <v>630963853</v>
      </c>
      <c r="F76" s="94">
        <v>141595285</v>
      </c>
      <c r="G76" s="94">
        <v>6730346877</v>
      </c>
      <c r="H76" s="94">
        <v>3245444899</v>
      </c>
      <c r="I76" s="94">
        <v>53570625</v>
      </c>
      <c r="J76" s="94">
        <v>1068721269</v>
      </c>
      <c r="K76" s="94">
        <v>701310529</v>
      </c>
      <c r="L76" s="94">
        <v>411930488</v>
      </c>
    </row>
    <row r="77" spans="1:12">
      <c r="A77" s="140">
        <v>429</v>
      </c>
      <c r="B77" s="93" t="s">
        <v>88</v>
      </c>
      <c r="C77" s="94">
        <v>3928068049</v>
      </c>
      <c r="D77" s="94">
        <v>2392371868</v>
      </c>
      <c r="E77" s="94">
        <v>1380628554</v>
      </c>
      <c r="F77" s="94">
        <v>73414730</v>
      </c>
      <c r="G77" s="94">
        <v>3033274492</v>
      </c>
      <c r="H77" s="94">
        <v>1047631671</v>
      </c>
      <c r="I77" s="94">
        <v>52787905</v>
      </c>
      <c r="J77" s="94">
        <v>624984919</v>
      </c>
      <c r="K77" s="94">
        <v>434847011</v>
      </c>
      <c r="L77" s="94">
        <v>386565956</v>
      </c>
    </row>
    <row r="78" spans="1:12">
      <c r="A78" s="140">
        <v>431</v>
      </c>
      <c r="B78" s="93" t="s">
        <v>89</v>
      </c>
      <c r="C78" s="94">
        <v>2663921230</v>
      </c>
      <c r="D78" s="94">
        <v>2150509946</v>
      </c>
      <c r="E78" s="94">
        <v>315483601</v>
      </c>
      <c r="F78" s="94">
        <v>84537570</v>
      </c>
      <c r="G78" s="94">
        <v>3107821876</v>
      </c>
      <c r="H78" s="94">
        <v>1090249177</v>
      </c>
      <c r="I78" s="94">
        <v>45139062</v>
      </c>
      <c r="J78" s="94">
        <v>615432965</v>
      </c>
      <c r="K78" s="94">
        <v>486776550</v>
      </c>
      <c r="L78" s="94">
        <v>218766473</v>
      </c>
    </row>
    <row r="79" spans="1:12">
      <c r="A79" s="140">
        <v>432</v>
      </c>
      <c r="B79" s="93" t="s">
        <v>90</v>
      </c>
      <c r="C79" s="94">
        <v>15029570305</v>
      </c>
      <c r="D79" s="94">
        <v>13030991257</v>
      </c>
      <c r="E79" s="94">
        <v>1265049159</v>
      </c>
      <c r="F79" s="94">
        <v>268977234</v>
      </c>
      <c r="G79" s="94">
        <v>12711723735</v>
      </c>
      <c r="H79" s="94">
        <v>5231404843</v>
      </c>
      <c r="I79" s="94">
        <v>97979160</v>
      </c>
      <c r="J79" s="94">
        <v>3056597192</v>
      </c>
      <c r="K79" s="94">
        <v>1575653752</v>
      </c>
      <c r="L79" s="94">
        <v>1642282036</v>
      </c>
    </row>
    <row r="80" spans="1:12">
      <c r="A80" s="140">
        <v>433</v>
      </c>
      <c r="B80" s="93" t="s">
        <v>91</v>
      </c>
      <c r="C80" s="94">
        <v>2846449745</v>
      </c>
      <c r="D80" s="94">
        <v>2295721370</v>
      </c>
      <c r="E80" s="94">
        <v>425444300</v>
      </c>
      <c r="F80" s="94">
        <v>49755372</v>
      </c>
      <c r="G80" s="94">
        <v>2629010583</v>
      </c>
      <c r="H80" s="94">
        <v>951209067</v>
      </c>
      <c r="I80" s="94">
        <v>42041513</v>
      </c>
      <c r="J80" s="94">
        <v>667169109</v>
      </c>
      <c r="K80" s="94">
        <v>462558921</v>
      </c>
      <c r="L80" s="94">
        <v>345064043</v>
      </c>
    </row>
    <row r="81" spans="1:12">
      <c r="A81" s="140">
        <v>439</v>
      </c>
      <c r="B81" s="93" t="s">
        <v>92</v>
      </c>
      <c r="C81" s="94">
        <v>13730224424</v>
      </c>
      <c r="D81" s="94">
        <v>11409539845</v>
      </c>
      <c r="E81" s="94">
        <v>1649860329</v>
      </c>
      <c r="F81" s="94">
        <v>268585299</v>
      </c>
      <c r="G81" s="94">
        <v>12371102594</v>
      </c>
      <c r="H81" s="94">
        <v>4171289120</v>
      </c>
      <c r="I81" s="94">
        <v>544393504</v>
      </c>
      <c r="J81" s="94">
        <v>2417265691</v>
      </c>
      <c r="K81" s="94">
        <v>1515045595</v>
      </c>
      <c r="L81" s="94">
        <v>1325330729</v>
      </c>
    </row>
    <row r="82" spans="1:12">
      <c r="A82" s="140">
        <v>441</v>
      </c>
      <c r="B82" s="93" t="s">
        <v>5</v>
      </c>
      <c r="C82" s="94">
        <v>115192142</v>
      </c>
      <c r="D82" s="94">
        <v>75922748</v>
      </c>
      <c r="E82" s="94">
        <v>34556815</v>
      </c>
      <c r="F82" s="94">
        <v>986602</v>
      </c>
      <c r="G82" s="94">
        <v>182505172</v>
      </c>
      <c r="H82" s="94">
        <v>20371395</v>
      </c>
      <c r="I82" s="94">
        <v>196640</v>
      </c>
      <c r="J82" s="94">
        <v>3903851</v>
      </c>
      <c r="K82" s="94">
        <v>2683324</v>
      </c>
      <c r="L82" s="94">
        <v>1424737</v>
      </c>
    </row>
    <row r="83" spans="1:12">
      <c r="A83" s="140">
        <v>442</v>
      </c>
      <c r="B83" s="93" t="s">
        <v>93</v>
      </c>
      <c r="C83" s="94">
        <v>40525553174</v>
      </c>
      <c r="D83" s="94">
        <v>26025235151</v>
      </c>
      <c r="E83" s="94">
        <v>12838886510</v>
      </c>
      <c r="F83" s="94">
        <v>616510311</v>
      </c>
      <c r="G83" s="94">
        <v>33912386644</v>
      </c>
      <c r="H83" s="94">
        <v>5813647255</v>
      </c>
      <c r="I83" s="94">
        <v>3075920431</v>
      </c>
      <c r="J83" s="94">
        <v>8537798601</v>
      </c>
      <c r="K83" s="94">
        <v>1096612437</v>
      </c>
      <c r="L83" s="94">
        <v>3857703054</v>
      </c>
    </row>
    <row r="84" spans="1:12">
      <c r="A84" s="140">
        <v>443</v>
      </c>
      <c r="B84" s="93" t="s">
        <v>94</v>
      </c>
      <c r="C84" s="94">
        <v>1462910173</v>
      </c>
      <c r="D84" s="94">
        <v>1237717838</v>
      </c>
      <c r="E84" s="94">
        <v>175425297</v>
      </c>
      <c r="F84" s="94">
        <v>9630372</v>
      </c>
      <c r="G84" s="94">
        <v>1196232637</v>
      </c>
      <c r="H84" s="94">
        <v>204574763</v>
      </c>
      <c r="I84" s="94">
        <v>7937553</v>
      </c>
      <c r="J84" s="94">
        <v>207417349</v>
      </c>
      <c r="K84" s="94">
        <v>203561892</v>
      </c>
      <c r="L84" s="94">
        <v>52513223</v>
      </c>
    </row>
    <row r="85" spans="1:12">
      <c r="A85" s="140">
        <v>444</v>
      </c>
      <c r="B85" s="93" t="s">
        <v>95</v>
      </c>
      <c r="C85" s="94">
        <v>52514410</v>
      </c>
      <c r="D85" s="94">
        <v>33146230</v>
      </c>
      <c r="E85" s="94">
        <v>16780487</v>
      </c>
      <c r="F85" s="94">
        <v>388838</v>
      </c>
      <c r="G85" s="94">
        <v>33877807</v>
      </c>
      <c r="H85" s="94">
        <v>4607517</v>
      </c>
      <c r="I85" s="94">
        <v>21216</v>
      </c>
      <c r="J85" s="94">
        <v>7555361</v>
      </c>
      <c r="K85" s="94">
        <v>7379900</v>
      </c>
      <c r="L85" s="94">
        <v>1302758</v>
      </c>
    </row>
    <row r="86" spans="1:12">
      <c r="A86" s="140">
        <v>445</v>
      </c>
      <c r="B86" s="93" t="s">
        <v>96</v>
      </c>
      <c r="C86" s="94">
        <v>213643729</v>
      </c>
      <c r="D86" s="94">
        <v>101776952</v>
      </c>
      <c r="E86" s="94">
        <v>97948365</v>
      </c>
      <c r="F86" s="94">
        <v>3773317</v>
      </c>
      <c r="G86" s="94">
        <v>321116949</v>
      </c>
      <c r="H86" s="94">
        <v>40920502</v>
      </c>
      <c r="I86" s="94">
        <v>3496400</v>
      </c>
      <c r="J86" s="94">
        <v>50882416</v>
      </c>
      <c r="K86" s="94">
        <v>8627972</v>
      </c>
      <c r="L86" s="94">
        <v>2263662</v>
      </c>
    </row>
    <row r="87" spans="1:12">
      <c r="A87" s="140">
        <v>446</v>
      </c>
      <c r="B87" s="93" t="s">
        <v>97</v>
      </c>
      <c r="C87" s="94">
        <v>10577952375</v>
      </c>
      <c r="D87" s="94">
        <v>8361116585</v>
      </c>
      <c r="E87" s="94">
        <v>1796553784</v>
      </c>
      <c r="F87" s="94">
        <v>285780115</v>
      </c>
      <c r="G87" s="94">
        <v>10512069797</v>
      </c>
      <c r="H87" s="94">
        <v>4717799307</v>
      </c>
      <c r="I87" s="94">
        <v>506996432</v>
      </c>
      <c r="J87" s="94">
        <v>866105807</v>
      </c>
      <c r="K87" s="94">
        <v>573520445</v>
      </c>
      <c r="L87" s="94">
        <v>286930981</v>
      </c>
    </row>
    <row r="88" spans="1:12">
      <c r="A88" s="140">
        <v>447</v>
      </c>
      <c r="B88" s="93" t="s">
        <v>98</v>
      </c>
      <c r="C88" s="94">
        <v>1316800508</v>
      </c>
      <c r="D88" s="94">
        <v>873840052</v>
      </c>
      <c r="E88" s="94">
        <v>412380452</v>
      </c>
      <c r="F88" s="94">
        <v>28538054</v>
      </c>
      <c r="G88" s="94">
        <v>1567954787</v>
      </c>
      <c r="H88" s="94">
        <v>811433610</v>
      </c>
      <c r="I88" s="94">
        <v>84810214</v>
      </c>
      <c r="J88" s="94">
        <v>115897957</v>
      </c>
      <c r="K88" s="94">
        <v>35944472</v>
      </c>
      <c r="L88" s="94">
        <v>15606289</v>
      </c>
    </row>
    <row r="89" spans="1:12">
      <c r="A89" s="140">
        <v>449</v>
      </c>
      <c r="B89" s="93" t="s">
        <v>99</v>
      </c>
      <c r="C89" s="94">
        <v>115192142</v>
      </c>
      <c r="D89" s="94">
        <v>75922748</v>
      </c>
      <c r="E89" s="94">
        <v>34556815</v>
      </c>
      <c r="F89" s="94">
        <v>986602</v>
      </c>
      <c r="G89" s="94">
        <v>182505172</v>
      </c>
      <c r="H89" s="94">
        <v>20371395</v>
      </c>
      <c r="I89" s="94">
        <v>196640</v>
      </c>
      <c r="J89" s="94">
        <v>3903851</v>
      </c>
      <c r="K89" s="94">
        <v>2683324</v>
      </c>
      <c r="L89" s="94">
        <v>1424737</v>
      </c>
    </row>
    <row r="90" spans="1:12">
      <c r="A90" s="140">
        <v>511</v>
      </c>
      <c r="B90" s="93" t="s">
        <v>100</v>
      </c>
      <c r="C90" s="94">
        <v>2208406475</v>
      </c>
      <c r="D90" s="94">
        <v>2030085393</v>
      </c>
      <c r="E90" s="94">
        <v>161391525</v>
      </c>
      <c r="F90" s="94">
        <v>21778723</v>
      </c>
      <c r="G90" s="94">
        <v>2810580539</v>
      </c>
      <c r="H90" s="94">
        <v>889681373</v>
      </c>
      <c r="I90" s="94">
        <v>3500232</v>
      </c>
      <c r="J90" s="94">
        <v>161099788</v>
      </c>
      <c r="K90" s="94">
        <v>328185025</v>
      </c>
      <c r="L90" s="94">
        <v>100702435</v>
      </c>
    </row>
    <row r="91" spans="1:12">
      <c r="A91" s="140">
        <v>512</v>
      </c>
      <c r="B91" s="93" t="s">
        <v>101</v>
      </c>
      <c r="C91" s="94">
        <v>5552987</v>
      </c>
      <c r="D91" s="94">
        <v>3115720</v>
      </c>
      <c r="E91" s="94">
        <v>2165537</v>
      </c>
      <c r="F91" s="94">
        <v>103518</v>
      </c>
      <c r="G91" s="94">
        <v>3052277</v>
      </c>
      <c r="H91" s="94">
        <v>1766501</v>
      </c>
      <c r="I91" s="94">
        <v>380</v>
      </c>
      <c r="J91" s="94">
        <v>314420</v>
      </c>
      <c r="K91" s="94">
        <v>308975</v>
      </c>
      <c r="L91" s="94">
        <v>8220</v>
      </c>
    </row>
    <row r="92" spans="1:12">
      <c r="A92" s="140">
        <v>520</v>
      </c>
      <c r="B92" s="93" t="s">
        <v>29</v>
      </c>
      <c r="C92" s="94">
        <v>111766642</v>
      </c>
      <c r="D92" s="94">
        <v>96954098</v>
      </c>
      <c r="E92" s="94">
        <v>9094322</v>
      </c>
      <c r="F92" s="94">
        <v>3931639</v>
      </c>
      <c r="G92" s="94">
        <v>168419200</v>
      </c>
      <c r="H92" s="94">
        <v>77322574</v>
      </c>
      <c r="I92" s="94">
        <v>1844932</v>
      </c>
      <c r="J92" s="94">
        <v>8677504</v>
      </c>
      <c r="K92" s="94">
        <v>54975238</v>
      </c>
      <c r="L92" s="94">
        <v>6238618</v>
      </c>
    </row>
    <row r="93" spans="1:12">
      <c r="A93" s="140">
        <v>611</v>
      </c>
      <c r="B93" s="93" t="s">
        <v>102</v>
      </c>
      <c r="C93" s="94">
        <v>483448159</v>
      </c>
      <c r="D93" s="94">
        <v>369751922</v>
      </c>
      <c r="E93" s="94">
        <v>95089267</v>
      </c>
      <c r="F93" s="94">
        <v>3426626</v>
      </c>
      <c r="G93" s="94">
        <v>225971082</v>
      </c>
      <c r="H93" s="94">
        <v>28758058</v>
      </c>
      <c r="I93" s="94">
        <v>2044987</v>
      </c>
      <c r="J93" s="94">
        <v>52278827</v>
      </c>
      <c r="K93" s="94">
        <v>100087806</v>
      </c>
      <c r="L93" s="94">
        <v>13639265</v>
      </c>
    </row>
    <row r="94" spans="1:12">
      <c r="A94" s="140">
        <v>612</v>
      </c>
      <c r="B94" s="93" t="s">
        <v>103</v>
      </c>
      <c r="C94" s="94">
        <v>46826679</v>
      </c>
      <c r="D94" s="94">
        <v>38308431</v>
      </c>
      <c r="E94" s="94">
        <v>6605382</v>
      </c>
      <c r="F94" s="94">
        <v>827882</v>
      </c>
      <c r="G94" s="94">
        <v>55728486</v>
      </c>
      <c r="H94" s="94">
        <v>20960470</v>
      </c>
      <c r="I94" s="94">
        <v>904290</v>
      </c>
      <c r="J94" s="94">
        <v>5987050</v>
      </c>
      <c r="K94" s="94">
        <v>6075222</v>
      </c>
      <c r="L94" s="94">
        <v>2031147</v>
      </c>
    </row>
    <row r="95" spans="1:12">
      <c r="A95" s="140">
        <v>619</v>
      </c>
      <c r="B95" s="93" t="s">
        <v>104</v>
      </c>
      <c r="C95" s="94">
        <v>89706658962</v>
      </c>
      <c r="D95" s="94">
        <v>80328319597</v>
      </c>
      <c r="E95" s="94">
        <v>4889590155</v>
      </c>
      <c r="F95" s="94">
        <v>243614341</v>
      </c>
      <c r="G95" s="94">
        <v>63748026204</v>
      </c>
      <c r="H95" s="94">
        <v>25980699246</v>
      </c>
      <c r="I95" s="94">
        <v>609600166</v>
      </c>
      <c r="J95" s="94">
        <v>10272715798</v>
      </c>
      <c r="K95" s="94">
        <v>7692471506</v>
      </c>
      <c r="L95" s="94">
        <v>5967733102</v>
      </c>
    </row>
    <row r="96" spans="1:12">
      <c r="A96" s="140">
        <v>621</v>
      </c>
      <c r="B96" s="93" t="s">
        <v>105</v>
      </c>
      <c r="C96" s="94">
        <v>69705659070</v>
      </c>
      <c r="D96" s="94">
        <v>63551485462</v>
      </c>
      <c r="E96" s="94">
        <v>3890807762</v>
      </c>
      <c r="F96" s="94">
        <v>478038122</v>
      </c>
      <c r="G96" s="94">
        <v>84823580237</v>
      </c>
      <c r="H96" s="94">
        <v>24292211786</v>
      </c>
      <c r="I96" s="94">
        <v>699247432</v>
      </c>
      <c r="J96" s="94">
        <v>23860480919</v>
      </c>
      <c r="K96" s="94">
        <v>5482810504</v>
      </c>
      <c r="L96" s="94">
        <v>6230495000</v>
      </c>
    </row>
    <row r="97" spans="1:12">
      <c r="A97" s="140">
        <v>622</v>
      </c>
      <c r="B97" s="93" t="s">
        <v>106</v>
      </c>
      <c r="C97" s="94">
        <v>67866650</v>
      </c>
      <c r="D97" s="94">
        <v>52346164</v>
      </c>
      <c r="E97" s="94">
        <v>8444605</v>
      </c>
      <c r="F97" s="94">
        <v>968187</v>
      </c>
      <c r="G97" s="94">
        <v>88808098</v>
      </c>
      <c r="H97" s="94">
        <v>22179633</v>
      </c>
      <c r="I97" s="94">
        <v>189964</v>
      </c>
      <c r="J97" s="94">
        <v>17754649</v>
      </c>
      <c r="K97" s="94">
        <v>13868387</v>
      </c>
      <c r="L97" s="94">
        <v>6426886</v>
      </c>
    </row>
    <row r="98" spans="1:12">
      <c r="A98" s="140">
        <v>623</v>
      </c>
      <c r="B98" s="93" t="s">
        <v>107</v>
      </c>
      <c r="C98" s="94">
        <v>10880981977</v>
      </c>
      <c r="D98" s="94">
        <v>9399929796</v>
      </c>
      <c r="E98" s="94">
        <v>972837673</v>
      </c>
      <c r="F98" s="94">
        <v>240798629</v>
      </c>
      <c r="G98" s="94">
        <v>11859626055</v>
      </c>
      <c r="H98" s="94">
        <v>5897538500</v>
      </c>
      <c r="I98" s="94">
        <v>125797173</v>
      </c>
      <c r="J98" s="94">
        <v>1910682939</v>
      </c>
      <c r="K98" s="94">
        <v>949505419</v>
      </c>
      <c r="L98" s="94">
        <v>951236204</v>
      </c>
    </row>
    <row r="99" spans="1:12">
      <c r="A99" s="140">
        <v>624</v>
      </c>
      <c r="B99" s="93" t="s">
        <v>108</v>
      </c>
      <c r="C99" s="94">
        <v>7608899612</v>
      </c>
      <c r="D99" s="94">
        <v>5849674651</v>
      </c>
      <c r="E99" s="94">
        <v>1237591309</v>
      </c>
      <c r="F99" s="94">
        <v>142270689</v>
      </c>
      <c r="G99" s="94">
        <v>7325587786</v>
      </c>
      <c r="H99" s="94">
        <v>2086460228</v>
      </c>
      <c r="I99" s="94">
        <v>311157461</v>
      </c>
      <c r="J99" s="94">
        <v>1562229853</v>
      </c>
      <c r="K99" s="94">
        <v>875846614</v>
      </c>
      <c r="L99" s="94">
        <v>754749063</v>
      </c>
    </row>
    <row r="100" spans="1:12">
      <c r="A100" s="140">
        <v>625</v>
      </c>
      <c r="B100" s="93" t="s">
        <v>109</v>
      </c>
      <c r="C100" s="94">
        <v>376863277</v>
      </c>
      <c r="D100" s="94">
        <v>319203023</v>
      </c>
      <c r="E100" s="94">
        <v>37492029</v>
      </c>
      <c r="F100" s="94">
        <v>7457018</v>
      </c>
      <c r="G100" s="94">
        <v>299721126</v>
      </c>
      <c r="H100" s="94">
        <v>106545833</v>
      </c>
      <c r="I100" s="94">
        <v>55445</v>
      </c>
      <c r="J100" s="94">
        <v>77517642</v>
      </c>
      <c r="K100" s="94">
        <v>55940165</v>
      </c>
      <c r="L100" s="94">
        <v>29883181</v>
      </c>
    </row>
    <row r="101" spans="1:12">
      <c r="A101" s="140">
        <v>626</v>
      </c>
      <c r="B101" s="93" t="s">
        <v>110</v>
      </c>
      <c r="C101" s="94">
        <v>15029570305</v>
      </c>
      <c r="D101" s="94">
        <v>13030991257</v>
      </c>
      <c r="E101" s="94">
        <v>1265049159</v>
      </c>
      <c r="F101" s="94">
        <v>268977234</v>
      </c>
      <c r="G101" s="94">
        <v>12711723735</v>
      </c>
      <c r="H101" s="94">
        <v>5231404843</v>
      </c>
      <c r="I101" s="94">
        <v>97979160</v>
      </c>
      <c r="J101" s="94">
        <v>3056597192</v>
      </c>
      <c r="K101" s="94">
        <v>1575653752</v>
      </c>
      <c r="L101" s="94">
        <v>1642282036</v>
      </c>
    </row>
    <row r="102" spans="1:12">
      <c r="A102" s="140">
        <v>627</v>
      </c>
      <c r="B102" s="93" t="s">
        <v>111</v>
      </c>
      <c r="C102" s="94">
        <v>934587501</v>
      </c>
      <c r="D102" s="94">
        <v>797418539</v>
      </c>
      <c r="E102" s="94">
        <v>103888729</v>
      </c>
      <c r="F102" s="94">
        <v>24486480</v>
      </c>
      <c r="G102" s="94">
        <v>909780671</v>
      </c>
      <c r="H102" s="94">
        <v>439035323</v>
      </c>
      <c r="I102" s="94">
        <v>6184543</v>
      </c>
      <c r="J102" s="94">
        <v>184077845</v>
      </c>
      <c r="K102" s="94">
        <v>69057891</v>
      </c>
      <c r="L102" s="94">
        <v>81773092</v>
      </c>
    </row>
    <row r="103" spans="1:12">
      <c r="A103" s="140">
        <v>628</v>
      </c>
      <c r="B103" s="93" t="s">
        <v>112</v>
      </c>
      <c r="C103" s="94">
        <v>12084869553</v>
      </c>
      <c r="D103" s="94">
        <v>10004910044</v>
      </c>
      <c r="E103" s="94">
        <v>1506307049</v>
      </c>
      <c r="F103" s="94">
        <v>213476902</v>
      </c>
      <c r="G103" s="94">
        <v>14022404292</v>
      </c>
      <c r="H103" s="94">
        <v>5245376931</v>
      </c>
      <c r="I103" s="94">
        <v>140488752</v>
      </c>
      <c r="J103" s="94">
        <v>2812307410</v>
      </c>
      <c r="K103" s="94">
        <v>1221910301</v>
      </c>
      <c r="L103" s="94">
        <v>1822278546</v>
      </c>
    </row>
    <row r="104" spans="1:12">
      <c r="A104" s="140">
        <v>629</v>
      </c>
      <c r="B104" s="93" t="s">
        <v>113</v>
      </c>
      <c r="C104" s="94">
        <v>193327981309</v>
      </c>
      <c r="D104" s="94">
        <v>162600606097</v>
      </c>
      <c r="E104" s="94">
        <v>21373518799</v>
      </c>
      <c r="F104" s="94">
        <v>4085487717</v>
      </c>
      <c r="G104" s="94">
        <v>182777297427</v>
      </c>
      <c r="H104" s="94">
        <v>65278213917</v>
      </c>
      <c r="I104" s="94">
        <v>3838869796</v>
      </c>
      <c r="J104" s="94">
        <v>39539487673</v>
      </c>
      <c r="K104" s="94">
        <v>19959053613</v>
      </c>
      <c r="L104" s="94">
        <v>21124885274</v>
      </c>
    </row>
    <row r="105" spans="1:12">
      <c r="A105" s="140">
        <v>631</v>
      </c>
      <c r="B105" s="93" t="s">
        <v>114</v>
      </c>
      <c r="C105" s="94">
        <v>730074636</v>
      </c>
      <c r="D105" s="94">
        <v>675535070</v>
      </c>
      <c r="E105" s="94">
        <v>52272610</v>
      </c>
      <c r="F105" s="94">
        <v>11744998</v>
      </c>
      <c r="G105" s="94">
        <v>421109815</v>
      </c>
      <c r="H105" s="94">
        <v>130766722</v>
      </c>
      <c r="I105" s="94">
        <v>5739782</v>
      </c>
      <c r="J105" s="94">
        <v>93030374</v>
      </c>
      <c r="K105" s="94">
        <v>14588745</v>
      </c>
      <c r="L105" s="94">
        <v>33579512</v>
      </c>
    </row>
    <row r="106" spans="1:12">
      <c r="A106" s="140">
        <v>632</v>
      </c>
      <c r="B106" s="93" t="s">
        <v>115</v>
      </c>
      <c r="C106" s="94">
        <v>40525553174</v>
      </c>
      <c r="D106" s="94">
        <v>26025235151</v>
      </c>
      <c r="E106" s="94">
        <v>12838886510</v>
      </c>
      <c r="F106" s="94">
        <v>616510311</v>
      </c>
      <c r="G106" s="94">
        <v>33912386644</v>
      </c>
      <c r="H106" s="94">
        <v>5813647255</v>
      </c>
      <c r="I106" s="94">
        <v>3075920431</v>
      </c>
      <c r="J106" s="94">
        <v>8537798601</v>
      </c>
      <c r="K106" s="94">
        <v>1096612437</v>
      </c>
      <c r="L106" s="94">
        <v>3857703054</v>
      </c>
    </row>
    <row r="107" spans="1:12">
      <c r="A107" s="140">
        <v>633</v>
      </c>
      <c r="B107" s="93" t="s">
        <v>116</v>
      </c>
      <c r="C107" s="94">
        <v>3706183730</v>
      </c>
      <c r="D107" s="94">
        <v>2916686536</v>
      </c>
      <c r="E107" s="94">
        <v>696132789</v>
      </c>
      <c r="F107" s="94">
        <v>51888915</v>
      </c>
      <c r="G107" s="94">
        <v>4026789756</v>
      </c>
      <c r="H107" s="94">
        <v>2018623855</v>
      </c>
      <c r="I107" s="94">
        <v>114564676</v>
      </c>
      <c r="J107" s="94">
        <v>347155868</v>
      </c>
      <c r="K107" s="94">
        <v>75437979</v>
      </c>
      <c r="L107" s="94">
        <v>98461156</v>
      </c>
    </row>
    <row r="108" spans="1:12">
      <c r="A108" s="140">
        <v>634</v>
      </c>
      <c r="B108" s="93" t="s">
        <v>117</v>
      </c>
      <c r="C108" s="94">
        <v>2271786152</v>
      </c>
      <c r="D108" s="94">
        <v>779912971</v>
      </c>
      <c r="E108" s="94">
        <v>1335552002</v>
      </c>
      <c r="F108" s="94">
        <v>103842926</v>
      </c>
      <c r="G108" s="94">
        <v>2018813296</v>
      </c>
      <c r="H108" s="94">
        <v>970001081</v>
      </c>
      <c r="I108" s="94">
        <v>64452327</v>
      </c>
      <c r="J108" s="94">
        <v>253069262</v>
      </c>
      <c r="K108" s="94">
        <v>12571997</v>
      </c>
      <c r="L108" s="94">
        <v>28699592</v>
      </c>
    </row>
    <row r="109" spans="1:12">
      <c r="A109" s="140">
        <v>635</v>
      </c>
      <c r="B109" s="93" t="s">
        <v>118</v>
      </c>
      <c r="C109" s="94">
        <v>14919523544</v>
      </c>
      <c r="D109" s="94">
        <v>10313287773</v>
      </c>
      <c r="E109" s="94">
        <v>3683831577</v>
      </c>
      <c r="F109" s="94">
        <v>120383918</v>
      </c>
      <c r="G109" s="94">
        <v>11917422039</v>
      </c>
      <c r="H109" s="94">
        <v>1631731127</v>
      </c>
      <c r="I109" s="94">
        <v>298629039</v>
      </c>
      <c r="J109" s="94">
        <v>3454583050</v>
      </c>
      <c r="K109" s="94">
        <v>434967024</v>
      </c>
      <c r="L109" s="94">
        <v>1270153960</v>
      </c>
    </row>
    <row r="110" spans="1:12">
      <c r="A110" s="140">
        <v>636</v>
      </c>
      <c r="B110" s="93" t="s">
        <v>119</v>
      </c>
      <c r="C110" s="94">
        <v>15261520</v>
      </c>
      <c r="D110" s="94">
        <v>3158006</v>
      </c>
      <c r="E110" s="94">
        <v>11353655</v>
      </c>
      <c r="F110" s="94">
        <v>978870</v>
      </c>
      <c r="G110" s="94">
        <v>13105360</v>
      </c>
      <c r="H110" s="94">
        <v>6550581</v>
      </c>
      <c r="I110" s="94">
        <v>7078</v>
      </c>
      <c r="J110" s="94">
        <v>890324</v>
      </c>
      <c r="K110" s="94">
        <v>659556</v>
      </c>
      <c r="L110" s="94">
        <v>910161</v>
      </c>
    </row>
    <row r="111" spans="1:12">
      <c r="A111" s="140">
        <v>637</v>
      </c>
      <c r="B111" s="93" t="s">
        <v>120</v>
      </c>
      <c r="C111" s="94">
        <v>10577952375</v>
      </c>
      <c r="D111" s="94">
        <v>8361116585</v>
      </c>
      <c r="E111" s="94">
        <v>1796553784</v>
      </c>
      <c r="F111" s="94">
        <v>285780115</v>
      </c>
      <c r="G111" s="94">
        <v>10512069797</v>
      </c>
      <c r="H111" s="94">
        <v>4717799307</v>
      </c>
      <c r="I111" s="94">
        <v>506996432</v>
      </c>
      <c r="J111" s="94">
        <v>866105807</v>
      </c>
      <c r="K111" s="94">
        <v>573520445</v>
      </c>
      <c r="L111" s="94">
        <v>286930981</v>
      </c>
    </row>
    <row r="112" spans="1:12">
      <c r="A112" s="140">
        <v>639</v>
      </c>
      <c r="B112" s="93" t="s">
        <v>121</v>
      </c>
      <c r="C112" s="94">
        <v>10892489188</v>
      </c>
      <c r="D112" s="94">
        <v>9008913111</v>
      </c>
      <c r="E112" s="94">
        <v>1576280337</v>
      </c>
      <c r="F112" s="94">
        <v>62391553</v>
      </c>
      <c r="G112" s="94">
        <v>5803600223</v>
      </c>
      <c r="H112" s="94">
        <v>1054840207</v>
      </c>
      <c r="I112" s="94">
        <v>82511314</v>
      </c>
      <c r="J112" s="94">
        <v>1675069777</v>
      </c>
      <c r="K112" s="94">
        <v>378787373</v>
      </c>
      <c r="L112" s="94">
        <v>711271140</v>
      </c>
    </row>
    <row r="113" spans="1:12">
      <c r="A113" s="140">
        <v>711</v>
      </c>
      <c r="B113" s="93" t="s">
        <v>6</v>
      </c>
      <c r="C113" s="94">
        <v>1226715963</v>
      </c>
      <c r="D113" s="94">
        <v>1107408283</v>
      </c>
      <c r="E113" s="94">
        <v>89294856</v>
      </c>
      <c r="F113" s="94">
        <v>12785555</v>
      </c>
      <c r="G113" s="94">
        <v>682449299</v>
      </c>
      <c r="H113" s="94">
        <v>327948017</v>
      </c>
      <c r="I113" s="94">
        <v>619263</v>
      </c>
      <c r="J113" s="94">
        <v>94072105</v>
      </c>
      <c r="K113" s="94">
        <v>65581869</v>
      </c>
      <c r="L113" s="94">
        <v>38142865</v>
      </c>
    </row>
    <row r="114" spans="1:12">
      <c r="A114" s="140">
        <v>712</v>
      </c>
      <c r="B114" s="93" t="s">
        <v>122</v>
      </c>
      <c r="C114" s="94">
        <v>9599448661</v>
      </c>
      <c r="D114" s="94">
        <v>8508435984</v>
      </c>
      <c r="E114" s="94">
        <v>888026753</v>
      </c>
      <c r="F114" s="94">
        <v>129435676</v>
      </c>
      <c r="G114" s="94">
        <v>4663575473</v>
      </c>
      <c r="H114" s="94">
        <v>2130657107</v>
      </c>
      <c r="I114" s="94">
        <v>21628393</v>
      </c>
      <c r="J114" s="94">
        <v>843560512</v>
      </c>
      <c r="K114" s="94">
        <v>669437682</v>
      </c>
      <c r="L114" s="94">
        <v>422078176</v>
      </c>
    </row>
    <row r="115" spans="1:12">
      <c r="A115" s="140">
        <v>721</v>
      </c>
      <c r="B115" s="93" t="s">
        <v>123</v>
      </c>
      <c r="C115" s="94">
        <v>4649694474</v>
      </c>
      <c r="D115" s="94">
        <v>3818164573</v>
      </c>
      <c r="E115" s="94">
        <v>692107257</v>
      </c>
      <c r="F115" s="94">
        <v>39294664</v>
      </c>
      <c r="G115" s="94">
        <v>3140381962</v>
      </c>
      <c r="H115" s="94">
        <v>1082641586</v>
      </c>
      <c r="I115" s="94">
        <v>13947537</v>
      </c>
      <c r="J115" s="94">
        <v>443619706</v>
      </c>
      <c r="K115" s="94">
        <v>681903131</v>
      </c>
      <c r="L115" s="94">
        <v>258856114</v>
      </c>
    </row>
    <row r="116" spans="1:12">
      <c r="A116" s="140">
        <v>722</v>
      </c>
      <c r="B116" s="93" t="s">
        <v>124</v>
      </c>
      <c r="C116" s="94">
        <v>711688744</v>
      </c>
      <c r="D116" s="94">
        <v>608139325</v>
      </c>
      <c r="E116" s="94">
        <v>73981817</v>
      </c>
      <c r="F116" s="94">
        <v>15414496</v>
      </c>
      <c r="G116" s="94">
        <v>540135978</v>
      </c>
      <c r="H116" s="94">
        <v>258926684</v>
      </c>
      <c r="I116" s="94">
        <v>2043509</v>
      </c>
      <c r="J116" s="94">
        <v>65705979</v>
      </c>
      <c r="K116" s="94">
        <v>112289095</v>
      </c>
      <c r="L116" s="94">
        <v>38221866</v>
      </c>
    </row>
    <row r="117" spans="1:12">
      <c r="A117" s="140">
        <v>730</v>
      </c>
      <c r="B117" s="93" t="s">
        <v>35</v>
      </c>
      <c r="C117" s="94">
        <v>2652055442</v>
      </c>
      <c r="D117" s="94">
        <v>2164998869</v>
      </c>
      <c r="E117" s="94">
        <v>388709746</v>
      </c>
      <c r="F117" s="94">
        <v>54314077</v>
      </c>
      <c r="G117" s="94">
        <v>2035045707</v>
      </c>
      <c r="H117" s="94">
        <v>880277819</v>
      </c>
      <c r="I117" s="94">
        <v>149957903</v>
      </c>
      <c r="J117" s="94">
        <v>299561404</v>
      </c>
      <c r="K117" s="94">
        <v>322419067</v>
      </c>
      <c r="L117" s="94">
        <v>149763817</v>
      </c>
    </row>
    <row r="118" spans="1:12">
      <c r="A118" s="140">
        <v>740</v>
      </c>
      <c r="B118" s="93" t="s">
        <v>36</v>
      </c>
      <c r="C118" s="94">
        <v>1506301332</v>
      </c>
      <c r="D118" s="94">
        <v>1350404947</v>
      </c>
      <c r="E118" s="94">
        <v>128830443</v>
      </c>
      <c r="F118" s="94">
        <v>13061422</v>
      </c>
      <c r="G118" s="94">
        <v>977218884</v>
      </c>
      <c r="H118" s="94">
        <v>343168779</v>
      </c>
      <c r="I118" s="94">
        <v>7399291</v>
      </c>
      <c r="J118" s="94">
        <v>165909455</v>
      </c>
      <c r="K118" s="94">
        <v>171186415</v>
      </c>
      <c r="L118" s="94">
        <v>101270345</v>
      </c>
    </row>
    <row r="119" spans="1:12">
      <c r="A119" s="140">
        <v>750</v>
      </c>
      <c r="B119" s="93" t="s">
        <v>37</v>
      </c>
      <c r="C119" s="94">
        <v>7753744020</v>
      </c>
      <c r="D119" s="94">
        <v>6063709999</v>
      </c>
      <c r="E119" s="94">
        <v>1440821615</v>
      </c>
      <c r="F119" s="94">
        <v>52323164</v>
      </c>
      <c r="G119" s="94">
        <v>5462147399</v>
      </c>
      <c r="H119" s="94">
        <v>1809401091</v>
      </c>
      <c r="I119" s="94">
        <v>69519253</v>
      </c>
      <c r="J119" s="94">
        <v>1489517530</v>
      </c>
      <c r="K119" s="94">
        <v>664738287</v>
      </c>
      <c r="L119" s="94">
        <v>458279571</v>
      </c>
    </row>
    <row r="120" spans="1:12">
      <c r="A120" s="140">
        <v>761</v>
      </c>
      <c r="B120" s="93" t="s">
        <v>125</v>
      </c>
      <c r="C120" s="94">
        <v>5503129027</v>
      </c>
      <c r="D120" s="94">
        <v>4765964609</v>
      </c>
      <c r="E120" s="94">
        <v>601640865</v>
      </c>
      <c r="F120" s="94">
        <v>59563519</v>
      </c>
      <c r="G120" s="94">
        <v>4794349943</v>
      </c>
      <c r="H120" s="94">
        <v>1539463921</v>
      </c>
      <c r="I120" s="94">
        <v>220990022</v>
      </c>
      <c r="J120" s="94">
        <v>654966140</v>
      </c>
      <c r="K120" s="94">
        <v>883086959</v>
      </c>
      <c r="L120" s="94">
        <v>258759980</v>
      </c>
    </row>
    <row r="121" spans="1:12">
      <c r="A121" s="140">
        <v>762</v>
      </c>
      <c r="B121" s="93" t="s">
        <v>126</v>
      </c>
      <c r="C121" s="94">
        <v>583836140</v>
      </c>
      <c r="D121" s="94">
        <v>486133191</v>
      </c>
      <c r="E121" s="94">
        <v>63890087</v>
      </c>
      <c r="F121" s="94">
        <v>12099067</v>
      </c>
      <c r="G121" s="94">
        <v>644819771</v>
      </c>
      <c r="H121" s="94">
        <v>197731048</v>
      </c>
      <c r="I121" s="94">
        <v>6460754</v>
      </c>
      <c r="J121" s="94">
        <v>66889878</v>
      </c>
      <c r="K121" s="94">
        <v>88258940</v>
      </c>
      <c r="L121" s="94">
        <v>33104362</v>
      </c>
    </row>
    <row r="122" spans="1:12">
      <c r="A122" s="140">
        <v>770</v>
      </c>
      <c r="B122" s="93" t="s">
        <v>39</v>
      </c>
      <c r="C122" s="94">
        <v>9241078030</v>
      </c>
      <c r="D122" s="94">
        <v>8096504312</v>
      </c>
      <c r="E122" s="94">
        <v>885496476</v>
      </c>
      <c r="F122" s="94">
        <v>34397153</v>
      </c>
      <c r="G122" s="94">
        <v>5694267212</v>
      </c>
      <c r="H122" s="94">
        <v>1451024765</v>
      </c>
      <c r="I122" s="94">
        <v>29200645</v>
      </c>
      <c r="J122" s="94">
        <v>1302088897</v>
      </c>
      <c r="K122" s="94">
        <v>1024930985</v>
      </c>
      <c r="L122" s="94">
        <v>542300254</v>
      </c>
    </row>
    <row r="123" spans="1:12">
      <c r="A123" s="140">
        <v>791</v>
      </c>
      <c r="B123" s="93" t="s">
        <v>127</v>
      </c>
      <c r="C123" s="94">
        <v>7726361379</v>
      </c>
      <c r="D123" s="94">
        <v>5260695669</v>
      </c>
      <c r="E123" s="94">
        <v>2104412727</v>
      </c>
      <c r="F123" s="94">
        <v>148566262</v>
      </c>
      <c r="G123" s="94">
        <v>9264675998</v>
      </c>
      <c r="H123" s="94">
        <v>3274659369</v>
      </c>
      <c r="I123" s="94">
        <v>36661250</v>
      </c>
      <c r="J123" s="94">
        <v>899203560</v>
      </c>
      <c r="K123" s="94">
        <v>452207130</v>
      </c>
      <c r="L123" s="94">
        <v>584589308</v>
      </c>
    </row>
    <row r="124" spans="1:12">
      <c r="A124" s="140">
        <v>792</v>
      </c>
      <c r="B124" s="93" t="s">
        <v>128</v>
      </c>
      <c r="C124" s="94">
        <v>6988724416</v>
      </c>
      <c r="D124" s="94">
        <v>5324542413</v>
      </c>
      <c r="E124" s="94">
        <v>1318896581</v>
      </c>
      <c r="F124" s="94">
        <v>60159073</v>
      </c>
      <c r="G124" s="94">
        <v>7970749362</v>
      </c>
      <c r="H124" s="94">
        <v>2880536732</v>
      </c>
      <c r="I124" s="94">
        <v>304593608</v>
      </c>
      <c r="J124" s="94">
        <v>712037417</v>
      </c>
      <c r="K124" s="94">
        <v>808086146</v>
      </c>
      <c r="L124" s="94">
        <v>516123142</v>
      </c>
    </row>
    <row r="125" spans="1:12">
      <c r="A125" s="140">
        <v>793</v>
      </c>
      <c r="B125" s="93" t="s">
        <v>129</v>
      </c>
      <c r="C125" s="94">
        <v>3595899419</v>
      </c>
      <c r="D125" s="94">
        <v>2803084745</v>
      </c>
      <c r="E125" s="94">
        <v>669476601</v>
      </c>
      <c r="F125" s="94">
        <v>58680116</v>
      </c>
      <c r="G125" s="94">
        <v>3859554241</v>
      </c>
      <c r="H125" s="94">
        <v>1577447863</v>
      </c>
      <c r="I125" s="94">
        <v>24377348</v>
      </c>
      <c r="J125" s="94">
        <v>380078561</v>
      </c>
      <c r="K125" s="94">
        <v>268738970</v>
      </c>
      <c r="L125" s="94">
        <v>429463297</v>
      </c>
    </row>
    <row r="126" spans="1:12">
      <c r="A126" s="140">
        <v>794</v>
      </c>
      <c r="B126" s="93" t="s">
        <v>130</v>
      </c>
      <c r="C126" s="94">
        <v>5918419107</v>
      </c>
      <c r="D126" s="94">
        <v>4513573016</v>
      </c>
      <c r="E126" s="94">
        <v>1051544345</v>
      </c>
      <c r="F126" s="94">
        <v>53186714</v>
      </c>
      <c r="G126" s="94">
        <v>4818748354</v>
      </c>
      <c r="H126" s="94">
        <v>1875349405</v>
      </c>
      <c r="I126" s="94">
        <v>39304564</v>
      </c>
      <c r="J126" s="94">
        <v>712448349</v>
      </c>
      <c r="K126" s="94">
        <v>595461658</v>
      </c>
      <c r="L126" s="94">
        <v>468438556</v>
      </c>
    </row>
    <row r="127" spans="1:12">
      <c r="A127" s="140">
        <v>795</v>
      </c>
      <c r="B127" s="93" t="s">
        <v>131</v>
      </c>
      <c r="C127" s="94">
        <v>4414616735</v>
      </c>
      <c r="D127" s="94">
        <v>3303898268</v>
      </c>
      <c r="E127" s="94">
        <v>906825404</v>
      </c>
      <c r="F127" s="94">
        <v>95486415</v>
      </c>
      <c r="G127" s="94">
        <v>3732578674</v>
      </c>
      <c r="H127" s="94">
        <v>1707372132</v>
      </c>
      <c r="I127" s="94">
        <v>52194975</v>
      </c>
      <c r="J127" s="94">
        <v>585326350</v>
      </c>
      <c r="K127" s="94">
        <v>544348376</v>
      </c>
      <c r="L127" s="94">
        <v>323112960</v>
      </c>
    </row>
    <row r="128" spans="1:12">
      <c r="A128" s="140">
        <v>799</v>
      </c>
      <c r="B128" s="93" t="s">
        <v>132</v>
      </c>
      <c r="C128" s="94">
        <v>4414616735</v>
      </c>
      <c r="D128" s="94">
        <v>3303898268</v>
      </c>
      <c r="E128" s="94">
        <v>906825404</v>
      </c>
      <c r="F128" s="94">
        <v>95486415</v>
      </c>
      <c r="G128" s="94">
        <v>3732578674</v>
      </c>
      <c r="H128" s="94">
        <v>1707372132</v>
      </c>
      <c r="I128" s="94">
        <v>52194975</v>
      </c>
      <c r="J128" s="94">
        <v>585326350</v>
      </c>
      <c r="K128" s="94">
        <v>544348376</v>
      </c>
      <c r="L128" s="94">
        <v>323112960</v>
      </c>
    </row>
    <row r="129" spans="1:12">
      <c r="A129" s="140">
        <v>811</v>
      </c>
      <c r="B129" s="93" t="s">
        <v>133</v>
      </c>
      <c r="C129" s="94">
        <v>240805624</v>
      </c>
      <c r="D129" s="94">
        <v>152783332</v>
      </c>
      <c r="E129" s="94">
        <v>82158023</v>
      </c>
      <c r="F129" s="94">
        <v>6790149</v>
      </c>
      <c r="G129" s="94">
        <v>391526786</v>
      </c>
      <c r="H129" s="94">
        <v>168491664</v>
      </c>
      <c r="I129" s="94">
        <v>7494545</v>
      </c>
      <c r="J129" s="94">
        <v>38008069</v>
      </c>
      <c r="K129" s="94">
        <v>45220203</v>
      </c>
      <c r="L129" s="94">
        <v>13932477</v>
      </c>
    </row>
    <row r="130" spans="1:12">
      <c r="A130" s="140">
        <v>812</v>
      </c>
      <c r="B130" s="93" t="s">
        <v>134</v>
      </c>
      <c r="C130" s="94">
        <v>2476047088</v>
      </c>
      <c r="D130" s="94">
        <v>1448807808</v>
      </c>
      <c r="E130" s="94">
        <v>788018216</v>
      </c>
      <c r="F130" s="94">
        <v>26658326</v>
      </c>
      <c r="G130" s="94">
        <v>4637226972</v>
      </c>
      <c r="H130" s="94">
        <v>2428369136</v>
      </c>
      <c r="I130" s="94">
        <v>190866722</v>
      </c>
      <c r="J130" s="94">
        <v>682686073</v>
      </c>
      <c r="K130" s="94">
        <v>259733798</v>
      </c>
      <c r="L130" s="94">
        <v>134125832</v>
      </c>
    </row>
    <row r="131" spans="1:12">
      <c r="A131" s="140">
        <v>821</v>
      </c>
      <c r="B131" s="93" t="s">
        <v>146</v>
      </c>
      <c r="C131" s="94">
        <v>4747459141</v>
      </c>
      <c r="D131" s="94">
        <v>2929338422</v>
      </c>
      <c r="E131" s="94">
        <v>1515790781</v>
      </c>
      <c r="F131" s="94">
        <v>155585252</v>
      </c>
      <c r="G131" s="94">
        <v>6152523659</v>
      </c>
      <c r="H131" s="94">
        <v>2964727577</v>
      </c>
      <c r="I131" s="94">
        <v>343442009</v>
      </c>
      <c r="J131" s="94">
        <v>523317694</v>
      </c>
      <c r="K131" s="94">
        <v>429075737</v>
      </c>
      <c r="L131" s="94">
        <v>353280286</v>
      </c>
    </row>
    <row r="132" spans="1:12">
      <c r="A132" s="140">
        <v>822</v>
      </c>
      <c r="B132" s="93" t="s">
        <v>146</v>
      </c>
      <c r="C132" s="94">
        <v>14559836</v>
      </c>
      <c r="D132" s="94">
        <v>11930108</v>
      </c>
      <c r="E132" s="94">
        <v>1641101</v>
      </c>
      <c r="F132" s="94">
        <v>967182</v>
      </c>
      <c r="G132" s="94">
        <v>12379916</v>
      </c>
      <c r="H132" s="94">
        <v>9750770</v>
      </c>
      <c r="I132" s="94">
        <v>0</v>
      </c>
      <c r="J132" s="94">
        <v>105562</v>
      </c>
      <c r="K132" s="94">
        <v>466429</v>
      </c>
      <c r="L132" s="94">
        <v>57204</v>
      </c>
    </row>
    <row r="133" spans="1:12">
      <c r="A133" s="140">
        <v>911</v>
      </c>
      <c r="B133" s="93" t="s">
        <v>135</v>
      </c>
      <c r="C133" s="94">
        <v>1902298867</v>
      </c>
      <c r="D133" s="94">
        <v>1483949702</v>
      </c>
      <c r="E133" s="94">
        <v>316073395</v>
      </c>
      <c r="F133" s="94">
        <v>28895557</v>
      </c>
      <c r="G133" s="94">
        <v>2204606565</v>
      </c>
      <c r="H133" s="94">
        <v>638039998</v>
      </c>
      <c r="I133" s="94">
        <v>23626233</v>
      </c>
      <c r="J133" s="94">
        <v>296389048</v>
      </c>
      <c r="K133" s="94">
        <v>239056557</v>
      </c>
      <c r="L133" s="94">
        <v>242735182</v>
      </c>
    </row>
    <row r="134" spans="1:12">
      <c r="A134" s="140">
        <v>912</v>
      </c>
      <c r="B134" s="93" t="s">
        <v>136</v>
      </c>
      <c r="C134" s="94">
        <v>790382042</v>
      </c>
      <c r="D134" s="94">
        <v>574914262</v>
      </c>
      <c r="E134" s="94">
        <v>148439544</v>
      </c>
      <c r="F134" s="94">
        <v>12748958</v>
      </c>
      <c r="G134" s="94">
        <v>642220906</v>
      </c>
      <c r="H134" s="94">
        <v>238898449</v>
      </c>
      <c r="I134" s="94">
        <v>14017546</v>
      </c>
      <c r="J134" s="94">
        <v>117652774</v>
      </c>
      <c r="K134" s="94">
        <v>70356522</v>
      </c>
      <c r="L134" s="94">
        <v>78219415</v>
      </c>
    </row>
    <row r="135" spans="1:12">
      <c r="A135" s="140">
        <v>913</v>
      </c>
      <c r="B135" s="93" t="s">
        <v>137</v>
      </c>
      <c r="C135" s="94">
        <v>51182557561</v>
      </c>
      <c r="D135" s="94">
        <v>43810673723</v>
      </c>
      <c r="E135" s="94">
        <v>4653719720</v>
      </c>
      <c r="F135" s="94">
        <v>1219636006</v>
      </c>
      <c r="G135" s="94">
        <v>46600021971</v>
      </c>
      <c r="H135" s="94">
        <v>19963148908</v>
      </c>
      <c r="I135" s="94">
        <v>471650383</v>
      </c>
      <c r="J135" s="94">
        <v>9745509551</v>
      </c>
      <c r="K135" s="94">
        <v>5266010809</v>
      </c>
      <c r="L135" s="94">
        <v>5205667920</v>
      </c>
    </row>
    <row r="136" spans="1:12">
      <c r="A136" s="140">
        <v>914</v>
      </c>
      <c r="B136" s="93" t="s">
        <v>138</v>
      </c>
      <c r="C136" s="94">
        <v>6746220241</v>
      </c>
      <c r="D136" s="94">
        <v>4747116092</v>
      </c>
      <c r="E136" s="94">
        <v>1543110405</v>
      </c>
      <c r="F136" s="94">
        <v>108220861</v>
      </c>
      <c r="G136" s="94">
        <v>5870209347</v>
      </c>
      <c r="H136" s="94">
        <v>1954434264</v>
      </c>
      <c r="I136" s="94">
        <v>76721019</v>
      </c>
      <c r="J136" s="94">
        <v>1051899772</v>
      </c>
      <c r="K136" s="94">
        <v>659920378</v>
      </c>
      <c r="L136" s="94">
        <v>525164288</v>
      </c>
    </row>
    <row r="137" spans="1:12">
      <c r="A137" s="140">
        <v>915</v>
      </c>
      <c r="B137" s="93" t="s">
        <v>139</v>
      </c>
      <c r="C137" s="94">
        <v>20893377383</v>
      </c>
      <c r="D137" s="94">
        <v>17878367183</v>
      </c>
      <c r="E137" s="94">
        <v>1871353040</v>
      </c>
      <c r="F137" s="94">
        <v>532188971</v>
      </c>
      <c r="G137" s="94">
        <v>19695718753</v>
      </c>
      <c r="H137" s="94">
        <v>8492256995</v>
      </c>
      <c r="I137" s="94">
        <v>244806436</v>
      </c>
      <c r="J137" s="94">
        <v>3976844472</v>
      </c>
      <c r="K137" s="94">
        <v>1974796950</v>
      </c>
      <c r="L137" s="94">
        <v>2108224341</v>
      </c>
    </row>
    <row r="138" spans="1:12">
      <c r="A138" s="140">
        <v>919</v>
      </c>
      <c r="B138" s="93" t="s">
        <v>140</v>
      </c>
      <c r="C138" s="94">
        <v>6506820349</v>
      </c>
      <c r="D138" s="94">
        <v>5473010818</v>
      </c>
      <c r="E138" s="94">
        <v>676646549</v>
      </c>
      <c r="F138" s="94">
        <v>143348311</v>
      </c>
      <c r="G138" s="94">
        <v>6446691514</v>
      </c>
      <c r="H138" s="94">
        <v>2384999654</v>
      </c>
      <c r="I138" s="94">
        <v>110254979</v>
      </c>
      <c r="J138" s="94">
        <v>1402462706</v>
      </c>
      <c r="K138" s="94">
        <v>668033061</v>
      </c>
      <c r="L138" s="94">
        <v>871282325</v>
      </c>
    </row>
    <row r="139" spans="1:12">
      <c r="A139" s="140">
        <v>921</v>
      </c>
      <c r="B139" s="93" t="s">
        <v>141</v>
      </c>
      <c r="C139" s="94">
        <v>3706183730</v>
      </c>
      <c r="D139" s="94">
        <v>2916686536</v>
      </c>
      <c r="E139" s="94">
        <v>696132789</v>
      </c>
      <c r="F139" s="94">
        <v>51888915</v>
      </c>
      <c r="G139" s="94">
        <v>4026789756</v>
      </c>
      <c r="H139" s="94">
        <v>2018623855</v>
      </c>
      <c r="I139" s="94">
        <v>114564676</v>
      </c>
      <c r="J139" s="94">
        <v>347155868</v>
      </c>
      <c r="K139" s="94">
        <v>75437979</v>
      </c>
      <c r="L139" s="94">
        <v>98461156</v>
      </c>
    </row>
    <row r="140" spans="1:12">
      <c r="A140" s="140">
        <v>922</v>
      </c>
      <c r="B140" s="93" t="s">
        <v>142</v>
      </c>
      <c r="C140" s="94">
        <v>40525553174</v>
      </c>
      <c r="D140" s="94">
        <v>26025235151</v>
      </c>
      <c r="E140" s="94">
        <v>12838886510</v>
      </c>
      <c r="F140" s="94">
        <v>616510311</v>
      </c>
      <c r="G140" s="94">
        <v>33912386644</v>
      </c>
      <c r="H140" s="94">
        <v>5813647255</v>
      </c>
      <c r="I140" s="94">
        <v>3075920431</v>
      </c>
      <c r="J140" s="94">
        <v>8537798601</v>
      </c>
      <c r="K140" s="94">
        <v>1096612437</v>
      </c>
      <c r="L140" s="94">
        <v>3857703054</v>
      </c>
    </row>
    <row r="141" spans="1:12">
      <c r="A141" s="140">
        <v>923</v>
      </c>
      <c r="B141" s="93" t="s">
        <v>143</v>
      </c>
      <c r="C141" s="94">
        <v>2271786152</v>
      </c>
      <c r="D141" s="94">
        <v>779912971</v>
      </c>
      <c r="E141" s="94">
        <v>1335552002</v>
      </c>
      <c r="F141" s="94">
        <v>103842926</v>
      </c>
      <c r="G141" s="94">
        <v>2018813296</v>
      </c>
      <c r="H141" s="94">
        <v>970001081</v>
      </c>
      <c r="I141" s="94">
        <v>64452327</v>
      </c>
      <c r="J141" s="94">
        <v>253069262</v>
      </c>
      <c r="K141" s="94">
        <v>12571997</v>
      </c>
      <c r="L141" s="94">
        <v>28699592</v>
      </c>
    </row>
    <row r="142" spans="1:12">
      <c r="A142" s="140">
        <v>924</v>
      </c>
      <c r="B142" s="93" t="s">
        <v>144</v>
      </c>
      <c r="C142" s="94">
        <v>10577952375</v>
      </c>
      <c r="D142" s="94">
        <v>8361116585</v>
      </c>
      <c r="E142" s="94">
        <v>1796553784</v>
      </c>
      <c r="F142" s="94">
        <v>285780115</v>
      </c>
      <c r="G142" s="94">
        <v>10512069797</v>
      </c>
      <c r="H142" s="94">
        <v>4717799307</v>
      </c>
      <c r="I142" s="94">
        <v>506996432</v>
      </c>
      <c r="J142" s="94">
        <v>866105807</v>
      </c>
      <c r="K142" s="94">
        <v>573520445</v>
      </c>
      <c r="L142" s="94">
        <v>286930981</v>
      </c>
    </row>
    <row r="143" spans="1:12">
      <c r="A143" s="140">
        <v>929</v>
      </c>
      <c r="B143" s="93" t="s">
        <v>145</v>
      </c>
      <c r="C143" s="94">
        <v>680603174</v>
      </c>
      <c r="D143" s="94">
        <v>388597613</v>
      </c>
      <c r="E143" s="94">
        <v>270165165</v>
      </c>
      <c r="F143" s="94">
        <v>10693679</v>
      </c>
      <c r="G143" s="94">
        <v>647915217</v>
      </c>
      <c r="H143" s="94">
        <v>311371742</v>
      </c>
      <c r="I143" s="94">
        <v>21668928</v>
      </c>
      <c r="J143" s="94">
        <v>55233423</v>
      </c>
      <c r="K143" s="94">
        <v>4318675</v>
      </c>
      <c r="L143" s="94">
        <v>24787341</v>
      </c>
    </row>
  </sheetData>
  <mergeCells count="3">
    <mergeCell ref="C1:E1"/>
    <mergeCell ref="G1:I1"/>
    <mergeCell ref="J1:L1"/>
  </mergeCells>
  <phoneticPr fontId="11"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O143"/>
  <sheetViews>
    <sheetView topLeftCell="A102" workbookViewId="0">
      <selection activeCell="A3" sqref="A3:A143"/>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9" width="10.88671875" style="95" bestFit="1" customWidth="1"/>
    <col min="10" max="10" width="12.5546875" style="95" bestFit="1" customWidth="1"/>
    <col min="11"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1054859067</v>
      </c>
      <c r="D3" s="94">
        <v>821052344</v>
      </c>
      <c r="E3" s="94">
        <v>171273735</v>
      </c>
      <c r="F3" s="94">
        <v>18828386</v>
      </c>
      <c r="G3" s="94">
        <v>1381741070</v>
      </c>
      <c r="H3" s="94">
        <v>757148338</v>
      </c>
      <c r="I3" s="94">
        <v>22236989</v>
      </c>
      <c r="J3" s="94">
        <v>134695860</v>
      </c>
      <c r="K3" s="94">
        <v>202758909</v>
      </c>
      <c r="L3" s="94">
        <v>49252038</v>
      </c>
    </row>
    <row r="4" spans="1:15">
      <c r="A4" s="140">
        <v>12</v>
      </c>
      <c r="B4" s="93" t="s">
        <v>2</v>
      </c>
      <c r="C4" s="94">
        <v>3458810109</v>
      </c>
      <c r="D4" s="94">
        <v>2954853806</v>
      </c>
      <c r="E4" s="94">
        <v>232629811</v>
      </c>
      <c r="F4" s="94">
        <v>117157503</v>
      </c>
      <c r="G4" s="94">
        <v>3421337380</v>
      </c>
      <c r="H4" s="94">
        <v>1971115320</v>
      </c>
      <c r="I4" s="94">
        <v>6571468</v>
      </c>
      <c r="J4" s="94">
        <v>289487713</v>
      </c>
      <c r="K4" s="94">
        <v>560819116</v>
      </c>
      <c r="L4" s="94">
        <v>340533790</v>
      </c>
    </row>
    <row r="5" spans="1:15">
      <c r="A5" s="140">
        <v>21</v>
      </c>
      <c r="B5" s="93" t="s">
        <v>19</v>
      </c>
      <c r="C5" s="94">
        <v>63017909979</v>
      </c>
      <c r="D5" s="94">
        <v>44467853675</v>
      </c>
      <c r="E5" s="94">
        <v>14643961460</v>
      </c>
      <c r="F5" s="94">
        <v>900506493</v>
      </c>
      <c r="G5" s="94">
        <v>68464931639</v>
      </c>
      <c r="H5" s="94">
        <v>23048123130</v>
      </c>
      <c r="I5" s="94">
        <v>1592040379</v>
      </c>
      <c r="J5" s="94">
        <v>13319190224</v>
      </c>
      <c r="K5" s="94">
        <v>9476965489</v>
      </c>
      <c r="L5" s="94">
        <v>5332993856</v>
      </c>
    </row>
    <row r="6" spans="1:15">
      <c r="A6" s="140">
        <v>22</v>
      </c>
      <c r="B6" s="93" t="s">
        <v>20</v>
      </c>
      <c r="C6" s="94">
        <v>165501117653</v>
      </c>
      <c r="D6" s="94">
        <v>134969368716</v>
      </c>
      <c r="E6" s="94">
        <v>22492993964</v>
      </c>
      <c r="F6" s="94">
        <v>3525972328</v>
      </c>
      <c r="G6" s="94">
        <v>166811319189</v>
      </c>
      <c r="H6" s="94">
        <v>66402709743</v>
      </c>
      <c r="I6" s="94">
        <v>3254588686</v>
      </c>
      <c r="J6" s="94">
        <v>33488556729</v>
      </c>
      <c r="K6" s="94">
        <v>20129338061</v>
      </c>
      <c r="L6" s="94">
        <v>16379032365</v>
      </c>
    </row>
    <row r="7" spans="1:15">
      <c r="A7" s="140">
        <v>23</v>
      </c>
      <c r="B7" s="93" t="s">
        <v>21</v>
      </c>
      <c r="C7" s="94">
        <v>106419121100</v>
      </c>
      <c r="D7" s="94">
        <v>68208302084</v>
      </c>
      <c r="E7" s="94">
        <v>33188983796</v>
      </c>
      <c r="F7" s="94">
        <v>1864166980</v>
      </c>
      <c r="G7" s="94">
        <v>112266776612</v>
      </c>
      <c r="H7" s="94">
        <v>23836656329</v>
      </c>
      <c r="I7" s="94">
        <v>7726149791</v>
      </c>
      <c r="J7" s="94">
        <v>22192548336</v>
      </c>
      <c r="K7" s="94">
        <v>4381238877</v>
      </c>
      <c r="L7" s="94">
        <v>8826810174</v>
      </c>
    </row>
    <row r="8" spans="1:15">
      <c r="A8" s="140">
        <v>31</v>
      </c>
      <c r="B8" s="93" t="s">
        <v>22</v>
      </c>
      <c r="C8" s="94">
        <v>28502021</v>
      </c>
      <c r="D8" s="94">
        <v>19748838</v>
      </c>
      <c r="E8" s="94">
        <v>7498626</v>
      </c>
      <c r="F8" s="94">
        <v>408296</v>
      </c>
      <c r="G8" s="94">
        <v>44449756</v>
      </c>
      <c r="H8" s="94">
        <v>12067044</v>
      </c>
      <c r="I8" s="94">
        <v>1452</v>
      </c>
      <c r="J8" s="94">
        <v>1874372</v>
      </c>
      <c r="K8" s="94">
        <v>6209138</v>
      </c>
      <c r="L8" s="94">
        <v>1840534</v>
      </c>
    </row>
    <row r="9" spans="1:15">
      <c r="A9" s="140">
        <v>39</v>
      </c>
      <c r="B9" s="93" t="s">
        <v>23</v>
      </c>
      <c r="C9" s="94">
        <v>1954272</v>
      </c>
      <c r="D9" s="94">
        <v>1821597</v>
      </c>
      <c r="E9" s="94">
        <v>58083</v>
      </c>
      <c r="F9" s="94">
        <v>0</v>
      </c>
      <c r="G9" s="94">
        <v>764694</v>
      </c>
      <c r="H9" s="94">
        <v>0</v>
      </c>
      <c r="I9" s="94">
        <v>2500</v>
      </c>
      <c r="J9" s="94">
        <v>493938</v>
      </c>
      <c r="K9" s="94">
        <v>97314</v>
      </c>
      <c r="L9" s="94">
        <v>36209</v>
      </c>
    </row>
    <row r="10" spans="1:15">
      <c r="A10" s="140">
        <v>41</v>
      </c>
      <c r="B10" s="93" t="s">
        <v>24</v>
      </c>
      <c r="C10" s="94">
        <v>13224339831</v>
      </c>
      <c r="D10" s="94">
        <v>10760967590</v>
      </c>
      <c r="E10" s="94">
        <v>1761950845</v>
      </c>
      <c r="F10" s="94">
        <v>150662054</v>
      </c>
      <c r="G10" s="94">
        <v>11432899976</v>
      </c>
      <c r="H10" s="94">
        <v>5232993461</v>
      </c>
      <c r="I10" s="94">
        <v>76949162</v>
      </c>
      <c r="J10" s="94">
        <v>1923241123</v>
      </c>
      <c r="K10" s="94">
        <v>1488547628</v>
      </c>
      <c r="L10" s="94">
        <v>1113739614</v>
      </c>
    </row>
    <row r="11" spans="1:15">
      <c r="A11" s="140">
        <v>42</v>
      </c>
      <c r="B11" s="93" t="s">
        <v>25</v>
      </c>
      <c r="C11" s="94">
        <v>17430936598</v>
      </c>
      <c r="D11" s="94">
        <v>13403485672</v>
      </c>
      <c r="E11" s="94">
        <v>3298969667</v>
      </c>
      <c r="F11" s="94">
        <v>362143413</v>
      </c>
      <c r="G11" s="94">
        <v>17869842664</v>
      </c>
      <c r="H11" s="94">
        <v>8181142547</v>
      </c>
      <c r="I11" s="94">
        <v>168309444</v>
      </c>
      <c r="J11" s="94">
        <v>2996945549</v>
      </c>
      <c r="K11" s="94">
        <v>2077033838</v>
      </c>
      <c r="L11" s="94">
        <v>1414387789</v>
      </c>
    </row>
    <row r="12" spans="1:15">
      <c r="A12" s="140">
        <v>43</v>
      </c>
      <c r="B12" s="93" t="s">
        <v>26</v>
      </c>
      <c r="C12" s="94">
        <v>45699375562</v>
      </c>
      <c r="D12" s="94">
        <v>38346143466</v>
      </c>
      <c r="E12" s="94">
        <v>5284142163</v>
      </c>
      <c r="F12" s="94">
        <v>933897293</v>
      </c>
      <c r="G12" s="94">
        <v>44620287452</v>
      </c>
      <c r="H12" s="94">
        <v>16934932920</v>
      </c>
      <c r="I12" s="94">
        <v>1090507398</v>
      </c>
      <c r="J12" s="94">
        <v>9628774642</v>
      </c>
      <c r="K12" s="94">
        <v>5896907524</v>
      </c>
      <c r="L12" s="94">
        <v>5083828697</v>
      </c>
    </row>
    <row r="13" spans="1:15">
      <c r="A13" s="140">
        <v>44</v>
      </c>
      <c r="B13" s="93" t="s">
        <v>27</v>
      </c>
      <c r="C13" s="94">
        <v>76896298070</v>
      </c>
      <c r="D13" s="94">
        <v>48523850609</v>
      </c>
      <c r="E13" s="94">
        <v>24990320862</v>
      </c>
      <c r="F13" s="94">
        <v>1393618312</v>
      </c>
      <c r="G13" s="94">
        <v>72386466618</v>
      </c>
      <c r="H13" s="94">
        <v>16049957412</v>
      </c>
      <c r="I13" s="94">
        <v>5370353653</v>
      </c>
      <c r="J13" s="94">
        <v>13813413269</v>
      </c>
      <c r="K13" s="94">
        <v>3209233061</v>
      </c>
      <c r="L13" s="94">
        <v>5930672765</v>
      </c>
    </row>
    <row r="14" spans="1:15">
      <c r="A14" s="140">
        <v>51</v>
      </c>
      <c r="B14" s="93" t="s">
        <v>28</v>
      </c>
      <c r="C14" s="94">
        <v>2655279081</v>
      </c>
      <c r="D14" s="94">
        <v>2412529021</v>
      </c>
      <c r="E14" s="94">
        <v>246299614</v>
      </c>
      <c r="F14" s="94">
        <v>28683239</v>
      </c>
      <c r="G14" s="94">
        <v>3694791040</v>
      </c>
      <c r="H14" s="94">
        <v>1134462535</v>
      </c>
      <c r="I14" s="94">
        <v>4399475</v>
      </c>
      <c r="J14" s="94">
        <v>220961294</v>
      </c>
      <c r="K14" s="94">
        <v>365700815</v>
      </c>
      <c r="L14" s="94">
        <v>140066790</v>
      </c>
    </row>
    <row r="15" spans="1:15">
      <c r="A15" s="140">
        <v>52</v>
      </c>
      <c r="B15" s="93" t="s">
        <v>29</v>
      </c>
      <c r="C15" s="94">
        <v>161093128</v>
      </c>
      <c r="D15" s="94">
        <v>138496174</v>
      </c>
      <c r="E15" s="94">
        <v>16411682</v>
      </c>
      <c r="F15" s="94">
        <v>4025227</v>
      </c>
      <c r="G15" s="94">
        <v>246323937</v>
      </c>
      <c r="H15" s="94">
        <v>95844001</v>
      </c>
      <c r="I15" s="94">
        <v>3771112</v>
      </c>
      <c r="J15" s="94">
        <v>14959289</v>
      </c>
      <c r="K15" s="94">
        <v>87610303</v>
      </c>
      <c r="L15" s="94">
        <v>7822281</v>
      </c>
    </row>
    <row r="16" spans="1:15">
      <c r="A16" s="140">
        <v>61</v>
      </c>
      <c r="B16" s="93" t="s">
        <v>30</v>
      </c>
      <c r="C16" s="94">
        <v>131376860816</v>
      </c>
      <c r="D16" s="94">
        <v>118526717243</v>
      </c>
      <c r="E16" s="94">
        <v>8074513353</v>
      </c>
      <c r="F16" s="94">
        <v>439399276</v>
      </c>
      <c r="G16" s="94">
        <v>93214762240</v>
      </c>
      <c r="H16" s="94">
        <v>39069255297</v>
      </c>
      <c r="I16" s="94">
        <v>962244162</v>
      </c>
      <c r="J16" s="94">
        <v>15484527619</v>
      </c>
      <c r="K16" s="94">
        <v>11368764118</v>
      </c>
      <c r="L16" s="94">
        <v>7697751662</v>
      </c>
    </row>
    <row r="17" spans="1:12">
      <c r="A17" s="140">
        <v>62</v>
      </c>
      <c r="B17" s="93" t="s">
        <v>31</v>
      </c>
      <c r="C17" s="94">
        <v>423905260619</v>
      </c>
      <c r="D17" s="94">
        <v>368727629831</v>
      </c>
      <c r="E17" s="94">
        <v>42945857212</v>
      </c>
      <c r="F17" s="94">
        <v>7094669393</v>
      </c>
      <c r="G17" s="94">
        <v>447531304184</v>
      </c>
      <c r="H17" s="94">
        <v>155184683749</v>
      </c>
      <c r="I17" s="94">
        <v>7956708757</v>
      </c>
      <c r="J17" s="94">
        <v>103849380010</v>
      </c>
      <c r="K17" s="94">
        <v>45382531734</v>
      </c>
      <c r="L17" s="94">
        <v>45380869460</v>
      </c>
    </row>
    <row r="18" spans="1:12">
      <c r="A18" s="140">
        <v>63</v>
      </c>
      <c r="B18" s="93" t="s">
        <v>32</v>
      </c>
      <c r="C18" s="94">
        <v>117363125110</v>
      </c>
      <c r="D18" s="94">
        <v>78941520797</v>
      </c>
      <c r="E18" s="94">
        <v>33073350872</v>
      </c>
      <c r="F18" s="94">
        <v>1848006638</v>
      </c>
      <c r="G18" s="94">
        <v>103853268058</v>
      </c>
      <c r="H18" s="94">
        <v>21554839457</v>
      </c>
      <c r="I18" s="94">
        <v>7615225157</v>
      </c>
      <c r="J18" s="94">
        <v>23122612717</v>
      </c>
      <c r="K18" s="94">
        <v>4047370447</v>
      </c>
      <c r="L18" s="94">
        <v>9575048315</v>
      </c>
    </row>
    <row r="19" spans="1:12">
      <c r="A19" s="140">
        <v>71</v>
      </c>
      <c r="B19" s="93" t="s">
        <v>33</v>
      </c>
      <c r="C19" s="94">
        <v>15902541925</v>
      </c>
      <c r="D19" s="94">
        <v>14216053763</v>
      </c>
      <c r="E19" s="94">
        <v>1417313863</v>
      </c>
      <c r="F19" s="94">
        <v>194602147</v>
      </c>
      <c r="G19" s="94">
        <v>7913714817</v>
      </c>
      <c r="H19" s="94">
        <v>3449430959</v>
      </c>
      <c r="I19" s="94">
        <v>47974504</v>
      </c>
      <c r="J19" s="94">
        <v>1496231823</v>
      </c>
      <c r="K19" s="94">
        <v>1039233783</v>
      </c>
      <c r="L19" s="94">
        <v>665421680</v>
      </c>
    </row>
    <row r="20" spans="1:12">
      <c r="A20" s="140">
        <v>72</v>
      </c>
      <c r="B20" s="93" t="s">
        <v>34</v>
      </c>
      <c r="C20" s="94">
        <v>7047444279</v>
      </c>
      <c r="D20" s="94">
        <v>5835586190</v>
      </c>
      <c r="E20" s="94">
        <v>981943477</v>
      </c>
      <c r="F20" s="94">
        <v>75425042</v>
      </c>
      <c r="G20" s="94">
        <v>4967665191</v>
      </c>
      <c r="H20" s="94">
        <v>1885730468</v>
      </c>
      <c r="I20" s="94">
        <v>23334219</v>
      </c>
      <c r="J20" s="94">
        <v>722685090</v>
      </c>
      <c r="K20" s="94">
        <v>1055234993</v>
      </c>
      <c r="L20" s="94">
        <v>403024219</v>
      </c>
    </row>
    <row r="21" spans="1:12">
      <c r="A21" s="140">
        <v>73</v>
      </c>
      <c r="B21" s="93" t="s">
        <v>35</v>
      </c>
      <c r="C21" s="94">
        <v>3614984406</v>
      </c>
      <c r="D21" s="94">
        <v>2895404935</v>
      </c>
      <c r="E21" s="94">
        <v>581037156</v>
      </c>
      <c r="F21" s="94">
        <v>71923103</v>
      </c>
      <c r="G21" s="94">
        <v>2736904656</v>
      </c>
      <c r="H21" s="94">
        <v>1157141459</v>
      </c>
      <c r="I21" s="94">
        <v>203136559</v>
      </c>
      <c r="J21" s="94">
        <v>402012588</v>
      </c>
      <c r="K21" s="94">
        <v>438278593</v>
      </c>
      <c r="L21" s="94">
        <v>196231907</v>
      </c>
    </row>
    <row r="22" spans="1:12">
      <c r="A22" s="140">
        <v>74</v>
      </c>
      <c r="B22" s="93" t="s">
        <v>36</v>
      </c>
      <c r="C22" s="94">
        <v>1776014269</v>
      </c>
      <c r="D22" s="94">
        <v>1561210720</v>
      </c>
      <c r="E22" s="94">
        <v>149829667</v>
      </c>
      <c r="F22" s="94">
        <v>21151882</v>
      </c>
      <c r="G22" s="94">
        <v>1142134282</v>
      </c>
      <c r="H22" s="94">
        <v>360000577</v>
      </c>
      <c r="I22" s="94">
        <v>9089478</v>
      </c>
      <c r="J22" s="94">
        <v>174496389</v>
      </c>
      <c r="K22" s="94">
        <v>210335986</v>
      </c>
      <c r="L22" s="94">
        <v>117591306</v>
      </c>
    </row>
    <row r="23" spans="1:12">
      <c r="A23" s="140">
        <v>75</v>
      </c>
      <c r="B23" s="93" t="s">
        <v>37</v>
      </c>
      <c r="C23" s="94">
        <v>8605403899</v>
      </c>
      <c r="D23" s="94">
        <v>6743836351</v>
      </c>
      <c r="E23" s="94">
        <v>1626340506</v>
      </c>
      <c r="F23" s="94">
        <v>64895190</v>
      </c>
      <c r="G23" s="94">
        <v>6133140109</v>
      </c>
      <c r="H23" s="94">
        <v>1967291318</v>
      </c>
      <c r="I23" s="94">
        <v>82076428</v>
      </c>
      <c r="J23" s="94">
        <v>1693350407</v>
      </c>
      <c r="K23" s="94">
        <v>865675031</v>
      </c>
      <c r="L23" s="94">
        <v>453650952</v>
      </c>
    </row>
    <row r="24" spans="1:12">
      <c r="A24" s="140">
        <v>76</v>
      </c>
      <c r="B24" s="93" t="s">
        <v>38</v>
      </c>
      <c r="C24" s="94">
        <v>7333024389</v>
      </c>
      <c r="D24" s="94">
        <v>6280507865</v>
      </c>
      <c r="E24" s="94">
        <v>805561637</v>
      </c>
      <c r="F24" s="94">
        <v>86887511</v>
      </c>
      <c r="G24" s="94">
        <v>6867991831</v>
      </c>
      <c r="H24" s="94">
        <v>2248828780</v>
      </c>
      <c r="I24" s="94">
        <v>231308753</v>
      </c>
      <c r="J24" s="94">
        <v>897356053</v>
      </c>
      <c r="K24" s="94">
        <v>1248068309</v>
      </c>
      <c r="L24" s="94">
        <v>361301260</v>
      </c>
    </row>
    <row r="25" spans="1:12">
      <c r="A25" s="140">
        <v>77</v>
      </c>
      <c r="B25" s="93" t="s">
        <v>39</v>
      </c>
      <c r="C25" s="94">
        <v>12991044961</v>
      </c>
      <c r="D25" s="94">
        <v>11298222346</v>
      </c>
      <c r="E25" s="94">
        <v>1244505793</v>
      </c>
      <c r="F25" s="94">
        <v>55332062</v>
      </c>
      <c r="G25" s="94">
        <v>9089765759</v>
      </c>
      <c r="H25" s="94">
        <v>2070157862</v>
      </c>
      <c r="I25" s="94">
        <v>45489567</v>
      </c>
      <c r="J25" s="94">
        <v>1655920578</v>
      </c>
      <c r="K25" s="94">
        <v>1619557520</v>
      </c>
      <c r="L25" s="94">
        <v>872168498</v>
      </c>
    </row>
    <row r="26" spans="1:12">
      <c r="A26" s="140">
        <v>79</v>
      </c>
      <c r="B26" s="93" t="s">
        <v>40</v>
      </c>
      <c r="C26" s="94">
        <v>44319678915</v>
      </c>
      <c r="D26" s="94">
        <v>32946213845</v>
      </c>
      <c r="E26" s="94">
        <v>9167512488</v>
      </c>
      <c r="F26" s="94">
        <v>693168646</v>
      </c>
      <c r="G26" s="94">
        <v>45681200131</v>
      </c>
      <c r="H26" s="94">
        <v>17799278380</v>
      </c>
      <c r="I26" s="94">
        <v>589418049</v>
      </c>
      <c r="J26" s="94">
        <v>5193242590</v>
      </c>
      <c r="K26" s="94">
        <v>4737101163</v>
      </c>
      <c r="L26" s="94">
        <v>3512895861</v>
      </c>
    </row>
    <row r="27" spans="1:12">
      <c r="A27" s="140">
        <v>81</v>
      </c>
      <c r="B27" s="93" t="s">
        <v>41</v>
      </c>
      <c r="C27" s="94">
        <v>3237135915</v>
      </c>
      <c r="D27" s="94">
        <v>1883720248</v>
      </c>
      <c r="E27" s="94">
        <v>1100778523</v>
      </c>
      <c r="F27" s="94">
        <v>40403434</v>
      </c>
      <c r="G27" s="94">
        <v>5610719008</v>
      </c>
      <c r="H27" s="94">
        <v>2755614672</v>
      </c>
      <c r="I27" s="94">
        <v>198274867</v>
      </c>
      <c r="J27" s="94">
        <v>800458200</v>
      </c>
      <c r="K27" s="94">
        <v>411888573</v>
      </c>
      <c r="L27" s="94">
        <v>157048026</v>
      </c>
    </row>
    <row r="28" spans="1:12">
      <c r="A28" s="140">
        <v>82</v>
      </c>
      <c r="B28" s="93" t="s">
        <v>42</v>
      </c>
      <c r="C28" s="94">
        <v>7733140128</v>
      </c>
      <c r="D28" s="94">
        <v>4779437239</v>
      </c>
      <c r="E28" s="94">
        <v>2629901391</v>
      </c>
      <c r="F28" s="94">
        <v>253785213</v>
      </c>
      <c r="G28" s="94">
        <v>11193604542</v>
      </c>
      <c r="H28" s="94">
        <v>5400559363</v>
      </c>
      <c r="I28" s="94">
        <v>608794022</v>
      </c>
      <c r="J28" s="94">
        <v>867273406</v>
      </c>
      <c r="K28" s="94">
        <v>793044485</v>
      </c>
      <c r="L28" s="94">
        <v>578291994</v>
      </c>
    </row>
    <row r="29" spans="1:12">
      <c r="A29" s="140">
        <v>91</v>
      </c>
      <c r="B29" s="93" t="s">
        <v>43</v>
      </c>
      <c r="C29" s="94">
        <v>123353237869</v>
      </c>
      <c r="D29" s="94">
        <v>102684554649</v>
      </c>
      <c r="E29" s="94">
        <v>14260717755</v>
      </c>
      <c r="F29" s="94">
        <v>2719256721</v>
      </c>
      <c r="G29" s="94">
        <v>119480945859</v>
      </c>
      <c r="H29" s="94">
        <v>49343021351</v>
      </c>
      <c r="I29" s="94">
        <v>1697887524</v>
      </c>
      <c r="J29" s="94">
        <v>22485090082</v>
      </c>
      <c r="K29" s="94">
        <v>12715483536</v>
      </c>
      <c r="L29" s="94">
        <v>12047701191</v>
      </c>
    </row>
    <row r="30" spans="1:12">
      <c r="A30" s="140">
        <v>92</v>
      </c>
      <c r="B30" s="93" t="s">
        <v>44</v>
      </c>
      <c r="C30" s="94">
        <v>79340574689</v>
      </c>
      <c r="D30" s="94">
        <v>49415313882</v>
      </c>
      <c r="E30" s="94">
        <v>26358534985</v>
      </c>
      <c r="F30" s="94">
        <v>1529168573</v>
      </c>
      <c r="G30" s="94">
        <v>74786542951</v>
      </c>
      <c r="H30" s="94">
        <v>17692311334</v>
      </c>
      <c r="I30" s="94">
        <v>5510153806</v>
      </c>
      <c r="J30" s="94">
        <v>14072955595</v>
      </c>
      <c r="K30" s="94">
        <v>2913287629</v>
      </c>
      <c r="L30" s="94">
        <v>5957170079</v>
      </c>
    </row>
    <row r="31" spans="1:12">
      <c r="A31" s="140">
        <v>111</v>
      </c>
      <c r="B31" s="93" t="s">
        <v>45</v>
      </c>
      <c r="C31" s="94">
        <v>113647072</v>
      </c>
      <c r="D31" s="94">
        <v>99573746</v>
      </c>
      <c r="E31" s="94">
        <v>8432199</v>
      </c>
      <c r="F31" s="94">
        <v>1631206</v>
      </c>
      <c r="G31" s="94">
        <v>137916988</v>
      </c>
      <c r="H31" s="94">
        <v>74612869</v>
      </c>
      <c r="I31" s="94">
        <v>339650</v>
      </c>
      <c r="J31" s="94">
        <v>6396473</v>
      </c>
      <c r="K31" s="94">
        <v>36730737</v>
      </c>
      <c r="L31" s="94">
        <v>4491935</v>
      </c>
    </row>
    <row r="32" spans="1:12">
      <c r="A32" s="140">
        <v>112</v>
      </c>
      <c r="B32" s="93" t="s">
        <v>46</v>
      </c>
      <c r="C32" s="94">
        <v>88053162</v>
      </c>
      <c r="D32" s="94">
        <v>68673725</v>
      </c>
      <c r="E32" s="94">
        <v>15098390</v>
      </c>
      <c r="F32" s="94">
        <v>2373629</v>
      </c>
      <c r="G32" s="94">
        <v>102503965</v>
      </c>
      <c r="H32" s="94">
        <v>61484922</v>
      </c>
      <c r="I32" s="94">
        <v>1736984</v>
      </c>
      <c r="J32" s="94">
        <v>6421870</v>
      </c>
      <c r="K32" s="94">
        <v>10106183</v>
      </c>
      <c r="L32" s="94">
        <v>5623149</v>
      </c>
    </row>
    <row r="33" spans="1:12">
      <c r="A33" s="140">
        <v>113</v>
      </c>
      <c r="B33" s="93" t="s">
        <v>47</v>
      </c>
      <c r="C33" s="94">
        <v>65627834</v>
      </c>
      <c r="D33" s="94">
        <v>54085550</v>
      </c>
      <c r="E33" s="94">
        <v>7798734</v>
      </c>
      <c r="F33" s="94">
        <v>1166802</v>
      </c>
      <c r="G33" s="94">
        <v>195987938</v>
      </c>
      <c r="H33" s="94">
        <v>156585931</v>
      </c>
      <c r="I33" s="94">
        <v>431173</v>
      </c>
      <c r="J33" s="94">
        <v>9816874</v>
      </c>
      <c r="K33" s="94">
        <v>10296726</v>
      </c>
      <c r="L33" s="94">
        <v>1863613</v>
      </c>
    </row>
    <row r="34" spans="1:12">
      <c r="A34" s="140">
        <v>114</v>
      </c>
      <c r="B34" s="93" t="s">
        <v>48</v>
      </c>
      <c r="C34" s="94">
        <v>171511758</v>
      </c>
      <c r="D34" s="94">
        <v>95075094</v>
      </c>
      <c r="E34" s="94">
        <v>55137741</v>
      </c>
      <c r="F34" s="94">
        <v>2722898</v>
      </c>
      <c r="G34" s="94">
        <v>330576304</v>
      </c>
      <c r="H34" s="94">
        <v>98744848</v>
      </c>
      <c r="I34" s="94">
        <v>3014656</v>
      </c>
      <c r="J34" s="94">
        <v>57255472</v>
      </c>
      <c r="K34" s="94">
        <v>72281376</v>
      </c>
      <c r="L34" s="94">
        <v>9745793</v>
      </c>
    </row>
    <row r="35" spans="1:12">
      <c r="A35" s="140">
        <v>115</v>
      </c>
      <c r="B35" s="93" t="s">
        <v>49</v>
      </c>
      <c r="C35" s="94">
        <v>584164528</v>
      </c>
      <c r="D35" s="94">
        <v>474735350</v>
      </c>
      <c r="E35" s="94">
        <v>78905697</v>
      </c>
      <c r="F35" s="94">
        <v>9487755</v>
      </c>
      <c r="G35" s="94">
        <v>586651925</v>
      </c>
      <c r="H35" s="94">
        <v>335425495</v>
      </c>
      <c r="I35" s="94">
        <v>15507666</v>
      </c>
      <c r="J35" s="94">
        <v>59328221</v>
      </c>
      <c r="K35" s="94">
        <v>66337771</v>
      </c>
      <c r="L35" s="94">
        <v>25692542</v>
      </c>
    </row>
    <row r="36" spans="1:12">
      <c r="A36" s="140">
        <v>119</v>
      </c>
      <c r="B36" s="93" t="s">
        <v>50</v>
      </c>
      <c r="C36" s="94">
        <v>48151881</v>
      </c>
      <c r="D36" s="94">
        <v>38687309</v>
      </c>
      <c r="E36" s="94">
        <v>8033992</v>
      </c>
      <c r="F36" s="94">
        <v>810417</v>
      </c>
      <c r="G36" s="94">
        <v>46983341</v>
      </c>
      <c r="H36" s="94">
        <v>22276247</v>
      </c>
      <c r="I36" s="94">
        <v>1115517</v>
      </c>
      <c r="J36" s="94">
        <v>5411211</v>
      </c>
      <c r="K36" s="94">
        <v>7031270</v>
      </c>
      <c r="L36" s="94">
        <v>1718486</v>
      </c>
    </row>
    <row r="37" spans="1:12">
      <c r="A37" s="140">
        <v>121</v>
      </c>
      <c r="B37" s="93" t="s">
        <v>51</v>
      </c>
      <c r="C37" s="94">
        <v>84581978</v>
      </c>
      <c r="D37" s="94">
        <v>76351192</v>
      </c>
      <c r="E37" s="94">
        <v>6039204</v>
      </c>
      <c r="F37" s="94">
        <v>756984</v>
      </c>
      <c r="G37" s="94">
        <v>92359603</v>
      </c>
      <c r="H37" s="94">
        <v>39684018</v>
      </c>
      <c r="I37" s="94">
        <v>3300</v>
      </c>
      <c r="J37" s="94">
        <v>4461982</v>
      </c>
      <c r="K37" s="94">
        <v>31868830</v>
      </c>
      <c r="L37" s="94">
        <v>9669425</v>
      </c>
    </row>
    <row r="38" spans="1:12">
      <c r="A38" s="140">
        <v>122</v>
      </c>
      <c r="B38" s="93" t="s">
        <v>3</v>
      </c>
      <c r="C38" s="94">
        <v>1363856815</v>
      </c>
      <c r="D38" s="94">
        <v>1136345905</v>
      </c>
      <c r="E38" s="94">
        <v>69012911</v>
      </c>
      <c r="F38" s="94">
        <v>49331399</v>
      </c>
      <c r="G38" s="94">
        <v>1318310123</v>
      </c>
      <c r="H38" s="94">
        <v>685242820</v>
      </c>
      <c r="I38" s="94">
        <v>1238241</v>
      </c>
      <c r="J38" s="94">
        <v>80913254</v>
      </c>
      <c r="K38" s="94">
        <v>288498244</v>
      </c>
      <c r="L38" s="94">
        <v>118920283</v>
      </c>
    </row>
    <row r="39" spans="1:12">
      <c r="A39" s="140">
        <v>123</v>
      </c>
      <c r="B39" s="93" t="s">
        <v>52</v>
      </c>
      <c r="C39" s="94">
        <v>1334470693</v>
      </c>
      <c r="D39" s="94">
        <v>1167539517</v>
      </c>
      <c r="E39" s="94">
        <v>101109226</v>
      </c>
      <c r="F39" s="94">
        <v>44453554</v>
      </c>
      <c r="G39" s="94">
        <v>1059054107</v>
      </c>
      <c r="H39" s="94">
        <v>597581315</v>
      </c>
      <c r="I39" s="94">
        <v>1255170</v>
      </c>
      <c r="J39" s="94">
        <v>156488593</v>
      </c>
      <c r="K39" s="94">
        <v>93950468</v>
      </c>
      <c r="L39" s="94">
        <v>127381319</v>
      </c>
    </row>
    <row r="40" spans="1:12">
      <c r="A40" s="140">
        <v>124</v>
      </c>
      <c r="B40" s="93" t="s">
        <v>53</v>
      </c>
      <c r="C40" s="94">
        <v>312466434</v>
      </c>
      <c r="D40" s="94">
        <v>269127591</v>
      </c>
      <c r="E40" s="94">
        <v>24234631</v>
      </c>
      <c r="F40" s="94">
        <v>8063868</v>
      </c>
      <c r="G40" s="94">
        <v>415117752</v>
      </c>
      <c r="H40" s="94">
        <v>284981203</v>
      </c>
      <c r="I40" s="94">
        <v>2001073</v>
      </c>
      <c r="J40" s="94">
        <v>21878095</v>
      </c>
      <c r="K40" s="94">
        <v>55625363</v>
      </c>
      <c r="L40" s="94">
        <v>43086676</v>
      </c>
    </row>
    <row r="41" spans="1:12">
      <c r="A41" s="140">
        <v>129</v>
      </c>
      <c r="B41" s="93" t="s">
        <v>54</v>
      </c>
      <c r="C41" s="94">
        <v>317067623</v>
      </c>
      <c r="D41" s="94">
        <v>271672662</v>
      </c>
      <c r="E41" s="94">
        <v>25801912</v>
      </c>
      <c r="F41" s="94">
        <v>8388905</v>
      </c>
      <c r="G41" s="94">
        <v>427754155</v>
      </c>
      <c r="H41" s="94">
        <v>293257270</v>
      </c>
      <c r="I41" s="94">
        <v>2001997</v>
      </c>
      <c r="J41" s="94">
        <v>22478576</v>
      </c>
      <c r="K41" s="94">
        <v>57062067</v>
      </c>
      <c r="L41" s="94">
        <v>43182692</v>
      </c>
    </row>
    <row r="42" spans="1:12">
      <c r="A42" s="140">
        <v>211</v>
      </c>
      <c r="B42" s="93" t="s">
        <v>55</v>
      </c>
      <c r="C42" s="94">
        <v>3932767133</v>
      </c>
      <c r="D42" s="94">
        <v>3625922320</v>
      </c>
      <c r="E42" s="94">
        <v>271654626</v>
      </c>
      <c r="F42" s="94">
        <v>45387495</v>
      </c>
      <c r="G42" s="94">
        <v>5213653516</v>
      </c>
      <c r="H42" s="94">
        <v>2140123488</v>
      </c>
      <c r="I42" s="94">
        <v>17374002</v>
      </c>
      <c r="J42" s="94">
        <v>727649488</v>
      </c>
      <c r="K42" s="94">
        <v>739001101</v>
      </c>
      <c r="L42" s="94">
        <v>232099208</v>
      </c>
    </row>
    <row r="43" spans="1:12">
      <c r="A43" s="140">
        <v>212</v>
      </c>
      <c r="B43" s="93" t="s">
        <v>56</v>
      </c>
      <c r="C43" s="94">
        <v>1950391004</v>
      </c>
      <c r="D43" s="94">
        <v>1053209251</v>
      </c>
      <c r="E43" s="94">
        <v>486917442</v>
      </c>
      <c r="F43" s="94">
        <v>14971873</v>
      </c>
      <c r="G43" s="94">
        <v>1964669207</v>
      </c>
      <c r="H43" s="94">
        <v>819010298</v>
      </c>
      <c r="I43" s="94">
        <v>768062</v>
      </c>
      <c r="J43" s="94">
        <v>307865196</v>
      </c>
      <c r="K43" s="94">
        <v>281554483</v>
      </c>
      <c r="L43" s="94">
        <v>82457953</v>
      </c>
    </row>
    <row r="44" spans="1:12">
      <c r="A44" s="140">
        <v>213</v>
      </c>
      <c r="B44" s="93" t="s">
        <v>57</v>
      </c>
      <c r="C44" s="94">
        <v>2515010005</v>
      </c>
      <c r="D44" s="94">
        <v>2196255204</v>
      </c>
      <c r="E44" s="94">
        <v>291906790</v>
      </c>
      <c r="F44" s="94">
        <v>16997920</v>
      </c>
      <c r="G44" s="94">
        <v>2267243701</v>
      </c>
      <c r="H44" s="94">
        <v>563149672</v>
      </c>
      <c r="I44" s="94">
        <v>5928581</v>
      </c>
      <c r="J44" s="94">
        <v>438512336</v>
      </c>
      <c r="K44" s="94">
        <v>732849348</v>
      </c>
      <c r="L44" s="94">
        <v>131025488</v>
      </c>
    </row>
    <row r="45" spans="1:12">
      <c r="A45" s="140">
        <v>214</v>
      </c>
      <c r="B45" s="93" t="s">
        <v>58</v>
      </c>
      <c r="C45" s="94">
        <v>24077665666</v>
      </c>
      <c r="D45" s="94">
        <v>14759324376</v>
      </c>
      <c r="E45" s="94">
        <v>7806493995</v>
      </c>
      <c r="F45" s="94">
        <v>363959053</v>
      </c>
      <c r="G45" s="94">
        <v>33344094340</v>
      </c>
      <c r="H45" s="94">
        <v>10769162066</v>
      </c>
      <c r="I45" s="94">
        <v>1300513097</v>
      </c>
      <c r="J45" s="94">
        <v>6917548269</v>
      </c>
      <c r="K45" s="94">
        <v>4660006362</v>
      </c>
      <c r="L45" s="94">
        <v>2219166767</v>
      </c>
    </row>
    <row r="46" spans="1:12">
      <c r="A46" s="140">
        <v>215</v>
      </c>
      <c r="B46" s="93" t="s">
        <v>59</v>
      </c>
      <c r="C46" s="94">
        <v>17028183679</v>
      </c>
      <c r="D46" s="94">
        <v>10384052173</v>
      </c>
      <c r="E46" s="94">
        <v>5305680476</v>
      </c>
      <c r="F46" s="94">
        <v>266112988</v>
      </c>
      <c r="G46" s="94">
        <v>14680228928</v>
      </c>
      <c r="H46" s="94">
        <v>3995452333</v>
      </c>
      <c r="I46" s="94">
        <v>204627824</v>
      </c>
      <c r="J46" s="94">
        <v>2640567917</v>
      </c>
      <c r="K46" s="94">
        <v>1756272965</v>
      </c>
      <c r="L46" s="94">
        <v>1540711349</v>
      </c>
    </row>
    <row r="47" spans="1:12">
      <c r="A47" s="140">
        <v>219</v>
      </c>
      <c r="B47" s="93" t="s">
        <v>60</v>
      </c>
      <c r="C47" s="94">
        <v>16761413463</v>
      </c>
      <c r="D47" s="94">
        <v>14026770111</v>
      </c>
      <c r="E47" s="94">
        <v>1571130868</v>
      </c>
      <c r="F47" s="94">
        <v>217409959</v>
      </c>
      <c r="G47" s="94">
        <v>15278500830</v>
      </c>
      <c r="H47" s="94">
        <v>6978208619</v>
      </c>
      <c r="I47" s="94">
        <v>151065626</v>
      </c>
      <c r="J47" s="94">
        <v>2817274076</v>
      </c>
      <c r="K47" s="94">
        <v>1696823599</v>
      </c>
      <c r="L47" s="94">
        <v>1322676790</v>
      </c>
    </row>
    <row r="48" spans="1:12">
      <c r="A48" s="140">
        <v>221</v>
      </c>
      <c r="B48" s="93" t="s">
        <v>61</v>
      </c>
      <c r="C48" s="94">
        <v>4507444627</v>
      </c>
      <c r="D48" s="94">
        <v>3777469774</v>
      </c>
      <c r="E48" s="94">
        <v>639032222</v>
      </c>
      <c r="F48" s="94">
        <v>49668007</v>
      </c>
      <c r="G48" s="94">
        <v>4727639890</v>
      </c>
      <c r="H48" s="94">
        <v>1870480992</v>
      </c>
      <c r="I48" s="94">
        <v>35961770</v>
      </c>
      <c r="J48" s="94">
        <v>660708608</v>
      </c>
      <c r="K48" s="94">
        <v>805594039</v>
      </c>
      <c r="L48" s="94">
        <v>276652159</v>
      </c>
    </row>
    <row r="49" spans="1:12">
      <c r="A49" s="140">
        <v>222</v>
      </c>
      <c r="B49" s="93" t="s">
        <v>62</v>
      </c>
      <c r="C49" s="94">
        <v>2529462638</v>
      </c>
      <c r="D49" s="94">
        <v>1847815342</v>
      </c>
      <c r="E49" s="94">
        <v>552512064</v>
      </c>
      <c r="F49" s="94">
        <v>19231808</v>
      </c>
      <c r="G49" s="94">
        <v>4156988532</v>
      </c>
      <c r="H49" s="94">
        <v>1422574316</v>
      </c>
      <c r="I49" s="94">
        <v>239110472</v>
      </c>
      <c r="J49" s="94">
        <v>320847036</v>
      </c>
      <c r="K49" s="94">
        <v>1026592882</v>
      </c>
      <c r="L49" s="94">
        <v>408599436</v>
      </c>
    </row>
    <row r="50" spans="1:12">
      <c r="A50" s="140">
        <v>223</v>
      </c>
      <c r="B50" s="93" t="s">
        <v>63</v>
      </c>
      <c r="C50" s="94">
        <v>50935548905</v>
      </c>
      <c r="D50" s="94">
        <v>43755635321</v>
      </c>
      <c r="E50" s="94">
        <v>4963335338</v>
      </c>
      <c r="F50" s="94">
        <v>1194834159</v>
      </c>
      <c r="G50" s="94">
        <v>43898106115</v>
      </c>
      <c r="H50" s="94">
        <v>18984761272</v>
      </c>
      <c r="I50" s="94">
        <v>500147618</v>
      </c>
      <c r="J50" s="94">
        <v>8962890346</v>
      </c>
      <c r="K50" s="94">
        <v>4331279244</v>
      </c>
      <c r="L50" s="94">
        <v>4542149666</v>
      </c>
    </row>
    <row r="51" spans="1:12">
      <c r="A51" s="140">
        <v>224</v>
      </c>
      <c r="B51" s="93" t="s">
        <v>64</v>
      </c>
      <c r="C51" s="94">
        <v>69699340655</v>
      </c>
      <c r="D51" s="94">
        <v>59536007019</v>
      </c>
      <c r="E51" s="94">
        <v>6608940162</v>
      </c>
      <c r="F51" s="94">
        <v>1628813163</v>
      </c>
      <c r="G51" s="94">
        <v>67029331860</v>
      </c>
      <c r="H51" s="94">
        <v>29402565692</v>
      </c>
      <c r="I51" s="94">
        <v>731243919</v>
      </c>
      <c r="J51" s="94">
        <v>13157792764</v>
      </c>
      <c r="K51" s="94">
        <v>7384970391</v>
      </c>
      <c r="L51" s="94">
        <v>7077022728</v>
      </c>
    </row>
    <row r="52" spans="1:12">
      <c r="A52" s="140">
        <v>225</v>
      </c>
      <c r="B52" s="93" t="s">
        <v>65</v>
      </c>
      <c r="C52" s="94">
        <v>3807695681</v>
      </c>
      <c r="D52" s="94">
        <v>3073145509</v>
      </c>
      <c r="E52" s="94">
        <v>607183807</v>
      </c>
      <c r="F52" s="94">
        <v>81667208</v>
      </c>
      <c r="G52" s="94">
        <v>4116829515</v>
      </c>
      <c r="H52" s="94">
        <v>1423868189</v>
      </c>
      <c r="I52" s="94">
        <v>71377050</v>
      </c>
      <c r="J52" s="94">
        <v>1189452303</v>
      </c>
      <c r="K52" s="94">
        <v>736700146</v>
      </c>
      <c r="L52" s="94">
        <v>629298809</v>
      </c>
    </row>
    <row r="53" spans="1:12">
      <c r="A53" s="140">
        <v>226</v>
      </c>
      <c r="B53" s="93" t="s">
        <v>66</v>
      </c>
      <c r="C53" s="94">
        <v>10635781083</v>
      </c>
      <c r="D53" s="94">
        <v>8135047929</v>
      </c>
      <c r="E53" s="94">
        <v>1826376358</v>
      </c>
      <c r="F53" s="94">
        <v>214292364</v>
      </c>
      <c r="G53" s="94">
        <v>11188317867</v>
      </c>
      <c r="H53" s="94">
        <v>3315875866</v>
      </c>
      <c r="I53" s="94">
        <v>450806425</v>
      </c>
      <c r="J53" s="94">
        <v>2518870109</v>
      </c>
      <c r="K53" s="94">
        <v>1286666618</v>
      </c>
      <c r="L53" s="94">
        <v>1185284212</v>
      </c>
    </row>
    <row r="54" spans="1:12">
      <c r="A54" s="140">
        <v>227</v>
      </c>
      <c r="B54" s="93" t="s">
        <v>67</v>
      </c>
      <c r="C54" s="94">
        <v>24077665666</v>
      </c>
      <c r="D54" s="94">
        <v>14759324376</v>
      </c>
      <c r="E54" s="94">
        <v>7806493995</v>
      </c>
      <c r="F54" s="94">
        <v>363959053</v>
      </c>
      <c r="G54" s="94">
        <v>33344094340</v>
      </c>
      <c r="H54" s="94">
        <v>10769162066</v>
      </c>
      <c r="I54" s="94">
        <v>1300513097</v>
      </c>
      <c r="J54" s="94">
        <v>6917548269</v>
      </c>
      <c r="K54" s="94">
        <v>4660006362</v>
      </c>
      <c r="L54" s="94">
        <v>2219166767</v>
      </c>
    </row>
    <row r="55" spans="1:12">
      <c r="A55" s="140">
        <v>229</v>
      </c>
      <c r="B55" s="93" t="s">
        <v>68</v>
      </c>
      <c r="C55" s="94">
        <v>2376593670</v>
      </c>
      <c r="D55" s="94">
        <v>1970350105</v>
      </c>
      <c r="E55" s="94">
        <v>292435136</v>
      </c>
      <c r="F55" s="94">
        <v>35098741</v>
      </c>
      <c r="G55" s="94">
        <v>2052523822</v>
      </c>
      <c r="H55" s="94">
        <v>655817899</v>
      </c>
      <c r="I55" s="94">
        <v>24526222</v>
      </c>
      <c r="J55" s="94">
        <v>528622442</v>
      </c>
      <c r="K55" s="94">
        <v>256905275</v>
      </c>
      <c r="L55" s="94">
        <v>284764457</v>
      </c>
    </row>
    <row r="56" spans="1:12">
      <c r="A56" s="140">
        <v>231</v>
      </c>
      <c r="B56" s="93" t="s">
        <v>69</v>
      </c>
      <c r="C56" s="94">
        <v>151937338</v>
      </c>
      <c r="D56" s="94">
        <v>122830463</v>
      </c>
      <c r="E56" s="94">
        <v>27337081</v>
      </c>
      <c r="F56" s="94">
        <v>3057196</v>
      </c>
      <c r="G56" s="94">
        <v>345523378</v>
      </c>
      <c r="H56" s="94">
        <v>47034242</v>
      </c>
      <c r="I56" s="94">
        <v>603701</v>
      </c>
      <c r="J56" s="94">
        <v>158265840</v>
      </c>
      <c r="K56" s="94">
        <v>17473449</v>
      </c>
      <c r="L56" s="94">
        <v>3724569</v>
      </c>
    </row>
    <row r="57" spans="1:12">
      <c r="A57" s="140">
        <v>232</v>
      </c>
      <c r="B57" s="93" t="s">
        <v>70</v>
      </c>
      <c r="C57" s="94">
        <v>19659563</v>
      </c>
      <c r="D57" s="94">
        <v>4163246</v>
      </c>
      <c r="E57" s="94">
        <v>14317312</v>
      </c>
      <c r="F57" s="94">
        <v>1416326</v>
      </c>
      <c r="G57" s="94">
        <v>12671506</v>
      </c>
      <c r="H57" s="94">
        <v>7258508</v>
      </c>
      <c r="I57" s="94">
        <v>5194</v>
      </c>
      <c r="J57" s="94">
        <v>361545</v>
      </c>
      <c r="K57" s="94">
        <v>668427</v>
      </c>
      <c r="L57" s="94">
        <v>377941</v>
      </c>
    </row>
    <row r="58" spans="1:12">
      <c r="A58" s="140">
        <v>233</v>
      </c>
      <c r="B58" s="93" t="s">
        <v>71</v>
      </c>
      <c r="C58" s="94">
        <v>12795329</v>
      </c>
      <c r="D58" s="94">
        <v>1338948</v>
      </c>
      <c r="E58" s="94">
        <v>11410865</v>
      </c>
      <c r="F58" s="94">
        <v>1121468</v>
      </c>
      <c r="G58" s="94">
        <v>10848917</v>
      </c>
      <c r="H58" s="94">
        <v>4338095</v>
      </c>
      <c r="I58" s="94">
        <v>442168</v>
      </c>
      <c r="J58" s="94">
        <v>916274</v>
      </c>
      <c r="K58" s="94">
        <v>87564</v>
      </c>
      <c r="L58" s="94">
        <v>20887</v>
      </c>
    </row>
    <row r="59" spans="1:12">
      <c r="A59" s="140">
        <v>234</v>
      </c>
      <c r="B59" s="93" t="s">
        <v>72</v>
      </c>
      <c r="C59" s="94">
        <v>56696631300</v>
      </c>
      <c r="D59" s="94">
        <v>36406544298</v>
      </c>
      <c r="E59" s="94">
        <v>18004130343</v>
      </c>
      <c r="F59" s="94">
        <v>904100841</v>
      </c>
      <c r="G59" s="94">
        <v>50564178786</v>
      </c>
      <c r="H59" s="94">
        <v>8890161751</v>
      </c>
      <c r="I59" s="94">
        <v>4786663626</v>
      </c>
      <c r="J59" s="94">
        <v>11280185677</v>
      </c>
      <c r="K59" s="94">
        <v>1730111094</v>
      </c>
      <c r="L59" s="94">
        <v>5104223427</v>
      </c>
    </row>
    <row r="60" spans="1:12">
      <c r="A60" s="140">
        <v>235</v>
      </c>
      <c r="B60" s="93" t="s">
        <v>73</v>
      </c>
      <c r="C60" s="94">
        <v>12140459231</v>
      </c>
      <c r="D60" s="94">
        <v>9233707778</v>
      </c>
      <c r="E60" s="94">
        <v>2444559990</v>
      </c>
      <c r="F60" s="94">
        <v>347346254</v>
      </c>
      <c r="G60" s="94">
        <v>11145629131</v>
      </c>
      <c r="H60" s="94">
        <v>5035012890</v>
      </c>
      <c r="I60" s="94">
        <v>234561052</v>
      </c>
      <c r="J60" s="94">
        <v>1138207496</v>
      </c>
      <c r="K60" s="94">
        <v>905826421</v>
      </c>
      <c r="L60" s="94">
        <v>359504599</v>
      </c>
    </row>
    <row r="61" spans="1:12">
      <c r="A61" s="140">
        <v>236</v>
      </c>
      <c r="B61" s="93" t="s">
        <v>74</v>
      </c>
      <c r="C61" s="94">
        <v>2744059489</v>
      </c>
      <c r="D61" s="94">
        <v>1187613817</v>
      </c>
      <c r="E61" s="94">
        <v>1337080674</v>
      </c>
      <c r="F61" s="94">
        <v>146650901</v>
      </c>
      <c r="G61" s="94">
        <v>2710897431</v>
      </c>
      <c r="H61" s="94">
        <v>1222460644</v>
      </c>
      <c r="I61" s="94">
        <v>96975242</v>
      </c>
      <c r="J61" s="94">
        <v>384486557</v>
      </c>
      <c r="K61" s="94">
        <v>24404346</v>
      </c>
      <c r="L61" s="94">
        <v>47821537</v>
      </c>
    </row>
    <row r="62" spans="1:12">
      <c r="A62" s="140">
        <v>237</v>
      </c>
      <c r="B62" s="93" t="s">
        <v>75</v>
      </c>
      <c r="C62" s="94">
        <v>22695944100</v>
      </c>
      <c r="D62" s="94">
        <v>16554390868</v>
      </c>
      <c r="E62" s="94">
        <v>4813196300</v>
      </c>
      <c r="F62" s="94">
        <v>231207433</v>
      </c>
      <c r="G62" s="94">
        <v>20810110536</v>
      </c>
      <c r="H62" s="94">
        <v>2518799539</v>
      </c>
      <c r="I62" s="94">
        <v>2009018425</v>
      </c>
      <c r="J62" s="94">
        <v>6681885187</v>
      </c>
      <c r="K62" s="94">
        <v>587810884</v>
      </c>
      <c r="L62" s="94">
        <v>2627486157</v>
      </c>
    </row>
    <row r="63" spans="1:12">
      <c r="A63" s="140">
        <v>239</v>
      </c>
      <c r="B63" s="93" t="s">
        <v>76</v>
      </c>
      <c r="C63" s="94">
        <v>7966469172</v>
      </c>
      <c r="D63" s="94">
        <v>4690037760</v>
      </c>
      <c r="E63" s="94">
        <v>3020384407</v>
      </c>
      <c r="F63" s="94">
        <v>145227514</v>
      </c>
      <c r="G63" s="94">
        <v>20263818118</v>
      </c>
      <c r="H63" s="94">
        <v>5018255277</v>
      </c>
      <c r="I63" s="94">
        <v>450855221</v>
      </c>
      <c r="J63" s="94">
        <v>1711595765</v>
      </c>
      <c r="K63" s="94">
        <v>951902753</v>
      </c>
      <c r="L63" s="94">
        <v>364651636</v>
      </c>
    </row>
    <row r="64" spans="1:12">
      <c r="A64" s="140">
        <v>311</v>
      </c>
      <c r="B64" s="93" t="s">
        <v>4</v>
      </c>
      <c r="C64" s="94">
        <v>23073302</v>
      </c>
      <c r="D64" s="94">
        <v>16139021</v>
      </c>
      <c r="E64" s="94">
        <v>6208996</v>
      </c>
      <c r="F64" s="94">
        <v>271639</v>
      </c>
      <c r="G64" s="94">
        <v>45201481</v>
      </c>
      <c r="H64" s="94">
        <v>12955395</v>
      </c>
      <c r="I64" s="94">
        <v>1452</v>
      </c>
      <c r="J64" s="94">
        <v>809156</v>
      </c>
      <c r="K64" s="94">
        <v>6259458</v>
      </c>
      <c r="L64" s="94">
        <v>1747826</v>
      </c>
    </row>
    <row r="65" spans="1:12">
      <c r="A65" s="140">
        <v>312</v>
      </c>
      <c r="B65" s="93" t="s">
        <v>77</v>
      </c>
      <c r="C65" s="94">
        <v>6632175</v>
      </c>
      <c r="D65" s="94">
        <v>4639427</v>
      </c>
      <c r="E65" s="94">
        <v>1559192</v>
      </c>
      <c r="F65" s="94">
        <v>136657</v>
      </c>
      <c r="G65" s="94">
        <v>2421208</v>
      </c>
      <c r="H65" s="94">
        <v>724089</v>
      </c>
      <c r="I65" s="94">
        <v>0</v>
      </c>
      <c r="J65" s="94">
        <v>1065216</v>
      </c>
      <c r="K65" s="94">
        <v>91640</v>
      </c>
      <c r="L65" s="94">
        <v>121657</v>
      </c>
    </row>
    <row r="66" spans="1:12">
      <c r="A66" s="140">
        <v>390</v>
      </c>
      <c r="B66" s="93" t="s">
        <v>23</v>
      </c>
      <c r="C66" s="94">
        <v>1954272</v>
      </c>
      <c r="D66" s="94">
        <v>1821597</v>
      </c>
      <c r="E66" s="94">
        <v>58083</v>
      </c>
      <c r="F66" s="94">
        <v>0</v>
      </c>
      <c r="G66" s="94">
        <v>764694</v>
      </c>
      <c r="H66" s="94">
        <v>0</v>
      </c>
      <c r="I66" s="94">
        <v>2500</v>
      </c>
      <c r="J66" s="94">
        <v>493938</v>
      </c>
      <c r="K66" s="94">
        <v>97314</v>
      </c>
      <c r="L66" s="94">
        <v>36209</v>
      </c>
    </row>
    <row r="67" spans="1:12">
      <c r="A67" s="140">
        <v>411</v>
      </c>
      <c r="B67" s="93" t="s">
        <v>78</v>
      </c>
      <c r="C67" s="94">
        <v>1508544594</v>
      </c>
      <c r="D67" s="94">
        <v>1306481041</v>
      </c>
      <c r="E67" s="94">
        <v>133068421</v>
      </c>
      <c r="F67" s="94">
        <v>20108704</v>
      </c>
      <c r="G67" s="94">
        <v>1283439023</v>
      </c>
      <c r="H67" s="94">
        <v>549660168</v>
      </c>
      <c r="I67" s="94">
        <v>2534685</v>
      </c>
      <c r="J67" s="94">
        <v>268429490</v>
      </c>
      <c r="K67" s="94">
        <v>228260999</v>
      </c>
      <c r="L67" s="94">
        <v>109485454</v>
      </c>
    </row>
    <row r="68" spans="1:12">
      <c r="A68" s="140">
        <v>412</v>
      </c>
      <c r="B68" s="93" t="s">
        <v>79</v>
      </c>
      <c r="C68" s="94">
        <v>3053579194</v>
      </c>
      <c r="D68" s="94">
        <v>2608790373</v>
      </c>
      <c r="E68" s="94">
        <v>308915400</v>
      </c>
      <c r="F68" s="94">
        <v>47741796</v>
      </c>
      <c r="G68" s="94">
        <v>4417527289</v>
      </c>
      <c r="H68" s="94">
        <v>2320744873</v>
      </c>
      <c r="I68" s="94">
        <v>39985161</v>
      </c>
      <c r="J68" s="94">
        <v>574112048</v>
      </c>
      <c r="K68" s="94">
        <v>522121980</v>
      </c>
      <c r="L68" s="94">
        <v>320867467</v>
      </c>
    </row>
    <row r="69" spans="1:12">
      <c r="A69" s="140">
        <v>413</v>
      </c>
      <c r="B69" s="93" t="s">
        <v>80</v>
      </c>
      <c r="C69" s="94">
        <v>918007888</v>
      </c>
      <c r="D69" s="94">
        <v>768422168</v>
      </c>
      <c r="E69" s="94">
        <v>107065530</v>
      </c>
      <c r="F69" s="94">
        <v>14138895</v>
      </c>
      <c r="G69" s="94">
        <v>816217630</v>
      </c>
      <c r="H69" s="94">
        <v>422036598</v>
      </c>
      <c r="I69" s="94">
        <v>6012143</v>
      </c>
      <c r="J69" s="94">
        <v>162372300</v>
      </c>
      <c r="K69" s="94">
        <v>100699023</v>
      </c>
      <c r="L69" s="94">
        <v>74936330</v>
      </c>
    </row>
    <row r="70" spans="1:12">
      <c r="A70" s="140">
        <v>414</v>
      </c>
      <c r="B70" s="93" t="s">
        <v>81</v>
      </c>
      <c r="C70" s="94">
        <v>1223325345</v>
      </c>
      <c r="D70" s="94">
        <v>1052897723</v>
      </c>
      <c r="E70" s="94">
        <v>107675169</v>
      </c>
      <c r="F70" s="94">
        <v>13170098</v>
      </c>
      <c r="G70" s="94">
        <v>1090484322</v>
      </c>
      <c r="H70" s="94">
        <v>550999885</v>
      </c>
      <c r="I70" s="94">
        <v>6978726</v>
      </c>
      <c r="J70" s="94">
        <v>192737890</v>
      </c>
      <c r="K70" s="94">
        <v>134243962</v>
      </c>
      <c r="L70" s="94">
        <v>99718130</v>
      </c>
    </row>
    <row r="71" spans="1:12">
      <c r="A71" s="140">
        <v>415</v>
      </c>
      <c r="B71" s="93" t="s">
        <v>82</v>
      </c>
      <c r="C71" s="94">
        <v>11370385</v>
      </c>
      <c r="D71" s="94">
        <v>8842976</v>
      </c>
      <c r="E71" s="94">
        <v>2054901</v>
      </c>
      <c r="F71" s="94">
        <v>165791</v>
      </c>
      <c r="G71" s="94">
        <v>13172744</v>
      </c>
      <c r="H71" s="94">
        <v>6029253</v>
      </c>
      <c r="I71" s="94">
        <v>352214</v>
      </c>
      <c r="J71" s="94">
        <v>1452930</v>
      </c>
      <c r="K71" s="94">
        <v>2188880</v>
      </c>
      <c r="L71" s="94">
        <v>700098</v>
      </c>
    </row>
    <row r="72" spans="1:12">
      <c r="A72" s="140">
        <v>416</v>
      </c>
      <c r="B72" s="93" t="s">
        <v>83</v>
      </c>
      <c r="C72" s="94">
        <v>6275410539</v>
      </c>
      <c r="D72" s="94">
        <v>4819671902</v>
      </c>
      <c r="E72" s="94">
        <v>1078464717</v>
      </c>
      <c r="F72" s="94">
        <v>51390009</v>
      </c>
      <c r="G72" s="94">
        <v>3617016146</v>
      </c>
      <c r="H72" s="94">
        <v>1309816277</v>
      </c>
      <c r="I72" s="94">
        <v>19633427</v>
      </c>
      <c r="J72" s="94">
        <v>687534086</v>
      </c>
      <c r="K72" s="94">
        <v>466364677</v>
      </c>
      <c r="L72" s="94">
        <v>493859292</v>
      </c>
    </row>
    <row r="73" spans="1:12">
      <c r="A73" s="140">
        <v>419</v>
      </c>
      <c r="B73" s="93" t="s">
        <v>84</v>
      </c>
      <c r="C73" s="94">
        <v>225278917</v>
      </c>
      <c r="D73" s="94">
        <v>186562556</v>
      </c>
      <c r="E73" s="94">
        <v>26030154</v>
      </c>
      <c r="F73" s="94">
        <v>3791679</v>
      </c>
      <c r="G73" s="94">
        <v>193185324</v>
      </c>
      <c r="H73" s="94">
        <v>73102157</v>
      </c>
      <c r="I73" s="94">
        <v>1502079</v>
      </c>
      <c r="J73" s="94">
        <v>36681702</v>
      </c>
      <c r="K73" s="94">
        <v>33712751</v>
      </c>
      <c r="L73" s="94">
        <v>13516946</v>
      </c>
    </row>
    <row r="74" spans="1:12">
      <c r="A74" s="140">
        <v>421</v>
      </c>
      <c r="B74" s="93" t="s">
        <v>85</v>
      </c>
      <c r="C74" s="94">
        <v>794028394</v>
      </c>
      <c r="D74" s="94">
        <v>697089010</v>
      </c>
      <c r="E74" s="94">
        <v>71601069</v>
      </c>
      <c r="F74" s="94">
        <v>4214191</v>
      </c>
      <c r="G74" s="94">
        <v>1333442731</v>
      </c>
      <c r="H74" s="94">
        <v>900918643</v>
      </c>
      <c r="I74" s="94">
        <v>5440269</v>
      </c>
      <c r="J74" s="94">
        <v>103570685</v>
      </c>
      <c r="K74" s="94">
        <v>133991487</v>
      </c>
      <c r="L74" s="94">
        <v>32607398</v>
      </c>
    </row>
    <row r="75" spans="1:12">
      <c r="A75" s="140">
        <v>422</v>
      </c>
      <c r="B75" s="93" t="s">
        <v>86</v>
      </c>
      <c r="C75" s="94">
        <v>120998745</v>
      </c>
      <c r="D75" s="94">
        <v>105976224</v>
      </c>
      <c r="E75" s="94">
        <v>8448239</v>
      </c>
      <c r="F75" s="94">
        <v>1377323</v>
      </c>
      <c r="G75" s="94">
        <v>135489963</v>
      </c>
      <c r="H75" s="94">
        <v>43314135</v>
      </c>
      <c r="I75" s="94">
        <v>111781</v>
      </c>
      <c r="J75" s="94">
        <v>18644292</v>
      </c>
      <c r="K75" s="94">
        <v>16394345</v>
      </c>
      <c r="L75" s="94">
        <v>5797516</v>
      </c>
    </row>
    <row r="76" spans="1:12">
      <c r="A76" s="140">
        <v>423</v>
      </c>
      <c r="B76" s="93" t="s">
        <v>87</v>
      </c>
      <c r="C76" s="94">
        <v>8639832059</v>
      </c>
      <c r="D76" s="94">
        <v>7568806098</v>
      </c>
      <c r="E76" s="94">
        <v>932811298</v>
      </c>
      <c r="F76" s="94">
        <v>226160109</v>
      </c>
      <c r="G76" s="94">
        <v>10224206168</v>
      </c>
      <c r="H76" s="94">
        <v>4971189524</v>
      </c>
      <c r="I76" s="94">
        <v>85243076</v>
      </c>
      <c r="J76" s="94">
        <v>1510783716</v>
      </c>
      <c r="K76" s="94">
        <v>1085273663</v>
      </c>
      <c r="L76" s="94">
        <v>504369467</v>
      </c>
    </row>
    <row r="77" spans="1:12">
      <c r="A77" s="140">
        <v>429</v>
      </c>
      <c r="B77" s="93" t="s">
        <v>88</v>
      </c>
      <c r="C77" s="94">
        <v>7696205564</v>
      </c>
      <c r="D77" s="94">
        <v>4886882339</v>
      </c>
      <c r="E77" s="94">
        <v>2266834911</v>
      </c>
      <c r="F77" s="94">
        <v>125297034</v>
      </c>
      <c r="G77" s="94">
        <v>5971924757</v>
      </c>
      <c r="H77" s="94">
        <v>2151679999</v>
      </c>
      <c r="I77" s="94">
        <v>76975233</v>
      </c>
      <c r="J77" s="94">
        <v>1317789197</v>
      </c>
      <c r="K77" s="94">
        <v>826072104</v>
      </c>
      <c r="L77" s="94">
        <v>865177734</v>
      </c>
    </row>
    <row r="78" spans="1:12">
      <c r="A78" s="140">
        <v>431</v>
      </c>
      <c r="B78" s="93" t="s">
        <v>89</v>
      </c>
      <c r="C78" s="94">
        <v>3576514490</v>
      </c>
      <c r="D78" s="94">
        <v>2860406966</v>
      </c>
      <c r="E78" s="94">
        <v>449344441</v>
      </c>
      <c r="F78" s="94">
        <v>108155791</v>
      </c>
      <c r="G78" s="94">
        <v>4484171332</v>
      </c>
      <c r="H78" s="94">
        <v>1661282859</v>
      </c>
      <c r="I78" s="94">
        <v>59393801</v>
      </c>
      <c r="J78" s="94">
        <v>811743328</v>
      </c>
      <c r="K78" s="94">
        <v>715739123</v>
      </c>
      <c r="L78" s="94">
        <v>279555280</v>
      </c>
    </row>
    <row r="79" spans="1:12">
      <c r="A79" s="140">
        <v>432</v>
      </c>
      <c r="B79" s="93" t="s">
        <v>90</v>
      </c>
      <c r="C79" s="94">
        <v>19719480633</v>
      </c>
      <c r="D79" s="94">
        <v>17082609398</v>
      </c>
      <c r="E79" s="94">
        <v>1741791360</v>
      </c>
      <c r="F79" s="94">
        <v>348351038</v>
      </c>
      <c r="G79" s="94">
        <v>17350911548</v>
      </c>
      <c r="H79" s="94">
        <v>7335224229</v>
      </c>
      <c r="I79" s="94">
        <v>169313742</v>
      </c>
      <c r="J79" s="94">
        <v>4012645135</v>
      </c>
      <c r="K79" s="94">
        <v>2029055483</v>
      </c>
      <c r="L79" s="94">
        <v>2187589563</v>
      </c>
    </row>
    <row r="80" spans="1:12">
      <c r="A80" s="140">
        <v>433</v>
      </c>
      <c r="B80" s="93" t="s">
        <v>91</v>
      </c>
      <c r="C80" s="94">
        <v>4525358917</v>
      </c>
      <c r="D80" s="94">
        <v>3651132849</v>
      </c>
      <c r="E80" s="94">
        <v>724858201</v>
      </c>
      <c r="F80" s="94">
        <v>88342573</v>
      </c>
      <c r="G80" s="94">
        <v>4661428460</v>
      </c>
      <c r="H80" s="94">
        <v>1604167495</v>
      </c>
      <c r="I80" s="94">
        <v>76876259</v>
      </c>
      <c r="J80" s="94">
        <v>1316601424</v>
      </c>
      <c r="K80" s="94">
        <v>832014670</v>
      </c>
      <c r="L80" s="94">
        <v>696398587</v>
      </c>
    </row>
    <row r="81" spans="1:12">
      <c r="A81" s="140">
        <v>439</v>
      </c>
      <c r="B81" s="93" t="s">
        <v>92</v>
      </c>
      <c r="C81" s="94">
        <v>18362154345</v>
      </c>
      <c r="D81" s="94">
        <v>15124601837</v>
      </c>
      <c r="E81" s="94">
        <v>2418199316</v>
      </c>
      <c r="F81" s="94">
        <v>401837256</v>
      </c>
      <c r="G81" s="94">
        <v>18916809755</v>
      </c>
      <c r="H81" s="94">
        <v>6554257374</v>
      </c>
      <c r="I81" s="94">
        <v>786625240</v>
      </c>
      <c r="J81" s="94">
        <v>3644262756</v>
      </c>
      <c r="K81" s="94">
        <v>2378611005</v>
      </c>
      <c r="L81" s="94">
        <v>1967652591</v>
      </c>
    </row>
    <row r="82" spans="1:12">
      <c r="A82" s="140">
        <v>441</v>
      </c>
      <c r="B82" s="93" t="s">
        <v>5</v>
      </c>
      <c r="C82" s="94">
        <v>207150746</v>
      </c>
      <c r="D82" s="94">
        <v>145583133</v>
      </c>
      <c r="E82" s="94">
        <v>53350192</v>
      </c>
      <c r="F82" s="94">
        <v>2416861</v>
      </c>
      <c r="G82" s="94">
        <v>130650350</v>
      </c>
      <c r="H82" s="94">
        <v>21959858</v>
      </c>
      <c r="I82" s="94">
        <v>90997</v>
      </c>
      <c r="J82" s="94">
        <v>9655151</v>
      </c>
      <c r="K82" s="94">
        <v>12126381</v>
      </c>
      <c r="L82" s="94">
        <v>14134873</v>
      </c>
    </row>
    <row r="83" spans="1:12">
      <c r="A83" s="140">
        <v>442</v>
      </c>
      <c r="B83" s="93" t="s">
        <v>93</v>
      </c>
      <c r="C83" s="94">
        <v>56696631300</v>
      </c>
      <c r="D83" s="94">
        <v>36406544298</v>
      </c>
      <c r="E83" s="94">
        <v>18004130343</v>
      </c>
      <c r="F83" s="94">
        <v>904100841</v>
      </c>
      <c r="G83" s="94">
        <v>50564178786</v>
      </c>
      <c r="H83" s="94">
        <v>8890161751</v>
      </c>
      <c r="I83" s="94">
        <v>4786663626</v>
      </c>
      <c r="J83" s="94">
        <v>11280185677</v>
      </c>
      <c r="K83" s="94">
        <v>1730111094</v>
      </c>
      <c r="L83" s="94">
        <v>5104223427</v>
      </c>
    </row>
    <row r="84" spans="1:12">
      <c r="A84" s="140">
        <v>443</v>
      </c>
      <c r="B84" s="93" t="s">
        <v>94</v>
      </c>
      <c r="C84" s="94">
        <v>1846797709</v>
      </c>
      <c r="D84" s="94">
        <v>1553354469</v>
      </c>
      <c r="E84" s="94">
        <v>241543540</v>
      </c>
      <c r="F84" s="94">
        <v>11753463</v>
      </c>
      <c r="G84" s="94">
        <v>1534743577</v>
      </c>
      <c r="H84" s="94">
        <v>238028190</v>
      </c>
      <c r="I84" s="94">
        <v>11676406</v>
      </c>
      <c r="J84" s="94">
        <v>256603711</v>
      </c>
      <c r="K84" s="94">
        <v>260802792</v>
      </c>
      <c r="L84" s="94">
        <v>62803589</v>
      </c>
    </row>
    <row r="85" spans="1:12">
      <c r="A85" s="140">
        <v>444</v>
      </c>
      <c r="B85" s="93" t="s">
        <v>95</v>
      </c>
      <c r="C85" s="94">
        <v>76216218</v>
      </c>
      <c r="D85" s="94">
        <v>48334861</v>
      </c>
      <c r="E85" s="94">
        <v>24328834</v>
      </c>
      <c r="F85" s="94">
        <v>494778</v>
      </c>
      <c r="G85" s="94">
        <v>48162716</v>
      </c>
      <c r="H85" s="94">
        <v>7453689</v>
      </c>
      <c r="I85" s="94">
        <v>588330</v>
      </c>
      <c r="J85" s="94">
        <v>9541356</v>
      </c>
      <c r="K85" s="94">
        <v>8720364</v>
      </c>
      <c r="L85" s="94">
        <v>3325834</v>
      </c>
    </row>
    <row r="86" spans="1:12">
      <c r="A86" s="140">
        <v>445</v>
      </c>
      <c r="B86" s="93" t="s">
        <v>96</v>
      </c>
      <c r="C86" s="94">
        <v>280122016</v>
      </c>
      <c r="D86" s="94">
        <v>148622370</v>
      </c>
      <c r="E86" s="94">
        <v>131169287</v>
      </c>
      <c r="F86" s="94">
        <v>4145894</v>
      </c>
      <c r="G86" s="94">
        <v>344621939</v>
      </c>
      <c r="H86" s="94">
        <v>46946804</v>
      </c>
      <c r="I86" s="94">
        <v>4013517</v>
      </c>
      <c r="J86" s="94">
        <v>55721457</v>
      </c>
      <c r="K86" s="94">
        <v>13056545</v>
      </c>
      <c r="L86" s="94">
        <v>5470002</v>
      </c>
    </row>
    <row r="87" spans="1:12">
      <c r="A87" s="140">
        <v>446</v>
      </c>
      <c r="B87" s="93" t="s">
        <v>97</v>
      </c>
      <c r="C87" s="94">
        <v>12140459231</v>
      </c>
      <c r="D87" s="94">
        <v>9233707778</v>
      </c>
      <c r="E87" s="94">
        <v>2444559990</v>
      </c>
      <c r="F87" s="94">
        <v>347346254</v>
      </c>
      <c r="G87" s="94">
        <v>11145629131</v>
      </c>
      <c r="H87" s="94">
        <v>5035012890</v>
      </c>
      <c r="I87" s="94">
        <v>234561052</v>
      </c>
      <c r="J87" s="94">
        <v>1138207496</v>
      </c>
      <c r="K87" s="94">
        <v>905826421</v>
      </c>
      <c r="L87" s="94">
        <v>359504599</v>
      </c>
    </row>
    <row r="88" spans="1:12">
      <c r="A88" s="140">
        <v>447</v>
      </c>
      <c r="B88" s="93" t="s">
        <v>98</v>
      </c>
      <c r="C88" s="94">
        <v>925295578</v>
      </c>
      <c r="D88" s="94">
        <v>549877993</v>
      </c>
      <c r="E88" s="94">
        <v>350759958</v>
      </c>
      <c r="F88" s="94">
        <v>25784263</v>
      </c>
      <c r="G88" s="94">
        <v>1498829041</v>
      </c>
      <c r="H88" s="94">
        <v>429501188</v>
      </c>
      <c r="I88" s="94">
        <v>172512567</v>
      </c>
      <c r="J88" s="94">
        <v>136461846</v>
      </c>
      <c r="K88" s="94">
        <v>55444366</v>
      </c>
      <c r="L88" s="94">
        <v>19103173</v>
      </c>
    </row>
    <row r="89" spans="1:12">
      <c r="A89" s="140">
        <v>449</v>
      </c>
      <c r="B89" s="93" t="s">
        <v>99</v>
      </c>
      <c r="C89" s="94">
        <v>207150746</v>
      </c>
      <c r="D89" s="94">
        <v>145583133</v>
      </c>
      <c r="E89" s="94">
        <v>53350192</v>
      </c>
      <c r="F89" s="94">
        <v>2416861</v>
      </c>
      <c r="G89" s="94">
        <v>130650350</v>
      </c>
      <c r="H89" s="94">
        <v>21959858</v>
      </c>
      <c r="I89" s="94">
        <v>90997</v>
      </c>
      <c r="J89" s="94">
        <v>9655151</v>
      </c>
      <c r="K89" s="94">
        <v>12126381</v>
      </c>
      <c r="L89" s="94">
        <v>14134873</v>
      </c>
    </row>
    <row r="90" spans="1:12">
      <c r="A90" s="140">
        <v>511</v>
      </c>
      <c r="B90" s="93" t="s">
        <v>100</v>
      </c>
      <c r="C90" s="94">
        <v>2643496783</v>
      </c>
      <c r="D90" s="94">
        <v>2402527012</v>
      </c>
      <c r="E90" s="94">
        <v>245261812</v>
      </c>
      <c r="F90" s="94">
        <v>27985385</v>
      </c>
      <c r="G90" s="94">
        <v>3688996771</v>
      </c>
      <c r="H90" s="94">
        <v>1130614627</v>
      </c>
      <c r="I90" s="94">
        <v>4399095</v>
      </c>
      <c r="J90" s="94">
        <v>220712138</v>
      </c>
      <c r="K90" s="94">
        <v>365532743</v>
      </c>
      <c r="L90" s="94">
        <v>140025564</v>
      </c>
    </row>
    <row r="91" spans="1:12">
      <c r="A91" s="140">
        <v>512</v>
      </c>
      <c r="B91" s="93" t="s">
        <v>101</v>
      </c>
      <c r="C91" s="94">
        <v>11782298</v>
      </c>
      <c r="D91" s="94">
        <v>10002009</v>
      </c>
      <c r="E91" s="94">
        <v>1037802</v>
      </c>
      <c r="F91" s="94">
        <v>697854</v>
      </c>
      <c r="G91" s="94">
        <v>5794269</v>
      </c>
      <c r="H91" s="94">
        <v>3847908</v>
      </c>
      <c r="I91" s="94">
        <v>380</v>
      </c>
      <c r="J91" s="94">
        <v>249156</v>
      </c>
      <c r="K91" s="94">
        <v>168072</v>
      </c>
      <c r="L91" s="94">
        <v>41226</v>
      </c>
    </row>
    <row r="92" spans="1:12">
      <c r="A92" s="140">
        <v>520</v>
      </c>
      <c r="B92" s="93" t="s">
        <v>29</v>
      </c>
      <c r="C92" s="94">
        <v>161093128</v>
      </c>
      <c r="D92" s="94">
        <v>138496174</v>
      </c>
      <c r="E92" s="94">
        <v>16411682</v>
      </c>
      <c r="F92" s="94">
        <v>4025227</v>
      </c>
      <c r="G92" s="94">
        <v>246323937</v>
      </c>
      <c r="H92" s="94">
        <v>95844001</v>
      </c>
      <c r="I92" s="94">
        <v>3771112</v>
      </c>
      <c r="J92" s="94">
        <v>14959289</v>
      </c>
      <c r="K92" s="94">
        <v>87610303</v>
      </c>
      <c r="L92" s="94">
        <v>7822281</v>
      </c>
    </row>
    <row r="93" spans="1:12">
      <c r="A93" s="140">
        <v>611</v>
      </c>
      <c r="B93" s="93" t="s">
        <v>102</v>
      </c>
      <c r="C93" s="94">
        <v>681941286</v>
      </c>
      <c r="D93" s="94">
        <v>562804320</v>
      </c>
      <c r="E93" s="94">
        <v>99543334</v>
      </c>
      <c r="F93" s="94">
        <v>3601972</v>
      </c>
      <c r="G93" s="94">
        <v>251997634</v>
      </c>
      <c r="H93" s="94">
        <v>34658285</v>
      </c>
      <c r="I93" s="94">
        <v>3208396</v>
      </c>
      <c r="J93" s="94">
        <v>49938978</v>
      </c>
      <c r="K93" s="94">
        <v>115475670</v>
      </c>
      <c r="L93" s="94">
        <v>9333745</v>
      </c>
    </row>
    <row r="94" spans="1:12">
      <c r="A94" s="140">
        <v>612</v>
      </c>
      <c r="B94" s="93" t="s">
        <v>103</v>
      </c>
      <c r="C94" s="94">
        <v>60547663</v>
      </c>
      <c r="D94" s="94">
        <v>48676228</v>
      </c>
      <c r="E94" s="94">
        <v>8460931</v>
      </c>
      <c r="F94" s="94">
        <v>1017719</v>
      </c>
      <c r="G94" s="94">
        <v>63239332</v>
      </c>
      <c r="H94" s="94">
        <v>23847499</v>
      </c>
      <c r="I94" s="94">
        <v>1380053</v>
      </c>
      <c r="J94" s="94">
        <v>8153601</v>
      </c>
      <c r="K94" s="94">
        <v>7993286</v>
      </c>
      <c r="L94" s="94">
        <v>3313651</v>
      </c>
    </row>
    <row r="95" spans="1:12">
      <c r="A95" s="140">
        <v>619</v>
      </c>
      <c r="B95" s="93" t="s">
        <v>104</v>
      </c>
      <c r="C95" s="94">
        <v>130897402316</v>
      </c>
      <c r="D95" s="94">
        <v>118130373338</v>
      </c>
      <c r="E95" s="94">
        <v>7983647824</v>
      </c>
      <c r="F95" s="94">
        <v>435309028</v>
      </c>
      <c r="G95" s="94">
        <v>93103487369</v>
      </c>
      <c r="H95" s="94">
        <v>39077230130</v>
      </c>
      <c r="I95" s="94">
        <v>957771788</v>
      </c>
      <c r="J95" s="94">
        <v>15477120269</v>
      </c>
      <c r="K95" s="94">
        <v>11298513309</v>
      </c>
      <c r="L95" s="94">
        <v>7698094740</v>
      </c>
    </row>
    <row r="96" spans="1:12">
      <c r="A96" s="140">
        <v>621</v>
      </c>
      <c r="B96" s="93" t="s">
        <v>105</v>
      </c>
      <c r="C96" s="94">
        <v>90125689409</v>
      </c>
      <c r="D96" s="94">
        <v>88635629598</v>
      </c>
      <c r="E96" s="94">
        <v>4723318669</v>
      </c>
      <c r="F96" s="94">
        <v>786795976</v>
      </c>
      <c r="G96" s="94">
        <v>112168502492</v>
      </c>
      <c r="H96" s="94">
        <v>32498575878</v>
      </c>
      <c r="I96" s="94">
        <v>795625437</v>
      </c>
      <c r="J96" s="94">
        <v>32373697745</v>
      </c>
      <c r="K96" s="94">
        <v>9395180506</v>
      </c>
      <c r="L96" s="94">
        <v>8042652302</v>
      </c>
    </row>
    <row r="97" spans="1:12">
      <c r="A97" s="140">
        <v>622</v>
      </c>
      <c r="B97" s="93" t="s">
        <v>106</v>
      </c>
      <c r="C97" s="94">
        <v>86704277</v>
      </c>
      <c r="D97" s="94">
        <v>69014799</v>
      </c>
      <c r="E97" s="94">
        <v>10833569</v>
      </c>
      <c r="F97" s="94">
        <v>1760264</v>
      </c>
      <c r="G97" s="94">
        <v>99787050</v>
      </c>
      <c r="H97" s="94">
        <v>23022386</v>
      </c>
      <c r="I97" s="94">
        <v>346069</v>
      </c>
      <c r="J97" s="94">
        <v>20190501</v>
      </c>
      <c r="K97" s="94">
        <v>15291206</v>
      </c>
      <c r="L97" s="94">
        <v>5865217</v>
      </c>
    </row>
    <row r="98" spans="1:12">
      <c r="A98" s="140">
        <v>623</v>
      </c>
      <c r="B98" s="93" t="s">
        <v>107</v>
      </c>
      <c r="C98" s="94">
        <v>14816122699</v>
      </c>
      <c r="D98" s="94">
        <v>12903576264</v>
      </c>
      <c r="E98" s="94">
        <v>1236602379</v>
      </c>
      <c r="F98" s="94">
        <v>333627442</v>
      </c>
      <c r="G98" s="94">
        <v>16158416348</v>
      </c>
      <c r="H98" s="94">
        <v>8489784037</v>
      </c>
      <c r="I98" s="94">
        <v>148503017</v>
      </c>
      <c r="J98" s="94">
        <v>2476434974</v>
      </c>
      <c r="K98" s="94">
        <v>1270112896</v>
      </c>
      <c r="L98" s="94">
        <v>1239169284</v>
      </c>
    </row>
    <row r="99" spans="1:12">
      <c r="A99" s="140">
        <v>624</v>
      </c>
      <c r="B99" s="93" t="s">
        <v>108</v>
      </c>
      <c r="C99" s="94">
        <v>10635781083</v>
      </c>
      <c r="D99" s="94">
        <v>8135047929</v>
      </c>
      <c r="E99" s="94">
        <v>1826376358</v>
      </c>
      <c r="F99" s="94">
        <v>214292364</v>
      </c>
      <c r="G99" s="94">
        <v>11188317867</v>
      </c>
      <c r="H99" s="94">
        <v>3315875866</v>
      </c>
      <c r="I99" s="94">
        <v>450806425</v>
      </c>
      <c r="J99" s="94">
        <v>2518870109</v>
      </c>
      <c r="K99" s="94">
        <v>1286666618</v>
      </c>
      <c r="L99" s="94">
        <v>1185284212</v>
      </c>
    </row>
    <row r="100" spans="1:12">
      <c r="A100" s="140">
        <v>625</v>
      </c>
      <c r="B100" s="93" t="s">
        <v>109</v>
      </c>
      <c r="C100" s="94">
        <v>459053575</v>
      </c>
      <c r="D100" s="94">
        <v>390069798</v>
      </c>
      <c r="E100" s="94">
        <v>46422784</v>
      </c>
      <c r="F100" s="94">
        <v>7791916</v>
      </c>
      <c r="G100" s="94">
        <v>364497700</v>
      </c>
      <c r="H100" s="94">
        <v>128310063</v>
      </c>
      <c r="I100" s="94">
        <v>62651</v>
      </c>
      <c r="J100" s="94">
        <v>99201770</v>
      </c>
      <c r="K100" s="94">
        <v>70935580</v>
      </c>
      <c r="L100" s="94">
        <v>34112946</v>
      </c>
    </row>
    <row r="101" spans="1:12">
      <c r="A101" s="140">
        <v>626</v>
      </c>
      <c r="B101" s="93" t="s">
        <v>110</v>
      </c>
      <c r="C101" s="94">
        <v>19719480633</v>
      </c>
      <c r="D101" s="94">
        <v>17082609398</v>
      </c>
      <c r="E101" s="94">
        <v>1741791360</v>
      </c>
      <c r="F101" s="94">
        <v>348351038</v>
      </c>
      <c r="G101" s="94">
        <v>17350911548</v>
      </c>
      <c r="H101" s="94">
        <v>7335224229</v>
      </c>
      <c r="I101" s="94">
        <v>169313742</v>
      </c>
      <c r="J101" s="94">
        <v>4012645135</v>
      </c>
      <c r="K101" s="94">
        <v>2029055483</v>
      </c>
      <c r="L101" s="94">
        <v>2187589563</v>
      </c>
    </row>
    <row r="102" spans="1:12">
      <c r="A102" s="140">
        <v>627</v>
      </c>
      <c r="B102" s="93" t="s">
        <v>111</v>
      </c>
      <c r="C102" s="94">
        <v>1507849632</v>
      </c>
      <c r="D102" s="94">
        <v>1272238194</v>
      </c>
      <c r="E102" s="94">
        <v>148179652</v>
      </c>
      <c r="F102" s="94">
        <v>38505057</v>
      </c>
      <c r="G102" s="94">
        <v>1312297728</v>
      </c>
      <c r="H102" s="94">
        <v>608920971</v>
      </c>
      <c r="I102" s="94">
        <v>13762023</v>
      </c>
      <c r="J102" s="94">
        <v>253042854</v>
      </c>
      <c r="K102" s="94">
        <v>109237703</v>
      </c>
      <c r="L102" s="94">
        <v>116916836</v>
      </c>
    </row>
    <row r="103" spans="1:12">
      <c r="A103" s="140">
        <v>628</v>
      </c>
      <c r="B103" s="93" t="s">
        <v>112</v>
      </c>
      <c r="C103" s="94">
        <v>16593447571</v>
      </c>
      <c r="D103" s="94">
        <v>13690397301</v>
      </c>
      <c r="E103" s="94">
        <v>1982025468</v>
      </c>
      <c r="F103" s="94">
        <v>324521534</v>
      </c>
      <c r="G103" s="94">
        <v>19931510088</v>
      </c>
      <c r="H103" s="94">
        <v>7301125694</v>
      </c>
      <c r="I103" s="94">
        <v>236273404</v>
      </c>
      <c r="J103" s="94">
        <v>3952522966</v>
      </c>
      <c r="K103" s="94">
        <v>1689339887</v>
      </c>
      <c r="L103" s="94">
        <v>2337110103</v>
      </c>
    </row>
    <row r="104" spans="1:12">
      <c r="A104" s="140">
        <v>629</v>
      </c>
      <c r="B104" s="93" t="s">
        <v>113</v>
      </c>
      <c r="C104" s="94">
        <v>270185306766</v>
      </c>
      <c r="D104" s="94">
        <v>226660113471</v>
      </c>
      <c r="E104" s="94">
        <v>31278981115</v>
      </c>
      <c r="F104" s="94">
        <v>5029628702</v>
      </c>
      <c r="G104" s="94">
        <v>269387268589</v>
      </c>
      <c r="H104" s="94">
        <v>96450921619</v>
      </c>
      <c r="I104" s="94">
        <v>6175243613</v>
      </c>
      <c r="J104" s="94">
        <v>58333113441</v>
      </c>
      <c r="K104" s="94">
        <v>29372435348</v>
      </c>
      <c r="L104" s="94">
        <v>30236079734</v>
      </c>
    </row>
    <row r="105" spans="1:12">
      <c r="A105" s="140">
        <v>631</v>
      </c>
      <c r="B105" s="93" t="s">
        <v>114</v>
      </c>
      <c r="C105" s="94">
        <v>750489892</v>
      </c>
      <c r="D105" s="94">
        <v>662390350</v>
      </c>
      <c r="E105" s="94">
        <v>64889682</v>
      </c>
      <c r="F105" s="94">
        <v>13244408</v>
      </c>
      <c r="G105" s="94">
        <v>547207738</v>
      </c>
      <c r="H105" s="94">
        <v>166746813</v>
      </c>
      <c r="I105" s="94">
        <v>6373590</v>
      </c>
      <c r="J105" s="94">
        <v>105737767</v>
      </c>
      <c r="K105" s="94">
        <v>16743829</v>
      </c>
      <c r="L105" s="94">
        <v>26095429</v>
      </c>
    </row>
    <row r="106" spans="1:12">
      <c r="A106" s="140">
        <v>632</v>
      </c>
      <c r="B106" s="93" t="s">
        <v>115</v>
      </c>
      <c r="C106" s="94">
        <v>56696631300</v>
      </c>
      <c r="D106" s="94">
        <v>36406544298</v>
      </c>
      <c r="E106" s="94">
        <v>18004130343</v>
      </c>
      <c r="F106" s="94">
        <v>904100841</v>
      </c>
      <c r="G106" s="94">
        <v>50564178786</v>
      </c>
      <c r="H106" s="94">
        <v>8890161751</v>
      </c>
      <c r="I106" s="94">
        <v>4786663626</v>
      </c>
      <c r="J106" s="94">
        <v>11280185677</v>
      </c>
      <c r="K106" s="94">
        <v>1730111094</v>
      </c>
      <c r="L106" s="94">
        <v>5104223427</v>
      </c>
    </row>
    <row r="107" spans="1:12">
      <c r="A107" s="140">
        <v>633</v>
      </c>
      <c r="B107" s="93" t="s">
        <v>116</v>
      </c>
      <c r="C107" s="94">
        <v>2944398765</v>
      </c>
      <c r="D107" s="94">
        <v>2169219174</v>
      </c>
      <c r="E107" s="94">
        <v>690343657</v>
      </c>
      <c r="F107" s="94">
        <v>37865666</v>
      </c>
      <c r="G107" s="94">
        <v>3478571795</v>
      </c>
      <c r="H107" s="94">
        <v>1344331010</v>
      </c>
      <c r="I107" s="94">
        <v>211465493</v>
      </c>
      <c r="J107" s="94">
        <v>343375794</v>
      </c>
      <c r="K107" s="94">
        <v>83886344</v>
      </c>
      <c r="L107" s="94">
        <v>104934434</v>
      </c>
    </row>
    <row r="108" spans="1:12">
      <c r="A108" s="140">
        <v>634</v>
      </c>
      <c r="B108" s="93" t="s">
        <v>117</v>
      </c>
      <c r="C108" s="94">
        <v>2744059489</v>
      </c>
      <c r="D108" s="94">
        <v>1187613817</v>
      </c>
      <c r="E108" s="94">
        <v>1337080674</v>
      </c>
      <c r="F108" s="94">
        <v>146650901</v>
      </c>
      <c r="G108" s="94">
        <v>2710897431</v>
      </c>
      <c r="H108" s="94">
        <v>1222460644</v>
      </c>
      <c r="I108" s="94">
        <v>96975242</v>
      </c>
      <c r="J108" s="94">
        <v>384486557</v>
      </c>
      <c r="K108" s="94">
        <v>24404346</v>
      </c>
      <c r="L108" s="94">
        <v>47821537</v>
      </c>
    </row>
    <row r="109" spans="1:12">
      <c r="A109" s="140">
        <v>635</v>
      </c>
      <c r="B109" s="93" t="s">
        <v>118</v>
      </c>
      <c r="C109" s="94">
        <v>22695944100</v>
      </c>
      <c r="D109" s="94">
        <v>16554390868</v>
      </c>
      <c r="E109" s="94">
        <v>4813196300</v>
      </c>
      <c r="F109" s="94">
        <v>231207433</v>
      </c>
      <c r="G109" s="94">
        <v>20810110536</v>
      </c>
      <c r="H109" s="94">
        <v>2518799539</v>
      </c>
      <c r="I109" s="94">
        <v>2009018425</v>
      </c>
      <c r="J109" s="94">
        <v>6681885187</v>
      </c>
      <c r="K109" s="94">
        <v>587810884</v>
      </c>
      <c r="L109" s="94">
        <v>2627486157</v>
      </c>
    </row>
    <row r="110" spans="1:12">
      <c r="A110" s="140">
        <v>636</v>
      </c>
      <c r="B110" s="93" t="s">
        <v>119</v>
      </c>
      <c r="C110" s="94">
        <v>19659563</v>
      </c>
      <c r="D110" s="94">
        <v>4163246</v>
      </c>
      <c r="E110" s="94">
        <v>14317312</v>
      </c>
      <c r="F110" s="94">
        <v>1416326</v>
      </c>
      <c r="G110" s="94">
        <v>12671506</v>
      </c>
      <c r="H110" s="94">
        <v>7258508</v>
      </c>
      <c r="I110" s="94">
        <v>5194</v>
      </c>
      <c r="J110" s="94">
        <v>361545</v>
      </c>
      <c r="K110" s="94">
        <v>668427</v>
      </c>
      <c r="L110" s="94">
        <v>377941</v>
      </c>
    </row>
    <row r="111" spans="1:12">
      <c r="A111" s="140">
        <v>637</v>
      </c>
      <c r="B111" s="93" t="s">
        <v>120</v>
      </c>
      <c r="C111" s="94">
        <v>12140459231</v>
      </c>
      <c r="D111" s="94">
        <v>9233707778</v>
      </c>
      <c r="E111" s="94">
        <v>2444559990</v>
      </c>
      <c r="F111" s="94">
        <v>347346254</v>
      </c>
      <c r="G111" s="94">
        <v>11145629131</v>
      </c>
      <c r="H111" s="94">
        <v>5035012890</v>
      </c>
      <c r="I111" s="94">
        <v>234561052</v>
      </c>
      <c r="J111" s="94">
        <v>1138207496</v>
      </c>
      <c r="K111" s="94">
        <v>905826421</v>
      </c>
      <c r="L111" s="94">
        <v>359504599</v>
      </c>
    </row>
    <row r="112" spans="1:12">
      <c r="A112" s="140">
        <v>639</v>
      </c>
      <c r="B112" s="93" t="s">
        <v>121</v>
      </c>
      <c r="C112" s="94">
        <v>14850121069</v>
      </c>
      <c r="D112" s="94">
        <v>12319816860</v>
      </c>
      <c r="E112" s="94">
        <v>2096160775</v>
      </c>
      <c r="F112" s="94">
        <v>77727246</v>
      </c>
      <c r="G112" s="94">
        <v>7745256885</v>
      </c>
      <c r="H112" s="94">
        <v>1185586989</v>
      </c>
      <c r="I112" s="94">
        <v>115728328</v>
      </c>
      <c r="J112" s="94">
        <v>2259749950</v>
      </c>
      <c r="K112" s="94">
        <v>510553150</v>
      </c>
      <c r="L112" s="94">
        <v>964428422</v>
      </c>
    </row>
    <row r="113" spans="1:12">
      <c r="A113" s="140">
        <v>711</v>
      </c>
      <c r="B113" s="93" t="s">
        <v>6</v>
      </c>
      <c r="C113" s="94">
        <v>1373429313</v>
      </c>
      <c r="D113" s="94">
        <v>1244748157</v>
      </c>
      <c r="E113" s="94">
        <v>106232320</v>
      </c>
      <c r="F113" s="94">
        <v>19151954</v>
      </c>
      <c r="G113" s="94">
        <v>1038658547</v>
      </c>
      <c r="H113" s="94">
        <v>480558958</v>
      </c>
      <c r="I113" s="94">
        <v>1473910</v>
      </c>
      <c r="J113" s="94">
        <v>141220838</v>
      </c>
      <c r="K113" s="94">
        <v>96803848</v>
      </c>
      <c r="L113" s="94">
        <v>49867320</v>
      </c>
    </row>
    <row r="114" spans="1:12">
      <c r="A114" s="140">
        <v>712</v>
      </c>
      <c r="B114" s="93" t="s">
        <v>122</v>
      </c>
      <c r="C114" s="94">
        <v>14534086464</v>
      </c>
      <c r="D114" s="94">
        <v>12968027267</v>
      </c>
      <c r="E114" s="94">
        <v>1316688424</v>
      </c>
      <c r="F114" s="94">
        <v>178695604</v>
      </c>
      <c r="G114" s="94">
        <v>6932752270</v>
      </c>
      <c r="H114" s="94">
        <v>3022082598</v>
      </c>
      <c r="I114" s="94">
        <v>46777373</v>
      </c>
      <c r="J114" s="94">
        <v>1351107600</v>
      </c>
      <c r="K114" s="94">
        <v>939358230</v>
      </c>
      <c r="L114" s="94">
        <v>613624881</v>
      </c>
    </row>
    <row r="115" spans="1:12">
      <c r="A115" s="140">
        <v>721</v>
      </c>
      <c r="B115" s="93" t="s">
        <v>123</v>
      </c>
      <c r="C115" s="94">
        <v>6066424218</v>
      </c>
      <c r="D115" s="94">
        <v>5001217605</v>
      </c>
      <c r="E115" s="94">
        <v>883436394</v>
      </c>
      <c r="F115" s="94">
        <v>54952631</v>
      </c>
      <c r="G115" s="94">
        <v>4185656930</v>
      </c>
      <c r="H115" s="94">
        <v>1527790924</v>
      </c>
      <c r="I115" s="94">
        <v>18728168</v>
      </c>
      <c r="J115" s="94">
        <v>623924274</v>
      </c>
      <c r="K115" s="94">
        <v>883168180</v>
      </c>
      <c r="L115" s="94">
        <v>356270557</v>
      </c>
    </row>
    <row r="116" spans="1:12">
      <c r="A116" s="140">
        <v>722</v>
      </c>
      <c r="B116" s="93" t="s">
        <v>124</v>
      </c>
      <c r="C116" s="94">
        <v>974583744</v>
      </c>
      <c r="D116" s="94">
        <v>828540733</v>
      </c>
      <c r="E116" s="94">
        <v>98284366</v>
      </c>
      <c r="F116" s="94">
        <v>20476919</v>
      </c>
      <c r="G116" s="94">
        <v>779807845</v>
      </c>
      <c r="H116" s="94">
        <v>361951610</v>
      </c>
      <c r="I116" s="94">
        <v>4630618</v>
      </c>
      <c r="J116" s="94">
        <v>96927693</v>
      </c>
      <c r="K116" s="94">
        <v>170618379</v>
      </c>
      <c r="L116" s="94">
        <v>47832231</v>
      </c>
    </row>
    <row r="117" spans="1:12">
      <c r="A117" s="140">
        <v>730</v>
      </c>
      <c r="B117" s="93" t="s">
        <v>35</v>
      </c>
      <c r="C117" s="94">
        <v>3614984406</v>
      </c>
      <c r="D117" s="94">
        <v>2895404935</v>
      </c>
      <c r="E117" s="94">
        <v>581037156</v>
      </c>
      <c r="F117" s="94">
        <v>71923103</v>
      </c>
      <c r="G117" s="94">
        <v>2736904656</v>
      </c>
      <c r="H117" s="94">
        <v>1157141459</v>
      </c>
      <c r="I117" s="94">
        <v>203136559</v>
      </c>
      <c r="J117" s="94">
        <v>402012588</v>
      </c>
      <c r="K117" s="94">
        <v>438278593</v>
      </c>
      <c r="L117" s="94">
        <v>196231907</v>
      </c>
    </row>
    <row r="118" spans="1:12">
      <c r="A118" s="140">
        <v>740</v>
      </c>
      <c r="B118" s="93" t="s">
        <v>36</v>
      </c>
      <c r="C118" s="94">
        <v>1776014269</v>
      </c>
      <c r="D118" s="94">
        <v>1561210720</v>
      </c>
      <c r="E118" s="94">
        <v>149829667</v>
      </c>
      <c r="F118" s="94">
        <v>21151882</v>
      </c>
      <c r="G118" s="94">
        <v>1142134282</v>
      </c>
      <c r="H118" s="94">
        <v>360000577</v>
      </c>
      <c r="I118" s="94">
        <v>9089478</v>
      </c>
      <c r="J118" s="94">
        <v>174496389</v>
      </c>
      <c r="K118" s="94">
        <v>210335986</v>
      </c>
      <c r="L118" s="94">
        <v>117591306</v>
      </c>
    </row>
    <row r="119" spans="1:12">
      <c r="A119" s="140">
        <v>750</v>
      </c>
      <c r="B119" s="93" t="s">
        <v>37</v>
      </c>
      <c r="C119" s="94">
        <v>8605403899</v>
      </c>
      <c r="D119" s="94">
        <v>6743836351</v>
      </c>
      <c r="E119" s="94">
        <v>1626340506</v>
      </c>
      <c r="F119" s="94">
        <v>64895190</v>
      </c>
      <c r="G119" s="94">
        <v>6133140109</v>
      </c>
      <c r="H119" s="94">
        <v>1967291318</v>
      </c>
      <c r="I119" s="94">
        <v>82076428</v>
      </c>
      <c r="J119" s="94">
        <v>1693350407</v>
      </c>
      <c r="K119" s="94">
        <v>865675031</v>
      </c>
      <c r="L119" s="94">
        <v>453650952</v>
      </c>
    </row>
    <row r="120" spans="1:12">
      <c r="A120" s="140">
        <v>761</v>
      </c>
      <c r="B120" s="93" t="s">
        <v>125</v>
      </c>
      <c r="C120" s="94">
        <v>6252597964</v>
      </c>
      <c r="D120" s="94">
        <v>5411266609</v>
      </c>
      <c r="E120" s="94">
        <v>684332523</v>
      </c>
      <c r="F120" s="94">
        <v>76815659</v>
      </c>
      <c r="G120" s="94">
        <v>5516574730</v>
      </c>
      <c r="H120" s="94">
        <v>1843818945</v>
      </c>
      <c r="I120" s="94">
        <v>222748781</v>
      </c>
      <c r="J120" s="94">
        <v>778613447</v>
      </c>
      <c r="K120" s="94">
        <v>1081013816</v>
      </c>
      <c r="L120" s="94">
        <v>293443137</v>
      </c>
    </row>
    <row r="121" spans="1:12">
      <c r="A121" s="140">
        <v>762</v>
      </c>
      <c r="B121" s="93" t="s">
        <v>126</v>
      </c>
      <c r="C121" s="94">
        <v>1087797448</v>
      </c>
      <c r="D121" s="94">
        <v>875678328</v>
      </c>
      <c r="E121" s="94">
        <v>121604929</v>
      </c>
      <c r="F121" s="94">
        <v>10263550</v>
      </c>
      <c r="G121" s="94">
        <v>1356954209</v>
      </c>
      <c r="H121" s="94">
        <v>405195268</v>
      </c>
      <c r="I121" s="94">
        <v>8563297</v>
      </c>
      <c r="J121" s="94">
        <v>122061198</v>
      </c>
      <c r="K121" s="94">
        <v>168438214</v>
      </c>
      <c r="L121" s="94">
        <v>67889961</v>
      </c>
    </row>
    <row r="122" spans="1:12">
      <c r="A122" s="140">
        <v>770</v>
      </c>
      <c r="B122" s="93" t="s">
        <v>39</v>
      </c>
      <c r="C122" s="94">
        <v>12991044961</v>
      </c>
      <c r="D122" s="94">
        <v>11298222346</v>
      </c>
      <c r="E122" s="94">
        <v>1244505793</v>
      </c>
      <c r="F122" s="94">
        <v>55332062</v>
      </c>
      <c r="G122" s="94">
        <v>9089765759</v>
      </c>
      <c r="H122" s="94">
        <v>2070157862</v>
      </c>
      <c r="I122" s="94">
        <v>45489567</v>
      </c>
      <c r="J122" s="94">
        <v>1655920578</v>
      </c>
      <c r="K122" s="94">
        <v>1619557520</v>
      </c>
      <c r="L122" s="94">
        <v>872168498</v>
      </c>
    </row>
    <row r="123" spans="1:12">
      <c r="A123" s="140">
        <v>791</v>
      </c>
      <c r="B123" s="93" t="s">
        <v>127</v>
      </c>
      <c r="C123" s="94">
        <v>9925736949</v>
      </c>
      <c r="D123" s="94">
        <v>6689717123</v>
      </c>
      <c r="E123" s="94">
        <v>2765653591</v>
      </c>
      <c r="F123" s="94">
        <v>162657209</v>
      </c>
      <c r="G123" s="94">
        <v>13437234750</v>
      </c>
      <c r="H123" s="94">
        <v>4814545647</v>
      </c>
      <c r="I123" s="94">
        <v>57783234</v>
      </c>
      <c r="J123" s="94">
        <v>1228256693</v>
      </c>
      <c r="K123" s="94">
        <v>663052759</v>
      </c>
      <c r="L123" s="94">
        <v>684939744</v>
      </c>
    </row>
    <row r="124" spans="1:12">
      <c r="A124" s="140">
        <v>792</v>
      </c>
      <c r="B124" s="93" t="s">
        <v>128</v>
      </c>
      <c r="C124" s="94">
        <v>6753147853</v>
      </c>
      <c r="D124" s="94">
        <v>5116556453</v>
      </c>
      <c r="E124" s="94">
        <v>1265413500</v>
      </c>
      <c r="F124" s="94">
        <v>81591925</v>
      </c>
      <c r="G124" s="94">
        <v>8209321913</v>
      </c>
      <c r="H124" s="94">
        <v>2744521367</v>
      </c>
      <c r="I124" s="94">
        <v>279008174</v>
      </c>
      <c r="J124" s="94">
        <v>655926217</v>
      </c>
      <c r="K124" s="94">
        <v>856236427</v>
      </c>
      <c r="L124" s="94">
        <v>471225219</v>
      </c>
    </row>
    <row r="125" spans="1:12">
      <c r="A125" s="140">
        <v>793</v>
      </c>
      <c r="B125" s="93" t="s">
        <v>129</v>
      </c>
      <c r="C125" s="94">
        <v>4320363916</v>
      </c>
      <c r="D125" s="94">
        <v>3430759750</v>
      </c>
      <c r="E125" s="94">
        <v>741336081</v>
      </c>
      <c r="F125" s="94">
        <v>69406504</v>
      </c>
      <c r="G125" s="94">
        <v>4566336474</v>
      </c>
      <c r="H125" s="94">
        <v>1898004343</v>
      </c>
      <c r="I125" s="94">
        <v>26401655</v>
      </c>
      <c r="J125" s="94">
        <v>517991731</v>
      </c>
      <c r="K125" s="94">
        <v>343003622</v>
      </c>
      <c r="L125" s="94">
        <v>498373807</v>
      </c>
    </row>
    <row r="126" spans="1:12">
      <c r="A126" s="140">
        <v>794</v>
      </c>
      <c r="B126" s="93" t="s">
        <v>130</v>
      </c>
      <c r="C126" s="94">
        <v>10889758213</v>
      </c>
      <c r="D126" s="94">
        <v>8163008358</v>
      </c>
      <c r="E126" s="94">
        <v>2047641951</v>
      </c>
      <c r="F126" s="94">
        <v>99057992</v>
      </c>
      <c r="G126" s="94">
        <v>8769253627</v>
      </c>
      <c r="H126" s="94">
        <v>3484974998</v>
      </c>
      <c r="I126" s="94">
        <v>70710114</v>
      </c>
      <c r="J126" s="94">
        <v>1158094077</v>
      </c>
      <c r="K126" s="94">
        <v>1075880198</v>
      </c>
      <c r="L126" s="94">
        <v>853341298</v>
      </c>
    </row>
    <row r="127" spans="1:12">
      <c r="A127" s="140">
        <v>795</v>
      </c>
      <c r="B127" s="93" t="s">
        <v>131</v>
      </c>
      <c r="C127" s="94">
        <v>6325745300</v>
      </c>
      <c r="D127" s="94">
        <v>4864399775</v>
      </c>
      <c r="E127" s="94">
        <v>1182632620</v>
      </c>
      <c r="F127" s="94">
        <v>140946874</v>
      </c>
      <c r="G127" s="94">
        <v>5454877918</v>
      </c>
      <c r="H127" s="94">
        <v>2440900651</v>
      </c>
      <c r="I127" s="94">
        <v>77811818</v>
      </c>
      <c r="J127" s="94">
        <v>841120236</v>
      </c>
      <c r="K127" s="94">
        <v>914260663</v>
      </c>
      <c r="L127" s="94">
        <v>510821271</v>
      </c>
    </row>
    <row r="128" spans="1:12">
      <c r="A128" s="140">
        <v>799</v>
      </c>
      <c r="B128" s="93" t="s">
        <v>132</v>
      </c>
      <c r="C128" s="94">
        <v>6325745300</v>
      </c>
      <c r="D128" s="94">
        <v>4864399775</v>
      </c>
      <c r="E128" s="94">
        <v>1182632620</v>
      </c>
      <c r="F128" s="94">
        <v>140946874</v>
      </c>
      <c r="G128" s="94">
        <v>5454877918</v>
      </c>
      <c r="H128" s="94">
        <v>2440900651</v>
      </c>
      <c r="I128" s="94">
        <v>77811818</v>
      </c>
      <c r="J128" s="94">
        <v>841120236</v>
      </c>
      <c r="K128" s="94">
        <v>914260663</v>
      </c>
      <c r="L128" s="94">
        <v>510821271</v>
      </c>
    </row>
    <row r="129" spans="1:12">
      <c r="A129" s="140">
        <v>811</v>
      </c>
      <c r="B129" s="93" t="s">
        <v>133</v>
      </c>
      <c r="C129" s="94">
        <v>457903666</v>
      </c>
      <c r="D129" s="94">
        <v>263051101</v>
      </c>
      <c r="E129" s="94">
        <v>167230951</v>
      </c>
      <c r="F129" s="94">
        <v>11060393</v>
      </c>
      <c r="G129" s="94">
        <v>708286543</v>
      </c>
      <c r="H129" s="94">
        <v>254539082</v>
      </c>
      <c r="I129" s="94">
        <v>15503295</v>
      </c>
      <c r="J129" s="94">
        <v>87147857</v>
      </c>
      <c r="K129" s="94">
        <v>78576016</v>
      </c>
      <c r="L129" s="94">
        <v>22620743</v>
      </c>
    </row>
    <row r="130" spans="1:12">
      <c r="A130" s="140">
        <v>812</v>
      </c>
      <c r="B130" s="93" t="s">
        <v>134</v>
      </c>
      <c r="C130" s="94">
        <v>2824967789</v>
      </c>
      <c r="D130" s="94">
        <v>1657018778</v>
      </c>
      <c r="E130" s="94">
        <v>935203136</v>
      </c>
      <c r="F130" s="94">
        <v>30039492</v>
      </c>
      <c r="G130" s="94">
        <v>4981739450</v>
      </c>
      <c r="H130" s="94">
        <v>2534157644</v>
      </c>
      <c r="I130" s="94">
        <v>186874062</v>
      </c>
      <c r="J130" s="94">
        <v>723244133</v>
      </c>
      <c r="K130" s="94">
        <v>338329450</v>
      </c>
      <c r="L130" s="94">
        <v>134250682</v>
      </c>
    </row>
    <row r="131" spans="1:12">
      <c r="A131" s="140">
        <v>821</v>
      </c>
      <c r="B131" s="93" t="s">
        <v>146</v>
      </c>
      <c r="C131" s="94">
        <v>7718820076</v>
      </c>
      <c r="D131" s="94">
        <v>4768269670</v>
      </c>
      <c r="E131" s="94">
        <v>2627515539</v>
      </c>
      <c r="F131" s="94">
        <v>252643283</v>
      </c>
      <c r="G131" s="94">
        <v>11173512773</v>
      </c>
      <c r="H131" s="94">
        <v>5382772121</v>
      </c>
      <c r="I131" s="94">
        <v>608794022</v>
      </c>
      <c r="J131" s="94">
        <v>866925156</v>
      </c>
      <c r="K131" s="94">
        <v>792287246</v>
      </c>
      <c r="L131" s="94">
        <v>577856110</v>
      </c>
    </row>
    <row r="132" spans="1:12">
      <c r="A132" s="140">
        <v>822</v>
      </c>
      <c r="B132" s="93" t="s">
        <v>146</v>
      </c>
      <c r="C132" s="94">
        <v>13572607</v>
      </c>
      <c r="D132" s="94">
        <v>10730701</v>
      </c>
      <c r="E132" s="94">
        <v>2137859</v>
      </c>
      <c r="F132" s="94">
        <v>977438</v>
      </c>
      <c r="G132" s="94">
        <v>20311846</v>
      </c>
      <c r="H132" s="94">
        <v>17831486</v>
      </c>
      <c r="I132" s="94">
        <v>0</v>
      </c>
      <c r="J132" s="94">
        <v>262042</v>
      </c>
      <c r="K132" s="94">
        <v>818132</v>
      </c>
      <c r="L132" s="94">
        <v>421873</v>
      </c>
    </row>
    <row r="133" spans="1:12">
      <c r="A133" s="140">
        <v>911</v>
      </c>
      <c r="B133" s="93" t="s">
        <v>135</v>
      </c>
      <c r="C133" s="94">
        <v>3494645750</v>
      </c>
      <c r="D133" s="94">
        <v>2708097731</v>
      </c>
      <c r="E133" s="94">
        <v>596345407</v>
      </c>
      <c r="F133" s="94">
        <v>45082863</v>
      </c>
      <c r="G133" s="94">
        <v>4122112687</v>
      </c>
      <c r="H133" s="94">
        <v>1184275067</v>
      </c>
      <c r="I133" s="94">
        <v>39234731</v>
      </c>
      <c r="J133" s="94">
        <v>541251040</v>
      </c>
      <c r="K133" s="94">
        <v>407628966</v>
      </c>
      <c r="L133" s="94">
        <v>374955127</v>
      </c>
    </row>
    <row r="134" spans="1:12">
      <c r="A134" s="140">
        <v>912</v>
      </c>
      <c r="B134" s="93" t="s">
        <v>136</v>
      </c>
      <c r="C134" s="94">
        <v>1454168819</v>
      </c>
      <c r="D134" s="94">
        <v>1099628586</v>
      </c>
      <c r="E134" s="94">
        <v>288234328</v>
      </c>
      <c r="F134" s="94">
        <v>23880629</v>
      </c>
      <c r="G134" s="94">
        <v>1426825875</v>
      </c>
      <c r="H134" s="94">
        <v>474328885</v>
      </c>
      <c r="I134" s="94">
        <v>203534592</v>
      </c>
      <c r="J134" s="94">
        <v>225880101</v>
      </c>
      <c r="K134" s="94">
        <v>122465863</v>
      </c>
      <c r="L134" s="94">
        <v>130101006</v>
      </c>
    </row>
    <row r="135" spans="1:12">
      <c r="A135" s="140">
        <v>913</v>
      </c>
      <c r="B135" s="93" t="s">
        <v>137</v>
      </c>
      <c r="C135" s="94">
        <v>69699340655</v>
      </c>
      <c r="D135" s="94">
        <v>59536007019</v>
      </c>
      <c r="E135" s="94">
        <v>6608940162</v>
      </c>
      <c r="F135" s="94">
        <v>1628813163</v>
      </c>
      <c r="G135" s="94">
        <v>67029331860</v>
      </c>
      <c r="H135" s="94">
        <v>29402565692</v>
      </c>
      <c r="I135" s="94">
        <v>731243919</v>
      </c>
      <c r="J135" s="94">
        <v>13157792764</v>
      </c>
      <c r="K135" s="94">
        <v>7384970391</v>
      </c>
      <c r="L135" s="94">
        <v>7077022728</v>
      </c>
    </row>
    <row r="136" spans="1:12">
      <c r="A136" s="140">
        <v>914</v>
      </c>
      <c r="B136" s="93" t="s">
        <v>138</v>
      </c>
      <c r="C136" s="94">
        <v>11280323502</v>
      </c>
      <c r="D136" s="94">
        <v>7278673191</v>
      </c>
      <c r="E136" s="94">
        <v>3149662747</v>
      </c>
      <c r="F136" s="94">
        <v>189677512</v>
      </c>
      <c r="G136" s="94">
        <v>10406177073</v>
      </c>
      <c r="H136" s="94">
        <v>2930071436</v>
      </c>
      <c r="I136" s="94">
        <v>130723040</v>
      </c>
      <c r="J136" s="94">
        <v>1593117696</v>
      </c>
      <c r="K136" s="94">
        <v>1116384795</v>
      </c>
      <c r="L136" s="94">
        <v>804052310</v>
      </c>
    </row>
    <row r="137" spans="1:12">
      <c r="A137" s="140">
        <v>915</v>
      </c>
      <c r="B137" s="93" t="s">
        <v>139</v>
      </c>
      <c r="C137" s="94">
        <v>29657414039</v>
      </c>
      <c r="D137" s="94">
        <v>25403869855</v>
      </c>
      <c r="E137" s="94">
        <v>2762449784</v>
      </c>
      <c r="F137" s="94">
        <v>707097035</v>
      </c>
      <c r="G137" s="94">
        <v>29493833186</v>
      </c>
      <c r="H137" s="94">
        <v>12603081949</v>
      </c>
      <c r="I137" s="94">
        <v>445596629</v>
      </c>
      <c r="J137" s="94">
        <v>5586008209</v>
      </c>
      <c r="K137" s="94">
        <v>2913134311</v>
      </c>
      <c r="L137" s="94">
        <v>2749327893</v>
      </c>
    </row>
    <row r="138" spans="1:12">
      <c r="A138" s="140">
        <v>919</v>
      </c>
      <c r="B138" s="93" t="s">
        <v>140</v>
      </c>
      <c r="C138" s="94">
        <v>8735146102</v>
      </c>
      <c r="D138" s="94">
        <v>7408889749</v>
      </c>
      <c r="E138" s="94">
        <v>940129776</v>
      </c>
      <c r="F138" s="94">
        <v>161455417</v>
      </c>
      <c r="G138" s="94">
        <v>8305689107</v>
      </c>
      <c r="H138" s="94">
        <v>3222132439</v>
      </c>
      <c r="I138" s="94">
        <v>155309362</v>
      </c>
      <c r="J138" s="94">
        <v>1637800220</v>
      </c>
      <c r="K138" s="94">
        <v>872944196</v>
      </c>
      <c r="L138" s="94">
        <v>989600786</v>
      </c>
    </row>
    <row r="139" spans="1:12">
      <c r="A139" s="140">
        <v>921</v>
      </c>
      <c r="B139" s="93" t="s">
        <v>141</v>
      </c>
      <c r="C139" s="94">
        <v>2944398765</v>
      </c>
      <c r="D139" s="94">
        <v>2169219174</v>
      </c>
      <c r="E139" s="94">
        <v>690343657</v>
      </c>
      <c r="F139" s="94">
        <v>37865666</v>
      </c>
      <c r="G139" s="94">
        <v>3478571795</v>
      </c>
      <c r="H139" s="94">
        <v>1344331010</v>
      </c>
      <c r="I139" s="94">
        <v>211465493</v>
      </c>
      <c r="J139" s="94">
        <v>343375794</v>
      </c>
      <c r="K139" s="94">
        <v>83886344</v>
      </c>
      <c r="L139" s="94">
        <v>104934434</v>
      </c>
    </row>
    <row r="140" spans="1:12">
      <c r="A140" s="140">
        <v>922</v>
      </c>
      <c r="B140" s="93" t="s">
        <v>142</v>
      </c>
      <c r="C140" s="94">
        <v>56696631300</v>
      </c>
      <c r="D140" s="94">
        <v>36406544298</v>
      </c>
      <c r="E140" s="94">
        <v>18004130343</v>
      </c>
      <c r="F140" s="94">
        <v>904100841</v>
      </c>
      <c r="G140" s="94">
        <v>50564178786</v>
      </c>
      <c r="H140" s="94">
        <v>8890161751</v>
      </c>
      <c r="I140" s="94">
        <v>4786663626</v>
      </c>
      <c r="J140" s="94">
        <v>11280185677</v>
      </c>
      <c r="K140" s="94">
        <v>1730111094</v>
      </c>
      <c r="L140" s="94">
        <v>5104223427</v>
      </c>
    </row>
    <row r="141" spans="1:12">
      <c r="A141" s="140">
        <v>923</v>
      </c>
      <c r="B141" s="93" t="s">
        <v>143</v>
      </c>
      <c r="C141" s="94">
        <v>2744059489</v>
      </c>
      <c r="D141" s="94">
        <v>1187613817</v>
      </c>
      <c r="E141" s="94">
        <v>1337080674</v>
      </c>
      <c r="F141" s="94">
        <v>146650901</v>
      </c>
      <c r="G141" s="94">
        <v>2710897431</v>
      </c>
      <c r="H141" s="94">
        <v>1222460644</v>
      </c>
      <c r="I141" s="94">
        <v>96975242</v>
      </c>
      <c r="J141" s="94">
        <v>384486557</v>
      </c>
      <c r="K141" s="94">
        <v>24404346</v>
      </c>
      <c r="L141" s="94">
        <v>47821537</v>
      </c>
    </row>
    <row r="142" spans="1:12">
      <c r="A142" s="140">
        <v>924</v>
      </c>
      <c r="B142" s="93" t="s">
        <v>144</v>
      </c>
      <c r="C142" s="94">
        <v>12140459231</v>
      </c>
      <c r="D142" s="94">
        <v>9233707778</v>
      </c>
      <c r="E142" s="94">
        <v>2444559990</v>
      </c>
      <c r="F142" s="94">
        <v>347346254</v>
      </c>
      <c r="G142" s="94">
        <v>11145629131</v>
      </c>
      <c r="H142" s="94">
        <v>5035012890</v>
      </c>
      <c r="I142" s="94">
        <v>234561052</v>
      </c>
      <c r="J142" s="94">
        <v>1138207496</v>
      </c>
      <c r="K142" s="94">
        <v>905826421</v>
      </c>
      <c r="L142" s="94">
        <v>359504599</v>
      </c>
    </row>
    <row r="143" spans="1:12">
      <c r="A143" s="140">
        <v>929</v>
      </c>
      <c r="B143" s="93" t="s">
        <v>145</v>
      </c>
      <c r="C143" s="94">
        <v>772968700</v>
      </c>
      <c r="D143" s="94">
        <v>406873881</v>
      </c>
      <c r="E143" s="94">
        <v>326143528</v>
      </c>
      <c r="F143" s="94">
        <v>7289260</v>
      </c>
      <c r="G143" s="94">
        <v>464504819</v>
      </c>
      <c r="H143" s="94">
        <v>93716951</v>
      </c>
      <c r="I143" s="94">
        <v>26325669</v>
      </c>
      <c r="J143" s="94">
        <v>72039337</v>
      </c>
      <c r="K143" s="94">
        <v>5820619</v>
      </c>
      <c r="L143" s="94">
        <v>22681602</v>
      </c>
    </row>
  </sheetData>
  <mergeCells count="3">
    <mergeCell ref="C1:E1"/>
    <mergeCell ref="G1:I1"/>
    <mergeCell ref="J1:L1"/>
  </mergeCells>
  <phoneticPr fontId="11"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dimension ref="A1:O143"/>
  <sheetViews>
    <sheetView workbookViewId="0">
      <selection activeCell="L41" sqref="L41"/>
    </sheetView>
  </sheetViews>
  <sheetFormatPr defaultRowHeight="13.5"/>
  <cols>
    <col min="1" max="1" width="8.88671875" style="89"/>
    <col min="2" max="2" width="42.5546875" style="89" customWidth="1"/>
    <col min="3" max="5" width="11.6640625" style="95" bestFit="1" customWidth="1"/>
    <col min="6" max="6" width="10.88671875" style="95" bestFit="1" customWidth="1"/>
    <col min="7" max="8" width="11.6640625" style="95" bestFit="1" customWidth="1"/>
    <col min="9" max="9" width="10.88671875" style="95" bestFit="1" customWidth="1"/>
    <col min="10" max="10" width="11.6640625" style="95" bestFit="1" customWidth="1"/>
    <col min="11" max="12" width="10.8867187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183493964</v>
      </c>
      <c r="D3" s="94">
        <v>103298951</v>
      </c>
      <c r="E3" s="94">
        <v>46108151</v>
      </c>
      <c r="F3" s="94">
        <v>7447102</v>
      </c>
      <c r="G3" s="94">
        <v>800034354</v>
      </c>
      <c r="H3" s="94">
        <v>427085918</v>
      </c>
      <c r="I3" s="94">
        <v>9008524</v>
      </c>
      <c r="J3" s="94">
        <v>70334727</v>
      </c>
      <c r="K3" s="94">
        <v>112920945</v>
      </c>
      <c r="L3" s="94">
        <v>19829257</v>
      </c>
    </row>
    <row r="4" spans="1:15">
      <c r="A4" s="140">
        <v>12</v>
      </c>
      <c r="B4" s="93" t="s">
        <v>2</v>
      </c>
      <c r="C4" s="94">
        <v>812128107</v>
      </c>
      <c r="D4" s="94">
        <v>611132358</v>
      </c>
      <c r="E4" s="94">
        <v>49164012</v>
      </c>
      <c r="F4" s="94">
        <v>25665426</v>
      </c>
      <c r="G4" s="94">
        <v>1270548268</v>
      </c>
      <c r="H4" s="94">
        <v>764429954</v>
      </c>
      <c r="I4" s="94">
        <v>137795</v>
      </c>
      <c r="J4" s="94">
        <v>42771033</v>
      </c>
      <c r="K4" s="94">
        <v>231838638</v>
      </c>
      <c r="L4" s="94">
        <v>64247590</v>
      </c>
    </row>
    <row r="5" spans="1:15">
      <c r="A5" s="140">
        <v>21</v>
      </c>
      <c r="B5" s="93" t="s">
        <v>19</v>
      </c>
      <c r="C5" s="94">
        <v>31030048548</v>
      </c>
      <c r="D5" s="94">
        <v>16062075230</v>
      </c>
      <c r="E5" s="94">
        <v>9058817486</v>
      </c>
      <c r="F5" s="94">
        <v>441028826</v>
      </c>
      <c r="G5" s="94">
        <v>44094557020</v>
      </c>
      <c r="H5" s="94">
        <v>13737252178</v>
      </c>
      <c r="I5" s="94">
        <v>1908654782</v>
      </c>
      <c r="J5" s="94">
        <v>6679532020</v>
      </c>
      <c r="K5" s="94">
        <v>4296209183</v>
      </c>
      <c r="L5" s="94">
        <v>1759135886</v>
      </c>
    </row>
    <row r="6" spans="1:15">
      <c r="A6" s="140">
        <v>22</v>
      </c>
      <c r="B6" s="93" t="s">
        <v>20</v>
      </c>
      <c r="C6" s="94">
        <v>33198586476</v>
      </c>
      <c r="D6" s="94">
        <v>22320339015</v>
      </c>
      <c r="E6" s="94">
        <v>6217189896</v>
      </c>
      <c r="F6" s="94">
        <v>822583634</v>
      </c>
      <c r="G6" s="94">
        <v>44101800085</v>
      </c>
      <c r="H6" s="94">
        <v>16996575256</v>
      </c>
      <c r="I6" s="94">
        <v>1558252653</v>
      </c>
      <c r="J6" s="94">
        <v>8387570105</v>
      </c>
      <c r="K6" s="94">
        <v>3931225512</v>
      </c>
      <c r="L6" s="94">
        <v>2321829202</v>
      </c>
    </row>
    <row r="7" spans="1:15">
      <c r="A7" s="140">
        <v>23</v>
      </c>
      <c r="B7" s="93" t="s">
        <v>21</v>
      </c>
      <c r="C7" s="94">
        <v>22230722766</v>
      </c>
      <c r="D7" s="94">
        <v>6845569794</v>
      </c>
      <c r="E7" s="94">
        <v>11337819765</v>
      </c>
      <c r="F7" s="94">
        <v>647700004</v>
      </c>
      <c r="G7" s="94">
        <v>49541439065</v>
      </c>
      <c r="H7" s="94">
        <v>8263029699</v>
      </c>
      <c r="I7" s="94">
        <v>5299479620</v>
      </c>
      <c r="J7" s="94">
        <v>3894572909</v>
      </c>
      <c r="K7" s="94">
        <v>640062477</v>
      </c>
      <c r="L7" s="94">
        <v>721193734</v>
      </c>
    </row>
    <row r="8" spans="1:15">
      <c r="A8" s="140">
        <v>31</v>
      </c>
      <c r="B8" s="93" t="s">
        <v>22</v>
      </c>
      <c r="C8" s="94">
        <v>14522027</v>
      </c>
      <c r="D8" s="94">
        <v>2635666</v>
      </c>
      <c r="E8" s="94">
        <v>7470899</v>
      </c>
      <c r="F8" s="94">
        <v>1175222</v>
      </c>
      <c r="G8" s="94">
        <v>79487067</v>
      </c>
      <c r="H8" s="94">
        <v>74636915</v>
      </c>
      <c r="I8" s="94">
        <v>2870</v>
      </c>
      <c r="J8" s="94">
        <v>957540</v>
      </c>
      <c r="K8" s="94">
        <v>1497530</v>
      </c>
      <c r="L8" s="94">
        <v>30117</v>
      </c>
    </row>
    <row r="9" spans="1:15">
      <c r="A9" s="140">
        <v>39</v>
      </c>
      <c r="B9" s="93" t="s">
        <v>23</v>
      </c>
      <c r="C9" s="94">
        <v>1593735</v>
      </c>
      <c r="D9" s="94">
        <v>1481696</v>
      </c>
      <c r="E9" s="94">
        <v>43156</v>
      </c>
      <c r="F9" s="94">
        <v>0</v>
      </c>
      <c r="G9" s="94">
        <v>765337</v>
      </c>
      <c r="H9" s="94">
        <v>0</v>
      </c>
      <c r="I9" s="94">
        <v>2500</v>
      </c>
      <c r="J9" s="94">
        <v>461370</v>
      </c>
      <c r="K9" s="94">
        <v>72815</v>
      </c>
      <c r="L9" s="94">
        <v>75000</v>
      </c>
    </row>
    <row r="10" spans="1:15">
      <c r="A10" s="140">
        <v>41</v>
      </c>
      <c r="B10" s="93" t="s">
        <v>24</v>
      </c>
      <c r="C10" s="94">
        <v>1949017084</v>
      </c>
      <c r="D10" s="94">
        <v>1433867471</v>
      </c>
      <c r="E10" s="94">
        <v>289006476</v>
      </c>
      <c r="F10" s="94">
        <v>32517850</v>
      </c>
      <c r="G10" s="94">
        <v>2723622632</v>
      </c>
      <c r="H10" s="94">
        <v>1221959941</v>
      </c>
      <c r="I10" s="94">
        <v>10682362</v>
      </c>
      <c r="J10" s="94">
        <v>353836343</v>
      </c>
      <c r="K10" s="94">
        <v>157053540</v>
      </c>
      <c r="L10" s="94">
        <v>173537293</v>
      </c>
    </row>
    <row r="11" spans="1:15">
      <c r="A11" s="140">
        <v>42</v>
      </c>
      <c r="B11" s="93" t="s">
        <v>25</v>
      </c>
      <c r="C11" s="94">
        <v>7788254322</v>
      </c>
      <c r="D11" s="94">
        <v>3378943916</v>
      </c>
      <c r="E11" s="94">
        <v>3022728136</v>
      </c>
      <c r="F11" s="94">
        <v>120479962</v>
      </c>
      <c r="G11" s="94">
        <v>7888693564</v>
      </c>
      <c r="H11" s="94">
        <v>2816263221</v>
      </c>
      <c r="I11" s="94">
        <v>263469144</v>
      </c>
      <c r="J11" s="94">
        <v>911471127</v>
      </c>
      <c r="K11" s="94">
        <v>644225389</v>
      </c>
      <c r="L11" s="94">
        <v>423302010</v>
      </c>
    </row>
    <row r="12" spans="1:15">
      <c r="A12" s="140">
        <v>43</v>
      </c>
      <c r="B12" s="93" t="s">
        <v>26</v>
      </c>
      <c r="C12" s="94">
        <v>10616251036</v>
      </c>
      <c r="D12" s="94">
        <v>7849092964</v>
      </c>
      <c r="E12" s="94">
        <v>1386130019</v>
      </c>
      <c r="F12" s="94">
        <v>269830913</v>
      </c>
      <c r="G12" s="94">
        <v>14153483987</v>
      </c>
      <c r="H12" s="94">
        <v>5899747815</v>
      </c>
      <c r="I12" s="94">
        <v>584525479</v>
      </c>
      <c r="J12" s="94">
        <v>2281234180</v>
      </c>
      <c r="K12" s="94">
        <v>1584439950</v>
      </c>
      <c r="L12" s="94">
        <v>868261383</v>
      </c>
    </row>
    <row r="13" spans="1:15">
      <c r="A13" s="140">
        <v>44</v>
      </c>
      <c r="B13" s="93" t="s">
        <v>27</v>
      </c>
      <c r="C13" s="94">
        <v>19773199564</v>
      </c>
      <c r="D13" s="94">
        <v>6274241353</v>
      </c>
      <c r="E13" s="94">
        <v>9765544764</v>
      </c>
      <c r="F13" s="94">
        <v>551077913</v>
      </c>
      <c r="G13" s="94">
        <v>47007853771</v>
      </c>
      <c r="H13" s="94">
        <v>7243353206</v>
      </c>
      <c r="I13" s="94">
        <v>5235527869</v>
      </c>
      <c r="J13" s="94">
        <v>3511060264</v>
      </c>
      <c r="K13" s="94">
        <v>726267689</v>
      </c>
      <c r="L13" s="94">
        <v>734389339</v>
      </c>
    </row>
    <row r="14" spans="1:15">
      <c r="A14" s="140">
        <v>51</v>
      </c>
      <c r="B14" s="93" t="s">
        <v>28</v>
      </c>
      <c r="C14" s="94">
        <v>108397190</v>
      </c>
      <c r="D14" s="94">
        <v>78886798</v>
      </c>
      <c r="E14" s="94">
        <v>19529155</v>
      </c>
      <c r="F14" s="94">
        <v>1369599</v>
      </c>
      <c r="G14" s="94">
        <v>115999767</v>
      </c>
      <c r="H14" s="94">
        <v>40213135</v>
      </c>
      <c r="I14" s="94">
        <v>44302</v>
      </c>
      <c r="J14" s="94">
        <v>4561142</v>
      </c>
      <c r="K14" s="94">
        <v>17717572</v>
      </c>
      <c r="L14" s="94">
        <v>12085578</v>
      </c>
    </row>
    <row r="15" spans="1:15">
      <c r="A15" s="140">
        <v>52</v>
      </c>
      <c r="B15" s="93" t="s">
        <v>29</v>
      </c>
      <c r="C15" s="94">
        <v>17076543</v>
      </c>
      <c r="D15" s="94">
        <v>13203606</v>
      </c>
      <c r="E15" s="94">
        <v>1844441</v>
      </c>
      <c r="F15" s="94">
        <v>1528269</v>
      </c>
      <c r="G15" s="94">
        <v>34454213</v>
      </c>
      <c r="H15" s="94">
        <v>18137386</v>
      </c>
      <c r="I15" s="94">
        <v>274432</v>
      </c>
      <c r="J15" s="94">
        <v>3043322</v>
      </c>
      <c r="K15" s="94">
        <v>4793371</v>
      </c>
      <c r="L15" s="94">
        <v>733781</v>
      </c>
    </row>
    <row r="16" spans="1:15">
      <c r="A16" s="140">
        <v>61</v>
      </c>
      <c r="B16" s="93" t="s">
        <v>30</v>
      </c>
      <c r="C16" s="94">
        <v>19908721611</v>
      </c>
      <c r="D16" s="94">
        <v>13132228368</v>
      </c>
      <c r="E16" s="94">
        <v>3552850485</v>
      </c>
      <c r="F16" s="94">
        <v>128898356</v>
      </c>
      <c r="G16" s="94">
        <v>22895140043</v>
      </c>
      <c r="H16" s="94">
        <v>6666095517</v>
      </c>
      <c r="I16" s="94">
        <v>278020394</v>
      </c>
      <c r="J16" s="94">
        <v>2084027757</v>
      </c>
      <c r="K16" s="94">
        <v>1625070363</v>
      </c>
      <c r="L16" s="94">
        <v>1063231884</v>
      </c>
    </row>
    <row r="17" spans="1:12">
      <c r="A17" s="140">
        <v>62</v>
      </c>
      <c r="B17" s="93" t="s">
        <v>31</v>
      </c>
      <c r="C17" s="94">
        <v>74047447771</v>
      </c>
      <c r="D17" s="94">
        <v>53947418798</v>
      </c>
      <c r="E17" s="94">
        <v>10373441990</v>
      </c>
      <c r="F17" s="94">
        <v>1570051453</v>
      </c>
      <c r="G17" s="94">
        <v>89922998330</v>
      </c>
      <c r="H17" s="94">
        <v>33936051179</v>
      </c>
      <c r="I17" s="94">
        <v>1613315820</v>
      </c>
      <c r="J17" s="94">
        <v>15696858478</v>
      </c>
      <c r="K17" s="94">
        <v>7578567095</v>
      </c>
      <c r="L17" s="94">
        <v>5980080705</v>
      </c>
    </row>
    <row r="18" spans="1:12">
      <c r="A18" s="140">
        <v>63</v>
      </c>
      <c r="B18" s="93" t="s">
        <v>32</v>
      </c>
      <c r="C18" s="94">
        <v>23712544503</v>
      </c>
      <c r="D18" s="94">
        <v>7880807989</v>
      </c>
      <c r="E18" s="94">
        <v>11619524210</v>
      </c>
      <c r="F18" s="94">
        <v>667809766</v>
      </c>
      <c r="G18" s="94">
        <v>51165313516</v>
      </c>
      <c r="H18" s="94">
        <v>8232200732</v>
      </c>
      <c r="I18" s="94">
        <v>5472883045</v>
      </c>
      <c r="J18" s="94">
        <v>4188837918</v>
      </c>
      <c r="K18" s="94">
        <v>864120702</v>
      </c>
      <c r="L18" s="94">
        <v>800103107</v>
      </c>
    </row>
    <row r="19" spans="1:12">
      <c r="A19" s="140">
        <v>71</v>
      </c>
      <c r="B19" s="93" t="s">
        <v>33</v>
      </c>
      <c r="C19" s="94">
        <v>2315989942</v>
      </c>
      <c r="D19" s="94">
        <v>1937619837</v>
      </c>
      <c r="E19" s="94">
        <v>230475272</v>
      </c>
      <c r="F19" s="94">
        <v>61296753</v>
      </c>
      <c r="G19" s="94">
        <v>1948426001</v>
      </c>
      <c r="H19" s="94">
        <v>1051174493</v>
      </c>
      <c r="I19" s="94">
        <v>10594760</v>
      </c>
      <c r="J19" s="94">
        <v>292359597</v>
      </c>
      <c r="K19" s="94">
        <v>207356362</v>
      </c>
      <c r="L19" s="94">
        <v>96614526</v>
      </c>
    </row>
    <row r="20" spans="1:12">
      <c r="A20" s="140">
        <v>72</v>
      </c>
      <c r="B20" s="93" t="s">
        <v>34</v>
      </c>
      <c r="C20" s="94">
        <v>977838740</v>
      </c>
      <c r="D20" s="94">
        <v>768156957</v>
      </c>
      <c r="E20" s="94">
        <v>112140565</v>
      </c>
      <c r="F20" s="94">
        <v>20248285</v>
      </c>
      <c r="G20" s="94">
        <v>965907366</v>
      </c>
      <c r="H20" s="94">
        <v>430515581</v>
      </c>
      <c r="I20" s="94">
        <v>5779016</v>
      </c>
      <c r="J20" s="94">
        <v>130331439</v>
      </c>
      <c r="K20" s="94">
        <v>163068153</v>
      </c>
      <c r="L20" s="94">
        <v>46358407</v>
      </c>
    </row>
    <row r="21" spans="1:12">
      <c r="A21" s="140">
        <v>73</v>
      </c>
      <c r="B21" s="93" t="s">
        <v>35</v>
      </c>
      <c r="C21" s="94">
        <v>674998417</v>
      </c>
      <c r="D21" s="94">
        <v>522805781</v>
      </c>
      <c r="E21" s="94">
        <v>93777511</v>
      </c>
      <c r="F21" s="94">
        <v>18809668</v>
      </c>
      <c r="G21" s="94">
        <v>742631839</v>
      </c>
      <c r="H21" s="94">
        <v>389989017</v>
      </c>
      <c r="I21" s="94">
        <v>4548892</v>
      </c>
      <c r="J21" s="94">
        <v>108567580</v>
      </c>
      <c r="K21" s="94">
        <v>112827111</v>
      </c>
      <c r="L21" s="94">
        <v>34681226</v>
      </c>
    </row>
    <row r="22" spans="1:12">
      <c r="A22" s="140">
        <v>74</v>
      </c>
      <c r="B22" s="93" t="s">
        <v>36</v>
      </c>
      <c r="C22" s="94">
        <v>301606239</v>
      </c>
      <c r="D22" s="94">
        <v>252701565</v>
      </c>
      <c r="E22" s="94">
        <v>14052750</v>
      </c>
      <c r="F22" s="94">
        <v>4808764</v>
      </c>
      <c r="G22" s="94">
        <v>248748623</v>
      </c>
      <c r="H22" s="94">
        <v>78712796</v>
      </c>
      <c r="I22" s="94">
        <v>771368</v>
      </c>
      <c r="J22" s="94">
        <v>36904067</v>
      </c>
      <c r="K22" s="94">
        <v>22508732</v>
      </c>
      <c r="L22" s="94">
        <v>20855267</v>
      </c>
    </row>
    <row r="23" spans="1:12">
      <c r="A23" s="140">
        <v>75</v>
      </c>
      <c r="B23" s="93" t="s">
        <v>37</v>
      </c>
      <c r="C23" s="94">
        <v>1751409470</v>
      </c>
      <c r="D23" s="94">
        <v>784384863</v>
      </c>
      <c r="E23" s="94">
        <v>798676738</v>
      </c>
      <c r="F23" s="94">
        <v>48331179</v>
      </c>
      <c r="G23" s="94">
        <v>1808236080</v>
      </c>
      <c r="H23" s="94">
        <v>550562679</v>
      </c>
      <c r="I23" s="94">
        <v>8157704</v>
      </c>
      <c r="J23" s="94">
        <v>133565151</v>
      </c>
      <c r="K23" s="94">
        <v>73240565</v>
      </c>
      <c r="L23" s="94">
        <v>60778517</v>
      </c>
    </row>
    <row r="24" spans="1:12">
      <c r="A24" s="140">
        <v>76</v>
      </c>
      <c r="B24" s="93" t="s">
        <v>38</v>
      </c>
      <c r="C24" s="94">
        <v>1658366133</v>
      </c>
      <c r="D24" s="94">
        <v>1274149534</v>
      </c>
      <c r="E24" s="94">
        <v>225271378</v>
      </c>
      <c r="F24" s="94">
        <v>26316405</v>
      </c>
      <c r="G24" s="94">
        <v>2361164821</v>
      </c>
      <c r="H24" s="94">
        <v>831149145</v>
      </c>
      <c r="I24" s="94">
        <v>9000469</v>
      </c>
      <c r="J24" s="94">
        <v>199371872</v>
      </c>
      <c r="K24" s="94">
        <v>250351111</v>
      </c>
      <c r="L24" s="94">
        <v>71795646</v>
      </c>
    </row>
    <row r="25" spans="1:12">
      <c r="A25" s="140">
        <v>77</v>
      </c>
      <c r="B25" s="93" t="s">
        <v>39</v>
      </c>
      <c r="C25" s="94">
        <v>637163017</v>
      </c>
      <c r="D25" s="94">
        <v>481729873</v>
      </c>
      <c r="E25" s="94">
        <v>76452075</v>
      </c>
      <c r="F25" s="94">
        <v>9000260</v>
      </c>
      <c r="G25" s="94">
        <v>980164104</v>
      </c>
      <c r="H25" s="94">
        <v>223040100</v>
      </c>
      <c r="I25" s="94">
        <v>7217581</v>
      </c>
      <c r="J25" s="94">
        <v>105440801</v>
      </c>
      <c r="K25" s="94">
        <v>79136830</v>
      </c>
      <c r="L25" s="94">
        <v>46731477</v>
      </c>
    </row>
    <row r="26" spans="1:12">
      <c r="A26" s="140">
        <v>79</v>
      </c>
      <c r="B26" s="93" t="s">
        <v>40</v>
      </c>
      <c r="C26" s="94">
        <v>8686932250</v>
      </c>
      <c r="D26" s="94">
        <v>5521908911</v>
      </c>
      <c r="E26" s="94">
        <v>2053600039</v>
      </c>
      <c r="F26" s="94">
        <v>191147492</v>
      </c>
      <c r="G26" s="94">
        <v>11253706476</v>
      </c>
      <c r="H26" s="94">
        <v>3782714968</v>
      </c>
      <c r="I26" s="94">
        <v>166665298</v>
      </c>
      <c r="J26" s="94">
        <v>1168194360</v>
      </c>
      <c r="K26" s="94">
        <v>2753328006</v>
      </c>
      <c r="L26" s="94">
        <v>421044943</v>
      </c>
    </row>
    <row r="27" spans="1:12">
      <c r="A27" s="140">
        <v>81</v>
      </c>
      <c r="B27" s="93" t="s">
        <v>41</v>
      </c>
      <c r="C27" s="94">
        <v>3027159596</v>
      </c>
      <c r="D27" s="94">
        <v>1360287835</v>
      </c>
      <c r="E27" s="94">
        <v>894540005</v>
      </c>
      <c r="F27" s="94">
        <v>23234512</v>
      </c>
      <c r="G27" s="94">
        <v>5613966424</v>
      </c>
      <c r="H27" s="94">
        <v>1339325336</v>
      </c>
      <c r="I27" s="94">
        <v>1483930248</v>
      </c>
      <c r="J27" s="94">
        <v>598099708</v>
      </c>
      <c r="K27" s="94">
        <v>210972335</v>
      </c>
      <c r="L27" s="94">
        <v>169648689</v>
      </c>
    </row>
    <row r="28" spans="1:12">
      <c r="A28" s="140">
        <v>82</v>
      </c>
      <c r="B28" s="93" t="s">
        <v>42</v>
      </c>
      <c r="C28" s="94">
        <v>1759082308</v>
      </c>
      <c r="D28" s="94">
        <v>1077191029</v>
      </c>
      <c r="E28" s="94">
        <v>454264681</v>
      </c>
      <c r="F28" s="94">
        <v>9660338</v>
      </c>
      <c r="G28" s="94">
        <v>1843461554</v>
      </c>
      <c r="H28" s="94">
        <v>381909122</v>
      </c>
      <c r="I28" s="94">
        <v>12599715</v>
      </c>
      <c r="J28" s="94">
        <v>125743232</v>
      </c>
      <c r="K28" s="94">
        <v>169873313</v>
      </c>
      <c r="L28" s="94">
        <v>64806272</v>
      </c>
    </row>
    <row r="29" spans="1:12">
      <c r="A29" s="140">
        <v>91</v>
      </c>
      <c r="B29" s="93" t="s">
        <v>43</v>
      </c>
      <c r="C29" s="94">
        <v>24452049407</v>
      </c>
      <c r="D29" s="94">
        <v>16997020079</v>
      </c>
      <c r="E29" s="94">
        <v>4278013266</v>
      </c>
      <c r="F29" s="94">
        <v>595562905</v>
      </c>
      <c r="G29" s="94">
        <v>29036732716</v>
      </c>
      <c r="H29" s="94">
        <v>11968569371</v>
      </c>
      <c r="I29" s="94">
        <v>428214697</v>
      </c>
      <c r="J29" s="94">
        <v>4537930230</v>
      </c>
      <c r="K29" s="94">
        <v>2312003723</v>
      </c>
      <c r="L29" s="94">
        <v>1788525984</v>
      </c>
    </row>
    <row r="30" spans="1:12">
      <c r="A30" s="140">
        <v>92</v>
      </c>
      <c r="B30" s="93" t="s">
        <v>44</v>
      </c>
      <c r="C30" s="94">
        <v>20241053068</v>
      </c>
      <c r="D30" s="94">
        <v>6162211116</v>
      </c>
      <c r="E30" s="94">
        <v>10286894571</v>
      </c>
      <c r="F30" s="94">
        <v>608990085</v>
      </c>
      <c r="G30" s="94">
        <v>47064199710</v>
      </c>
      <c r="H30" s="94">
        <v>7466955022</v>
      </c>
      <c r="I30" s="94">
        <v>5291147315</v>
      </c>
      <c r="J30" s="94">
        <v>3636232220</v>
      </c>
      <c r="K30" s="94">
        <v>643728131</v>
      </c>
      <c r="L30" s="94">
        <v>682792037</v>
      </c>
    </row>
    <row r="31" spans="1:12">
      <c r="A31" s="140">
        <v>111</v>
      </c>
      <c r="B31" s="93" t="s">
        <v>45</v>
      </c>
      <c r="C31" s="94">
        <v>16470850</v>
      </c>
      <c r="D31" s="94">
        <v>13258701</v>
      </c>
      <c r="E31" s="94">
        <v>2456953</v>
      </c>
      <c r="F31" s="94">
        <v>212459</v>
      </c>
      <c r="G31" s="94">
        <v>142781712</v>
      </c>
      <c r="H31" s="94">
        <v>110520972</v>
      </c>
      <c r="I31" s="94">
        <v>0</v>
      </c>
      <c r="J31" s="94">
        <v>1365026</v>
      </c>
      <c r="K31" s="94">
        <v>10210878</v>
      </c>
      <c r="L31" s="94">
        <v>1593527</v>
      </c>
    </row>
    <row r="32" spans="1:12">
      <c r="A32" s="140">
        <v>112</v>
      </c>
      <c r="B32" s="93" t="s">
        <v>46</v>
      </c>
      <c r="C32" s="94">
        <v>13364561</v>
      </c>
      <c r="D32" s="94">
        <v>8706741</v>
      </c>
      <c r="E32" s="94">
        <v>2771244</v>
      </c>
      <c r="F32" s="94">
        <v>1014036</v>
      </c>
      <c r="G32" s="94">
        <v>46220136</v>
      </c>
      <c r="H32" s="94">
        <v>33474352</v>
      </c>
      <c r="I32" s="94">
        <v>51891</v>
      </c>
      <c r="J32" s="94">
        <v>1938052</v>
      </c>
      <c r="K32" s="94">
        <v>2672016</v>
      </c>
      <c r="L32" s="94">
        <v>916122</v>
      </c>
    </row>
    <row r="33" spans="1:12">
      <c r="A33" s="140">
        <v>113</v>
      </c>
      <c r="B33" s="93" t="s">
        <v>47</v>
      </c>
      <c r="C33" s="94">
        <v>3734952</v>
      </c>
      <c r="D33" s="94">
        <v>2471496</v>
      </c>
      <c r="E33" s="94">
        <v>885739</v>
      </c>
      <c r="F33" s="94">
        <v>347232</v>
      </c>
      <c r="G33" s="94">
        <v>6696819</v>
      </c>
      <c r="H33" s="94">
        <v>3807081</v>
      </c>
      <c r="I33" s="94">
        <v>135703</v>
      </c>
      <c r="J33" s="94">
        <v>425579</v>
      </c>
      <c r="K33" s="94">
        <v>888127</v>
      </c>
      <c r="L33" s="94">
        <v>46107</v>
      </c>
    </row>
    <row r="34" spans="1:12">
      <c r="A34" s="140">
        <v>114</v>
      </c>
      <c r="B34" s="93" t="s">
        <v>48</v>
      </c>
      <c r="C34" s="94">
        <v>57989428</v>
      </c>
      <c r="D34" s="94">
        <v>25827707</v>
      </c>
      <c r="E34" s="94">
        <v>21540554</v>
      </c>
      <c r="F34" s="94">
        <v>870359</v>
      </c>
      <c r="G34" s="94">
        <v>286162597</v>
      </c>
      <c r="H34" s="94">
        <v>63424750</v>
      </c>
      <c r="I34" s="94">
        <v>2137222</v>
      </c>
      <c r="J34" s="94">
        <v>47470848</v>
      </c>
      <c r="K34" s="94">
        <v>58505673</v>
      </c>
      <c r="L34" s="94">
        <v>9826929</v>
      </c>
    </row>
    <row r="35" spans="1:12">
      <c r="A35" s="140">
        <v>115</v>
      </c>
      <c r="B35" s="93" t="s">
        <v>49</v>
      </c>
      <c r="C35" s="94">
        <v>89466482</v>
      </c>
      <c r="D35" s="94">
        <v>55608806</v>
      </c>
      <c r="E35" s="94">
        <v>17059737</v>
      </c>
      <c r="F35" s="94">
        <v>4717191</v>
      </c>
      <c r="G35" s="94">
        <v>323000732</v>
      </c>
      <c r="H35" s="94">
        <v>224971058</v>
      </c>
      <c r="I35" s="94">
        <v>6488203</v>
      </c>
      <c r="J35" s="94">
        <v>18242721</v>
      </c>
      <c r="K35" s="94">
        <v>39688781</v>
      </c>
      <c r="L35" s="94">
        <v>7105634</v>
      </c>
    </row>
    <row r="36" spans="1:12">
      <c r="A36" s="140">
        <v>119</v>
      </c>
      <c r="B36" s="93" t="s">
        <v>50</v>
      </c>
      <c r="C36" s="94">
        <v>14643533</v>
      </c>
      <c r="D36" s="94">
        <v>9269331</v>
      </c>
      <c r="E36" s="94">
        <v>1512879</v>
      </c>
      <c r="F36" s="94">
        <v>332051</v>
      </c>
      <c r="G36" s="94">
        <v>45228516</v>
      </c>
      <c r="H36" s="94">
        <v>29871515</v>
      </c>
      <c r="I36" s="94">
        <v>154021</v>
      </c>
      <c r="J36" s="94">
        <v>1827569</v>
      </c>
      <c r="K36" s="94">
        <v>8977937</v>
      </c>
      <c r="L36" s="94">
        <v>1873950</v>
      </c>
    </row>
    <row r="37" spans="1:12">
      <c r="A37" s="140">
        <v>121</v>
      </c>
      <c r="B37" s="93" t="s">
        <v>51</v>
      </c>
      <c r="C37" s="94">
        <v>60915616</v>
      </c>
      <c r="D37" s="94">
        <v>49201844</v>
      </c>
      <c r="E37" s="94">
        <v>3182044</v>
      </c>
      <c r="F37" s="94">
        <v>422729</v>
      </c>
      <c r="G37" s="94">
        <v>108907898</v>
      </c>
      <c r="H37" s="94">
        <v>33250913</v>
      </c>
      <c r="I37" s="94">
        <v>0</v>
      </c>
      <c r="J37" s="94">
        <v>1230418</v>
      </c>
      <c r="K37" s="94">
        <v>70259111</v>
      </c>
      <c r="L37" s="94">
        <v>7299454</v>
      </c>
    </row>
    <row r="38" spans="1:12">
      <c r="A38" s="140">
        <v>122</v>
      </c>
      <c r="B38" s="93" t="s">
        <v>3</v>
      </c>
      <c r="C38" s="94">
        <v>337495014</v>
      </c>
      <c r="D38" s="94">
        <v>240378906</v>
      </c>
      <c r="E38" s="94">
        <v>14380459</v>
      </c>
      <c r="F38" s="94">
        <v>8351040</v>
      </c>
      <c r="G38" s="94">
        <v>491811150</v>
      </c>
      <c r="H38" s="94">
        <v>272514575</v>
      </c>
      <c r="I38" s="94">
        <v>1201</v>
      </c>
      <c r="J38" s="94">
        <v>7269996</v>
      </c>
      <c r="K38" s="94">
        <v>74543987</v>
      </c>
      <c r="L38" s="94">
        <v>28237515</v>
      </c>
    </row>
    <row r="39" spans="1:12">
      <c r="A39" s="140">
        <v>123</v>
      </c>
      <c r="B39" s="93" t="s">
        <v>52</v>
      </c>
      <c r="C39" s="94">
        <v>253851733</v>
      </c>
      <c r="D39" s="94">
        <v>197909877</v>
      </c>
      <c r="E39" s="94">
        <v>18872072</v>
      </c>
      <c r="F39" s="94">
        <v>11652008</v>
      </c>
      <c r="G39" s="94">
        <v>403521834</v>
      </c>
      <c r="H39" s="94">
        <v>289543486</v>
      </c>
      <c r="I39" s="94">
        <v>100888</v>
      </c>
      <c r="J39" s="94">
        <v>29867420</v>
      </c>
      <c r="K39" s="94">
        <v>32437778</v>
      </c>
      <c r="L39" s="94">
        <v>16998540</v>
      </c>
    </row>
    <row r="40" spans="1:12">
      <c r="A40" s="140">
        <v>124</v>
      </c>
      <c r="B40" s="93" t="s">
        <v>53</v>
      </c>
      <c r="C40" s="94">
        <v>47113064</v>
      </c>
      <c r="D40" s="94">
        <v>34872786</v>
      </c>
      <c r="E40" s="94">
        <v>5893794</v>
      </c>
      <c r="F40" s="94">
        <v>2442296</v>
      </c>
      <c r="G40" s="94">
        <v>93428801</v>
      </c>
      <c r="H40" s="94">
        <v>69819498</v>
      </c>
      <c r="I40" s="94">
        <v>17385</v>
      </c>
      <c r="J40" s="94">
        <v>3739004</v>
      </c>
      <c r="K40" s="94">
        <v>13190548</v>
      </c>
      <c r="L40" s="94">
        <v>4028398</v>
      </c>
    </row>
    <row r="41" spans="1:12">
      <c r="A41" s="140">
        <v>129</v>
      </c>
      <c r="B41" s="93" t="s">
        <v>54</v>
      </c>
      <c r="C41" s="94">
        <v>52327213</v>
      </c>
      <c r="D41" s="94">
        <v>37789873</v>
      </c>
      <c r="E41" s="94">
        <v>7588326</v>
      </c>
      <c r="F41" s="94">
        <v>2877113</v>
      </c>
      <c r="G41" s="94">
        <v>110690507</v>
      </c>
      <c r="H41" s="94">
        <v>77549716</v>
      </c>
      <c r="I41" s="94">
        <v>18309</v>
      </c>
      <c r="J41" s="94">
        <v>4182137</v>
      </c>
      <c r="K41" s="94">
        <v>17764506</v>
      </c>
      <c r="L41" s="94">
        <v>4101570</v>
      </c>
    </row>
    <row r="42" spans="1:12">
      <c r="A42" s="140">
        <v>211</v>
      </c>
      <c r="B42" s="93" t="s">
        <v>55</v>
      </c>
      <c r="C42" s="94">
        <v>697773199</v>
      </c>
      <c r="D42" s="94">
        <v>522720115</v>
      </c>
      <c r="E42" s="94">
        <v>104024723</v>
      </c>
      <c r="F42" s="94">
        <v>18163561</v>
      </c>
      <c r="G42" s="94">
        <v>1764569117</v>
      </c>
      <c r="H42" s="94">
        <v>521983462</v>
      </c>
      <c r="I42" s="94">
        <v>2616574</v>
      </c>
      <c r="J42" s="94">
        <v>120651339</v>
      </c>
      <c r="K42" s="94">
        <v>99906169</v>
      </c>
      <c r="L42" s="94">
        <v>52100930</v>
      </c>
    </row>
    <row r="43" spans="1:12">
      <c r="A43" s="140">
        <v>212</v>
      </c>
      <c r="B43" s="93" t="s">
        <v>56</v>
      </c>
      <c r="C43" s="94">
        <v>3632541500</v>
      </c>
      <c r="D43" s="94">
        <v>1275882100</v>
      </c>
      <c r="E43" s="94">
        <v>867421000</v>
      </c>
      <c r="F43" s="94">
        <v>34323000</v>
      </c>
      <c r="G43" s="94">
        <v>8111670100</v>
      </c>
      <c r="H43" s="94">
        <v>1575475900</v>
      </c>
      <c r="I43" s="94">
        <v>22493620</v>
      </c>
      <c r="J43" s="94">
        <v>860400590</v>
      </c>
      <c r="K43" s="94">
        <v>969525910</v>
      </c>
      <c r="L43" s="94">
        <v>90236970</v>
      </c>
    </row>
    <row r="44" spans="1:12">
      <c r="A44" s="140">
        <v>213</v>
      </c>
      <c r="B44" s="93" t="s">
        <v>57</v>
      </c>
      <c r="C44" s="94">
        <v>262409335</v>
      </c>
      <c r="D44" s="94">
        <v>198579729</v>
      </c>
      <c r="E44" s="94">
        <v>39409549</v>
      </c>
      <c r="F44" s="94">
        <v>2044968</v>
      </c>
      <c r="G44" s="94">
        <v>335739127</v>
      </c>
      <c r="H44" s="94">
        <v>100572562</v>
      </c>
      <c r="I44" s="94">
        <v>522312</v>
      </c>
      <c r="J44" s="94">
        <v>45336959</v>
      </c>
      <c r="K44" s="94">
        <v>113981918</v>
      </c>
      <c r="L44" s="94">
        <v>11975269</v>
      </c>
    </row>
    <row r="45" spans="1:12">
      <c r="A45" s="140">
        <v>214</v>
      </c>
      <c r="B45" s="93" t="s">
        <v>58</v>
      </c>
      <c r="C45" s="94">
        <v>7272275000</v>
      </c>
      <c r="D45" s="94">
        <v>3589778796</v>
      </c>
      <c r="E45" s="94">
        <v>2314520992</v>
      </c>
      <c r="F45" s="94">
        <v>109010398</v>
      </c>
      <c r="G45" s="94">
        <v>12756385759</v>
      </c>
      <c r="H45" s="94">
        <v>3744677555</v>
      </c>
      <c r="I45" s="94">
        <v>965033877</v>
      </c>
      <c r="J45" s="94">
        <v>2789793111</v>
      </c>
      <c r="K45" s="94">
        <v>1375772188</v>
      </c>
      <c r="L45" s="94">
        <v>427267807</v>
      </c>
    </row>
    <row r="46" spans="1:12">
      <c r="A46" s="140">
        <v>215</v>
      </c>
      <c r="B46" s="93" t="s">
        <v>59</v>
      </c>
      <c r="C46" s="94">
        <v>10192208382</v>
      </c>
      <c r="D46" s="94">
        <v>4111665951</v>
      </c>
      <c r="E46" s="94">
        <v>4284505436</v>
      </c>
      <c r="F46" s="94">
        <v>152876474</v>
      </c>
      <c r="G46" s="94">
        <v>10310168100</v>
      </c>
      <c r="H46" s="94">
        <v>3137771565</v>
      </c>
      <c r="I46" s="94">
        <v>304255277</v>
      </c>
      <c r="J46" s="94">
        <v>1082515684</v>
      </c>
      <c r="K46" s="94">
        <v>848097312</v>
      </c>
      <c r="L46" s="94">
        <v>468448550</v>
      </c>
    </row>
    <row r="47" spans="1:12">
      <c r="A47" s="140">
        <v>219</v>
      </c>
      <c r="B47" s="93" t="s">
        <v>60</v>
      </c>
      <c r="C47" s="94">
        <v>6849024560</v>
      </c>
      <c r="D47" s="94">
        <v>5152369109</v>
      </c>
      <c r="E47" s="94">
        <v>750565874</v>
      </c>
      <c r="F47" s="94">
        <v>96052889</v>
      </c>
      <c r="G47" s="94">
        <v>8161113784</v>
      </c>
      <c r="H47" s="94">
        <v>3839835939</v>
      </c>
      <c r="I47" s="94">
        <v>372799702</v>
      </c>
      <c r="J47" s="94">
        <v>1163475210</v>
      </c>
      <c r="K47" s="94">
        <v>689622349</v>
      </c>
      <c r="L47" s="94">
        <v>527424662</v>
      </c>
    </row>
    <row r="48" spans="1:12">
      <c r="A48" s="140">
        <v>221</v>
      </c>
      <c r="B48" s="93" t="s">
        <v>61</v>
      </c>
      <c r="C48" s="94">
        <v>200372412</v>
      </c>
      <c r="D48" s="94">
        <v>113490107</v>
      </c>
      <c r="E48" s="94">
        <v>52751272</v>
      </c>
      <c r="F48" s="94">
        <v>9513590</v>
      </c>
      <c r="G48" s="94">
        <v>351393867</v>
      </c>
      <c r="H48" s="94">
        <v>170585640</v>
      </c>
      <c r="I48" s="94">
        <v>2342999</v>
      </c>
      <c r="J48" s="94">
        <v>53762544</v>
      </c>
      <c r="K48" s="94">
        <v>49872716</v>
      </c>
      <c r="L48" s="94">
        <v>8055834</v>
      </c>
    </row>
    <row r="49" spans="1:12">
      <c r="A49" s="140">
        <v>222</v>
      </c>
      <c r="B49" s="93" t="s">
        <v>62</v>
      </c>
      <c r="C49" s="94">
        <v>369136756</v>
      </c>
      <c r="D49" s="94">
        <v>250953097</v>
      </c>
      <c r="E49" s="94">
        <v>85796964</v>
      </c>
      <c r="F49" s="94">
        <v>4216150</v>
      </c>
      <c r="G49" s="94">
        <v>470986796</v>
      </c>
      <c r="H49" s="94">
        <v>92562998</v>
      </c>
      <c r="I49" s="94">
        <v>10773600</v>
      </c>
      <c r="J49" s="94">
        <v>69293987</v>
      </c>
      <c r="K49" s="94">
        <v>168344154</v>
      </c>
      <c r="L49" s="94">
        <v>50550805</v>
      </c>
    </row>
    <row r="50" spans="1:12">
      <c r="A50" s="140">
        <v>223</v>
      </c>
      <c r="B50" s="93" t="s">
        <v>63</v>
      </c>
      <c r="C50" s="94">
        <v>9296864731</v>
      </c>
      <c r="D50" s="94">
        <v>7107180270</v>
      </c>
      <c r="E50" s="94">
        <v>1032596558</v>
      </c>
      <c r="F50" s="94">
        <v>250568799</v>
      </c>
      <c r="G50" s="94">
        <v>11719861019</v>
      </c>
      <c r="H50" s="94">
        <v>5122421611</v>
      </c>
      <c r="I50" s="94">
        <v>97024283</v>
      </c>
      <c r="J50" s="94">
        <v>1797888336</v>
      </c>
      <c r="K50" s="94">
        <v>782274925</v>
      </c>
      <c r="L50" s="94">
        <v>657576254</v>
      </c>
    </row>
    <row r="51" spans="1:12">
      <c r="A51" s="140">
        <v>224</v>
      </c>
      <c r="B51" s="93" t="s">
        <v>64</v>
      </c>
      <c r="C51" s="94">
        <v>11333550478</v>
      </c>
      <c r="D51" s="94">
        <v>8545853734</v>
      </c>
      <c r="E51" s="94">
        <v>1394996073</v>
      </c>
      <c r="F51" s="94">
        <v>369766625</v>
      </c>
      <c r="G51" s="94">
        <v>14378265690</v>
      </c>
      <c r="H51" s="94">
        <v>6883491575</v>
      </c>
      <c r="I51" s="94">
        <v>114174519</v>
      </c>
      <c r="J51" s="94">
        <v>2496141155</v>
      </c>
      <c r="K51" s="94">
        <v>1114186742</v>
      </c>
      <c r="L51" s="94">
        <v>946552900</v>
      </c>
    </row>
    <row r="52" spans="1:12">
      <c r="A52" s="140">
        <v>225</v>
      </c>
      <c r="B52" s="93" t="s">
        <v>65</v>
      </c>
      <c r="C52" s="94">
        <v>337194799</v>
      </c>
      <c r="D52" s="94">
        <v>243506253</v>
      </c>
      <c r="E52" s="94">
        <v>59806925</v>
      </c>
      <c r="F52" s="94">
        <v>9186253</v>
      </c>
      <c r="G52" s="94">
        <v>456901557</v>
      </c>
      <c r="H52" s="94">
        <v>202522534</v>
      </c>
      <c r="I52" s="94">
        <v>5037877</v>
      </c>
      <c r="J52" s="94">
        <v>73861604</v>
      </c>
      <c r="K52" s="94">
        <v>51108731</v>
      </c>
      <c r="L52" s="94">
        <v>31437056</v>
      </c>
    </row>
    <row r="53" spans="1:12">
      <c r="A53" s="140">
        <v>226</v>
      </c>
      <c r="B53" s="93" t="s">
        <v>66</v>
      </c>
      <c r="C53" s="94">
        <v>3893088489</v>
      </c>
      <c r="D53" s="94">
        <v>2633735890</v>
      </c>
      <c r="E53" s="94">
        <v>693852017</v>
      </c>
      <c r="F53" s="94">
        <v>81740870</v>
      </c>
      <c r="G53" s="94">
        <v>4396007697</v>
      </c>
      <c r="H53" s="94">
        <v>1230963070</v>
      </c>
      <c r="I53" s="94">
        <v>147875984</v>
      </c>
      <c r="J53" s="94">
        <v>926301637</v>
      </c>
      <c r="K53" s="94">
        <v>322896950</v>
      </c>
      <c r="L53" s="94">
        <v>255906122</v>
      </c>
    </row>
    <row r="54" spans="1:12">
      <c r="A54" s="140">
        <v>227</v>
      </c>
      <c r="B54" s="93" t="s">
        <v>67</v>
      </c>
      <c r="C54" s="94">
        <v>7272275000</v>
      </c>
      <c r="D54" s="94">
        <v>3589778796</v>
      </c>
      <c r="E54" s="94">
        <v>2314520992</v>
      </c>
      <c r="F54" s="94">
        <v>109010398</v>
      </c>
      <c r="G54" s="94">
        <v>12756385759</v>
      </c>
      <c r="H54" s="94">
        <v>3744677555</v>
      </c>
      <c r="I54" s="94">
        <v>965033877</v>
      </c>
      <c r="J54" s="94">
        <v>2789793111</v>
      </c>
      <c r="K54" s="94">
        <v>1375772188</v>
      </c>
      <c r="L54" s="94">
        <v>427267807</v>
      </c>
    </row>
    <row r="55" spans="1:12">
      <c r="A55" s="140">
        <v>229</v>
      </c>
      <c r="B55" s="93" t="s">
        <v>68</v>
      </c>
      <c r="C55" s="94">
        <v>530799503</v>
      </c>
      <c r="D55" s="94">
        <v>391355711</v>
      </c>
      <c r="E55" s="94">
        <v>88707048</v>
      </c>
      <c r="F55" s="94">
        <v>9948175</v>
      </c>
      <c r="G55" s="94">
        <v>726923453</v>
      </c>
      <c r="H55" s="94">
        <v>232916039</v>
      </c>
      <c r="I55" s="94">
        <v>8787890</v>
      </c>
      <c r="J55" s="94">
        <v>84837791</v>
      </c>
      <c r="K55" s="94">
        <v>65665357</v>
      </c>
      <c r="L55" s="94">
        <v>45482021</v>
      </c>
    </row>
    <row r="56" spans="1:12">
      <c r="A56" s="140">
        <v>231</v>
      </c>
      <c r="B56" s="93" t="s">
        <v>69</v>
      </c>
      <c r="C56" s="94">
        <v>5947650</v>
      </c>
      <c r="D56" s="94">
        <v>4244681</v>
      </c>
      <c r="E56" s="94">
        <v>1112225</v>
      </c>
      <c r="F56" s="94">
        <v>155336</v>
      </c>
      <c r="G56" s="94">
        <v>10267051</v>
      </c>
      <c r="H56" s="94">
        <v>6112813</v>
      </c>
      <c r="I56" s="94">
        <v>665183</v>
      </c>
      <c r="J56" s="94">
        <v>527471</v>
      </c>
      <c r="K56" s="94">
        <v>1077263</v>
      </c>
      <c r="L56" s="94">
        <v>242813</v>
      </c>
    </row>
    <row r="57" spans="1:12">
      <c r="A57" s="140">
        <v>232</v>
      </c>
      <c r="B57" s="93" t="s">
        <v>70</v>
      </c>
      <c r="C57" s="94">
        <v>1532437</v>
      </c>
      <c r="D57" s="94">
        <v>205473</v>
      </c>
      <c r="E57" s="94">
        <v>797430</v>
      </c>
      <c r="F57" s="94">
        <v>45788</v>
      </c>
      <c r="G57" s="94">
        <v>847440</v>
      </c>
      <c r="H57" s="94">
        <v>292596</v>
      </c>
      <c r="I57" s="94">
        <v>15000</v>
      </c>
      <c r="J57" s="94">
        <v>2496</v>
      </c>
      <c r="K57" s="94">
        <v>14924</v>
      </c>
      <c r="L57" s="94">
        <v>694</v>
      </c>
    </row>
    <row r="58" spans="1:12">
      <c r="A58" s="140">
        <v>233</v>
      </c>
      <c r="B58" s="93" t="s">
        <v>71</v>
      </c>
      <c r="C58" s="94">
        <v>11260593</v>
      </c>
      <c r="D58" s="94">
        <v>771554</v>
      </c>
      <c r="E58" s="94">
        <v>7800370</v>
      </c>
      <c r="F58" s="94">
        <v>1060992</v>
      </c>
      <c r="G58" s="94">
        <v>21792783</v>
      </c>
      <c r="H58" s="94">
        <v>16820909</v>
      </c>
      <c r="I58" s="94">
        <v>68398</v>
      </c>
      <c r="J58" s="94">
        <v>354660</v>
      </c>
      <c r="K58" s="94">
        <v>0</v>
      </c>
      <c r="L58" s="94">
        <v>0</v>
      </c>
    </row>
    <row r="59" spans="1:12">
      <c r="A59" s="140">
        <v>234</v>
      </c>
      <c r="B59" s="93" t="s">
        <v>72</v>
      </c>
      <c r="C59" s="94">
        <v>15280512522</v>
      </c>
      <c r="D59" s="94">
        <v>3734423632</v>
      </c>
      <c r="E59" s="94">
        <v>8510250857</v>
      </c>
      <c r="F59" s="94">
        <v>346839879</v>
      </c>
      <c r="G59" s="94">
        <v>38197294221</v>
      </c>
      <c r="H59" s="94">
        <v>3517180352</v>
      </c>
      <c r="I59" s="94">
        <v>4611076150</v>
      </c>
      <c r="J59" s="94">
        <v>2850685492</v>
      </c>
      <c r="K59" s="94">
        <v>430879962</v>
      </c>
      <c r="L59" s="94">
        <v>546750921</v>
      </c>
    </row>
    <row r="60" spans="1:12">
      <c r="A60" s="140">
        <v>235</v>
      </c>
      <c r="B60" s="93" t="s">
        <v>73</v>
      </c>
      <c r="C60" s="94">
        <v>2671385081</v>
      </c>
      <c r="D60" s="94">
        <v>1487078200</v>
      </c>
      <c r="E60" s="94">
        <v>698172802</v>
      </c>
      <c r="F60" s="94">
        <v>160462723</v>
      </c>
      <c r="G60" s="94">
        <v>5611737511</v>
      </c>
      <c r="H60" s="94">
        <v>2662049625</v>
      </c>
      <c r="I60" s="94">
        <v>486112001</v>
      </c>
      <c r="J60" s="94">
        <v>382157827</v>
      </c>
      <c r="K60" s="94">
        <v>125536208</v>
      </c>
      <c r="L60" s="94">
        <v>68532070</v>
      </c>
    </row>
    <row r="61" spans="1:12">
      <c r="A61" s="140">
        <v>236</v>
      </c>
      <c r="B61" s="93" t="s">
        <v>74</v>
      </c>
      <c r="C61" s="94">
        <v>687184094</v>
      </c>
      <c r="D61" s="94">
        <v>164993500</v>
      </c>
      <c r="E61" s="94">
        <v>406438742</v>
      </c>
      <c r="F61" s="94">
        <v>42900399</v>
      </c>
      <c r="G61" s="94">
        <v>675971741</v>
      </c>
      <c r="H61" s="94">
        <v>272185773</v>
      </c>
      <c r="I61" s="94">
        <v>15916666</v>
      </c>
      <c r="J61" s="94">
        <v>106841603</v>
      </c>
      <c r="K61" s="94">
        <v>3565876</v>
      </c>
      <c r="L61" s="94">
        <v>7795097</v>
      </c>
    </row>
    <row r="62" spans="1:12">
      <c r="A62" s="140">
        <v>237</v>
      </c>
      <c r="B62" s="93" t="s">
        <v>75</v>
      </c>
      <c r="C62" s="94">
        <v>1666056503</v>
      </c>
      <c r="D62" s="94">
        <v>546951470</v>
      </c>
      <c r="E62" s="94">
        <v>874461935</v>
      </c>
      <c r="F62" s="94">
        <v>32570010</v>
      </c>
      <c r="G62" s="94">
        <v>2175045073</v>
      </c>
      <c r="H62" s="94">
        <v>378491016</v>
      </c>
      <c r="I62" s="94">
        <v>88951315</v>
      </c>
      <c r="J62" s="94">
        <v>253271011</v>
      </c>
      <c r="K62" s="94">
        <v>39969640</v>
      </c>
      <c r="L62" s="94">
        <v>45758205</v>
      </c>
    </row>
    <row r="63" spans="1:12">
      <c r="A63" s="140">
        <v>239</v>
      </c>
      <c r="B63" s="93" t="s">
        <v>76</v>
      </c>
      <c r="C63" s="94">
        <v>496056317</v>
      </c>
      <c r="D63" s="94">
        <v>112442460</v>
      </c>
      <c r="E63" s="94">
        <v>335244435</v>
      </c>
      <c r="F63" s="94">
        <v>16567868</v>
      </c>
      <c r="G63" s="94">
        <v>917979245</v>
      </c>
      <c r="H63" s="94">
        <v>558978345</v>
      </c>
      <c r="I63" s="94">
        <v>32341126</v>
      </c>
      <c r="J63" s="94">
        <v>40429603</v>
      </c>
      <c r="K63" s="94">
        <v>6779979</v>
      </c>
      <c r="L63" s="94">
        <v>9312569</v>
      </c>
    </row>
    <row r="64" spans="1:12">
      <c r="A64" s="140">
        <v>311</v>
      </c>
      <c r="B64" s="93" t="s">
        <v>4</v>
      </c>
      <c r="C64" s="94">
        <v>14522027</v>
      </c>
      <c r="D64" s="94">
        <v>2635666</v>
      </c>
      <c r="E64" s="94">
        <v>7470899</v>
      </c>
      <c r="F64" s="94">
        <v>1175222</v>
      </c>
      <c r="G64" s="94">
        <v>79487067</v>
      </c>
      <c r="H64" s="94">
        <v>74636915</v>
      </c>
      <c r="I64" s="94">
        <v>2870</v>
      </c>
      <c r="J64" s="94">
        <v>957540</v>
      </c>
      <c r="K64" s="94">
        <v>1497530</v>
      </c>
      <c r="L64" s="94">
        <v>30117</v>
      </c>
    </row>
    <row r="65" spans="1:12">
      <c r="A65" s="140">
        <v>312</v>
      </c>
      <c r="B65" s="93" t="s">
        <v>77</v>
      </c>
      <c r="C65" s="94">
        <v>291000</v>
      </c>
      <c r="D65" s="94">
        <v>0</v>
      </c>
      <c r="E65" s="94">
        <v>309000</v>
      </c>
      <c r="F65" s="94">
        <v>0</v>
      </c>
      <c r="G65" s="94">
        <v>44000</v>
      </c>
      <c r="H65" s="94">
        <v>0</v>
      </c>
      <c r="I65" s="94">
        <v>0</v>
      </c>
      <c r="J65" s="94">
        <v>43000</v>
      </c>
      <c r="K65" s="94">
        <v>0</v>
      </c>
      <c r="L65" s="94">
        <v>0</v>
      </c>
    </row>
    <row r="66" spans="1:12">
      <c r="A66" s="140">
        <v>390</v>
      </c>
      <c r="B66" s="93" t="s">
        <v>23</v>
      </c>
      <c r="C66" s="94">
        <v>1593735</v>
      </c>
      <c r="D66" s="94">
        <v>1481696</v>
      </c>
      <c r="E66" s="94">
        <v>43156</v>
      </c>
      <c r="F66" s="94">
        <v>0</v>
      </c>
      <c r="G66" s="94">
        <v>765337</v>
      </c>
      <c r="H66" s="94">
        <v>0</v>
      </c>
      <c r="I66" s="94">
        <v>2500</v>
      </c>
      <c r="J66" s="94">
        <v>461370</v>
      </c>
      <c r="K66" s="94">
        <v>72815</v>
      </c>
      <c r="L66" s="94">
        <v>75000</v>
      </c>
    </row>
    <row r="67" spans="1:12">
      <c r="A67" s="140">
        <v>411</v>
      </c>
      <c r="B67" s="93" t="s">
        <v>78</v>
      </c>
      <c r="C67" s="94">
        <v>247437693</v>
      </c>
      <c r="D67" s="94">
        <v>198311596</v>
      </c>
      <c r="E67" s="94">
        <v>25984528</v>
      </c>
      <c r="F67" s="94">
        <v>5792735</v>
      </c>
      <c r="G67" s="94">
        <v>301363925</v>
      </c>
      <c r="H67" s="94">
        <v>165341888</v>
      </c>
      <c r="I67" s="94">
        <v>781917</v>
      </c>
      <c r="J67" s="94">
        <v>54023388</v>
      </c>
      <c r="K67" s="94">
        <v>31349844</v>
      </c>
      <c r="L67" s="94">
        <v>27290175</v>
      </c>
    </row>
    <row r="68" spans="1:12">
      <c r="A68" s="140">
        <v>412</v>
      </c>
      <c r="B68" s="93" t="s">
        <v>79</v>
      </c>
      <c r="C68" s="94">
        <v>670791003</v>
      </c>
      <c r="D68" s="94">
        <v>536238341</v>
      </c>
      <c r="E68" s="94">
        <v>80450498</v>
      </c>
      <c r="F68" s="94">
        <v>19832730</v>
      </c>
      <c r="G68" s="94">
        <v>1157305375</v>
      </c>
      <c r="H68" s="94">
        <v>588867259</v>
      </c>
      <c r="I68" s="94">
        <v>15100721</v>
      </c>
      <c r="J68" s="94">
        <v>104623657</v>
      </c>
      <c r="K68" s="94">
        <v>75104306</v>
      </c>
      <c r="L68" s="94">
        <v>65182088</v>
      </c>
    </row>
    <row r="69" spans="1:12">
      <c r="A69" s="140">
        <v>413</v>
      </c>
      <c r="B69" s="93" t="s">
        <v>80</v>
      </c>
      <c r="C69" s="94">
        <v>302724244</v>
      </c>
      <c r="D69" s="94">
        <v>205551940</v>
      </c>
      <c r="E69" s="94">
        <v>52521560</v>
      </c>
      <c r="F69" s="94">
        <v>6521722</v>
      </c>
      <c r="G69" s="94">
        <v>270883544</v>
      </c>
      <c r="H69" s="94">
        <v>151900294</v>
      </c>
      <c r="I69" s="94">
        <v>2538494</v>
      </c>
      <c r="J69" s="94">
        <v>42791749</v>
      </c>
      <c r="K69" s="94">
        <v>22056261</v>
      </c>
      <c r="L69" s="94">
        <v>16698312</v>
      </c>
    </row>
    <row r="70" spans="1:12">
      <c r="A70" s="140">
        <v>414</v>
      </c>
      <c r="B70" s="93" t="s">
        <v>81</v>
      </c>
      <c r="C70" s="94">
        <v>374436542</v>
      </c>
      <c r="D70" s="94">
        <v>309997090</v>
      </c>
      <c r="E70" s="94">
        <v>27483011</v>
      </c>
      <c r="F70" s="94">
        <v>3457021</v>
      </c>
      <c r="G70" s="94">
        <v>647878046</v>
      </c>
      <c r="H70" s="94">
        <v>188145602</v>
      </c>
      <c r="I70" s="94">
        <v>379373</v>
      </c>
      <c r="J70" s="94">
        <v>125763116</v>
      </c>
      <c r="K70" s="94">
        <v>8294041</v>
      </c>
      <c r="L70" s="94">
        <v>66922265</v>
      </c>
    </row>
    <row r="71" spans="1:12">
      <c r="A71" s="140">
        <v>415</v>
      </c>
      <c r="B71" s="93" t="s">
        <v>82</v>
      </c>
      <c r="C71" s="94">
        <v>825095</v>
      </c>
      <c r="D71" s="94">
        <v>463374</v>
      </c>
      <c r="E71" s="94">
        <v>365898</v>
      </c>
      <c r="F71" s="94">
        <v>3852</v>
      </c>
      <c r="G71" s="94">
        <v>1500157</v>
      </c>
      <c r="H71" s="94">
        <v>323137</v>
      </c>
      <c r="I71" s="94">
        <v>0</v>
      </c>
      <c r="J71" s="94">
        <v>192843</v>
      </c>
      <c r="K71" s="94">
        <v>165834</v>
      </c>
      <c r="L71" s="94">
        <v>174003</v>
      </c>
    </row>
    <row r="72" spans="1:12">
      <c r="A72" s="140">
        <v>416</v>
      </c>
      <c r="B72" s="93" t="s">
        <v>83</v>
      </c>
      <c r="C72" s="94">
        <v>942887992</v>
      </c>
      <c r="D72" s="94">
        <v>671142237</v>
      </c>
      <c r="E72" s="94">
        <v>170189624</v>
      </c>
      <c r="F72" s="94">
        <v>12566459</v>
      </c>
      <c r="G72" s="94">
        <v>1244783607</v>
      </c>
      <c r="H72" s="94">
        <v>555115209</v>
      </c>
      <c r="I72" s="94">
        <v>4490465</v>
      </c>
      <c r="J72" s="94">
        <v>111456183</v>
      </c>
      <c r="K72" s="94">
        <v>80958557</v>
      </c>
      <c r="L72" s="94">
        <v>61606634</v>
      </c>
    </row>
    <row r="73" spans="1:12">
      <c r="A73" s="140">
        <v>419</v>
      </c>
      <c r="B73" s="93" t="s">
        <v>84</v>
      </c>
      <c r="C73" s="94">
        <v>17035078</v>
      </c>
      <c r="D73" s="94">
        <v>11489311</v>
      </c>
      <c r="E73" s="94">
        <v>2770567</v>
      </c>
      <c r="F73" s="94">
        <v>611519</v>
      </c>
      <c r="G73" s="94">
        <v>19278183</v>
      </c>
      <c r="H73" s="94">
        <v>6421924</v>
      </c>
      <c r="I73" s="94">
        <v>101099</v>
      </c>
      <c r="J73" s="94">
        <v>4390964</v>
      </c>
      <c r="K73" s="94">
        <v>1343921</v>
      </c>
      <c r="L73" s="94">
        <v>993696</v>
      </c>
    </row>
    <row r="74" spans="1:12">
      <c r="A74" s="140">
        <v>421</v>
      </c>
      <c r="B74" s="93" t="s">
        <v>85</v>
      </c>
      <c r="C74" s="94">
        <v>721896313</v>
      </c>
      <c r="D74" s="94">
        <v>624953882</v>
      </c>
      <c r="E74" s="94">
        <v>57757535</v>
      </c>
      <c r="F74" s="94">
        <v>641036</v>
      </c>
      <c r="G74" s="94">
        <v>1299609243</v>
      </c>
      <c r="H74" s="94">
        <v>875799315</v>
      </c>
      <c r="I74" s="94">
        <v>4685192</v>
      </c>
      <c r="J74" s="94">
        <v>99155374</v>
      </c>
      <c r="K74" s="94">
        <v>145671410</v>
      </c>
      <c r="L74" s="94">
        <v>27886776</v>
      </c>
    </row>
    <row r="75" spans="1:12">
      <c r="A75" s="140">
        <v>422</v>
      </c>
      <c r="B75" s="93" t="s">
        <v>86</v>
      </c>
      <c r="C75" s="94">
        <v>34837869</v>
      </c>
      <c r="D75" s="94">
        <v>31911350</v>
      </c>
      <c r="E75" s="94">
        <v>2151955</v>
      </c>
      <c r="F75" s="94">
        <v>258729</v>
      </c>
      <c r="G75" s="94">
        <v>56713133</v>
      </c>
      <c r="H75" s="94">
        <v>18946618</v>
      </c>
      <c r="I75" s="94">
        <v>23502</v>
      </c>
      <c r="J75" s="94">
        <v>6627532</v>
      </c>
      <c r="K75" s="94">
        <v>3068786</v>
      </c>
      <c r="L75" s="94">
        <v>3165664</v>
      </c>
    </row>
    <row r="76" spans="1:12">
      <c r="A76" s="140">
        <v>423</v>
      </c>
      <c r="B76" s="93" t="s">
        <v>87</v>
      </c>
      <c r="C76" s="94">
        <v>688945498</v>
      </c>
      <c r="D76" s="94">
        <v>557301507</v>
      </c>
      <c r="E76" s="94">
        <v>73942112</v>
      </c>
      <c r="F76" s="94">
        <v>15368977</v>
      </c>
      <c r="G76" s="94">
        <v>820833432</v>
      </c>
      <c r="H76" s="94">
        <v>296506359</v>
      </c>
      <c r="I76" s="94">
        <v>2311873</v>
      </c>
      <c r="J76" s="94">
        <v>144336256</v>
      </c>
      <c r="K76" s="94">
        <v>109819510</v>
      </c>
      <c r="L76" s="94">
        <v>42891554</v>
      </c>
    </row>
    <row r="77" spans="1:12">
      <c r="A77" s="140">
        <v>429</v>
      </c>
      <c r="B77" s="93" t="s">
        <v>88</v>
      </c>
      <c r="C77" s="94">
        <v>6573240515</v>
      </c>
      <c r="D77" s="94">
        <v>2454432921</v>
      </c>
      <c r="E77" s="94">
        <v>2852813573</v>
      </c>
      <c r="F77" s="94">
        <v>107678699</v>
      </c>
      <c r="G77" s="94">
        <v>6715307833</v>
      </c>
      <c r="H77" s="94">
        <v>2428590248</v>
      </c>
      <c r="I77" s="94">
        <v>253465928</v>
      </c>
      <c r="J77" s="94">
        <v>681583187</v>
      </c>
      <c r="K77" s="94">
        <v>519703622</v>
      </c>
      <c r="L77" s="94">
        <v>292527481</v>
      </c>
    </row>
    <row r="78" spans="1:12">
      <c r="A78" s="140">
        <v>431</v>
      </c>
      <c r="B78" s="93" t="s">
        <v>89</v>
      </c>
      <c r="C78" s="94">
        <v>1267006239</v>
      </c>
      <c r="D78" s="94">
        <v>891522806</v>
      </c>
      <c r="E78" s="94">
        <v>161877171</v>
      </c>
      <c r="F78" s="94">
        <v>50439443</v>
      </c>
      <c r="G78" s="94">
        <v>1843391876</v>
      </c>
      <c r="H78" s="94">
        <v>686771315</v>
      </c>
      <c r="I78" s="94">
        <v>7293078</v>
      </c>
      <c r="J78" s="94">
        <v>335686090</v>
      </c>
      <c r="K78" s="94">
        <v>255337177</v>
      </c>
      <c r="L78" s="94">
        <v>92540632</v>
      </c>
    </row>
    <row r="79" spans="1:12">
      <c r="A79" s="140">
        <v>432</v>
      </c>
      <c r="B79" s="93" t="s">
        <v>90</v>
      </c>
      <c r="C79" s="94">
        <v>3690895122</v>
      </c>
      <c r="D79" s="94">
        <v>2845808573</v>
      </c>
      <c r="E79" s="94">
        <v>405162020</v>
      </c>
      <c r="F79" s="94">
        <v>103797170</v>
      </c>
      <c r="G79" s="94">
        <v>4285680079</v>
      </c>
      <c r="H79" s="94">
        <v>2036387340</v>
      </c>
      <c r="I79" s="94">
        <v>47424807</v>
      </c>
      <c r="J79" s="94">
        <v>829993334</v>
      </c>
      <c r="K79" s="94">
        <v>408171639</v>
      </c>
      <c r="L79" s="94">
        <v>331830352</v>
      </c>
    </row>
    <row r="80" spans="1:12">
      <c r="A80" s="140">
        <v>433</v>
      </c>
      <c r="B80" s="93" t="s">
        <v>91</v>
      </c>
      <c r="C80" s="94">
        <v>420848263</v>
      </c>
      <c r="D80" s="94">
        <v>298756095</v>
      </c>
      <c r="E80" s="94">
        <v>74784495</v>
      </c>
      <c r="F80" s="94">
        <v>11167286</v>
      </c>
      <c r="G80" s="94">
        <v>599667827</v>
      </c>
      <c r="H80" s="94">
        <v>249283997</v>
      </c>
      <c r="I80" s="94">
        <v>5276630</v>
      </c>
      <c r="J80" s="94">
        <v>86505172</v>
      </c>
      <c r="K80" s="94">
        <v>74464383</v>
      </c>
      <c r="L80" s="94">
        <v>35288958</v>
      </c>
    </row>
    <row r="81" spans="1:12">
      <c r="A81" s="140">
        <v>439</v>
      </c>
      <c r="B81" s="93" t="s">
        <v>92</v>
      </c>
      <c r="C81" s="94">
        <v>5104228692</v>
      </c>
      <c r="D81" s="94">
        <v>3726378172</v>
      </c>
      <c r="E81" s="94">
        <v>712935707</v>
      </c>
      <c r="F81" s="94">
        <v>104285203</v>
      </c>
      <c r="G81" s="94">
        <v>7248496280</v>
      </c>
      <c r="H81" s="94">
        <v>2955632364</v>
      </c>
      <c r="I81" s="94">
        <v>532031665</v>
      </c>
      <c r="J81" s="94">
        <v>1006308035</v>
      </c>
      <c r="K81" s="94">
        <v>776243992</v>
      </c>
      <c r="L81" s="94">
        <v>418943967</v>
      </c>
    </row>
    <row r="82" spans="1:12">
      <c r="A82" s="140">
        <v>441</v>
      </c>
      <c r="B82" s="93" t="s">
        <v>5</v>
      </c>
      <c r="C82" s="94">
        <v>154786715</v>
      </c>
      <c r="D82" s="94">
        <v>102846577</v>
      </c>
      <c r="E82" s="94">
        <v>34895787</v>
      </c>
      <c r="F82" s="94">
        <v>2289028</v>
      </c>
      <c r="G82" s="94">
        <v>77902129</v>
      </c>
      <c r="H82" s="94">
        <v>12815329</v>
      </c>
      <c r="I82" s="94">
        <v>233913</v>
      </c>
      <c r="J82" s="94">
        <v>6240547</v>
      </c>
      <c r="K82" s="94">
        <v>9481758</v>
      </c>
      <c r="L82" s="94">
        <v>14098961</v>
      </c>
    </row>
    <row r="83" spans="1:12">
      <c r="A83" s="140">
        <v>442</v>
      </c>
      <c r="B83" s="93" t="s">
        <v>93</v>
      </c>
      <c r="C83" s="94">
        <v>15280512522</v>
      </c>
      <c r="D83" s="94">
        <v>3734423632</v>
      </c>
      <c r="E83" s="94">
        <v>8510250857</v>
      </c>
      <c r="F83" s="94">
        <v>346839879</v>
      </c>
      <c r="G83" s="94">
        <v>38197294221</v>
      </c>
      <c r="H83" s="94">
        <v>3517180352</v>
      </c>
      <c r="I83" s="94">
        <v>4611076150</v>
      </c>
      <c r="J83" s="94">
        <v>2850685492</v>
      </c>
      <c r="K83" s="94">
        <v>430879962</v>
      </c>
      <c r="L83" s="94">
        <v>546750921</v>
      </c>
    </row>
    <row r="84" spans="1:12">
      <c r="A84" s="140">
        <v>443</v>
      </c>
      <c r="B84" s="93" t="s">
        <v>94</v>
      </c>
      <c r="C84" s="94">
        <v>727467076</v>
      </c>
      <c r="D84" s="94">
        <v>547801143</v>
      </c>
      <c r="E84" s="94">
        <v>107059249</v>
      </c>
      <c r="F84" s="94">
        <v>6784357</v>
      </c>
      <c r="G84" s="94">
        <v>1070354350</v>
      </c>
      <c r="H84" s="94">
        <v>266241132</v>
      </c>
      <c r="I84" s="94">
        <v>6928708</v>
      </c>
      <c r="J84" s="94">
        <v>89448929</v>
      </c>
      <c r="K84" s="94">
        <v>84614419</v>
      </c>
      <c r="L84" s="94">
        <v>53068638</v>
      </c>
    </row>
    <row r="85" spans="1:12">
      <c r="A85" s="140">
        <v>444</v>
      </c>
      <c r="B85" s="93" t="s">
        <v>95</v>
      </c>
      <c r="C85" s="94">
        <v>25938453</v>
      </c>
      <c r="D85" s="94">
        <v>13790519</v>
      </c>
      <c r="E85" s="94">
        <v>8242973</v>
      </c>
      <c r="F85" s="94">
        <v>1169947</v>
      </c>
      <c r="G85" s="94">
        <v>77662266</v>
      </c>
      <c r="H85" s="94">
        <v>56733625</v>
      </c>
      <c r="I85" s="94">
        <v>22622</v>
      </c>
      <c r="J85" s="94">
        <v>2467858</v>
      </c>
      <c r="K85" s="94">
        <v>9409348</v>
      </c>
      <c r="L85" s="94">
        <v>983471</v>
      </c>
    </row>
    <row r="86" spans="1:12">
      <c r="A86" s="140">
        <v>445</v>
      </c>
      <c r="B86" s="93" t="s">
        <v>96</v>
      </c>
      <c r="C86" s="94">
        <v>81111562</v>
      </c>
      <c r="D86" s="94">
        <v>18745812</v>
      </c>
      <c r="E86" s="94">
        <v>42186578</v>
      </c>
      <c r="F86" s="94">
        <v>2844224</v>
      </c>
      <c r="G86" s="94">
        <v>387987452</v>
      </c>
      <c r="H86" s="94">
        <v>78981750</v>
      </c>
      <c r="I86" s="94">
        <v>611209</v>
      </c>
      <c r="J86" s="94">
        <v>6211816</v>
      </c>
      <c r="K86" s="94">
        <v>28936069</v>
      </c>
      <c r="L86" s="94">
        <v>1015321</v>
      </c>
    </row>
    <row r="87" spans="1:12">
      <c r="A87" s="140">
        <v>446</v>
      </c>
      <c r="B87" s="93" t="s">
        <v>97</v>
      </c>
      <c r="C87" s="94">
        <v>2671385081</v>
      </c>
      <c r="D87" s="94">
        <v>1487078200</v>
      </c>
      <c r="E87" s="94">
        <v>698172802</v>
      </c>
      <c r="F87" s="94">
        <v>160462723</v>
      </c>
      <c r="G87" s="94">
        <v>5611737511</v>
      </c>
      <c r="H87" s="94">
        <v>2662049625</v>
      </c>
      <c r="I87" s="94">
        <v>486112001</v>
      </c>
      <c r="J87" s="94">
        <v>382157827</v>
      </c>
      <c r="K87" s="94">
        <v>125536208</v>
      </c>
      <c r="L87" s="94">
        <v>68532070</v>
      </c>
    </row>
    <row r="88" spans="1:12">
      <c r="A88" s="140">
        <v>447</v>
      </c>
      <c r="B88" s="93" t="s">
        <v>98</v>
      </c>
      <c r="C88" s="94">
        <v>242039811</v>
      </c>
      <c r="D88" s="94">
        <v>118412850</v>
      </c>
      <c r="E88" s="94">
        <v>75530643</v>
      </c>
      <c r="F88" s="94">
        <v>5139665</v>
      </c>
      <c r="G88" s="94">
        <v>462571194</v>
      </c>
      <c r="H88" s="94">
        <v>162562266</v>
      </c>
      <c r="I88" s="94">
        <v>16130321</v>
      </c>
      <c r="J88" s="94">
        <v>36712471</v>
      </c>
      <c r="K88" s="94">
        <v>32823914</v>
      </c>
      <c r="L88" s="94">
        <v>6116590</v>
      </c>
    </row>
    <row r="89" spans="1:12">
      <c r="A89" s="140">
        <v>449</v>
      </c>
      <c r="B89" s="93" t="s">
        <v>99</v>
      </c>
      <c r="C89" s="94">
        <v>154786715</v>
      </c>
      <c r="D89" s="94">
        <v>102846577</v>
      </c>
      <c r="E89" s="94">
        <v>34895787</v>
      </c>
      <c r="F89" s="94">
        <v>2289028</v>
      </c>
      <c r="G89" s="94">
        <v>77902129</v>
      </c>
      <c r="H89" s="94">
        <v>12815329</v>
      </c>
      <c r="I89" s="94">
        <v>233913</v>
      </c>
      <c r="J89" s="94">
        <v>6240547</v>
      </c>
      <c r="K89" s="94">
        <v>9481758</v>
      </c>
      <c r="L89" s="94">
        <v>14098961</v>
      </c>
    </row>
    <row r="90" spans="1:12">
      <c r="A90" s="140">
        <v>511</v>
      </c>
      <c r="B90" s="93" t="s">
        <v>100</v>
      </c>
      <c r="C90" s="94">
        <v>107620256</v>
      </c>
      <c r="D90" s="94">
        <v>78234009</v>
      </c>
      <c r="E90" s="94">
        <v>19473843</v>
      </c>
      <c r="F90" s="94">
        <v>1205436</v>
      </c>
      <c r="G90" s="94">
        <v>115567377</v>
      </c>
      <c r="H90" s="94">
        <v>40004633</v>
      </c>
      <c r="I90" s="94">
        <v>44302</v>
      </c>
      <c r="J90" s="94">
        <v>4561142</v>
      </c>
      <c r="K90" s="94">
        <v>17502995</v>
      </c>
      <c r="L90" s="94">
        <v>12085578</v>
      </c>
    </row>
    <row r="91" spans="1:12">
      <c r="A91" s="140">
        <v>512</v>
      </c>
      <c r="B91" s="93" t="s">
        <v>101</v>
      </c>
      <c r="C91" s="94">
        <v>776934</v>
      </c>
      <c r="D91" s="94">
        <v>652789</v>
      </c>
      <c r="E91" s="94">
        <v>55312</v>
      </c>
      <c r="F91" s="94">
        <v>164163</v>
      </c>
      <c r="G91" s="94">
        <v>432390</v>
      </c>
      <c r="H91" s="94">
        <v>208502</v>
      </c>
      <c r="I91" s="94">
        <v>0</v>
      </c>
      <c r="J91" s="94">
        <v>0</v>
      </c>
      <c r="K91" s="94">
        <v>214577</v>
      </c>
      <c r="L91" s="94">
        <v>0</v>
      </c>
    </row>
    <row r="92" spans="1:12">
      <c r="A92" s="140">
        <v>520</v>
      </c>
      <c r="B92" s="93" t="s">
        <v>29</v>
      </c>
      <c r="C92" s="94">
        <v>17076543</v>
      </c>
      <c r="D92" s="94">
        <v>13203606</v>
      </c>
      <c r="E92" s="94">
        <v>1844441</v>
      </c>
      <c r="F92" s="94">
        <v>1528269</v>
      </c>
      <c r="G92" s="94">
        <v>34454213</v>
      </c>
      <c r="H92" s="94">
        <v>18137386</v>
      </c>
      <c r="I92" s="94">
        <v>274432</v>
      </c>
      <c r="J92" s="94">
        <v>3043322</v>
      </c>
      <c r="K92" s="94">
        <v>4793371</v>
      </c>
      <c r="L92" s="94">
        <v>733781</v>
      </c>
    </row>
    <row r="93" spans="1:12">
      <c r="A93" s="140">
        <v>611</v>
      </c>
      <c r="B93" s="93" t="s">
        <v>102</v>
      </c>
      <c r="C93" s="94">
        <v>85129880</v>
      </c>
      <c r="D93" s="94">
        <v>58523743</v>
      </c>
      <c r="E93" s="94">
        <v>24496669</v>
      </c>
      <c r="F93" s="94">
        <v>1923255</v>
      </c>
      <c r="G93" s="94">
        <v>151223997</v>
      </c>
      <c r="H93" s="94">
        <v>102824703</v>
      </c>
      <c r="I93" s="94">
        <v>1380970</v>
      </c>
      <c r="J93" s="94">
        <v>11683240</v>
      </c>
      <c r="K93" s="94">
        <v>21509773</v>
      </c>
      <c r="L93" s="94">
        <v>3971216</v>
      </c>
    </row>
    <row r="94" spans="1:12">
      <c r="A94" s="140">
        <v>612</v>
      </c>
      <c r="B94" s="93" t="s">
        <v>103</v>
      </c>
      <c r="C94" s="94">
        <v>10409474</v>
      </c>
      <c r="D94" s="94">
        <v>6412088</v>
      </c>
      <c r="E94" s="94">
        <v>2147279</v>
      </c>
      <c r="F94" s="94">
        <v>141161</v>
      </c>
      <c r="G94" s="94">
        <v>9182312</v>
      </c>
      <c r="H94" s="94">
        <v>1440198</v>
      </c>
      <c r="I94" s="94">
        <v>42688</v>
      </c>
      <c r="J94" s="94">
        <v>2102497</v>
      </c>
      <c r="K94" s="94">
        <v>759956</v>
      </c>
      <c r="L94" s="94">
        <v>765993</v>
      </c>
    </row>
    <row r="95" spans="1:12">
      <c r="A95" s="140">
        <v>619</v>
      </c>
      <c r="B95" s="93" t="s">
        <v>104</v>
      </c>
      <c r="C95" s="94">
        <v>18923744071</v>
      </c>
      <c r="D95" s="94">
        <v>12382498789</v>
      </c>
      <c r="E95" s="94">
        <v>3404199968</v>
      </c>
      <c r="F95" s="94">
        <v>121648715</v>
      </c>
      <c r="G95" s="94">
        <v>21884126755</v>
      </c>
      <c r="H95" s="94">
        <v>6300557967</v>
      </c>
      <c r="I95" s="94">
        <v>267981233</v>
      </c>
      <c r="J95" s="94">
        <v>1893947123</v>
      </c>
      <c r="K95" s="94">
        <v>1531214832</v>
      </c>
      <c r="L95" s="94">
        <v>949323463</v>
      </c>
    </row>
    <row r="96" spans="1:12">
      <c r="A96" s="140">
        <v>621</v>
      </c>
      <c r="B96" s="93" t="s">
        <v>105</v>
      </c>
      <c r="C96" s="94">
        <v>4188438414</v>
      </c>
      <c r="D96" s="94">
        <v>3368918281</v>
      </c>
      <c r="E96" s="94">
        <v>373268374</v>
      </c>
      <c r="F96" s="94">
        <v>98040572</v>
      </c>
      <c r="G96" s="94">
        <v>5297351153</v>
      </c>
      <c r="H96" s="94">
        <v>2357439569</v>
      </c>
      <c r="I96" s="94">
        <v>103195358</v>
      </c>
      <c r="J96" s="94">
        <v>888268033</v>
      </c>
      <c r="K96" s="94">
        <v>363794261</v>
      </c>
      <c r="L96" s="94">
        <v>290677265</v>
      </c>
    </row>
    <row r="97" spans="1:12">
      <c r="A97" s="140">
        <v>622</v>
      </c>
      <c r="B97" s="93" t="s">
        <v>106</v>
      </c>
      <c r="C97" s="94">
        <v>35478332</v>
      </c>
      <c r="D97" s="94">
        <v>25281104</v>
      </c>
      <c r="E97" s="94">
        <v>6300776</v>
      </c>
      <c r="F97" s="94">
        <v>812352</v>
      </c>
      <c r="G97" s="94">
        <v>54127883</v>
      </c>
      <c r="H97" s="94">
        <v>12698761</v>
      </c>
      <c r="I97" s="94">
        <v>2577246</v>
      </c>
      <c r="J97" s="94">
        <v>11826137</v>
      </c>
      <c r="K97" s="94">
        <v>8671792</v>
      </c>
      <c r="L97" s="94">
        <v>1820838</v>
      </c>
    </row>
    <row r="98" spans="1:12">
      <c r="A98" s="140">
        <v>623</v>
      </c>
      <c r="B98" s="93" t="s">
        <v>107</v>
      </c>
      <c r="C98" s="94">
        <v>3917596323</v>
      </c>
      <c r="D98" s="94">
        <v>3147309295</v>
      </c>
      <c r="E98" s="94">
        <v>342220619</v>
      </c>
      <c r="F98" s="94">
        <v>92804849</v>
      </c>
      <c r="G98" s="94">
        <v>4888457730</v>
      </c>
      <c r="H98" s="94">
        <v>2189371243</v>
      </c>
      <c r="I98" s="94">
        <v>99211889</v>
      </c>
      <c r="J98" s="94">
        <v>849811019</v>
      </c>
      <c r="K98" s="94">
        <v>335926646</v>
      </c>
      <c r="L98" s="94">
        <v>278664198</v>
      </c>
    </row>
    <row r="99" spans="1:12">
      <c r="A99" s="140">
        <v>624</v>
      </c>
      <c r="B99" s="93" t="s">
        <v>108</v>
      </c>
      <c r="C99" s="94">
        <v>3893088489</v>
      </c>
      <c r="D99" s="94">
        <v>2633735890</v>
      </c>
      <c r="E99" s="94">
        <v>693852017</v>
      </c>
      <c r="F99" s="94">
        <v>81740870</v>
      </c>
      <c r="G99" s="94">
        <v>4396007697</v>
      </c>
      <c r="H99" s="94">
        <v>1230963070</v>
      </c>
      <c r="I99" s="94">
        <v>147875984</v>
      </c>
      <c r="J99" s="94">
        <v>926301637</v>
      </c>
      <c r="K99" s="94">
        <v>322896950</v>
      </c>
      <c r="L99" s="94">
        <v>255906122</v>
      </c>
    </row>
    <row r="100" spans="1:12">
      <c r="A100" s="140">
        <v>625</v>
      </c>
      <c r="B100" s="93" t="s">
        <v>109</v>
      </c>
      <c r="C100" s="94">
        <v>74356637</v>
      </c>
      <c r="D100" s="94">
        <v>57406590</v>
      </c>
      <c r="E100" s="94">
        <v>10156312</v>
      </c>
      <c r="F100" s="94">
        <v>1211605</v>
      </c>
      <c r="G100" s="94">
        <v>66670655</v>
      </c>
      <c r="H100" s="94">
        <v>26280236</v>
      </c>
      <c r="I100" s="94">
        <v>461496</v>
      </c>
      <c r="J100" s="94">
        <v>16009831</v>
      </c>
      <c r="K100" s="94">
        <v>9002862</v>
      </c>
      <c r="L100" s="94">
        <v>4941327</v>
      </c>
    </row>
    <row r="101" spans="1:12">
      <c r="A101" s="140">
        <v>626</v>
      </c>
      <c r="B101" s="93" t="s">
        <v>110</v>
      </c>
      <c r="C101" s="94">
        <v>3690895122</v>
      </c>
      <c r="D101" s="94">
        <v>2845808573</v>
      </c>
      <c r="E101" s="94">
        <v>405162020</v>
      </c>
      <c r="F101" s="94">
        <v>103797170</v>
      </c>
      <c r="G101" s="94">
        <v>4285680079</v>
      </c>
      <c r="H101" s="94">
        <v>2036387340</v>
      </c>
      <c r="I101" s="94">
        <v>47424807</v>
      </c>
      <c r="J101" s="94">
        <v>829993334</v>
      </c>
      <c r="K101" s="94">
        <v>408171639</v>
      </c>
      <c r="L101" s="94">
        <v>331830352</v>
      </c>
    </row>
    <row r="102" spans="1:12">
      <c r="A102" s="140">
        <v>627</v>
      </c>
      <c r="B102" s="93" t="s">
        <v>111</v>
      </c>
      <c r="C102" s="94">
        <v>263809077</v>
      </c>
      <c r="D102" s="94">
        <v>212073721</v>
      </c>
      <c r="E102" s="94">
        <v>25777981</v>
      </c>
      <c r="F102" s="94">
        <v>7572742</v>
      </c>
      <c r="G102" s="94">
        <v>379653219</v>
      </c>
      <c r="H102" s="94">
        <v>204720786</v>
      </c>
      <c r="I102" s="94">
        <v>4330637</v>
      </c>
      <c r="J102" s="94">
        <v>56930540</v>
      </c>
      <c r="K102" s="94">
        <v>15243081</v>
      </c>
      <c r="L102" s="94">
        <v>14758756</v>
      </c>
    </row>
    <row r="103" spans="1:12">
      <c r="A103" s="140">
        <v>628</v>
      </c>
      <c r="B103" s="93" t="s">
        <v>112</v>
      </c>
      <c r="C103" s="94">
        <v>6266737336</v>
      </c>
      <c r="D103" s="94">
        <v>4574640255</v>
      </c>
      <c r="E103" s="94">
        <v>791539236</v>
      </c>
      <c r="F103" s="94">
        <v>114004434</v>
      </c>
      <c r="G103" s="94">
        <v>9252634430</v>
      </c>
      <c r="H103" s="94">
        <v>3010091094</v>
      </c>
      <c r="I103" s="94">
        <v>98357781</v>
      </c>
      <c r="J103" s="94">
        <v>1100589788</v>
      </c>
      <c r="K103" s="94">
        <v>1186983766</v>
      </c>
      <c r="L103" s="94">
        <v>609443713</v>
      </c>
    </row>
    <row r="104" spans="1:12">
      <c r="A104" s="140">
        <v>629</v>
      </c>
      <c r="B104" s="93" t="s">
        <v>113</v>
      </c>
      <c r="C104" s="94">
        <v>55286685734</v>
      </c>
      <c r="D104" s="94">
        <v>40029914098</v>
      </c>
      <c r="E104" s="94">
        <v>8063134477</v>
      </c>
      <c r="F104" s="94">
        <v>1166480012</v>
      </c>
      <c r="G104" s="94">
        <v>66796415702</v>
      </c>
      <c r="H104" s="94">
        <v>25352379350</v>
      </c>
      <c r="I104" s="94">
        <v>1103661729</v>
      </c>
      <c r="J104" s="94">
        <v>11712057857</v>
      </c>
      <c r="K104" s="94">
        <v>5332131729</v>
      </c>
      <c r="L104" s="94">
        <v>4504832531</v>
      </c>
    </row>
    <row r="105" spans="1:12">
      <c r="A105" s="140">
        <v>631</v>
      </c>
      <c r="B105" s="93" t="s">
        <v>114</v>
      </c>
      <c r="C105" s="94">
        <v>75262167</v>
      </c>
      <c r="D105" s="94">
        <v>55778566</v>
      </c>
      <c r="E105" s="94">
        <v>19274044</v>
      </c>
      <c r="F105" s="94">
        <v>4582563</v>
      </c>
      <c r="G105" s="94">
        <v>115446128</v>
      </c>
      <c r="H105" s="94">
        <v>65657143</v>
      </c>
      <c r="I105" s="94">
        <v>594453</v>
      </c>
      <c r="J105" s="94">
        <v>19890916</v>
      </c>
      <c r="K105" s="94">
        <v>485799</v>
      </c>
      <c r="L105" s="94">
        <v>2008989</v>
      </c>
    </row>
    <row r="106" spans="1:12">
      <c r="A106" s="140">
        <v>632</v>
      </c>
      <c r="B106" s="93" t="s">
        <v>115</v>
      </c>
      <c r="C106" s="94">
        <v>15280512522</v>
      </c>
      <c r="D106" s="94">
        <v>3734423632</v>
      </c>
      <c r="E106" s="94">
        <v>8510250857</v>
      </c>
      <c r="F106" s="94">
        <v>346839879</v>
      </c>
      <c r="G106" s="94">
        <v>38197294221</v>
      </c>
      <c r="H106" s="94">
        <v>3517180352</v>
      </c>
      <c r="I106" s="94">
        <v>4611076150</v>
      </c>
      <c r="J106" s="94">
        <v>2850685492</v>
      </c>
      <c r="K106" s="94">
        <v>430879962</v>
      </c>
      <c r="L106" s="94">
        <v>546750921</v>
      </c>
    </row>
    <row r="107" spans="1:12">
      <c r="A107" s="140">
        <v>633</v>
      </c>
      <c r="B107" s="93" t="s">
        <v>116</v>
      </c>
      <c r="C107" s="94">
        <v>341366701</v>
      </c>
      <c r="D107" s="94">
        <v>165848214</v>
      </c>
      <c r="E107" s="94">
        <v>114469321</v>
      </c>
      <c r="F107" s="94">
        <v>7367331</v>
      </c>
      <c r="G107" s="94">
        <v>674132876</v>
      </c>
      <c r="H107" s="94">
        <v>261174258</v>
      </c>
      <c r="I107" s="94">
        <v>25885070</v>
      </c>
      <c r="J107" s="94">
        <v>52934953</v>
      </c>
      <c r="K107" s="94">
        <v>43654588</v>
      </c>
      <c r="L107" s="94">
        <v>10779616</v>
      </c>
    </row>
    <row r="108" spans="1:12">
      <c r="A108" s="140">
        <v>634</v>
      </c>
      <c r="B108" s="93" t="s">
        <v>117</v>
      </c>
      <c r="C108" s="94">
        <v>687184094</v>
      </c>
      <c r="D108" s="94">
        <v>164993500</v>
      </c>
      <c r="E108" s="94">
        <v>406438742</v>
      </c>
      <c r="F108" s="94">
        <v>42900399</v>
      </c>
      <c r="G108" s="94">
        <v>675971741</v>
      </c>
      <c r="H108" s="94">
        <v>272185773</v>
      </c>
      <c r="I108" s="94">
        <v>15916666</v>
      </c>
      <c r="J108" s="94">
        <v>106841603</v>
      </c>
      <c r="K108" s="94">
        <v>3565876</v>
      </c>
      <c r="L108" s="94">
        <v>7795097</v>
      </c>
    </row>
    <row r="109" spans="1:12">
      <c r="A109" s="140">
        <v>635</v>
      </c>
      <c r="B109" s="93" t="s">
        <v>118</v>
      </c>
      <c r="C109" s="94">
        <v>1666056503</v>
      </c>
      <c r="D109" s="94">
        <v>546951470</v>
      </c>
      <c r="E109" s="94">
        <v>874461935</v>
      </c>
      <c r="F109" s="94">
        <v>32570010</v>
      </c>
      <c r="G109" s="94">
        <v>2175045073</v>
      </c>
      <c r="H109" s="94">
        <v>378491016</v>
      </c>
      <c r="I109" s="94">
        <v>88951315</v>
      </c>
      <c r="J109" s="94">
        <v>253271011</v>
      </c>
      <c r="K109" s="94">
        <v>39969640</v>
      </c>
      <c r="L109" s="94">
        <v>45758205</v>
      </c>
    </row>
    <row r="110" spans="1:12">
      <c r="A110" s="140">
        <v>636</v>
      </c>
      <c r="B110" s="93" t="s">
        <v>119</v>
      </c>
      <c r="C110" s="94">
        <v>1532437</v>
      </c>
      <c r="D110" s="94">
        <v>205473</v>
      </c>
      <c r="E110" s="94">
        <v>797430</v>
      </c>
      <c r="F110" s="94">
        <v>45788</v>
      </c>
      <c r="G110" s="94">
        <v>847440</v>
      </c>
      <c r="H110" s="94">
        <v>292596</v>
      </c>
      <c r="I110" s="94">
        <v>15000</v>
      </c>
      <c r="J110" s="94">
        <v>2496</v>
      </c>
      <c r="K110" s="94">
        <v>14924</v>
      </c>
      <c r="L110" s="94">
        <v>694</v>
      </c>
    </row>
    <row r="111" spans="1:12">
      <c r="A111" s="140">
        <v>637</v>
      </c>
      <c r="B111" s="93" t="s">
        <v>120</v>
      </c>
      <c r="C111" s="94">
        <v>2671385081</v>
      </c>
      <c r="D111" s="94">
        <v>1487078200</v>
      </c>
      <c r="E111" s="94">
        <v>698172802</v>
      </c>
      <c r="F111" s="94">
        <v>160462723</v>
      </c>
      <c r="G111" s="94">
        <v>5611737511</v>
      </c>
      <c r="H111" s="94">
        <v>2662049625</v>
      </c>
      <c r="I111" s="94">
        <v>486112001</v>
      </c>
      <c r="J111" s="94">
        <v>382157827</v>
      </c>
      <c r="K111" s="94">
        <v>125536208</v>
      </c>
      <c r="L111" s="94">
        <v>68532070</v>
      </c>
    </row>
    <row r="112" spans="1:12">
      <c r="A112" s="140">
        <v>639</v>
      </c>
      <c r="B112" s="93" t="s">
        <v>121</v>
      </c>
      <c r="C112" s="94">
        <v>3133881571</v>
      </c>
      <c r="D112" s="94">
        <v>2196390930</v>
      </c>
      <c r="E112" s="94">
        <v>669365135</v>
      </c>
      <c r="F112" s="94">
        <v>31544253</v>
      </c>
      <c r="G112" s="94">
        <v>2628674635</v>
      </c>
      <c r="H112" s="94">
        <v>437961120</v>
      </c>
      <c r="I112" s="94">
        <v>110201562</v>
      </c>
      <c r="J112" s="94">
        <v>480529056</v>
      </c>
      <c r="K112" s="94">
        <v>239202137</v>
      </c>
      <c r="L112" s="94">
        <v>163175232</v>
      </c>
    </row>
    <row r="113" spans="1:12">
      <c r="A113" s="140">
        <v>711</v>
      </c>
      <c r="B113" s="93" t="s">
        <v>6</v>
      </c>
      <c r="C113" s="94">
        <v>71665369</v>
      </c>
      <c r="D113" s="94">
        <v>51879365</v>
      </c>
      <c r="E113" s="94">
        <v>10708912</v>
      </c>
      <c r="F113" s="94">
        <v>6772045</v>
      </c>
      <c r="G113" s="94">
        <v>151881151</v>
      </c>
      <c r="H113" s="94">
        <v>106730953</v>
      </c>
      <c r="I113" s="94">
        <v>1478</v>
      </c>
      <c r="J113" s="94">
        <v>10366915</v>
      </c>
      <c r="K113" s="94">
        <v>19464</v>
      </c>
      <c r="L113" s="94">
        <v>350896</v>
      </c>
    </row>
    <row r="114" spans="1:12">
      <c r="A114" s="140">
        <v>712</v>
      </c>
      <c r="B114" s="93" t="s">
        <v>122</v>
      </c>
      <c r="C114" s="94">
        <v>2264434400</v>
      </c>
      <c r="D114" s="94">
        <v>1908933592</v>
      </c>
      <c r="E114" s="94">
        <v>216632915</v>
      </c>
      <c r="F114" s="94">
        <v>51254055</v>
      </c>
      <c r="G114" s="94">
        <v>1770831366</v>
      </c>
      <c r="H114" s="94">
        <v>913650983</v>
      </c>
      <c r="I114" s="94">
        <v>10413149</v>
      </c>
      <c r="J114" s="94">
        <v>285772020</v>
      </c>
      <c r="K114" s="94">
        <v>213345111</v>
      </c>
      <c r="L114" s="94">
        <v>99069637</v>
      </c>
    </row>
    <row r="115" spans="1:12">
      <c r="A115" s="140">
        <v>721</v>
      </c>
      <c r="B115" s="93" t="s">
        <v>123</v>
      </c>
      <c r="C115" s="94">
        <v>720425925</v>
      </c>
      <c r="D115" s="94">
        <v>578295084</v>
      </c>
      <c r="E115" s="94">
        <v>84292430</v>
      </c>
      <c r="F115" s="94">
        <v>13841305</v>
      </c>
      <c r="G115" s="94">
        <v>723568913</v>
      </c>
      <c r="H115" s="94">
        <v>327226357</v>
      </c>
      <c r="I115" s="94">
        <v>5544685</v>
      </c>
      <c r="J115" s="94">
        <v>110255404</v>
      </c>
      <c r="K115" s="94">
        <v>122954855</v>
      </c>
      <c r="L115" s="94">
        <v>36505591</v>
      </c>
    </row>
    <row r="116" spans="1:12">
      <c r="A116" s="140">
        <v>722</v>
      </c>
      <c r="B116" s="93" t="s">
        <v>124</v>
      </c>
      <c r="C116" s="94">
        <v>258421032</v>
      </c>
      <c r="D116" s="94">
        <v>189698143</v>
      </c>
      <c r="E116" s="94">
        <v>28654683</v>
      </c>
      <c r="F116" s="94">
        <v>7001465</v>
      </c>
      <c r="G116" s="94">
        <v>256950659</v>
      </c>
      <c r="H116" s="94">
        <v>110627217</v>
      </c>
      <c r="I116" s="94">
        <v>1028631</v>
      </c>
      <c r="J116" s="94">
        <v>23128402</v>
      </c>
      <c r="K116" s="94">
        <v>42477156</v>
      </c>
      <c r="L116" s="94">
        <v>8313756</v>
      </c>
    </row>
    <row r="117" spans="1:12">
      <c r="A117" s="140">
        <v>730</v>
      </c>
      <c r="B117" s="93" t="s">
        <v>35</v>
      </c>
      <c r="C117" s="94">
        <v>674998417</v>
      </c>
      <c r="D117" s="94">
        <v>522805781</v>
      </c>
      <c r="E117" s="94">
        <v>93777511</v>
      </c>
      <c r="F117" s="94">
        <v>18809668</v>
      </c>
      <c r="G117" s="94">
        <v>742631839</v>
      </c>
      <c r="H117" s="94">
        <v>389989017</v>
      </c>
      <c r="I117" s="94">
        <v>4548892</v>
      </c>
      <c r="J117" s="94">
        <v>108567580</v>
      </c>
      <c r="K117" s="94">
        <v>112827111</v>
      </c>
      <c r="L117" s="94">
        <v>34681226</v>
      </c>
    </row>
    <row r="118" spans="1:12">
      <c r="A118" s="140">
        <v>740</v>
      </c>
      <c r="B118" s="93" t="s">
        <v>36</v>
      </c>
      <c r="C118" s="94">
        <v>301606239</v>
      </c>
      <c r="D118" s="94">
        <v>252701565</v>
      </c>
      <c r="E118" s="94">
        <v>14052750</v>
      </c>
      <c r="F118" s="94">
        <v>4808764</v>
      </c>
      <c r="G118" s="94">
        <v>248748623</v>
      </c>
      <c r="H118" s="94">
        <v>78712796</v>
      </c>
      <c r="I118" s="94">
        <v>771368</v>
      </c>
      <c r="J118" s="94">
        <v>36904067</v>
      </c>
      <c r="K118" s="94">
        <v>22508732</v>
      </c>
      <c r="L118" s="94">
        <v>20855267</v>
      </c>
    </row>
    <row r="119" spans="1:12">
      <c r="A119" s="140">
        <v>750</v>
      </c>
      <c r="B119" s="93" t="s">
        <v>37</v>
      </c>
      <c r="C119" s="94">
        <v>1751409470</v>
      </c>
      <c r="D119" s="94">
        <v>784384863</v>
      </c>
      <c r="E119" s="94">
        <v>798676738</v>
      </c>
      <c r="F119" s="94">
        <v>48331179</v>
      </c>
      <c r="G119" s="94">
        <v>1808236080</v>
      </c>
      <c r="H119" s="94">
        <v>550562679</v>
      </c>
      <c r="I119" s="94">
        <v>8157704</v>
      </c>
      <c r="J119" s="94">
        <v>133565151</v>
      </c>
      <c r="K119" s="94">
        <v>73240565</v>
      </c>
      <c r="L119" s="94">
        <v>60778517</v>
      </c>
    </row>
    <row r="120" spans="1:12">
      <c r="A120" s="140">
        <v>761</v>
      </c>
      <c r="B120" s="93" t="s">
        <v>125</v>
      </c>
      <c r="C120" s="94">
        <v>1162786838</v>
      </c>
      <c r="D120" s="94">
        <v>889800352</v>
      </c>
      <c r="E120" s="94">
        <v>163755794</v>
      </c>
      <c r="F120" s="94">
        <v>21492186</v>
      </c>
      <c r="G120" s="94">
        <v>1671999162</v>
      </c>
      <c r="H120" s="94">
        <v>613969367</v>
      </c>
      <c r="I120" s="94">
        <v>7077604</v>
      </c>
      <c r="J120" s="94">
        <v>145314316</v>
      </c>
      <c r="K120" s="94">
        <v>169191716</v>
      </c>
      <c r="L120" s="94">
        <v>47735484</v>
      </c>
    </row>
    <row r="121" spans="1:12">
      <c r="A121" s="140">
        <v>762</v>
      </c>
      <c r="B121" s="93" t="s">
        <v>126</v>
      </c>
      <c r="C121" s="94">
        <v>457551865</v>
      </c>
      <c r="D121" s="94">
        <v>348515316</v>
      </c>
      <c r="E121" s="94">
        <v>58362998</v>
      </c>
      <c r="F121" s="94">
        <v>3047533</v>
      </c>
      <c r="G121" s="94">
        <v>605768684</v>
      </c>
      <c r="H121" s="94">
        <v>193850031</v>
      </c>
      <c r="I121" s="94">
        <v>1691775</v>
      </c>
      <c r="J121" s="94">
        <v>47593560</v>
      </c>
      <c r="K121" s="94">
        <v>75153664</v>
      </c>
      <c r="L121" s="94">
        <v>19298474</v>
      </c>
    </row>
    <row r="122" spans="1:12">
      <c r="A122" s="140">
        <v>770</v>
      </c>
      <c r="B122" s="93" t="s">
        <v>39</v>
      </c>
      <c r="C122" s="94">
        <v>637163017</v>
      </c>
      <c r="D122" s="94">
        <v>481729873</v>
      </c>
      <c r="E122" s="94">
        <v>76452075</v>
      </c>
      <c r="F122" s="94">
        <v>9000260</v>
      </c>
      <c r="G122" s="94">
        <v>980164104</v>
      </c>
      <c r="H122" s="94">
        <v>223040100</v>
      </c>
      <c r="I122" s="94">
        <v>7217581</v>
      </c>
      <c r="J122" s="94">
        <v>105440801</v>
      </c>
      <c r="K122" s="94">
        <v>79136830</v>
      </c>
      <c r="L122" s="94">
        <v>46731477</v>
      </c>
    </row>
    <row r="123" spans="1:12">
      <c r="A123" s="140">
        <v>791</v>
      </c>
      <c r="B123" s="93" t="s">
        <v>127</v>
      </c>
      <c r="C123" s="94">
        <v>1706053771</v>
      </c>
      <c r="D123" s="94">
        <v>1021280822</v>
      </c>
      <c r="E123" s="94">
        <v>490501169</v>
      </c>
      <c r="F123" s="94">
        <v>28566389</v>
      </c>
      <c r="G123" s="94">
        <v>2650957330</v>
      </c>
      <c r="H123" s="94">
        <v>1169996645</v>
      </c>
      <c r="I123" s="94">
        <v>28946399</v>
      </c>
      <c r="J123" s="94">
        <v>247942922</v>
      </c>
      <c r="K123" s="94">
        <v>115200435</v>
      </c>
      <c r="L123" s="94">
        <v>84156668</v>
      </c>
    </row>
    <row r="124" spans="1:12">
      <c r="A124" s="140">
        <v>792</v>
      </c>
      <c r="B124" s="93" t="s">
        <v>128</v>
      </c>
      <c r="C124" s="94">
        <v>4539667000</v>
      </c>
      <c r="D124" s="94">
        <v>3106799000</v>
      </c>
      <c r="E124" s="94">
        <v>1103956000</v>
      </c>
      <c r="F124" s="94">
        <v>77362310</v>
      </c>
      <c r="G124" s="94">
        <v>6409352000</v>
      </c>
      <c r="H124" s="94">
        <v>2401781000</v>
      </c>
      <c r="I124" s="94">
        <v>277174900</v>
      </c>
      <c r="J124" s="94">
        <v>397475700</v>
      </c>
      <c r="K124" s="94">
        <v>474610200</v>
      </c>
      <c r="L124" s="94">
        <v>293579400</v>
      </c>
    </row>
    <row r="125" spans="1:12">
      <c r="A125" s="140">
        <v>793</v>
      </c>
      <c r="B125" s="93" t="s">
        <v>129</v>
      </c>
      <c r="C125" s="94">
        <v>157157924</v>
      </c>
      <c r="D125" s="94">
        <v>128278358</v>
      </c>
      <c r="E125" s="94">
        <v>17162693</v>
      </c>
      <c r="F125" s="94">
        <v>2957819</v>
      </c>
      <c r="G125" s="94">
        <v>188264557</v>
      </c>
      <c r="H125" s="94">
        <v>105284688</v>
      </c>
      <c r="I125" s="94">
        <v>2607059</v>
      </c>
      <c r="J125" s="94">
        <v>21388123</v>
      </c>
      <c r="K125" s="94">
        <v>20980895</v>
      </c>
      <c r="L125" s="94">
        <v>10359131</v>
      </c>
    </row>
    <row r="126" spans="1:12">
      <c r="A126" s="140">
        <v>794</v>
      </c>
      <c r="B126" s="93" t="s">
        <v>130</v>
      </c>
      <c r="C126" s="94">
        <v>1434367879</v>
      </c>
      <c r="D126" s="94">
        <v>1098768118</v>
      </c>
      <c r="E126" s="94">
        <v>202502776</v>
      </c>
      <c r="F126" s="94">
        <v>25350524</v>
      </c>
      <c r="G126" s="94">
        <v>1169562417</v>
      </c>
      <c r="H126" s="94">
        <v>438959425</v>
      </c>
      <c r="I126" s="94">
        <v>43688796</v>
      </c>
      <c r="J126" s="94">
        <v>216525861</v>
      </c>
      <c r="K126" s="94">
        <v>147367391</v>
      </c>
      <c r="L126" s="94">
        <v>96018907</v>
      </c>
    </row>
    <row r="127" spans="1:12">
      <c r="A127" s="140">
        <v>795</v>
      </c>
      <c r="B127" s="93" t="s">
        <v>131</v>
      </c>
      <c r="C127" s="94">
        <v>2865061987</v>
      </c>
      <c r="D127" s="94">
        <v>1723408910</v>
      </c>
      <c r="E127" s="94">
        <v>741149459</v>
      </c>
      <c r="F127" s="94">
        <v>67741354</v>
      </c>
      <c r="G127" s="94">
        <v>3871781466</v>
      </c>
      <c r="H127" s="94">
        <v>1132336898</v>
      </c>
      <c r="I127" s="94">
        <v>46495272</v>
      </c>
      <c r="J127" s="94">
        <v>365613571</v>
      </c>
      <c r="K127" s="94">
        <v>1247130912</v>
      </c>
      <c r="L127" s="94">
        <v>124145127</v>
      </c>
    </row>
    <row r="128" spans="1:12">
      <c r="A128" s="140">
        <v>799</v>
      </c>
      <c r="B128" s="93" t="s">
        <v>132</v>
      </c>
      <c r="C128" s="94">
        <v>2865061987</v>
      </c>
      <c r="D128" s="94">
        <v>1723408910</v>
      </c>
      <c r="E128" s="94">
        <v>741149459</v>
      </c>
      <c r="F128" s="94">
        <v>67741354</v>
      </c>
      <c r="G128" s="94">
        <v>3871781466</v>
      </c>
      <c r="H128" s="94">
        <v>1132336898</v>
      </c>
      <c r="I128" s="94">
        <v>46495272</v>
      </c>
      <c r="J128" s="94">
        <v>365613571</v>
      </c>
      <c r="K128" s="94">
        <v>1247130912</v>
      </c>
      <c r="L128" s="94">
        <v>124145127</v>
      </c>
    </row>
    <row r="129" spans="1:12">
      <c r="A129" s="140">
        <v>811</v>
      </c>
      <c r="B129" s="93" t="s">
        <v>133</v>
      </c>
      <c r="C129" s="94">
        <v>1764657234</v>
      </c>
      <c r="D129" s="94">
        <v>737712894</v>
      </c>
      <c r="E129" s="94">
        <v>575581958</v>
      </c>
      <c r="F129" s="94">
        <v>13557660</v>
      </c>
      <c r="G129" s="94">
        <v>3622979479</v>
      </c>
      <c r="H129" s="94">
        <v>973593760</v>
      </c>
      <c r="I129" s="94">
        <v>1472303137</v>
      </c>
      <c r="J129" s="94">
        <v>365506312</v>
      </c>
      <c r="K129" s="94">
        <v>129482674</v>
      </c>
      <c r="L129" s="94">
        <v>114069000</v>
      </c>
    </row>
    <row r="130" spans="1:12">
      <c r="A130" s="140">
        <v>812</v>
      </c>
      <c r="B130" s="93" t="s">
        <v>134</v>
      </c>
      <c r="C130" s="94">
        <v>1085199882</v>
      </c>
      <c r="D130" s="94">
        <v>488395161</v>
      </c>
      <c r="E130" s="94">
        <v>306815432</v>
      </c>
      <c r="F130" s="94">
        <v>8859285</v>
      </c>
      <c r="G130" s="94">
        <v>1713575715</v>
      </c>
      <c r="H130" s="94">
        <v>329898888</v>
      </c>
      <c r="I130" s="94">
        <v>11574940</v>
      </c>
      <c r="J130" s="94">
        <v>203157277</v>
      </c>
      <c r="K130" s="94">
        <v>64495346</v>
      </c>
      <c r="L130" s="94">
        <v>54052864</v>
      </c>
    </row>
    <row r="131" spans="1:12">
      <c r="A131" s="140">
        <v>821</v>
      </c>
      <c r="B131" s="93" t="s">
        <v>146</v>
      </c>
      <c r="C131" s="94">
        <v>1801555177</v>
      </c>
      <c r="D131" s="94">
        <v>1114279435</v>
      </c>
      <c r="E131" s="94">
        <v>455495254</v>
      </c>
      <c r="F131" s="94">
        <v>9690059</v>
      </c>
      <c r="G131" s="94">
        <v>1877091577</v>
      </c>
      <c r="H131" s="94">
        <v>393594487</v>
      </c>
      <c r="I131" s="94">
        <v>12604715</v>
      </c>
      <c r="J131" s="94">
        <v>130320935</v>
      </c>
      <c r="K131" s="94">
        <v>171978977</v>
      </c>
      <c r="L131" s="94">
        <v>69037536</v>
      </c>
    </row>
    <row r="132" spans="1:12">
      <c r="A132" s="140">
        <v>822</v>
      </c>
      <c r="B132" s="93" t="s">
        <v>146</v>
      </c>
      <c r="C132" s="94"/>
      <c r="D132" s="94"/>
      <c r="E132" s="94"/>
      <c r="F132" s="94"/>
      <c r="G132" s="94"/>
      <c r="H132" s="94"/>
      <c r="I132" s="94"/>
      <c r="J132" s="94"/>
      <c r="K132" s="94"/>
      <c r="L132" s="94"/>
    </row>
    <row r="133" spans="1:12">
      <c r="A133" s="140">
        <v>911</v>
      </c>
      <c r="B133" s="93" t="s">
        <v>135</v>
      </c>
      <c r="C133" s="94">
        <v>199911916</v>
      </c>
      <c r="D133" s="94">
        <v>140983652</v>
      </c>
      <c r="E133" s="94">
        <v>39057641</v>
      </c>
      <c r="F133" s="94">
        <v>4258129</v>
      </c>
      <c r="G133" s="94">
        <v>262253906</v>
      </c>
      <c r="H133" s="94">
        <v>92357222</v>
      </c>
      <c r="I133" s="94">
        <v>2967578</v>
      </c>
      <c r="J133" s="94">
        <v>40798747</v>
      </c>
      <c r="K133" s="94">
        <v>18026479</v>
      </c>
      <c r="L133" s="94">
        <v>21009873</v>
      </c>
    </row>
    <row r="134" spans="1:12">
      <c r="A134" s="140">
        <v>912</v>
      </c>
      <c r="B134" s="93" t="s">
        <v>136</v>
      </c>
      <c r="C134" s="94">
        <v>1052577897</v>
      </c>
      <c r="D134" s="94">
        <v>618062222</v>
      </c>
      <c r="E134" s="94">
        <v>306828195</v>
      </c>
      <c r="F134" s="94">
        <v>16364327</v>
      </c>
      <c r="G134" s="94">
        <v>1050073717</v>
      </c>
      <c r="H134" s="94">
        <v>275000127</v>
      </c>
      <c r="I134" s="94">
        <v>101995032</v>
      </c>
      <c r="J134" s="94">
        <v>156751197</v>
      </c>
      <c r="K134" s="94">
        <v>71817702</v>
      </c>
      <c r="L134" s="94">
        <v>58295294</v>
      </c>
    </row>
    <row r="135" spans="1:12">
      <c r="A135" s="140">
        <v>913</v>
      </c>
      <c r="B135" s="93" t="s">
        <v>137</v>
      </c>
      <c r="C135" s="94">
        <v>11333550478</v>
      </c>
      <c r="D135" s="94">
        <v>8545853734</v>
      </c>
      <c r="E135" s="94">
        <v>1394996073</v>
      </c>
      <c r="F135" s="94">
        <v>369766625</v>
      </c>
      <c r="G135" s="94">
        <v>14378265690</v>
      </c>
      <c r="H135" s="94">
        <v>6883491575</v>
      </c>
      <c r="I135" s="94">
        <v>114174519</v>
      </c>
      <c r="J135" s="94">
        <v>2496141155</v>
      </c>
      <c r="K135" s="94">
        <v>1114186742</v>
      </c>
      <c r="L135" s="94">
        <v>946552900</v>
      </c>
    </row>
    <row r="136" spans="1:12">
      <c r="A136" s="140">
        <v>914</v>
      </c>
      <c r="B136" s="93" t="s">
        <v>138</v>
      </c>
      <c r="C136" s="94">
        <v>5623752391</v>
      </c>
      <c r="D136" s="94">
        <v>3050136157</v>
      </c>
      <c r="E136" s="94">
        <v>1840861295</v>
      </c>
      <c r="F136" s="94">
        <v>63500185</v>
      </c>
      <c r="G136" s="94">
        <v>5106966848</v>
      </c>
      <c r="H136" s="94">
        <v>1419587367</v>
      </c>
      <c r="I136" s="94">
        <v>52832682</v>
      </c>
      <c r="J136" s="94">
        <v>598180558</v>
      </c>
      <c r="K136" s="94">
        <v>505275234</v>
      </c>
      <c r="L136" s="94">
        <v>346264247</v>
      </c>
    </row>
    <row r="137" spans="1:12">
      <c r="A137" s="140">
        <v>915</v>
      </c>
      <c r="B137" s="93" t="s">
        <v>139</v>
      </c>
      <c r="C137" s="94">
        <v>6503151767</v>
      </c>
      <c r="D137" s="94">
        <v>5038504540</v>
      </c>
      <c r="E137" s="94">
        <v>655222216</v>
      </c>
      <c r="F137" s="94">
        <v>149299652</v>
      </c>
      <c r="G137" s="94">
        <v>9479923105</v>
      </c>
      <c r="H137" s="94">
        <v>3940791646</v>
      </c>
      <c r="I137" s="94">
        <v>145202898</v>
      </c>
      <c r="J137" s="94">
        <v>1393115107</v>
      </c>
      <c r="K137" s="94">
        <v>615670381</v>
      </c>
      <c r="L137" s="94">
        <v>535213636</v>
      </c>
    </row>
    <row r="138" spans="1:12">
      <c r="A138" s="140">
        <v>919</v>
      </c>
      <c r="B138" s="93" t="s">
        <v>140</v>
      </c>
      <c r="C138" s="94">
        <v>1862634523</v>
      </c>
      <c r="D138" s="94">
        <v>1354422788</v>
      </c>
      <c r="E138" s="94">
        <v>258138804</v>
      </c>
      <c r="F138" s="94">
        <v>37207281</v>
      </c>
      <c r="G138" s="94">
        <v>2712229068</v>
      </c>
      <c r="H138" s="94">
        <v>860161786</v>
      </c>
      <c r="I138" s="94">
        <v>50402188</v>
      </c>
      <c r="J138" s="94">
        <v>350901159</v>
      </c>
      <c r="K138" s="94">
        <v>231706966</v>
      </c>
      <c r="L138" s="94">
        <v>147345722</v>
      </c>
    </row>
    <row r="139" spans="1:12">
      <c r="A139" s="140">
        <v>921</v>
      </c>
      <c r="B139" s="93" t="s">
        <v>141</v>
      </c>
      <c r="C139" s="94">
        <v>341366701</v>
      </c>
      <c r="D139" s="94">
        <v>165848214</v>
      </c>
      <c r="E139" s="94">
        <v>114469321</v>
      </c>
      <c r="F139" s="94">
        <v>7367331</v>
      </c>
      <c r="G139" s="94">
        <v>674132876</v>
      </c>
      <c r="H139" s="94">
        <v>261174258</v>
      </c>
      <c r="I139" s="94">
        <v>25885070</v>
      </c>
      <c r="J139" s="94">
        <v>52934953</v>
      </c>
      <c r="K139" s="94">
        <v>43654588</v>
      </c>
      <c r="L139" s="94">
        <v>10779616</v>
      </c>
    </row>
    <row r="140" spans="1:12">
      <c r="A140" s="140">
        <v>922</v>
      </c>
      <c r="B140" s="93" t="s">
        <v>142</v>
      </c>
      <c r="C140" s="94">
        <v>15280512522</v>
      </c>
      <c r="D140" s="94">
        <v>3734423632</v>
      </c>
      <c r="E140" s="94">
        <v>8510250857</v>
      </c>
      <c r="F140" s="94">
        <v>346839879</v>
      </c>
      <c r="G140" s="94">
        <v>38197294221</v>
      </c>
      <c r="H140" s="94">
        <v>3517180352</v>
      </c>
      <c r="I140" s="94">
        <v>4611076150</v>
      </c>
      <c r="J140" s="94">
        <v>2850685492</v>
      </c>
      <c r="K140" s="94">
        <v>430879962</v>
      </c>
      <c r="L140" s="94">
        <v>546750921</v>
      </c>
    </row>
    <row r="141" spans="1:12">
      <c r="A141" s="140">
        <v>923</v>
      </c>
      <c r="B141" s="93" t="s">
        <v>143</v>
      </c>
      <c r="C141" s="94">
        <v>687184094</v>
      </c>
      <c r="D141" s="94">
        <v>164993500</v>
      </c>
      <c r="E141" s="94">
        <v>406438742</v>
      </c>
      <c r="F141" s="94">
        <v>42900399</v>
      </c>
      <c r="G141" s="94">
        <v>675971741</v>
      </c>
      <c r="H141" s="94">
        <v>272185773</v>
      </c>
      <c r="I141" s="94">
        <v>15916666</v>
      </c>
      <c r="J141" s="94">
        <v>106841603</v>
      </c>
      <c r="K141" s="94">
        <v>3565876</v>
      </c>
      <c r="L141" s="94">
        <v>7795097</v>
      </c>
    </row>
    <row r="142" spans="1:12">
      <c r="A142" s="140">
        <v>924</v>
      </c>
      <c r="B142" s="93" t="s">
        <v>144</v>
      </c>
      <c r="C142" s="94">
        <v>2671385081</v>
      </c>
      <c r="D142" s="94">
        <v>1487078200</v>
      </c>
      <c r="E142" s="94">
        <v>698172802</v>
      </c>
      <c r="F142" s="94">
        <v>160462723</v>
      </c>
      <c r="G142" s="94">
        <v>5611737511</v>
      </c>
      <c r="H142" s="94">
        <v>2662049625</v>
      </c>
      <c r="I142" s="94">
        <v>486112001</v>
      </c>
      <c r="J142" s="94">
        <v>382157827</v>
      </c>
      <c r="K142" s="94">
        <v>125536208</v>
      </c>
      <c r="L142" s="94">
        <v>68532070</v>
      </c>
    </row>
    <row r="143" spans="1:12">
      <c r="A143" s="140">
        <v>929</v>
      </c>
      <c r="B143" s="93" t="s">
        <v>145</v>
      </c>
      <c r="C143" s="94">
        <v>379402682</v>
      </c>
      <c r="D143" s="94">
        <v>85320137</v>
      </c>
      <c r="E143" s="94">
        <v>257774455</v>
      </c>
      <c r="F143" s="94">
        <v>7219599</v>
      </c>
      <c r="G143" s="94">
        <v>381179957</v>
      </c>
      <c r="H143" s="94">
        <v>105591275</v>
      </c>
      <c r="I143" s="94">
        <v>24069324</v>
      </c>
      <c r="J143" s="94">
        <v>36150873</v>
      </c>
      <c r="K143" s="94">
        <v>5282098</v>
      </c>
      <c r="L143" s="94">
        <v>8496477</v>
      </c>
    </row>
  </sheetData>
  <mergeCells count="3">
    <mergeCell ref="C1:E1"/>
    <mergeCell ref="G1:I1"/>
    <mergeCell ref="J1:L1"/>
  </mergeCells>
  <phoneticPr fontId="11"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dimension ref="A1:O143"/>
  <sheetViews>
    <sheetView workbookViewId="0">
      <selection activeCell="B112" sqref="B112"/>
    </sheetView>
  </sheetViews>
  <sheetFormatPr defaultRowHeight="13.5"/>
  <cols>
    <col min="1" max="1" width="8.88671875" style="89"/>
    <col min="2" max="2" width="42.5546875" style="89" customWidth="1"/>
    <col min="3" max="4" width="12.5546875" style="95" bestFit="1" customWidth="1"/>
    <col min="5" max="5" width="11.6640625" style="95" bestFit="1" customWidth="1"/>
    <col min="6" max="6" width="10.88671875" style="95" bestFit="1" customWidth="1"/>
    <col min="7" max="8" width="12.5546875" style="95" bestFit="1" customWidth="1"/>
    <col min="9" max="9" width="10.88671875" style="95" bestFit="1" customWidth="1"/>
    <col min="10" max="12" width="11.6640625" style="95" bestFit="1" customWidth="1"/>
    <col min="13" max="16384" width="8.88671875" style="89"/>
  </cols>
  <sheetData>
    <row r="1" spans="1:15" ht="16.5" customHeight="1">
      <c r="C1" s="1407" t="s">
        <v>1589</v>
      </c>
      <c r="D1" s="1407"/>
      <c r="E1" s="1407"/>
      <c r="F1" s="90" t="s">
        <v>1590</v>
      </c>
      <c r="G1" s="1407" t="s">
        <v>1591</v>
      </c>
      <c r="H1" s="1407"/>
      <c r="I1" s="1407"/>
      <c r="J1" s="1408" t="s">
        <v>1592</v>
      </c>
      <c r="K1" s="1409"/>
      <c r="L1" s="1410"/>
      <c r="M1" s="89" t="s">
        <v>16</v>
      </c>
    </row>
    <row r="2" spans="1:15">
      <c r="A2" s="91" t="s">
        <v>1593</v>
      </c>
      <c r="B2" s="91" t="s">
        <v>1594</v>
      </c>
      <c r="C2" s="96" t="s">
        <v>1595</v>
      </c>
      <c r="D2" s="96" t="s">
        <v>1596</v>
      </c>
      <c r="E2" s="96" t="s">
        <v>1597</v>
      </c>
      <c r="F2" s="96" t="s">
        <v>1598</v>
      </c>
      <c r="G2" s="92" t="s">
        <v>1599</v>
      </c>
      <c r="H2" s="92" t="s">
        <v>1600</v>
      </c>
      <c r="I2" s="92" t="s">
        <v>1601</v>
      </c>
      <c r="J2" s="92" t="s">
        <v>1602</v>
      </c>
      <c r="K2" s="92" t="s">
        <v>1603</v>
      </c>
      <c r="L2" s="92" t="s">
        <v>1604</v>
      </c>
      <c r="M2" s="89" t="s">
        <v>1607</v>
      </c>
      <c r="N2" s="89" t="s">
        <v>1609</v>
      </c>
      <c r="O2" s="89" t="s">
        <v>1611</v>
      </c>
    </row>
    <row r="3" spans="1:15">
      <c r="A3" s="140">
        <v>11</v>
      </c>
      <c r="B3" s="93" t="s">
        <v>18</v>
      </c>
      <c r="C3" s="94">
        <v>822857540</v>
      </c>
      <c r="D3" s="94">
        <v>658599130</v>
      </c>
      <c r="E3" s="94">
        <v>130081506</v>
      </c>
      <c r="F3" s="94">
        <v>16803239</v>
      </c>
      <c r="G3" s="94">
        <v>1174922548</v>
      </c>
      <c r="H3" s="94">
        <v>621970967</v>
      </c>
      <c r="I3" s="94">
        <v>13724265</v>
      </c>
      <c r="J3" s="94">
        <v>128395661</v>
      </c>
      <c r="K3" s="94">
        <v>179150450</v>
      </c>
      <c r="L3" s="94">
        <v>48489649</v>
      </c>
    </row>
    <row r="4" spans="1:15">
      <c r="A4" s="140">
        <v>12</v>
      </c>
      <c r="B4" s="93" t="s">
        <v>2</v>
      </c>
      <c r="C4" s="94">
        <v>2285549927</v>
      </c>
      <c r="D4" s="94">
        <v>2002956601</v>
      </c>
      <c r="E4" s="94">
        <v>181075359</v>
      </c>
      <c r="F4" s="94">
        <v>54911006</v>
      </c>
      <c r="G4" s="94">
        <v>2613244019</v>
      </c>
      <c r="H4" s="94">
        <v>1529063894</v>
      </c>
      <c r="I4" s="94">
        <v>13897880</v>
      </c>
      <c r="J4" s="94">
        <v>215094910</v>
      </c>
      <c r="K4" s="94">
        <v>412108898</v>
      </c>
      <c r="L4" s="94">
        <v>308664188</v>
      </c>
    </row>
    <row r="5" spans="1:15">
      <c r="A5" s="140">
        <v>21</v>
      </c>
      <c r="B5" s="93" t="s">
        <v>19</v>
      </c>
      <c r="C5" s="94">
        <v>47651679956</v>
      </c>
      <c r="D5" s="94">
        <v>32827767510</v>
      </c>
      <c r="E5" s="94">
        <v>11206476977</v>
      </c>
      <c r="F5" s="94">
        <v>611459608</v>
      </c>
      <c r="G5" s="94">
        <v>52178223532</v>
      </c>
      <c r="H5" s="94">
        <v>17144928412</v>
      </c>
      <c r="I5" s="94">
        <v>1260034053</v>
      </c>
      <c r="J5" s="94">
        <v>10301174016</v>
      </c>
      <c r="K5" s="94">
        <v>7261450706</v>
      </c>
      <c r="L5" s="94">
        <v>3844878512</v>
      </c>
    </row>
    <row r="6" spans="1:15">
      <c r="A6" s="140">
        <v>22</v>
      </c>
      <c r="B6" s="93" t="s">
        <v>20</v>
      </c>
      <c r="C6" s="94">
        <v>116868949378</v>
      </c>
      <c r="D6" s="94">
        <v>93419695295</v>
      </c>
      <c r="E6" s="94">
        <v>17361362069</v>
      </c>
      <c r="F6" s="94">
        <v>2441224814</v>
      </c>
      <c r="G6" s="94">
        <v>123188410890</v>
      </c>
      <c r="H6" s="94">
        <v>48506917578</v>
      </c>
      <c r="I6" s="94">
        <v>2616858619</v>
      </c>
      <c r="J6" s="94">
        <v>24409446609</v>
      </c>
      <c r="K6" s="94">
        <v>14478704460</v>
      </c>
      <c r="L6" s="94">
        <v>11191259334</v>
      </c>
    </row>
    <row r="7" spans="1:15">
      <c r="A7" s="140">
        <v>23</v>
      </c>
      <c r="B7" s="93" t="s">
        <v>21</v>
      </c>
      <c r="C7" s="94">
        <v>80223189616</v>
      </c>
      <c r="D7" s="94">
        <v>52380197993</v>
      </c>
      <c r="E7" s="94">
        <v>24856252673</v>
      </c>
      <c r="F7" s="94">
        <v>1373550263</v>
      </c>
      <c r="G7" s="94">
        <v>114837836325</v>
      </c>
      <c r="H7" s="94">
        <v>17379452311</v>
      </c>
      <c r="I7" s="94">
        <v>7316721165</v>
      </c>
      <c r="J7" s="94">
        <v>19576854649</v>
      </c>
      <c r="K7" s="94">
        <v>3254960102</v>
      </c>
      <c r="L7" s="94">
        <v>7376131994</v>
      </c>
    </row>
    <row r="8" spans="1:15">
      <c r="A8" s="140">
        <v>31</v>
      </c>
      <c r="B8" s="93" t="s">
        <v>22</v>
      </c>
      <c r="C8" s="94">
        <v>11170359</v>
      </c>
      <c r="D8" s="94">
        <v>6346090</v>
      </c>
      <c r="E8" s="94">
        <v>4606336</v>
      </c>
      <c r="F8" s="94">
        <v>183565</v>
      </c>
      <c r="G8" s="94">
        <v>23720376</v>
      </c>
      <c r="H8" s="94">
        <v>7657099</v>
      </c>
      <c r="I8" s="94">
        <v>28000</v>
      </c>
      <c r="J8" s="94">
        <v>404008</v>
      </c>
      <c r="K8" s="94">
        <v>3564005</v>
      </c>
      <c r="L8" s="94">
        <v>291232</v>
      </c>
    </row>
    <row r="9" spans="1:15">
      <c r="A9" s="140">
        <v>39</v>
      </c>
      <c r="B9" s="93" t="s">
        <v>23</v>
      </c>
      <c r="C9" s="94">
        <v>1593735</v>
      </c>
      <c r="D9" s="94">
        <v>1481696</v>
      </c>
      <c r="E9" s="94">
        <v>43156</v>
      </c>
      <c r="F9" s="94">
        <v>0</v>
      </c>
      <c r="G9" s="94">
        <v>765337</v>
      </c>
      <c r="H9" s="94">
        <v>0</v>
      </c>
      <c r="I9" s="94">
        <v>2500</v>
      </c>
      <c r="J9" s="94">
        <v>461370</v>
      </c>
      <c r="K9" s="94">
        <v>72815</v>
      </c>
      <c r="L9" s="94">
        <v>75000</v>
      </c>
    </row>
    <row r="10" spans="1:15">
      <c r="A10" s="140">
        <v>41</v>
      </c>
      <c r="B10" s="93" t="s">
        <v>24</v>
      </c>
      <c r="C10" s="94">
        <v>9894191478</v>
      </c>
      <c r="D10" s="94">
        <v>8041330490</v>
      </c>
      <c r="E10" s="94">
        <v>1348896796</v>
      </c>
      <c r="F10" s="94">
        <v>126734095</v>
      </c>
      <c r="G10" s="94">
        <v>8643124954</v>
      </c>
      <c r="H10" s="94">
        <v>3861202837</v>
      </c>
      <c r="I10" s="94">
        <v>50441298</v>
      </c>
      <c r="J10" s="94">
        <v>1405895163</v>
      </c>
      <c r="K10" s="94">
        <v>1059932349</v>
      </c>
      <c r="L10" s="94">
        <v>911812677</v>
      </c>
    </row>
    <row r="11" spans="1:15">
      <c r="A11" s="140">
        <v>42</v>
      </c>
      <c r="B11" s="93" t="s">
        <v>25</v>
      </c>
      <c r="C11" s="94">
        <v>14404221757</v>
      </c>
      <c r="D11" s="94">
        <v>10989705904</v>
      </c>
      <c r="E11" s="94">
        <v>2648667197</v>
      </c>
      <c r="F11" s="94">
        <v>218876207</v>
      </c>
      <c r="G11" s="94">
        <v>14724202874</v>
      </c>
      <c r="H11" s="94">
        <v>6764462328</v>
      </c>
      <c r="I11" s="94">
        <v>114224040</v>
      </c>
      <c r="J11" s="94">
        <v>2404702805</v>
      </c>
      <c r="K11" s="94">
        <v>1751554681</v>
      </c>
      <c r="L11" s="94">
        <v>1139801069</v>
      </c>
    </row>
    <row r="12" spans="1:15">
      <c r="A12" s="140">
        <v>43</v>
      </c>
      <c r="B12" s="93" t="s">
        <v>26</v>
      </c>
      <c r="C12" s="94">
        <v>30865628520</v>
      </c>
      <c r="D12" s="94">
        <v>25749739946</v>
      </c>
      <c r="E12" s="94">
        <v>3793829476</v>
      </c>
      <c r="F12" s="94">
        <v>670702343</v>
      </c>
      <c r="G12" s="94">
        <v>31437535971</v>
      </c>
      <c r="H12" s="94">
        <v>12081772076</v>
      </c>
      <c r="I12" s="94">
        <v>784313676</v>
      </c>
      <c r="J12" s="94">
        <v>6502068444</v>
      </c>
      <c r="K12" s="94">
        <v>4010811216</v>
      </c>
      <c r="L12" s="94">
        <v>3245705268</v>
      </c>
    </row>
    <row r="13" spans="1:15">
      <c r="A13" s="140">
        <v>44</v>
      </c>
      <c r="B13" s="93" t="s">
        <v>27</v>
      </c>
      <c r="C13" s="94">
        <v>55927444363</v>
      </c>
      <c r="D13" s="94">
        <v>35039554566</v>
      </c>
      <c r="E13" s="94">
        <v>18456785370</v>
      </c>
      <c r="F13" s="94">
        <v>1035213288</v>
      </c>
      <c r="G13" s="94">
        <v>66949605008</v>
      </c>
      <c r="H13" s="94">
        <v>11577291114</v>
      </c>
      <c r="I13" s="94">
        <v>5707224994</v>
      </c>
      <c r="J13" s="94">
        <v>10178892388</v>
      </c>
      <c r="K13" s="94">
        <v>2333807595</v>
      </c>
      <c r="L13" s="94">
        <v>4321784252</v>
      </c>
    </row>
    <row r="14" spans="1:15">
      <c r="A14" s="140">
        <v>51</v>
      </c>
      <c r="B14" s="93" t="s">
        <v>28</v>
      </c>
      <c r="C14" s="94">
        <v>1965699809</v>
      </c>
      <c r="D14" s="94">
        <v>1794202881</v>
      </c>
      <c r="E14" s="94">
        <v>197937467</v>
      </c>
      <c r="F14" s="94">
        <v>17471073</v>
      </c>
      <c r="G14" s="94">
        <v>2824873258</v>
      </c>
      <c r="H14" s="94">
        <v>918857479</v>
      </c>
      <c r="I14" s="94">
        <v>2914343</v>
      </c>
      <c r="J14" s="94">
        <v>192570721</v>
      </c>
      <c r="K14" s="94">
        <v>255685203</v>
      </c>
      <c r="L14" s="94">
        <v>102854497</v>
      </c>
    </row>
    <row r="15" spans="1:15">
      <c r="A15" s="140">
        <v>52</v>
      </c>
      <c r="B15" s="93" t="s">
        <v>29</v>
      </c>
      <c r="C15" s="94">
        <v>78988885</v>
      </c>
      <c r="D15" s="94">
        <v>65552193</v>
      </c>
      <c r="E15" s="94">
        <v>9426077</v>
      </c>
      <c r="F15" s="94">
        <v>1917641</v>
      </c>
      <c r="G15" s="94">
        <v>104078789</v>
      </c>
      <c r="H15" s="94">
        <v>33416111</v>
      </c>
      <c r="I15" s="94">
        <v>1667408</v>
      </c>
      <c r="J15" s="94">
        <v>11512154</v>
      </c>
      <c r="K15" s="94">
        <v>35118118</v>
      </c>
      <c r="L15" s="94">
        <v>2420609</v>
      </c>
    </row>
    <row r="16" spans="1:15">
      <c r="A16" s="140">
        <v>61</v>
      </c>
      <c r="B16" s="93" t="s">
        <v>30</v>
      </c>
      <c r="C16" s="94">
        <v>73783859971</v>
      </c>
      <c r="D16" s="94">
        <v>62018965893</v>
      </c>
      <c r="E16" s="94">
        <v>5852088678</v>
      </c>
      <c r="F16" s="94">
        <v>295037773</v>
      </c>
      <c r="G16" s="94">
        <v>66730622302</v>
      </c>
      <c r="H16" s="94">
        <v>26343148283</v>
      </c>
      <c r="I16" s="94">
        <v>723430087</v>
      </c>
      <c r="J16" s="94">
        <v>9141235376</v>
      </c>
      <c r="K16" s="94">
        <v>6492565520</v>
      </c>
      <c r="L16" s="94">
        <v>4659236388</v>
      </c>
    </row>
    <row r="17" spans="1:12">
      <c r="A17" s="140">
        <v>62</v>
      </c>
      <c r="B17" s="93" t="s">
        <v>31</v>
      </c>
      <c r="C17" s="94">
        <v>296709028379</v>
      </c>
      <c r="D17" s="94">
        <v>259030032763</v>
      </c>
      <c r="E17" s="94">
        <v>32414038648</v>
      </c>
      <c r="F17" s="94">
        <v>4769098793</v>
      </c>
      <c r="G17" s="94">
        <v>323957772211</v>
      </c>
      <c r="H17" s="94">
        <v>114842566670</v>
      </c>
      <c r="I17" s="94">
        <v>5673486478</v>
      </c>
      <c r="J17" s="94">
        <v>69585736709</v>
      </c>
      <c r="K17" s="94">
        <v>32685443699</v>
      </c>
      <c r="L17" s="94">
        <v>31066488024</v>
      </c>
    </row>
    <row r="18" spans="1:12">
      <c r="A18" s="140">
        <v>63</v>
      </c>
      <c r="B18" s="93" t="s">
        <v>32</v>
      </c>
      <c r="C18" s="94">
        <v>83873170097</v>
      </c>
      <c r="D18" s="94">
        <v>55468008346</v>
      </c>
      <c r="E18" s="94">
        <v>24841773620</v>
      </c>
      <c r="F18" s="94">
        <v>1351844900</v>
      </c>
      <c r="G18" s="94">
        <v>87741532705</v>
      </c>
      <c r="H18" s="94">
        <v>14871510436</v>
      </c>
      <c r="I18" s="94">
        <v>6929154943</v>
      </c>
      <c r="J18" s="94">
        <v>16747361904</v>
      </c>
      <c r="K18" s="94">
        <v>3116788917</v>
      </c>
      <c r="L18" s="94">
        <v>6871989701</v>
      </c>
    </row>
    <row r="19" spans="1:12">
      <c r="A19" s="140">
        <v>71</v>
      </c>
      <c r="B19" s="93" t="s">
        <v>33</v>
      </c>
      <c r="C19" s="94">
        <v>12720567866</v>
      </c>
      <c r="D19" s="94">
        <v>11404189561</v>
      </c>
      <c r="E19" s="94">
        <v>1060675511</v>
      </c>
      <c r="F19" s="94">
        <v>147332854</v>
      </c>
      <c r="G19" s="94">
        <v>6030729509</v>
      </c>
      <c r="H19" s="94">
        <v>2576557469</v>
      </c>
      <c r="I19" s="94">
        <v>36458858</v>
      </c>
      <c r="J19" s="94">
        <v>1085912034</v>
      </c>
      <c r="K19" s="94">
        <v>904928400</v>
      </c>
      <c r="L19" s="94">
        <v>481464995</v>
      </c>
    </row>
    <row r="20" spans="1:12">
      <c r="A20" s="140">
        <v>72</v>
      </c>
      <c r="B20" s="93" t="s">
        <v>34</v>
      </c>
      <c r="C20" s="94">
        <v>5738778781</v>
      </c>
      <c r="D20" s="94">
        <v>4688079021</v>
      </c>
      <c r="E20" s="94">
        <v>854598630</v>
      </c>
      <c r="F20" s="94">
        <v>60548344</v>
      </c>
      <c r="G20" s="94">
        <v>4080041047</v>
      </c>
      <c r="H20" s="94">
        <v>1488993433</v>
      </c>
      <c r="I20" s="94">
        <v>33899196</v>
      </c>
      <c r="J20" s="94">
        <v>576151715</v>
      </c>
      <c r="K20" s="94">
        <v>853624781</v>
      </c>
      <c r="L20" s="94">
        <v>326766179</v>
      </c>
    </row>
    <row r="21" spans="1:12">
      <c r="A21" s="140">
        <v>73</v>
      </c>
      <c r="B21" s="93" t="s">
        <v>35</v>
      </c>
      <c r="C21" s="94">
        <v>2794353134</v>
      </c>
      <c r="D21" s="94">
        <v>2265807768</v>
      </c>
      <c r="E21" s="94">
        <v>435984838</v>
      </c>
      <c r="F21" s="94">
        <v>56332982</v>
      </c>
      <c r="G21" s="94">
        <v>2203026518</v>
      </c>
      <c r="H21" s="94">
        <v>925394455</v>
      </c>
      <c r="I21" s="94">
        <v>144448203</v>
      </c>
      <c r="J21" s="94">
        <v>330210594</v>
      </c>
      <c r="K21" s="94">
        <v>379576263</v>
      </c>
      <c r="L21" s="94">
        <v>157412647</v>
      </c>
    </row>
    <row r="22" spans="1:12">
      <c r="A22" s="140">
        <v>74</v>
      </c>
      <c r="B22" s="93" t="s">
        <v>36</v>
      </c>
      <c r="C22" s="94">
        <v>1485516584</v>
      </c>
      <c r="D22" s="94">
        <v>1287552046</v>
      </c>
      <c r="E22" s="94">
        <v>142811011</v>
      </c>
      <c r="F22" s="94">
        <v>14788938</v>
      </c>
      <c r="G22" s="94">
        <v>1006928314</v>
      </c>
      <c r="H22" s="94">
        <v>291964324</v>
      </c>
      <c r="I22" s="94">
        <v>7658047</v>
      </c>
      <c r="J22" s="94">
        <v>151282195</v>
      </c>
      <c r="K22" s="94">
        <v>188428749</v>
      </c>
      <c r="L22" s="94">
        <v>107113559</v>
      </c>
    </row>
    <row r="23" spans="1:12">
      <c r="A23" s="140">
        <v>75</v>
      </c>
      <c r="B23" s="93" t="s">
        <v>37</v>
      </c>
      <c r="C23" s="94">
        <v>6209155454</v>
      </c>
      <c r="D23" s="94">
        <v>4697196687</v>
      </c>
      <c r="E23" s="94">
        <v>1310317581</v>
      </c>
      <c r="F23" s="94">
        <v>52944194</v>
      </c>
      <c r="G23" s="94">
        <v>4340553160</v>
      </c>
      <c r="H23" s="94">
        <v>1545337786</v>
      </c>
      <c r="I23" s="94">
        <v>69984760</v>
      </c>
      <c r="J23" s="94">
        <v>662405942</v>
      </c>
      <c r="K23" s="94">
        <v>599352696</v>
      </c>
      <c r="L23" s="94">
        <v>336094902</v>
      </c>
    </row>
    <row r="24" spans="1:12">
      <c r="A24" s="140">
        <v>76</v>
      </c>
      <c r="B24" s="93" t="s">
        <v>38</v>
      </c>
      <c r="C24" s="94">
        <v>5125041307</v>
      </c>
      <c r="D24" s="94">
        <v>4244132639</v>
      </c>
      <c r="E24" s="94">
        <v>668020939</v>
      </c>
      <c r="F24" s="94">
        <v>64166785</v>
      </c>
      <c r="G24" s="94">
        <v>4923506901</v>
      </c>
      <c r="H24" s="94">
        <v>1605250284</v>
      </c>
      <c r="I24" s="94">
        <v>224340631</v>
      </c>
      <c r="J24" s="94">
        <v>640386415</v>
      </c>
      <c r="K24" s="94">
        <v>834090343</v>
      </c>
      <c r="L24" s="94">
        <v>285755831</v>
      </c>
    </row>
    <row r="25" spans="1:12">
      <c r="A25" s="140">
        <v>77</v>
      </c>
      <c r="B25" s="93" t="s">
        <v>39</v>
      </c>
      <c r="C25" s="94">
        <v>8426037982</v>
      </c>
      <c r="D25" s="94">
        <v>7194585397</v>
      </c>
      <c r="E25" s="94">
        <v>920086580</v>
      </c>
      <c r="F25" s="94">
        <v>31719133</v>
      </c>
      <c r="G25" s="94">
        <v>6267487289</v>
      </c>
      <c r="H25" s="94">
        <v>1467592675</v>
      </c>
      <c r="I25" s="94">
        <v>34325197</v>
      </c>
      <c r="J25" s="94">
        <v>1123710054</v>
      </c>
      <c r="K25" s="94">
        <v>1022074067</v>
      </c>
      <c r="L25" s="94">
        <v>477110027</v>
      </c>
    </row>
    <row r="26" spans="1:12">
      <c r="A26" s="140">
        <v>79</v>
      </c>
      <c r="B26" s="93" t="s">
        <v>40</v>
      </c>
      <c r="C26" s="94">
        <v>34756980684</v>
      </c>
      <c r="D26" s="94">
        <v>25601671829</v>
      </c>
      <c r="E26" s="94">
        <v>7356598711</v>
      </c>
      <c r="F26" s="94">
        <v>525720285</v>
      </c>
      <c r="G26" s="94">
        <v>36050088483</v>
      </c>
      <c r="H26" s="94">
        <v>13921844742</v>
      </c>
      <c r="I26" s="94">
        <v>595614972</v>
      </c>
      <c r="J26" s="94">
        <v>3975101049</v>
      </c>
      <c r="K26" s="94">
        <v>3492999555</v>
      </c>
      <c r="L26" s="94">
        <v>2671673529</v>
      </c>
    </row>
    <row r="27" spans="1:12">
      <c r="A27" s="140">
        <v>81</v>
      </c>
      <c r="B27" s="93" t="s">
        <v>41</v>
      </c>
      <c r="C27" s="94">
        <v>2702246627</v>
      </c>
      <c r="D27" s="94">
        <v>1565159446</v>
      </c>
      <c r="E27" s="94">
        <v>890884856</v>
      </c>
      <c r="F27" s="94">
        <v>29082632</v>
      </c>
      <c r="G27" s="94">
        <v>4842081737</v>
      </c>
      <c r="H27" s="94">
        <v>2459463893</v>
      </c>
      <c r="I27" s="94">
        <v>183259496</v>
      </c>
      <c r="J27" s="94">
        <v>699794948</v>
      </c>
      <c r="K27" s="94">
        <v>280543218</v>
      </c>
      <c r="L27" s="94">
        <v>182418481</v>
      </c>
    </row>
    <row r="28" spans="1:12">
      <c r="A28" s="140">
        <v>82</v>
      </c>
      <c r="B28" s="93" t="s">
        <v>42</v>
      </c>
      <c r="C28" s="94">
        <v>5171923700</v>
      </c>
      <c r="D28" s="94">
        <v>3162803920</v>
      </c>
      <c r="E28" s="94">
        <v>1688440593</v>
      </c>
      <c r="F28" s="94">
        <v>133158593</v>
      </c>
      <c r="G28" s="94">
        <v>7367974172</v>
      </c>
      <c r="H28" s="94">
        <v>3406266492</v>
      </c>
      <c r="I28" s="94">
        <v>320932133</v>
      </c>
      <c r="J28" s="94">
        <v>550423705</v>
      </c>
      <c r="K28" s="94">
        <v>456497852</v>
      </c>
      <c r="L28" s="94">
        <v>352216967</v>
      </c>
    </row>
    <row r="29" spans="1:12">
      <c r="A29" s="140">
        <v>91</v>
      </c>
      <c r="B29" s="93" t="s">
        <v>43</v>
      </c>
      <c r="C29" s="94">
        <v>82804203825</v>
      </c>
      <c r="D29" s="94">
        <v>68033530098</v>
      </c>
      <c r="E29" s="94">
        <v>10215286323</v>
      </c>
      <c r="F29" s="94">
        <v>1837536564</v>
      </c>
      <c r="G29" s="94">
        <v>84678221305</v>
      </c>
      <c r="H29" s="94">
        <v>35524921783</v>
      </c>
      <c r="I29" s="94">
        <v>1338241132</v>
      </c>
      <c r="J29" s="94">
        <v>15574752845</v>
      </c>
      <c r="K29" s="94">
        <v>8678674219</v>
      </c>
      <c r="L29" s="94">
        <v>8109595187</v>
      </c>
    </row>
    <row r="30" spans="1:12">
      <c r="A30" s="140">
        <v>92</v>
      </c>
      <c r="B30" s="93" t="s">
        <v>44</v>
      </c>
      <c r="C30" s="94">
        <v>56953611045</v>
      </c>
      <c r="D30" s="94">
        <v>35030928394</v>
      </c>
      <c r="E30" s="94">
        <v>19417090115</v>
      </c>
      <c r="F30" s="94">
        <v>1119702176</v>
      </c>
      <c r="G30" s="94">
        <v>67592035296</v>
      </c>
      <c r="H30" s="94">
        <v>12133746289</v>
      </c>
      <c r="I30" s="94">
        <v>5802792922</v>
      </c>
      <c r="J30" s="94">
        <v>10467966007</v>
      </c>
      <c r="K30" s="94">
        <v>2129141736</v>
      </c>
      <c r="L30" s="94">
        <v>4353750775</v>
      </c>
    </row>
    <row r="31" spans="1:12">
      <c r="A31" s="140">
        <v>111</v>
      </c>
      <c r="B31" s="93" t="s">
        <v>45</v>
      </c>
      <c r="C31" s="94">
        <v>102769568</v>
      </c>
      <c r="D31" s="94">
        <v>88935005</v>
      </c>
      <c r="E31" s="94">
        <v>8864614</v>
      </c>
      <c r="F31" s="94">
        <v>867710</v>
      </c>
      <c r="G31" s="94">
        <v>131641523</v>
      </c>
      <c r="H31" s="94">
        <v>68986070</v>
      </c>
      <c r="I31" s="94">
        <v>357515</v>
      </c>
      <c r="J31" s="94">
        <v>6472129</v>
      </c>
      <c r="K31" s="94">
        <v>35310492</v>
      </c>
      <c r="L31" s="94">
        <v>3268386</v>
      </c>
    </row>
    <row r="32" spans="1:12">
      <c r="A32" s="140">
        <v>112</v>
      </c>
      <c r="B32" s="93" t="s">
        <v>46</v>
      </c>
      <c r="C32" s="94">
        <v>64040546</v>
      </c>
      <c r="D32" s="94">
        <v>50451228</v>
      </c>
      <c r="E32" s="94">
        <v>11584808</v>
      </c>
      <c r="F32" s="94">
        <v>2264090</v>
      </c>
      <c r="G32" s="94">
        <v>68479296</v>
      </c>
      <c r="H32" s="94">
        <v>42065005</v>
      </c>
      <c r="I32" s="94">
        <v>267663</v>
      </c>
      <c r="J32" s="94">
        <v>6012531</v>
      </c>
      <c r="K32" s="94">
        <v>5995264</v>
      </c>
      <c r="L32" s="94">
        <v>3528976</v>
      </c>
    </row>
    <row r="33" spans="1:12">
      <c r="A33" s="140">
        <v>113</v>
      </c>
      <c r="B33" s="93" t="s">
        <v>47</v>
      </c>
      <c r="C33" s="94">
        <v>23156216</v>
      </c>
      <c r="D33" s="94">
        <v>16279190</v>
      </c>
      <c r="E33" s="94">
        <v>4659589</v>
      </c>
      <c r="F33" s="94">
        <v>845278</v>
      </c>
      <c r="G33" s="94">
        <v>97759681</v>
      </c>
      <c r="H33" s="94">
        <v>77860794</v>
      </c>
      <c r="I33" s="94">
        <v>302738</v>
      </c>
      <c r="J33" s="94">
        <v>3389375</v>
      </c>
      <c r="K33" s="94">
        <v>4200366</v>
      </c>
      <c r="L33" s="94">
        <v>495007</v>
      </c>
    </row>
    <row r="34" spans="1:12">
      <c r="A34" s="140">
        <v>114</v>
      </c>
      <c r="B34" s="93" t="s">
        <v>48</v>
      </c>
      <c r="C34" s="94">
        <v>90440045</v>
      </c>
      <c r="D34" s="94">
        <v>50172798</v>
      </c>
      <c r="E34" s="94">
        <v>33865746</v>
      </c>
      <c r="F34" s="94">
        <v>1953003</v>
      </c>
      <c r="G34" s="94">
        <v>320076654</v>
      </c>
      <c r="H34" s="94">
        <v>77113872</v>
      </c>
      <c r="I34" s="94">
        <v>2326202</v>
      </c>
      <c r="J34" s="94">
        <v>55547037</v>
      </c>
      <c r="K34" s="94">
        <v>70864185</v>
      </c>
      <c r="L34" s="94">
        <v>11239089</v>
      </c>
    </row>
    <row r="35" spans="1:12">
      <c r="A35" s="140">
        <v>115</v>
      </c>
      <c r="B35" s="93" t="s">
        <v>49</v>
      </c>
      <c r="C35" s="94">
        <v>510311267</v>
      </c>
      <c r="D35" s="94">
        <v>424342798</v>
      </c>
      <c r="E35" s="94">
        <v>65654412</v>
      </c>
      <c r="F35" s="94">
        <v>9638817</v>
      </c>
      <c r="G35" s="94">
        <v>520634037</v>
      </c>
      <c r="H35" s="94">
        <v>315422963</v>
      </c>
      <c r="I35" s="94">
        <v>9083903</v>
      </c>
      <c r="J35" s="94">
        <v>57931016</v>
      </c>
      <c r="K35" s="94">
        <v>58180049</v>
      </c>
      <c r="L35" s="94">
        <v>26665821</v>
      </c>
    </row>
    <row r="36" spans="1:12">
      <c r="A36" s="140">
        <v>119</v>
      </c>
      <c r="B36" s="93" t="s">
        <v>50</v>
      </c>
      <c r="C36" s="94">
        <v>50867856</v>
      </c>
      <c r="D36" s="94">
        <v>40145256</v>
      </c>
      <c r="E36" s="94">
        <v>8557315</v>
      </c>
      <c r="F36" s="94">
        <v>880328</v>
      </c>
      <c r="G36" s="94">
        <v>59382684</v>
      </c>
      <c r="H36" s="94">
        <v>39028893</v>
      </c>
      <c r="I36" s="94">
        <v>1336448</v>
      </c>
      <c r="J36" s="94">
        <v>6858862</v>
      </c>
      <c r="K36" s="94">
        <v>5384772</v>
      </c>
      <c r="L36" s="94">
        <v>2954693</v>
      </c>
    </row>
    <row r="37" spans="1:12">
      <c r="A37" s="140">
        <v>121</v>
      </c>
      <c r="B37" s="93" t="s">
        <v>51</v>
      </c>
      <c r="C37" s="94">
        <v>76112049</v>
      </c>
      <c r="D37" s="94">
        <v>68561006</v>
      </c>
      <c r="E37" s="94">
        <v>5898957</v>
      </c>
      <c r="F37" s="94">
        <v>845017</v>
      </c>
      <c r="G37" s="94">
        <v>70106440</v>
      </c>
      <c r="H37" s="94">
        <v>34504422</v>
      </c>
      <c r="I37" s="94">
        <v>4213</v>
      </c>
      <c r="J37" s="94">
        <v>3551124</v>
      </c>
      <c r="K37" s="94">
        <v>9125268</v>
      </c>
      <c r="L37" s="94">
        <v>5416558</v>
      </c>
    </row>
    <row r="38" spans="1:12">
      <c r="A38" s="140">
        <v>122</v>
      </c>
      <c r="B38" s="93" t="s">
        <v>3</v>
      </c>
      <c r="C38" s="94">
        <v>791534247</v>
      </c>
      <c r="D38" s="94">
        <v>665707160</v>
      </c>
      <c r="E38" s="94">
        <v>50626281</v>
      </c>
      <c r="F38" s="94">
        <v>23325077</v>
      </c>
      <c r="G38" s="94">
        <v>857287153</v>
      </c>
      <c r="H38" s="94">
        <v>439459800</v>
      </c>
      <c r="I38" s="94">
        <v>654383</v>
      </c>
      <c r="J38" s="94">
        <v>47275644</v>
      </c>
      <c r="K38" s="94">
        <v>158407273</v>
      </c>
      <c r="L38" s="94">
        <v>70443782</v>
      </c>
    </row>
    <row r="39" spans="1:12">
      <c r="A39" s="140">
        <v>123</v>
      </c>
      <c r="B39" s="93" t="s">
        <v>52</v>
      </c>
      <c r="C39" s="94">
        <v>930834811</v>
      </c>
      <c r="D39" s="94">
        <v>840383099</v>
      </c>
      <c r="E39" s="94">
        <v>89399954</v>
      </c>
      <c r="F39" s="94">
        <v>20858528</v>
      </c>
      <c r="G39" s="94">
        <v>798548019</v>
      </c>
      <c r="H39" s="94">
        <v>463981911</v>
      </c>
      <c r="I39" s="94">
        <v>3622809</v>
      </c>
      <c r="J39" s="94">
        <v>113414681</v>
      </c>
      <c r="K39" s="94">
        <v>67874206</v>
      </c>
      <c r="L39" s="94">
        <v>88195611</v>
      </c>
    </row>
    <row r="40" spans="1:12">
      <c r="A40" s="140">
        <v>124</v>
      </c>
      <c r="B40" s="93" t="s">
        <v>53</v>
      </c>
      <c r="C40" s="94">
        <v>218012401</v>
      </c>
      <c r="D40" s="94">
        <v>195861372</v>
      </c>
      <c r="E40" s="94">
        <v>14204807</v>
      </c>
      <c r="F40" s="94">
        <v>5068055</v>
      </c>
      <c r="G40" s="94">
        <v>389563050</v>
      </c>
      <c r="H40" s="94">
        <v>267392151</v>
      </c>
      <c r="I40" s="94">
        <v>4758752</v>
      </c>
      <c r="J40" s="94">
        <v>23958878</v>
      </c>
      <c r="K40" s="94">
        <v>59863248</v>
      </c>
      <c r="L40" s="94">
        <v>71255275</v>
      </c>
    </row>
    <row r="41" spans="1:12">
      <c r="A41" s="140">
        <v>129</v>
      </c>
      <c r="B41" s="93" t="s">
        <v>54</v>
      </c>
      <c r="C41" s="94">
        <v>221817935</v>
      </c>
      <c r="D41" s="94">
        <v>198004636</v>
      </c>
      <c r="E41" s="94">
        <v>15897880</v>
      </c>
      <c r="F41" s="94">
        <v>5508380</v>
      </c>
      <c r="G41" s="94">
        <v>403083904</v>
      </c>
      <c r="H41" s="94">
        <v>275131073</v>
      </c>
      <c r="I41" s="94">
        <v>4759676</v>
      </c>
      <c r="J41" s="94">
        <v>24402011</v>
      </c>
      <c r="K41" s="94">
        <v>60752515</v>
      </c>
      <c r="L41" s="94">
        <v>71327787</v>
      </c>
    </row>
    <row r="42" spans="1:12">
      <c r="A42" s="140">
        <v>211</v>
      </c>
      <c r="B42" s="93" t="s">
        <v>55</v>
      </c>
      <c r="C42" s="94">
        <v>2919843487</v>
      </c>
      <c r="D42" s="94">
        <v>2644372263</v>
      </c>
      <c r="E42" s="94">
        <v>206929481</v>
      </c>
      <c r="F42" s="94">
        <v>31773750</v>
      </c>
      <c r="G42" s="94">
        <v>4045569006</v>
      </c>
      <c r="H42" s="94">
        <v>1566332110</v>
      </c>
      <c r="I42" s="94">
        <v>9832046</v>
      </c>
      <c r="J42" s="94">
        <v>534047990</v>
      </c>
      <c r="K42" s="94">
        <v>600680099</v>
      </c>
      <c r="L42" s="94">
        <v>172288913</v>
      </c>
    </row>
    <row r="43" spans="1:12">
      <c r="A43" s="140">
        <v>212</v>
      </c>
      <c r="B43" s="93" t="s">
        <v>56</v>
      </c>
      <c r="C43" s="94">
        <v>1103759541</v>
      </c>
      <c r="D43" s="94">
        <v>570062591</v>
      </c>
      <c r="E43" s="94">
        <v>250452438</v>
      </c>
      <c r="F43" s="94">
        <v>2226457</v>
      </c>
      <c r="G43" s="94">
        <v>1026427733</v>
      </c>
      <c r="H43" s="94">
        <v>391034236</v>
      </c>
      <c r="I43" s="94">
        <v>551645</v>
      </c>
      <c r="J43" s="94">
        <v>179425875</v>
      </c>
      <c r="K43" s="94">
        <v>125881858</v>
      </c>
      <c r="L43" s="94">
        <v>38046810</v>
      </c>
    </row>
    <row r="44" spans="1:12">
      <c r="A44" s="140">
        <v>213</v>
      </c>
      <c r="B44" s="93" t="s">
        <v>57</v>
      </c>
      <c r="C44" s="94">
        <v>1802824994</v>
      </c>
      <c r="D44" s="94">
        <v>1562706120</v>
      </c>
      <c r="E44" s="94">
        <v>173472099</v>
      </c>
      <c r="F44" s="94">
        <v>10955683</v>
      </c>
      <c r="G44" s="94">
        <v>1728863368</v>
      </c>
      <c r="H44" s="94">
        <v>416553775</v>
      </c>
      <c r="I44" s="94">
        <v>4050014</v>
      </c>
      <c r="J44" s="94">
        <v>315241477</v>
      </c>
      <c r="K44" s="94">
        <v>554811307</v>
      </c>
      <c r="L44" s="94">
        <v>89175447</v>
      </c>
    </row>
    <row r="45" spans="1:12">
      <c r="A45" s="140">
        <v>214</v>
      </c>
      <c r="B45" s="93" t="s">
        <v>58</v>
      </c>
      <c r="C45" s="94">
        <v>19890222678</v>
      </c>
      <c r="D45" s="94">
        <v>11949812882</v>
      </c>
      <c r="E45" s="94">
        <v>6491810655</v>
      </c>
      <c r="F45" s="94">
        <v>256159710</v>
      </c>
      <c r="G45" s="94">
        <v>26968946972</v>
      </c>
      <c r="H45" s="94">
        <v>8346923826</v>
      </c>
      <c r="I45" s="94">
        <v>1050856685</v>
      </c>
      <c r="J45" s="94">
        <v>5893118496</v>
      </c>
      <c r="K45" s="94">
        <v>3701184365</v>
      </c>
      <c r="L45" s="94">
        <v>1755106755</v>
      </c>
    </row>
    <row r="46" spans="1:12">
      <c r="A46" s="140">
        <v>215</v>
      </c>
      <c r="B46" s="93" t="s">
        <v>59</v>
      </c>
      <c r="C46" s="94">
        <v>12496119822</v>
      </c>
      <c r="D46" s="94">
        <v>7534008037</v>
      </c>
      <c r="E46" s="94">
        <v>3739247617</v>
      </c>
      <c r="F46" s="94">
        <v>179109066</v>
      </c>
      <c r="G46" s="94">
        <v>10432776170</v>
      </c>
      <c r="H46" s="94">
        <v>2893906128</v>
      </c>
      <c r="I46" s="94">
        <v>144648967</v>
      </c>
      <c r="J46" s="94">
        <v>1788690427</v>
      </c>
      <c r="K46" s="94">
        <v>1281677181</v>
      </c>
      <c r="L46" s="94">
        <v>1023216159</v>
      </c>
    </row>
    <row r="47" spans="1:12">
      <c r="A47" s="140">
        <v>219</v>
      </c>
      <c r="B47" s="93" t="s">
        <v>60</v>
      </c>
      <c r="C47" s="94">
        <v>12104226691</v>
      </c>
      <c r="D47" s="94">
        <v>9937151863</v>
      </c>
      <c r="E47" s="94">
        <v>1156566815</v>
      </c>
      <c r="F47" s="94">
        <v>153548495</v>
      </c>
      <c r="G47" s="94">
        <v>11239464445</v>
      </c>
      <c r="H47" s="94">
        <v>5221508932</v>
      </c>
      <c r="I47" s="94">
        <v>111930757</v>
      </c>
      <c r="J47" s="94">
        <v>1979394845</v>
      </c>
      <c r="K47" s="94">
        <v>1231915914</v>
      </c>
      <c r="L47" s="94">
        <v>937554490</v>
      </c>
    </row>
    <row r="48" spans="1:12">
      <c r="A48" s="140">
        <v>221</v>
      </c>
      <c r="B48" s="93" t="s">
        <v>61</v>
      </c>
      <c r="C48" s="94">
        <v>3672842142</v>
      </c>
      <c r="D48" s="94">
        <v>3069863596</v>
      </c>
      <c r="E48" s="94">
        <v>497463824</v>
      </c>
      <c r="F48" s="94">
        <v>41271644</v>
      </c>
      <c r="G48" s="94">
        <v>3690588330</v>
      </c>
      <c r="H48" s="94">
        <v>1473193768</v>
      </c>
      <c r="I48" s="94">
        <v>33383983</v>
      </c>
      <c r="J48" s="94">
        <v>521659216</v>
      </c>
      <c r="K48" s="94">
        <v>565984668</v>
      </c>
      <c r="L48" s="94">
        <v>194278866</v>
      </c>
    </row>
    <row r="49" spans="1:12">
      <c r="A49" s="140">
        <v>222</v>
      </c>
      <c r="B49" s="93" t="s">
        <v>62</v>
      </c>
      <c r="C49" s="94">
        <v>1617911187</v>
      </c>
      <c r="D49" s="94">
        <v>1163558618</v>
      </c>
      <c r="E49" s="94">
        <v>355778464</v>
      </c>
      <c r="F49" s="94">
        <v>17425653</v>
      </c>
      <c r="G49" s="94">
        <v>2513623325</v>
      </c>
      <c r="H49" s="94">
        <v>837936651</v>
      </c>
      <c r="I49" s="94">
        <v>85432211</v>
      </c>
      <c r="J49" s="94">
        <v>205870017</v>
      </c>
      <c r="K49" s="94">
        <v>761047227</v>
      </c>
      <c r="L49" s="94">
        <v>268863510</v>
      </c>
    </row>
    <row r="50" spans="1:12">
      <c r="A50" s="140">
        <v>223</v>
      </c>
      <c r="B50" s="93" t="s">
        <v>63</v>
      </c>
      <c r="C50" s="94">
        <v>35085641155</v>
      </c>
      <c r="D50" s="94">
        <v>29517991303</v>
      </c>
      <c r="E50" s="94">
        <v>3832802878</v>
      </c>
      <c r="F50" s="94">
        <v>838667277</v>
      </c>
      <c r="G50" s="94">
        <v>33062150012</v>
      </c>
      <c r="H50" s="94">
        <v>14054159105</v>
      </c>
      <c r="I50" s="94">
        <v>540393500</v>
      </c>
      <c r="J50" s="94">
        <v>6322855517</v>
      </c>
      <c r="K50" s="94">
        <v>2979427045</v>
      </c>
      <c r="L50" s="94">
        <v>3071899984</v>
      </c>
    </row>
    <row r="51" spans="1:12">
      <c r="A51" s="140">
        <v>224</v>
      </c>
      <c r="B51" s="93" t="s">
        <v>64</v>
      </c>
      <c r="C51" s="94">
        <v>46924850916</v>
      </c>
      <c r="D51" s="94">
        <v>39702553429</v>
      </c>
      <c r="E51" s="94">
        <v>4883433800</v>
      </c>
      <c r="F51" s="94">
        <v>1099647880</v>
      </c>
      <c r="G51" s="94">
        <v>47298840091</v>
      </c>
      <c r="H51" s="94">
        <v>21011338709</v>
      </c>
      <c r="I51" s="94">
        <v>555702663</v>
      </c>
      <c r="J51" s="94">
        <v>9187934886</v>
      </c>
      <c r="K51" s="94">
        <v>5099590070</v>
      </c>
      <c r="L51" s="94">
        <v>4732773109</v>
      </c>
    </row>
    <row r="52" spans="1:12">
      <c r="A52" s="140">
        <v>225</v>
      </c>
      <c r="B52" s="93" t="s">
        <v>65</v>
      </c>
      <c r="C52" s="94">
        <v>2256252359</v>
      </c>
      <c r="D52" s="94">
        <v>1792755278</v>
      </c>
      <c r="E52" s="94">
        <v>373154464</v>
      </c>
      <c r="F52" s="94">
        <v>49710749</v>
      </c>
      <c r="G52" s="94">
        <v>2454646192</v>
      </c>
      <c r="H52" s="94">
        <v>827423360</v>
      </c>
      <c r="I52" s="94">
        <v>45204506</v>
      </c>
      <c r="J52" s="94">
        <v>615971073</v>
      </c>
      <c r="K52" s="94">
        <v>488490639</v>
      </c>
      <c r="L52" s="94">
        <v>317871221</v>
      </c>
    </row>
    <row r="53" spans="1:12">
      <c r="A53" s="140">
        <v>226</v>
      </c>
      <c r="B53" s="93" t="s">
        <v>66</v>
      </c>
      <c r="C53" s="94">
        <v>7936298777</v>
      </c>
      <c r="D53" s="94">
        <v>6077601978</v>
      </c>
      <c r="E53" s="94">
        <v>1377697055</v>
      </c>
      <c r="F53" s="94">
        <v>150249715</v>
      </c>
      <c r="G53" s="94">
        <v>8320339526</v>
      </c>
      <c r="H53" s="94">
        <v>2433663776</v>
      </c>
      <c r="I53" s="94">
        <v>357354015</v>
      </c>
      <c r="J53" s="94">
        <v>1836282046</v>
      </c>
      <c r="K53" s="94">
        <v>944139859</v>
      </c>
      <c r="L53" s="94">
        <v>800410812</v>
      </c>
    </row>
    <row r="54" spans="1:12">
      <c r="A54" s="140">
        <v>227</v>
      </c>
      <c r="B54" s="93" t="s">
        <v>67</v>
      </c>
      <c r="C54" s="94">
        <v>19890222678</v>
      </c>
      <c r="D54" s="94">
        <v>11949812882</v>
      </c>
      <c r="E54" s="94">
        <v>6491810655</v>
      </c>
      <c r="F54" s="94">
        <v>256159710</v>
      </c>
      <c r="G54" s="94">
        <v>26968946972</v>
      </c>
      <c r="H54" s="94">
        <v>8346923826</v>
      </c>
      <c r="I54" s="94">
        <v>1050856685</v>
      </c>
      <c r="J54" s="94">
        <v>5893118496</v>
      </c>
      <c r="K54" s="94">
        <v>3701184365</v>
      </c>
      <c r="L54" s="94">
        <v>1755106755</v>
      </c>
    </row>
    <row r="55" spans="1:12">
      <c r="A55" s="140">
        <v>229</v>
      </c>
      <c r="B55" s="93" t="s">
        <v>68</v>
      </c>
      <c r="C55" s="94">
        <v>1809423610</v>
      </c>
      <c r="D55" s="94">
        <v>1491373177</v>
      </c>
      <c r="E55" s="94">
        <v>230510072</v>
      </c>
      <c r="F55" s="94">
        <v>27683651</v>
      </c>
      <c r="G55" s="94">
        <v>1586964707</v>
      </c>
      <c r="H55" s="94">
        <v>493233989</v>
      </c>
      <c r="I55" s="94">
        <v>16676024</v>
      </c>
      <c r="J55" s="94">
        <v>351056510</v>
      </c>
      <c r="K55" s="94">
        <v>194244557</v>
      </c>
      <c r="L55" s="94">
        <v>225916146</v>
      </c>
    </row>
    <row r="56" spans="1:12">
      <c r="A56" s="140">
        <v>231</v>
      </c>
      <c r="B56" s="93" t="s">
        <v>69</v>
      </c>
      <c r="C56" s="94">
        <v>71456726</v>
      </c>
      <c r="D56" s="94">
        <v>62576937</v>
      </c>
      <c r="E56" s="94">
        <v>8287133</v>
      </c>
      <c r="F56" s="94">
        <v>1518653</v>
      </c>
      <c r="G56" s="94">
        <v>47362364</v>
      </c>
      <c r="H56" s="94">
        <v>24296091</v>
      </c>
      <c r="I56" s="94">
        <v>464110</v>
      </c>
      <c r="J56" s="94">
        <v>8101984</v>
      </c>
      <c r="K56" s="94">
        <v>4193252</v>
      </c>
      <c r="L56" s="94">
        <v>2463123</v>
      </c>
    </row>
    <row r="57" spans="1:12">
      <c r="A57" s="140">
        <v>232</v>
      </c>
      <c r="B57" s="93" t="s">
        <v>70</v>
      </c>
      <c r="C57" s="94">
        <v>12431417</v>
      </c>
      <c r="D57" s="94">
        <v>3025923</v>
      </c>
      <c r="E57" s="94">
        <v>8414454</v>
      </c>
      <c r="F57" s="94">
        <v>569744</v>
      </c>
      <c r="G57" s="94">
        <v>4129445</v>
      </c>
      <c r="H57" s="94">
        <v>989657</v>
      </c>
      <c r="I57" s="94">
        <v>17410</v>
      </c>
      <c r="J57" s="94">
        <v>219460</v>
      </c>
      <c r="K57" s="94">
        <v>315074</v>
      </c>
      <c r="L57" s="94">
        <v>100181</v>
      </c>
    </row>
    <row r="58" spans="1:12">
      <c r="A58" s="140">
        <v>233</v>
      </c>
      <c r="B58" s="93" t="s">
        <v>71</v>
      </c>
      <c r="C58" s="94">
        <v>14731536</v>
      </c>
      <c r="D58" s="94">
        <v>1677428</v>
      </c>
      <c r="E58" s="94">
        <v>11527769</v>
      </c>
      <c r="F58" s="94">
        <v>1066075</v>
      </c>
      <c r="G58" s="94">
        <v>10964748</v>
      </c>
      <c r="H58" s="94">
        <v>3127855</v>
      </c>
      <c r="I58" s="94">
        <v>678012</v>
      </c>
      <c r="J58" s="94">
        <v>780450</v>
      </c>
      <c r="K58" s="94">
        <v>147841</v>
      </c>
      <c r="L58" s="94">
        <v>31853</v>
      </c>
    </row>
    <row r="59" spans="1:12">
      <c r="A59" s="140">
        <v>234</v>
      </c>
      <c r="B59" s="93" t="s">
        <v>72</v>
      </c>
      <c r="C59" s="94">
        <v>42581999904</v>
      </c>
      <c r="D59" s="94">
        <v>26912887961</v>
      </c>
      <c r="E59" s="94">
        <v>13970274206</v>
      </c>
      <c r="F59" s="94">
        <v>688335269</v>
      </c>
      <c r="G59" s="94">
        <v>37415076035</v>
      </c>
      <c r="H59" s="94">
        <v>6368361893</v>
      </c>
      <c r="I59" s="94">
        <v>3340638925</v>
      </c>
      <c r="J59" s="94">
        <v>8474487811</v>
      </c>
      <c r="K59" s="94">
        <v>1250325567</v>
      </c>
      <c r="L59" s="94">
        <v>3820941656</v>
      </c>
    </row>
    <row r="60" spans="1:12">
      <c r="A60" s="140">
        <v>235</v>
      </c>
      <c r="B60" s="93" t="s">
        <v>73</v>
      </c>
      <c r="C60" s="94">
        <v>7873072075</v>
      </c>
      <c r="D60" s="94">
        <v>5683468964</v>
      </c>
      <c r="E60" s="94">
        <v>1823605625</v>
      </c>
      <c r="F60" s="94">
        <v>259125688</v>
      </c>
      <c r="G60" s="94">
        <v>8424226772</v>
      </c>
      <c r="H60" s="94">
        <v>3780276437</v>
      </c>
      <c r="I60" s="94">
        <v>175225330</v>
      </c>
      <c r="J60" s="94">
        <v>837838277</v>
      </c>
      <c r="K60" s="94">
        <v>682598501</v>
      </c>
      <c r="L60" s="94">
        <v>225793899</v>
      </c>
    </row>
    <row r="61" spans="1:12">
      <c r="A61" s="140">
        <v>236</v>
      </c>
      <c r="B61" s="93" t="s">
        <v>74</v>
      </c>
      <c r="C61" s="94">
        <v>2029097702</v>
      </c>
      <c r="D61" s="94">
        <v>842373393</v>
      </c>
      <c r="E61" s="94">
        <v>1052150008</v>
      </c>
      <c r="F61" s="94">
        <v>94000230</v>
      </c>
      <c r="G61" s="94">
        <v>1849084209</v>
      </c>
      <c r="H61" s="94">
        <v>799368240</v>
      </c>
      <c r="I61" s="94">
        <v>53217458</v>
      </c>
      <c r="J61" s="94">
        <v>276639750</v>
      </c>
      <c r="K61" s="94">
        <v>20542332</v>
      </c>
      <c r="L61" s="94">
        <v>34015100</v>
      </c>
    </row>
    <row r="62" spans="1:12">
      <c r="A62" s="140">
        <v>237</v>
      </c>
      <c r="B62" s="93" t="s">
        <v>75</v>
      </c>
      <c r="C62" s="94">
        <v>15717328747</v>
      </c>
      <c r="D62" s="94">
        <v>11008288567</v>
      </c>
      <c r="E62" s="94">
        <v>4006138313</v>
      </c>
      <c r="F62" s="94">
        <v>166255165</v>
      </c>
      <c r="G62" s="94">
        <v>13903204064</v>
      </c>
      <c r="H62" s="94">
        <v>1778136241</v>
      </c>
      <c r="I62" s="94">
        <v>1058506311</v>
      </c>
      <c r="J62" s="94">
        <v>4588681046</v>
      </c>
      <c r="K62" s="94">
        <v>513401307</v>
      </c>
      <c r="L62" s="94">
        <v>1782033212</v>
      </c>
    </row>
    <row r="63" spans="1:12">
      <c r="A63" s="140">
        <v>239</v>
      </c>
      <c r="B63" s="93" t="s">
        <v>76</v>
      </c>
      <c r="C63" s="94">
        <v>9902135741</v>
      </c>
      <c r="D63" s="94">
        <v>7871624505</v>
      </c>
      <c r="E63" s="94">
        <v>2184754686</v>
      </c>
      <c r="F63" s="94">
        <v>127358493</v>
      </c>
      <c r="G63" s="94">
        <v>35560957068</v>
      </c>
      <c r="H63" s="94">
        <v>3979316056</v>
      </c>
      <c r="I63" s="94">
        <v>653146029</v>
      </c>
      <c r="J63" s="94">
        <v>4973661699</v>
      </c>
      <c r="K63" s="94">
        <v>695095458</v>
      </c>
      <c r="L63" s="94">
        <v>1373496296</v>
      </c>
    </row>
    <row r="64" spans="1:12">
      <c r="A64" s="140">
        <v>311</v>
      </c>
      <c r="B64" s="93" t="s">
        <v>4</v>
      </c>
      <c r="C64" s="94">
        <v>12319994</v>
      </c>
      <c r="D64" s="94">
        <v>7361250</v>
      </c>
      <c r="E64" s="94">
        <v>4558372</v>
      </c>
      <c r="F64" s="94">
        <v>183565</v>
      </c>
      <c r="G64" s="94">
        <v>26810294</v>
      </c>
      <c r="H64" s="94">
        <v>9292679</v>
      </c>
      <c r="I64" s="94">
        <v>28000</v>
      </c>
      <c r="J64" s="94">
        <v>362972</v>
      </c>
      <c r="K64" s="94">
        <v>3676503</v>
      </c>
      <c r="L64" s="94">
        <v>309185</v>
      </c>
    </row>
    <row r="65" spans="1:12">
      <c r="A65" s="140">
        <v>312</v>
      </c>
      <c r="B65" s="93" t="s">
        <v>77</v>
      </c>
      <c r="C65" s="94">
        <v>446469</v>
      </c>
      <c r="D65" s="94">
        <v>77508</v>
      </c>
      <c r="E65" s="94">
        <v>378931</v>
      </c>
      <c r="F65" s="94">
        <v>0</v>
      </c>
      <c r="G65" s="94">
        <v>167014</v>
      </c>
      <c r="H65" s="94">
        <v>0</v>
      </c>
      <c r="I65" s="94">
        <v>0</v>
      </c>
      <c r="J65" s="94">
        <v>70437</v>
      </c>
      <c r="K65" s="94">
        <v>33654</v>
      </c>
      <c r="L65" s="94">
        <v>3095</v>
      </c>
    </row>
    <row r="66" spans="1:12">
      <c r="A66" s="140">
        <v>390</v>
      </c>
      <c r="B66" s="93" t="s">
        <v>23</v>
      </c>
      <c r="C66" s="94">
        <v>1593735</v>
      </c>
      <c r="D66" s="94">
        <v>1481696</v>
      </c>
      <c r="E66" s="94">
        <v>43156</v>
      </c>
      <c r="F66" s="94">
        <v>0</v>
      </c>
      <c r="G66" s="94">
        <v>765337</v>
      </c>
      <c r="H66" s="94">
        <v>0</v>
      </c>
      <c r="I66" s="94">
        <v>2500</v>
      </c>
      <c r="J66" s="94">
        <v>461370</v>
      </c>
      <c r="K66" s="94">
        <v>72815</v>
      </c>
      <c r="L66" s="94">
        <v>75000</v>
      </c>
    </row>
    <row r="67" spans="1:12">
      <c r="A67" s="140">
        <v>411</v>
      </c>
      <c r="B67" s="93" t="s">
        <v>78</v>
      </c>
      <c r="C67" s="94">
        <v>1136296472</v>
      </c>
      <c r="D67" s="94">
        <v>986751239</v>
      </c>
      <c r="E67" s="94">
        <v>105330963</v>
      </c>
      <c r="F67" s="94">
        <v>15701050</v>
      </c>
      <c r="G67" s="94">
        <v>1001230173</v>
      </c>
      <c r="H67" s="94">
        <v>432845536</v>
      </c>
      <c r="I67" s="94">
        <v>1888983</v>
      </c>
      <c r="J67" s="94">
        <v>193696553</v>
      </c>
      <c r="K67" s="94">
        <v>182639039</v>
      </c>
      <c r="L67" s="94">
        <v>85877996</v>
      </c>
    </row>
    <row r="68" spans="1:12">
      <c r="A68" s="140">
        <v>412</v>
      </c>
      <c r="B68" s="93" t="s">
        <v>79</v>
      </c>
      <c r="C68" s="94">
        <v>2124110336</v>
      </c>
      <c r="D68" s="94">
        <v>1820718576</v>
      </c>
      <c r="E68" s="94">
        <v>212193493</v>
      </c>
      <c r="F68" s="94">
        <v>42631707</v>
      </c>
      <c r="G68" s="94">
        <v>2988461060</v>
      </c>
      <c r="H68" s="94">
        <v>1533672224</v>
      </c>
      <c r="I68" s="94">
        <v>20539455</v>
      </c>
      <c r="J68" s="94">
        <v>383924711</v>
      </c>
      <c r="K68" s="94">
        <v>328201053</v>
      </c>
      <c r="L68" s="94">
        <v>209556375</v>
      </c>
    </row>
    <row r="69" spans="1:12">
      <c r="A69" s="140">
        <v>413</v>
      </c>
      <c r="B69" s="93" t="s">
        <v>80</v>
      </c>
      <c r="C69" s="94">
        <v>803936730</v>
      </c>
      <c r="D69" s="94">
        <v>672274930</v>
      </c>
      <c r="E69" s="94">
        <v>96929901</v>
      </c>
      <c r="F69" s="94">
        <v>14461369</v>
      </c>
      <c r="G69" s="94">
        <v>692933834</v>
      </c>
      <c r="H69" s="94">
        <v>355971956</v>
      </c>
      <c r="I69" s="94">
        <v>6851567</v>
      </c>
      <c r="J69" s="94">
        <v>137336705</v>
      </c>
      <c r="K69" s="94">
        <v>85451235</v>
      </c>
      <c r="L69" s="94">
        <v>70476868</v>
      </c>
    </row>
    <row r="70" spans="1:12">
      <c r="A70" s="140">
        <v>414</v>
      </c>
      <c r="B70" s="93" t="s">
        <v>81</v>
      </c>
      <c r="C70" s="94">
        <v>891797377</v>
      </c>
      <c r="D70" s="94">
        <v>774672725</v>
      </c>
      <c r="E70" s="94">
        <v>79599514</v>
      </c>
      <c r="F70" s="94">
        <v>11179163</v>
      </c>
      <c r="G70" s="94">
        <v>804634625</v>
      </c>
      <c r="H70" s="94">
        <v>416299695</v>
      </c>
      <c r="I70" s="94">
        <v>6024858</v>
      </c>
      <c r="J70" s="94">
        <v>136848530</v>
      </c>
      <c r="K70" s="94">
        <v>89369292</v>
      </c>
      <c r="L70" s="94">
        <v>61158743</v>
      </c>
    </row>
    <row r="71" spans="1:12">
      <c r="A71" s="140">
        <v>415</v>
      </c>
      <c r="B71" s="93" t="s">
        <v>82</v>
      </c>
      <c r="C71" s="94">
        <v>8362813</v>
      </c>
      <c r="D71" s="94">
        <v>6316955</v>
      </c>
      <c r="E71" s="94">
        <v>1890790</v>
      </c>
      <c r="F71" s="94">
        <v>152051</v>
      </c>
      <c r="G71" s="94">
        <v>12630502</v>
      </c>
      <c r="H71" s="94">
        <v>5914747</v>
      </c>
      <c r="I71" s="94">
        <v>360170</v>
      </c>
      <c r="J71" s="94">
        <v>1569181</v>
      </c>
      <c r="K71" s="94">
        <v>2408777</v>
      </c>
      <c r="L71" s="94">
        <v>815270</v>
      </c>
    </row>
    <row r="72" spans="1:12">
      <c r="A72" s="140">
        <v>416</v>
      </c>
      <c r="B72" s="93" t="s">
        <v>83</v>
      </c>
      <c r="C72" s="94">
        <v>4817368924</v>
      </c>
      <c r="D72" s="94">
        <v>3688526638</v>
      </c>
      <c r="E72" s="94">
        <v>837028391</v>
      </c>
      <c r="F72" s="94">
        <v>40653010</v>
      </c>
      <c r="G72" s="94">
        <v>3029428892</v>
      </c>
      <c r="H72" s="94">
        <v>1072484820</v>
      </c>
      <c r="I72" s="94">
        <v>14255581</v>
      </c>
      <c r="J72" s="94">
        <v>533862370</v>
      </c>
      <c r="K72" s="94">
        <v>349043140</v>
      </c>
      <c r="L72" s="94">
        <v>475319812</v>
      </c>
    </row>
    <row r="73" spans="1:12">
      <c r="A73" s="140">
        <v>419</v>
      </c>
      <c r="B73" s="93" t="s">
        <v>84</v>
      </c>
      <c r="C73" s="94">
        <v>120935849</v>
      </c>
      <c r="D73" s="94">
        <v>98537548</v>
      </c>
      <c r="E73" s="94">
        <v>17259464</v>
      </c>
      <c r="F73" s="94">
        <v>1963333</v>
      </c>
      <c r="G73" s="94">
        <v>126026650</v>
      </c>
      <c r="H73" s="94">
        <v>49699223</v>
      </c>
      <c r="I73" s="94">
        <v>476554</v>
      </c>
      <c r="J73" s="94">
        <v>20501143</v>
      </c>
      <c r="K73" s="94">
        <v>24285567</v>
      </c>
      <c r="L73" s="94">
        <v>9626889</v>
      </c>
    </row>
    <row r="74" spans="1:12">
      <c r="A74" s="140">
        <v>421</v>
      </c>
      <c r="B74" s="93" t="s">
        <v>85</v>
      </c>
      <c r="C74" s="94">
        <v>735368708</v>
      </c>
      <c r="D74" s="94">
        <v>636567399</v>
      </c>
      <c r="E74" s="94">
        <v>59105733</v>
      </c>
      <c r="F74" s="94">
        <v>615745</v>
      </c>
      <c r="G74" s="94">
        <v>1311836561</v>
      </c>
      <c r="H74" s="94">
        <v>881642326</v>
      </c>
      <c r="I74" s="94">
        <v>4826975</v>
      </c>
      <c r="J74" s="94">
        <v>100387476</v>
      </c>
      <c r="K74" s="94">
        <v>147235006</v>
      </c>
      <c r="L74" s="94">
        <v>28234984</v>
      </c>
    </row>
    <row r="75" spans="1:12">
      <c r="A75" s="140">
        <v>422</v>
      </c>
      <c r="B75" s="93" t="s">
        <v>86</v>
      </c>
      <c r="C75" s="94">
        <v>45161411</v>
      </c>
      <c r="D75" s="94">
        <v>41565086</v>
      </c>
      <c r="E75" s="94">
        <v>3265234</v>
      </c>
      <c r="F75" s="94">
        <v>1089622</v>
      </c>
      <c r="G75" s="94">
        <v>75641081</v>
      </c>
      <c r="H75" s="94">
        <v>36151008</v>
      </c>
      <c r="I75" s="94">
        <v>38000</v>
      </c>
      <c r="J75" s="94">
        <v>6816586</v>
      </c>
      <c r="K75" s="94">
        <v>4810899</v>
      </c>
      <c r="L75" s="94">
        <v>4168656</v>
      </c>
    </row>
    <row r="76" spans="1:12">
      <c r="A76" s="140">
        <v>423</v>
      </c>
      <c r="B76" s="93" t="s">
        <v>87</v>
      </c>
      <c r="C76" s="94">
        <v>6910538136</v>
      </c>
      <c r="D76" s="94">
        <v>6026879911</v>
      </c>
      <c r="E76" s="94">
        <v>811909386</v>
      </c>
      <c r="F76" s="94">
        <v>112188342</v>
      </c>
      <c r="G76" s="94">
        <v>7997898269</v>
      </c>
      <c r="H76" s="94">
        <v>4167498824</v>
      </c>
      <c r="I76" s="94">
        <v>32995173</v>
      </c>
      <c r="J76" s="94">
        <v>1220361472</v>
      </c>
      <c r="K76" s="94">
        <v>855236265</v>
      </c>
      <c r="L76" s="94">
        <v>454813073</v>
      </c>
    </row>
    <row r="77" spans="1:12">
      <c r="A77" s="140">
        <v>429</v>
      </c>
      <c r="B77" s="93" t="s">
        <v>88</v>
      </c>
      <c r="C77" s="94">
        <v>6597402328</v>
      </c>
      <c r="D77" s="94">
        <v>4188694118</v>
      </c>
      <c r="E77" s="94">
        <v>1763510715</v>
      </c>
      <c r="F77" s="94">
        <v>99421364</v>
      </c>
      <c r="G77" s="94">
        <v>5208616411</v>
      </c>
      <c r="H77" s="94">
        <v>1610236196</v>
      </c>
      <c r="I77" s="94">
        <v>75928451</v>
      </c>
      <c r="J77" s="94">
        <v>1044319959</v>
      </c>
      <c r="K77" s="94">
        <v>730876152</v>
      </c>
      <c r="L77" s="94">
        <v>646767516</v>
      </c>
    </row>
    <row r="78" spans="1:12">
      <c r="A78" s="140">
        <v>431</v>
      </c>
      <c r="B78" s="93" t="s">
        <v>89</v>
      </c>
      <c r="C78" s="94">
        <v>2476981200</v>
      </c>
      <c r="D78" s="94">
        <v>1979931340</v>
      </c>
      <c r="E78" s="94">
        <v>327465603</v>
      </c>
      <c r="F78" s="94">
        <v>64616912</v>
      </c>
      <c r="G78" s="94">
        <v>3092311031</v>
      </c>
      <c r="H78" s="94">
        <v>1145157119</v>
      </c>
      <c r="I78" s="94">
        <v>29440657</v>
      </c>
      <c r="J78" s="94">
        <v>569156437</v>
      </c>
      <c r="K78" s="94">
        <v>472608960</v>
      </c>
      <c r="L78" s="94">
        <v>180320238</v>
      </c>
    </row>
    <row r="79" spans="1:12">
      <c r="A79" s="140">
        <v>432</v>
      </c>
      <c r="B79" s="93" t="s">
        <v>90</v>
      </c>
      <c r="C79" s="94">
        <v>14106949147</v>
      </c>
      <c r="D79" s="94">
        <v>12085155555</v>
      </c>
      <c r="E79" s="94">
        <v>1345451745</v>
      </c>
      <c r="F79" s="94">
        <v>270303959</v>
      </c>
      <c r="G79" s="94">
        <v>12971877496</v>
      </c>
      <c r="H79" s="94">
        <v>5504632583</v>
      </c>
      <c r="I79" s="94">
        <v>157279735</v>
      </c>
      <c r="J79" s="94">
        <v>2872980767</v>
      </c>
      <c r="K79" s="94">
        <v>1492292733</v>
      </c>
      <c r="L79" s="94">
        <v>1508367440</v>
      </c>
    </row>
    <row r="80" spans="1:12">
      <c r="A80" s="140">
        <v>433</v>
      </c>
      <c r="B80" s="93" t="s">
        <v>91</v>
      </c>
      <c r="C80" s="94">
        <v>2643536499</v>
      </c>
      <c r="D80" s="94">
        <v>2100185336</v>
      </c>
      <c r="E80" s="94">
        <v>439586621</v>
      </c>
      <c r="F80" s="94">
        <v>54292763</v>
      </c>
      <c r="G80" s="94">
        <v>2776812410</v>
      </c>
      <c r="H80" s="94">
        <v>953721795</v>
      </c>
      <c r="I80" s="94">
        <v>50113147</v>
      </c>
      <c r="J80" s="94">
        <v>689437989</v>
      </c>
      <c r="K80" s="94">
        <v>534739154</v>
      </c>
      <c r="L80" s="94">
        <v>353549143</v>
      </c>
    </row>
    <row r="81" spans="1:12">
      <c r="A81" s="140">
        <v>439</v>
      </c>
      <c r="B81" s="93" t="s">
        <v>92</v>
      </c>
      <c r="C81" s="94">
        <v>11962964546</v>
      </c>
      <c r="D81" s="94">
        <v>9828808932</v>
      </c>
      <c r="E81" s="94">
        <v>1714650504</v>
      </c>
      <c r="F81" s="94">
        <v>290519865</v>
      </c>
      <c r="G81" s="94">
        <v>13125214951</v>
      </c>
      <c r="H81" s="94">
        <v>4639613019</v>
      </c>
      <c r="I81" s="94">
        <v>548557344</v>
      </c>
      <c r="J81" s="94">
        <v>2446273411</v>
      </c>
      <c r="K81" s="94">
        <v>1555766963</v>
      </c>
      <c r="L81" s="94">
        <v>1226895988</v>
      </c>
    </row>
    <row r="82" spans="1:12">
      <c r="A82" s="140">
        <v>441</v>
      </c>
      <c r="B82" s="93" t="s">
        <v>5</v>
      </c>
      <c r="C82" s="94">
        <v>212156456</v>
      </c>
      <c r="D82" s="94">
        <v>150691968</v>
      </c>
      <c r="E82" s="94">
        <v>44597017</v>
      </c>
      <c r="F82" s="94">
        <v>2514451</v>
      </c>
      <c r="G82" s="94">
        <v>120259505</v>
      </c>
      <c r="H82" s="94">
        <v>16511919</v>
      </c>
      <c r="I82" s="94">
        <v>62734</v>
      </c>
      <c r="J82" s="94">
        <v>9582416</v>
      </c>
      <c r="K82" s="94">
        <v>11366988</v>
      </c>
      <c r="L82" s="94">
        <v>14148736</v>
      </c>
    </row>
    <row r="83" spans="1:12">
      <c r="A83" s="140">
        <v>442</v>
      </c>
      <c r="B83" s="93" t="s">
        <v>93</v>
      </c>
      <c r="C83" s="94">
        <v>42581999904</v>
      </c>
      <c r="D83" s="94">
        <v>26912887961</v>
      </c>
      <c r="E83" s="94">
        <v>13970274206</v>
      </c>
      <c r="F83" s="94">
        <v>688335269</v>
      </c>
      <c r="G83" s="94">
        <v>37415076035</v>
      </c>
      <c r="H83" s="94">
        <v>6368361893</v>
      </c>
      <c r="I83" s="94">
        <v>3340638925</v>
      </c>
      <c r="J83" s="94">
        <v>8474487811</v>
      </c>
      <c r="K83" s="94">
        <v>1250325567</v>
      </c>
      <c r="L83" s="94">
        <v>3820941656</v>
      </c>
    </row>
    <row r="84" spans="1:12">
      <c r="A84" s="140">
        <v>443</v>
      </c>
      <c r="B84" s="93" t="s">
        <v>94</v>
      </c>
      <c r="C84" s="94">
        <v>1472239685</v>
      </c>
      <c r="D84" s="94">
        <v>1238492646</v>
      </c>
      <c r="E84" s="94">
        <v>204267661</v>
      </c>
      <c r="F84" s="94">
        <v>10531550</v>
      </c>
      <c r="G84" s="94">
        <v>1202577119</v>
      </c>
      <c r="H84" s="94">
        <v>184124739</v>
      </c>
      <c r="I84" s="94">
        <v>9568128</v>
      </c>
      <c r="J84" s="94">
        <v>190396179</v>
      </c>
      <c r="K84" s="94">
        <v>193485824</v>
      </c>
      <c r="L84" s="94">
        <v>47346750</v>
      </c>
    </row>
    <row r="85" spans="1:12">
      <c r="A85" s="140">
        <v>444</v>
      </c>
      <c r="B85" s="93" t="s">
        <v>95</v>
      </c>
      <c r="C85" s="94">
        <v>60157922</v>
      </c>
      <c r="D85" s="94">
        <v>40820522</v>
      </c>
      <c r="E85" s="94">
        <v>17091496</v>
      </c>
      <c r="F85" s="94">
        <v>495514</v>
      </c>
      <c r="G85" s="94">
        <v>42708245</v>
      </c>
      <c r="H85" s="94">
        <v>8334904</v>
      </c>
      <c r="I85" s="94">
        <v>465863</v>
      </c>
      <c r="J85" s="94">
        <v>8022330</v>
      </c>
      <c r="K85" s="94">
        <v>5681828</v>
      </c>
      <c r="L85" s="94">
        <v>4006805</v>
      </c>
    </row>
    <row r="86" spans="1:12">
      <c r="A86" s="140">
        <v>445</v>
      </c>
      <c r="B86" s="93" t="s">
        <v>96</v>
      </c>
      <c r="C86" s="94">
        <v>182088398</v>
      </c>
      <c r="D86" s="94">
        <v>78776140</v>
      </c>
      <c r="E86" s="94">
        <v>116016595</v>
      </c>
      <c r="F86" s="94">
        <v>3966166</v>
      </c>
      <c r="G86" s="94">
        <v>264309081</v>
      </c>
      <c r="H86" s="94">
        <v>38299912</v>
      </c>
      <c r="I86" s="94">
        <v>3648626</v>
      </c>
      <c r="J86" s="94">
        <v>24656396</v>
      </c>
      <c r="K86" s="94">
        <v>5731568</v>
      </c>
      <c r="L86" s="94">
        <v>2888045</v>
      </c>
    </row>
    <row r="87" spans="1:12">
      <c r="A87" s="140">
        <v>446</v>
      </c>
      <c r="B87" s="93" t="s">
        <v>97</v>
      </c>
      <c r="C87" s="94">
        <v>7873072075</v>
      </c>
      <c r="D87" s="94">
        <v>5683468964</v>
      </c>
      <c r="E87" s="94">
        <v>1823605625</v>
      </c>
      <c r="F87" s="94">
        <v>259125688</v>
      </c>
      <c r="G87" s="94">
        <v>8424226772</v>
      </c>
      <c r="H87" s="94">
        <v>3780276437</v>
      </c>
      <c r="I87" s="94">
        <v>175225330</v>
      </c>
      <c r="J87" s="94">
        <v>837838277</v>
      </c>
      <c r="K87" s="94">
        <v>682598501</v>
      </c>
      <c r="L87" s="94">
        <v>225793899</v>
      </c>
    </row>
    <row r="88" spans="1:12">
      <c r="A88" s="140">
        <v>447</v>
      </c>
      <c r="B88" s="93" t="s">
        <v>98</v>
      </c>
      <c r="C88" s="94">
        <v>808665175</v>
      </c>
      <c r="D88" s="94">
        <v>478159312</v>
      </c>
      <c r="E88" s="94">
        <v>312721107</v>
      </c>
      <c r="F88" s="94">
        <v>21895519</v>
      </c>
      <c r="G88" s="94">
        <v>1150999573</v>
      </c>
      <c r="H88" s="94">
        <v>251835233</v>
      </c>
      <c r="I88" s="94">
        <v>139314303</v>
      </c>
      <c r="J88" s="94">
        <v>143489067</v>
      </c>
      <c r="K88" s="94">
        <v>46733130</v>
      </c>
      <c r="L88" s="94">
        <v>21592043</v>
      </c>
    </row>
    <row r="89" spans="1:12">
      <c r="A89" s="140">
        <v>449</v>
      </c>
      <c r="B89" s="93" t="s">
        <v>99</v>
      </c>
      <c r="C89" s="94">
        <v>212156456</v>
      </c>
      <c r="D89" s="94">
        <v>150691968</v>
      </c>
      <c r="E89" s="94">
        <v>44597017</v>
      </c>
      <c r="F89" s="94">
        <v>2514451</v>
      </c>
      <c r="G89" s="94">
        <v>120259505</v>
      </c>
      <c r="H89" s="94">
        <v>16511919</v>
      </c>
      <c r="I89" s="94">
        <v>62734</v>
      </c>
      <c r="J89" s="94">
        <v>9582416</v>
      </c>
      <c r="K89" s="94">
        <v>11366988</v>
      </c>
      <c r="L89" s="94">
        <v>14148736</v>
      </c>
    </row>
    <row r="90" spans="1:12">
      <c r="A90" s="140">
        <v>511</v>
      </c>
      <c r="B90" s="93" t="s">
        <v>100</v>
      </c>
      <c r="C90" s="94">
        <v>1963478825</v>
      </c>
      <c r="D90" s="94">
        <v>1792248202</v>
      </c>
      <c r="E90" s="94">
        <v>197845484</v>
      </c>
      <c r="F90" s="94">
        <v>17306910</v>
      </c>
      <c r="G90" s="94">
        <v>2821989104</v>
      </c>
      <c r="H90" s="94">
        <v>916678705</v>
      </c>
      <c r="I90" s="94">
        <v>2914343</v>
      </c>
      <c r="J90" s="94">
        <v>192570721</v>
      </c>
      <c r="K90" s="94">
        <v>255360304</v>
      </c>
      <c r="L90" s="94">
        <v>102854497</v>
      </c>
    </row>
    <row r="91" spans="1:12">
      <c r="A91" s="140">
        <v>512</v>
      </c>
      <c r="B91" s="93" t="s">
        <v>101</v>
      </c>
      <c r="C91" s="94">
        <v>2220984</v>
      </c>
      <c r="D91" s="94">
        <v>1954679</v>
      </c>
      <c r="E91" s="94">
        <v>91983</v>
      </c>
      <c r="F91" s="94">
        <v>164163</v>
      </c>
      <c r="G91" s="94">
        <v>2884154</v>
      </c>
      <c r="H91" s="94">
        <v>2178774</v>
      </c>
      <c r="I91" s="94">
        <v>0</v>
      </c>
      <c r="J91" s="94">
        <v>0</v>
      </c>
      <c r="K91" s="94">
        <v>324899</v>
      </c>
      <c r="L91" s="94">
        <v>0</v>
      </c>
    </row>
    <row r="92" spans="1:12">
      <c r="A92" s="140">
        <v>520</v>
      </c>
      <c r="B92" s="93" t="s">
        <v>29</v>
      </c>
      <c r="C92" s="94">
        <v>78988885</v>
      </c>
      <c r="D92" s="94">
        <v>65552193</v>
      </c>
      <c r="E92" s="94">
        <v>9426077</v>
      </c>
      <c r="F92" s="94">
        <v>1917641</v>
      </c>
      <c r="G92" s="94">
        <v>104078789</v>
      </c>
      <c r="H92" s="94">
        <v>33416111</v>
      </c>
      <c r="I92" s="94">
        <v>1667408</v>
      </c>
      <c r="J92" s="94">
        <v>11512154</v>
      </c>
      <c r="K92" s="94">
        <v>35118118</v>
      </c>
      <c r="L92" s="94">
        <v>2420609</v>
      </c>
    </row>
    <row r="93" spans="1:12">
      <c r="A93" s="140">
        <v>611</v>
      </c>
      <c r="B93" s="93" t="s">
        <v>102</v>
      </c>
      <c r="C93" s="94">
        <v>616178794</v>
      </c>
      <c r="D93" s="94">
        <v>506444801</v>
      </c>
      <c r="E93" s="94">
        <v>94784879</v>
      </c>
      <c r="F93" s="94">
        <v>2971805</v>
      </c>
      <c r="G93" s="94">
        <v>208834373</v>
      </c>
      <c r="H93" s="94">
        <v>28679826</v>
      </c>
      <c r="I93" s="94">
        <v>3401516</v>
      </c>
      <c r="J93" s="94">
        <v>37566676</v>
      </c>
      <c r="K93" s="94">
        <v>95715256</v>
      </c>
      <c r="L93" s="94">
        <v>7774143</v>
      </c>
    </row>
    <row r="94" spans="1:12">
      <c r="A94" s="140">
        <v>612</v>
      </c>
      <c r="B94" s="93" t="s">
        <v>103</v>
      </c>
      <c r="C94" s="94">
        <v>36538582</v>
      </c>
      <c r="D94" s="94">
        <v>27485791</v>
      </c>
      <c r="E94" s="94">
        <v>5785177</v>
      </c>
      <c r="F94" s="94">
        <v>495389</v>
      </c>
      <c r="G94" s="94">
        <v>43485278</v>
      </c>
      <c r="H94" s="94">
        <v>16511003</v>
      </c>
      <c r="I94" s="94">
        <v>169345</v>
      </c>
      <c r="J94" s="94">
        <v>5111941</v>
      </c>
      <c r="K94" s="94">
        <v>5808750</v>
      </c>
      <c r="L94" s="94">
        <v>2002895</v>
      </c>
    </row>
    <row r="95" spans="1:12">
      <c r="A95" s="140">
        <v>619</v>
      </c>
      <c r="B95" s="93" t="s">
        <v>104</v>
      </c>
      <c r="C95" s="94">
        <v>73384429637</v>
      </c>
      <c r="D95" s="94">
        <v>61687112847</v>
      </c>
      <c r="E95" s="94">
        <v>5768913918</v>
      </c>
      <c r="F95" s="94">
        <v>291587058</v>
      </c>
      <c r="G95" s="94">
        <v>66693709732</v>
      </c>
      <c r="H95" s="94">
        <v>26368181104</v>
      </c>
      <c r="I95" s="94">
        <v>720013862</v>
      </c>
      <c r="J95" s="94">
        <v>9150723576</v>
      </c>
      <c r="K95" s="94">
        <v>6440781028</v>
      </c>
      <c r="L95" s="94">
        <v>4660170518</v>
      </c>
    </row>
    <row r="96" spans="1:12">
      <c r="A96" s="140">
        <v>621</v>
      </c>
      <c r="B96" s="93" t="s">
        <v>105</v>
      </c>
      <c r="C96" s="94">
        <v>63820446827</v>
      </c>
      <c r="D96" s="94">
        <v>65475745903</v>
      </c>
      <c r="E96" s="94">
        <v>4127807495</v>
      </c>
      <c r="F96" s="94">
        <v>371034944</v>
      </c>
      <c r="G96" s="94">
        <v>82083002900</v>
      </c>
      <c r="H96" s="94">
        <v>25185690191</v>
      </c>
      <c r="I96" s="94">
        <v>570820259</v>
      </c>
      <c r="J96" s="94">
        <v>20779106737</v>
      </c>
      <c r="K96" s="94">
        <v>7044656509</v>
      </c>
      <c r="L96" s="94">
        <v>6229712165</v>
      </c>
    </row>
    <row r="97" spans="1:12">
      <c r="A97" s="140">
        <v>622</v>
      </c>
      <c r="B97" s="93" t="s">
        <v>106</v>
      </c>
      <c r="C97" s="94">
        <v>40483519</v>
      </c>
      <c r="D97" s="94">
        <v>29570078</v>
      </c>
      <c r="E97" s="94">
        <v>6767456</v>
      </c>
      <c r="F97" s="94">
        <v>1052468</v>
      </c>
      <c r="G97" s="94">
        <v>58102639</v>
      </c>
      <c r="H97" s="94">
        <v>14179599</v>
      </c>
      <c r="I97" s="94">
        <v>2543540</v>
      </c>
      <c r="J97" s="94">
        <v>11838237</v>
      </c>
      <c r="K97" s="94">
        <v>9012748</v>
      </c>
      <c r="L97" s="94">
        <v>3054135</v>
      </c>
    </row>
    <row r="98" spans="1:12">
      <c r="A98" s="140">
        <v>623</v>
      </c>
      <c r="B98" s="93" t="s">
        <v>107</v>
      </c>
      <c r="C98" s="94">
        <v>10983452968</v>
      </c>
      <c r="D98" s="94">
        <v>9540395118</v>
      </c>
      <c r="E98" s="94">
        <v>940762372</v>
      </c>
      <c r="F98" s="94">
        <v>249650140</v>
      </c>
      <c r="G98" s="94">
        <v>12274779954</v>
      </c>
      <c r="H98" s="94">
        <v>6372636966</v>
      </c>
      <c r="I98" s="94">
        <v>130781056</v>
      </c>
      <c r="J98" s="94">
        <v>1851627486</v>
      </c>
      <c r="K98" s="94">
        <v>965203572</v>
      </c>
      <c r="L98" s="94">
        <v>860202938</v>
      </c>
    </row>
    <row r="99" spans="1:12">
      <c r="A99" s="140">
        <v>624</v>
      </c>
      <c r="B99" s="93" t="s">
        <v>108</v>
      </c>
      <c r="C99" s="94">
        <v>7936298777</v>
      </c>
      <c r="D99" s="94">
        <v>6077601978</v>
      </c>
      <c r="E99" s="94">
        <v>1377697055</v>
      </c>
      <c r="F99" s="94">
        <v>150249715</v>
      </c>
      <c r="G99" s="94">
        <v>8320339526</v>
      </c>
      <c r="H99" s="94">
        <v>2433663776</v>
      </c>
      <c r="I99" s="94">
        <v>357354015</v>
      </c>
      <c r="J99" s="94">
        <v>1836282046</v>
      </c>
      <c r="K99" s="94">
        <v>944139859</v>
      </c>
      <c r="L99" s="94">
        <v>800410812</v>
      </c>
    </row>
    <row r="100" spans="1:12">
      <c r="A100" s="140">
        <v>625</v>
      </c>
      <c r="B100" s="93" t="s">
        <v>109</v>
      </c>
      <c r="C100" s="94">
        <v>352145086</v>
      </c>
      <c r="D100" s="94">
        <v>292041221</v>
      </c>
      <c r="E100" s="94">
        <v>37562162</v>
      </c>
      <c r="F100" s="94">
        <v>7681488</v>
      </c>
      <c r="G100" s="94">
        <v>316526163</v>
      </c>
      <c r="H100" s="94">
        <v>110103174</v>
      </c>
      <c r="I100" s="94">
        <v>497121</v>
      </c>
      <c r="J100" s="94">
        <v>74955373</v>
      </c>
      <c r="K100" s="94">
        <v>53390979</v>
      </c>
      <c r="L100" s="94">
        <v>26015402</v>
      </c>
    </row>
    <row r="101" spans="1:12">
      <c r="A101" s="140">
        <v>626</v>
      </c>
      <c r="B101" s="93" t="s">
        <v>110</v>
      </c>
      <c r="C101" s="94">
        <v>14106949147</v>
      </c>
      <c r="D101" s="94">
        <v>12085155555</v>
      </c>
      <c r="E101" s="94">
        <v>1345451745</v>
      </c>
      <c r="F101" s="94">
        <v>270303959</v>
      </c>
      <c r="G101" s="94">
        <v>12971877496</v>
      </c>
      <c r="H101" s="94">
        <v>5504632583</v>
      </c>
      <c r="I101" s="94">
        <v>157279735</v>
      </c>
      <c r="J101" s="94">
        <v>2872980767</v>
      </c>
      <c r="K101" s="94">
        <v>1492292733</v>
      </c>
      <c r="L101" s="94">
        <v>1508367440</v>
      </c>
    </row>
    <row r="102" spans="1:12">
      <c r="A102" s="140">
        <v>627</v>
      </c>
      <c r="B102" s="93" t="s">
        <v>111</v>
      </c>
      <c r="C102" s="94">
        <v>994494133</v>
      </c>
      <c r="D102" s="94">
        <v>845375268</v>
      </c>
      <c r="E102" s="94">
        <v>101263698</v>
      </c>
      <c r="F102" s="94">
        <v>22583688</v>
      </c>
      <c r="G102" s="94">
        <v>952744827</v>
      </c>
      <c r="H102" s="94">
        <v>449477523</v>
      </c>
      <c r="I102" s="94">
        <v>7372195</v>
      </c>
      <c r="J102" s="94">
        <v>187186748</v>
      </c>
      <c r="K102" s="94">
        <v>76433964</v>
      </c>
      <c r="L102" s="94">
        <v>76397561</v>
      </c>
    </row>
    <row r="103" spans="1:12">
      <c r="A103" s="140">
        <v>628</v>
      </c>
      <c r="B103" s="93" t="s">
        <v>112</v>
      </c>
      <c r="C103" s="94">
        <v>13901562014</v>
      </c>
      <c r="D103" s="94">
        <v>11270334555</v>
      </c>
      <c r="E103" s="94">
        <v>1636264025</v>
      </c>
      <c r="F103" s="94">
        <v>244304538</v>
      </c>
      <c r="G103" s="94">
        <v>17229798238</v>
      </c>
      <c r="H103" s="94">
        <v>6053549806</v>
      </c>
      <c r="I103" s="94">
        <v>129677959</v>
      </c>
      <c r="J103" s="94">
        <v>2815187078</v>
      </c>
      <c r="K103" s="94">
        <v>1723090019</v>
      </c>
      <c r="L103" s="94">
        <v>1975604451</v>
      </c>
    </row>
    <row r="104" spans="1:12">
      <c r="A104" s="140">
        <v>629</v>
      </c>
      <c r="B104" s="93" t="s">
        <v>113</v>
      </c>
      <c r="C104" s="94">
        <v>184619322260</v>
      </c>
      <c r="D104" s="94">
        <v>153458491398</v>
      </c>
      <c r="E104" s="94">
        <v>22838816433</v>
      </c>
      <c r="F104" s="94">
        <v>3446677051</v>
      </c>
      <c r="G104" s="94">
        <v>190282163925</v>
      </c>
      <c r="H104" s="94">
        <v>69552903659</v>
      </c>
      <c r="I104" s="94">
        <v>4343678421</v>
      </c>
      <c r="J104" s="94">
        <v>39172511827</v>
      </c>
      <c r="K104" s="94">
        <v>20269726773</v>
      </c>
      <c r="L104" s="94">
        <v>19571291679</v>
      </c>
    </row>
    <row r="105" spans="1:12">
      <c r="A105" s="140">
        <v>631</v>
      </c>
      <c r="B105" s="93" t="s">
        <v>114</v>
      </c>
      <c r="C105" s="94">
        <v>579674841</v>
      </c>
      <c r="D105" s="94">
        <v>518193563</v>
      </c>
      <c r="E105" s="94">
        <v>51989555</v>
      </c>
      <c r="F105" s="94">
        <v>8182482</v>
      </c>
      <c r="G105" s="94">
        <v>447258354</v>
      </c>
      <c r="H105" s="94">
        <v>127803898</v>
      </c>
      <c r="I105" s="94">
        <v>5811070</v>
      </c>
      <c r="J105" s="94">
        <v>108777772</v>
      </c>
      <c r="K105" s="94">
        <v>12472473</v>
      </c>
      <c r="L105" s="94">
        <v>22682458</v>
      </c>
    </row>
    <row r="106" spans="1:12">
      <c r="A106" s="140">
        <v>632</v>
      </c>
      <c r="B106" s="93" t="s">
        <v>115</v>
      </c>
      <c r="C106" s="94">
        <v>42581999904</v>
      </c>
      <c r="D106" s="94">
        <v>26912887961</v>
      </c>
      <c r="E106" s="94">
        <v>13970274206</v>
      </c>
      <c r="F106" s="94">
        <v>688335269</v>
      </c>
      <c r="G106" s="94">
        <v>37415076035</v>
      </c>
      <c r="H106" s="94">
        <v>6368361893</v>
      </c>
      <c r="I106" s="94">
        <v>3340638925</v>
      </c>
      <c r="J106" s="94">
        <v>8474487811</v>
      </c>
      <c r="K106" s="94">
        <v>1250325567</v>
      </c>
      <c r="L106" s="94">
        <v>3820941656</v>
      </c>
    </row>
    <row r="107" spans="1:12">
      <c r="A107" s="140">
        <v>633</v>
      </c>
      <c r="B107" s="93" t="s">
        <v>116</v>
      </c>
      <c r="C107" s="94">
        <v>1916081553</v>
      </c>
      <c r="D107" s="94">
        <v>1438100693</v>
      </c>
      <c r="E107" s="94">
        <v>438300035</v>
      </c>
      <c r="F107" s="94">
        <v>33852830</v>
      </c>
      <c r="G107" s="94">
        <v>1894227522</v>
      </c>
      <c r="H107" s="94">
        <v>453479582</v>
      </c>
      <c r="I107" s="94">
        <v>180697663</v>
      </c>
      <c r="J107" s="94">
        <v>406493438</v>
      </c>
      <c r="K107" s="94">
        <v>83107205</v>
      </c>
      <c r="L107" s="94">
        <v>127680808</v>
      </c>
    </row>
    <row r="108" spans="1:12">
      <c r="A108" s="140">
        <v>634</v>
      </c>
      <c r="B108" s="93" t="s">
        <v>117</v>
      </c>
      <c r="C108" s="94">
        <v>2029097702</v>
      </c>
      <c r="D108" s="94">
        <v>842373393</v>
      </c>
      <c r="E108" s="94">
        <v>1052150008</v>
      </c>
      <c r="F108" s="94">
        <v>94000230</v>
      </c>
      <c r="G108" s="94">
        <v>1849084209</v>
      </c>
      <c r="H108" s="94">
        <v>799368240</v>
      </c>
      <c r="I108" s="94">
        <v>53217458</v>
      </c>
      <c r="J108" s="94">
        <v>276639750</v>
      </c>
      <c r="K108" s="94">
        <v>20542332</v>
      </c>
      <c r="L108" s="94">
        <v>34015100</v>
      </c>
    </row>
    <row r="109" spans="1:12">
      <c r="A109" s="140">
        <v>635</v>
      </c>
      <c r="B109" s="93" t="s">
        <v>118</v>
      </c>
      <c r="C109" s="94">
        <v>15717328747</v>
      </c>
      <c r="D109" s="94">
        <v>11008288567</v>
      </c>
      <c r="E109" s="94">
        <v>4006138313</v>
      </c>
      <c r="F109" s="94">
        <v>166255165</v>
      </c>
      <c r="G109" s="94">
        <v>13903204064</v>
      </c>
      <c r="H109" s="94">
        <v>1778136241</v>
      </c>
      <c r="I109" s="94">
        <v>1058506311</v>
      </c>
      <c r="J109" s="94">
        <v>4588681046</v>
      </c>
      <c r="K109" s="94">
        <v>513401307</v>
      </c>
      <c r="L109" s="94">
        <v>1782033212</v>
      </c>
    </row>
    <row r="110" spans="1:12">
      <c r="A110" s="140">
        <v>636</v>
      </c>
      <c r="B110" s="93" t="s">
        <v>119</v>
      </c>
      <c r="C110" s="94">
        <v>12431417</v>
      </c>
      <c r="D110" s="94">
        <v>3025923</v>
      </c>
      <c r="E110" s="94">
        <v>8414454</v>
      </c>
      <c r="F110" s="94">
        <v>569744</v>
      </c>
      <c r="G110" s="94">
        <v>4129445</v>
      </c>
      <c r="H110" s="94">
        <v>989657</v>
      </c>
      <c r="I110" s="94">
        <v>17410</v>
      </c>
      <c r="J110" s="94">
        <v>219460</v>
      </c>
      <c r="K110" s="94">
        <v>315074</v>
      </c>
      <c r="L110" s="94">
        <v>100181</v>
      </c>
    </row>
    <row r="111" spans="1:12">
      <c r="A111" s="140">
        <v>637</v>
      </c>
      <c r="B111" s="93" t="s">
        <v>120</v>
      </c>
      <c r="C111" s="94">
        <v>7873072075</v>
      </c>
      <c r="D111" s="94">
        <v>5683468964</v>
      </c>
      <c r="E111" s="94">
        <v>1823605625</v>
      </c>
      <c r="F111" s="94">
        <v>259125688</v>
      </c>
      <c r="G111" s="94">
        <v>8424226772</v>
      </c>
      <c r="H111" s="94">
        <v>3780276437</v>
      </c>
      <c r="I111" s="94">
        <v>175225330</v>
      </c>
      <c r="J111" s="94">
        <v>837838277</v>
      </c>
      <c r="K111" s="94">
        <v>682598501</v>
      </c>
      <c r="L111" s="94">
        <v>225793899</v>
      </c>
    </row>
    <row r="112" spans="1:12">
      <c r="A112" s="140">
        <v>639</v>
      </c>
      <c r="B112" s="93" t="s">
        <v>121</v>
      </c>
      <c r="C112" s="94">
        <v>10563235002</v>
      </c>
      <c r="D112" s="94">
        <v>8603892527</v>
      </c>
      <c r="E112" s="94">
        <v>1631689726</v>
      </c>
      <c r="F112" s="94">
        <v>61013534</v>
      </c>
      <c r="G112" s="94">
        <v>5801769052</v>
      </c>
      <c r="H112" s="94">
        <v>876371829</v>
      </c>
      <c r="I112" s="94">
        <v>79432450</v>
      </c>
      <c r="J112" s="94">
        <v>1535553798</v>
      </c>
      <c r="K112" s="94">
        <v>443154723</v>
      </c>
      <c r="L112" s="94">
        <v>669767676</v>
      </c>
    </row>
    <row r="113" spans="1:12">
      <c r="A113" s="140">
        <v>711</v>
      </c>
      <c r="B113" s="93" t="s">
        <v>6</v>
      </c>
      <c r="C113" s="94">
        <v>1048369948</v>
      </c>
      <c r="D113" s="94">
        <v>951931684</v>
      </c>
      <c r="E113" s="94">
        <v>75949571</v>
      </c>
      <c r="F113" s="94">
        <v>17130143</v>
      </c>
      <c r="G113" s="94">
        <v>732237939</v>
      </c>
      <c r="H113" s="94">
        <v>345469347</v>
      </c>
      <c r="I113" s="94">
        <v>1681769</v>
      </c>
      <c r="J113" s="94">
        <v>105418677</v>
      </c>
      <c r="K113" s="94">
        <v>81068346</v>
      </c>
      <c r="L113" s="94">
        <v>41353805</v>
      </c>
    </row>
    <row r="114" spans="1:12">
      <c r="A114" s="140">
        <v>712</v>
      </c>
      <c r="B114" s="93" t="s">
        <v>122</v>
      </c>
      <c r="C114" s="94">
        <v>11686560908</v>
      </c>
      <c r="D114" s="94">
        <v>10459689955</v>
      </c>
      <c r="E114" s="94">
        <v>990106286</v>
      </c>
      <c r="F114" s="94">
        <v>133285227</v>
      </c>
      <c r="G114" s="94">
        <v>5345098157</v>
      </c>
      <c r="H114" s="94">
        <v>2274489162</v>
      </c>
      <c r="I114" s="94">
        <v>35175524</v>
      </c>
      <c r="J114" s="94">
        <v>978792927</v>
      </c>
      <c r="K114" s="94">
        <v>822476034</v>
      </c>
      <c r="L114" s="94">
        <v>439320735</v>
      </c>
    </row>
    <row r="115" spans="1:12">
      <c r="A115" s="140">
        <v>721</v>
      </c>
      <c r="B115" s="93" t="s">
        <v>123</v>
      </c>
      <c r="C115" s="94">
        <v>5134870902</v>
      </c>
      <c r="D115" s="94">
        <v>4174601658</v>
      </c>
      <c r="E115" s="94">
        <v>789946730</v>
      </c>
      <c r="F115" s="94">
        <v>48703401</v>
      </c>
      <c r="G115" s="94">
        <v>3578401477</v>
      </c>
      <c r="H115" s="94">
        <v>1271653120</v>
      </c>
      <c r="I115" s="94">
        <v>30047783</v>
      </c>
      <c r="J115" s="94">
        <v>508927942</v>
      </c>
      <c r="K115" s="94">
        <v>750262805</v>
      </c>
      <c r="L115" s="94">
        <v>291024798</v>
      </c>
    </row>
    <row r="116" spans="1:12">
      <c r="A116" s="140">
        <v>722</v>
      </c>
      <c r="B116" s="93" t="s">
        <v>124</v>
      </c>
      <c r="C116" s="94">
        <v>616517319</v>
      </c>
      <c r="D116" s="94">
        <v>524498800</v>
      </c>
      <c r="E116" s="94">
        <v>65312767</v>
      </c>
      <c r="F116" s="94">
        <v>12180307</v>
      </c>
      <c r="G116" s="94">
        <v>509040172</v>
      </c>
      <c r="H116" s="94">
        <v>223763198</v>
      </c>
      <c r="I116" s="94">
        <v>3855546</v>
      </c>
      <c r="J116" s="94">
        <v>67116753</v>
      </c>
      <c r="K116" s="94">
        <v>104012261</v>
      </c>
      <c r="L116" s="94">
        <v>38043458</v>
      </c>
    </row>
    <row r="117" spans="1:12">
      <c r="A117" s="140">
        <v>730</v>
      </c>
      <c r="B117" s="93" t="s">
        <v>35</v>
      </c>
      <c r="C117" s="94">
        <v>2794353134</v>
      </c>
      <c r="D117" s="94">
        <v>2265807768</v>
      </c>
      <c r="E117" s="94">
        <v>435984838</v>
      </c>
      <c r="F117" s="94">
        <v>56332982</v>
      </c>
      <c r="G117" s="94">
        <v>2203026518</v>
      </c>
      <c r="H117" s="94">
        <v>925394455</v>
      </c>
      <c r="I117" s="94">
        <v>144448203</v>
      </c>
      <c r="J117" s="94">
        <v>330210594</v>
      </c>
      <c r="K117" s="94">
        <v>379576263</v>
      </c>
      <c r="L117" s="94">
        <v>157412647</v>
      </c>
    </row>
    <row r="118" spans="1:12">
      <c r="A118" s="140">
        <v>740</v>
      </c>
      <c r="B118" s="93" t="s">
        <v>36</v>
      </c>
      <c r="C118" s="94">
        <v>1485516584</v>
      </c>
      <c r="D118" s="94">
        <v>1287552046</v>
      </c>
      <c r="E118" s="94">
        <v>142811011</v>
      </c>
      <c r="F118" s="94">
        <v>14788938</v>
      </c>
      <c r="G118" s="94">
        <v>1006928314</v>
      </c>
      <c r="H118" s="94">
        <v>291964324</v>
      </c>
      <c r="I118" s="94">
        <v>7658047</v>
      </c>
      <c r="J118" s="94">
        <v>151282195</v>
      </c>
      <c r="K118" s="94">
        <v>188428749</v>
      </c>
      <c r="L118" s="94">
        <v>107113559</v>
      </c>
    </row>
    <row r="119" spans="1:12">
      <c r="A119" s="140">
        <v>750</v>
      </c>
      <c r="B119" s="93" t="s">
        <v>37</v>
      </c>
      <c r="C119" s="94">
        <v>6209155454</v>
      </c>
      <c r="D119" s="94">
        <v>4697196687</v>
      </c>
      <c r="E119" s="94">
        <v>1310317581</v>
      </c>
      <c r="F119" s="94">
        <v>52944194</v>
      </c>
      <c r="G119" s="94">
        <v>4340553160</v>
      </c>
      <c r="H119" s="94">
        <v>1545337786</v>
      </c>
      <c r="I119" s="94">
        <v>69984760</v>
      </c>
      <c r="J119" s="94">
        <v>662405942</v>
      </c>
      <c r="K119" s="94">
        <v>599352696</v>
      </c>
      <c r="L119" s="94">
        <v>336094902</v>
      </c>
    </row>
    <row r="120" spans="1:12">
      <c r="A120" s="140">
        <v>761</v>
      </c>
      <c r="B120" s="93" t="s">
        <v>125</v>
      </c>
      <c r="C120" s="94">
        <v>4567306015</v>
      </c>
      <c r="D120" s="94">
        <v>3806959261</v>
      </c>
      <c r="E120" s="94">
        <v>599266806</v>
      </c>
      <c r="F120" s="94">
        <v>58434357</v>
      </c>
      <c r="G120" s="94">
        <v>4185303869</v>
      </c>
      <c r="H120" s="94">
        <v>1368452047</v>
      </c>
      <c r="I120" s="94">
        <v>222463882</v>
      </c>
      <c r="J120" s="94">
        <v>574438583</v>
      </c>
      <c r="K120" s="94">
        <v>747604067</v>
      </c>
      <c r="L120" s="94">
        <v>258623704</v>
      </c>
    </row>
    <row r="121" spans="1:12">
      <c r="A121" s="140">
        <v>762</v>
      </c>
      <c r="B121" s="93" t="s">
        <v>126</v>
      </c>
      <c r="C121" s="94">
        <v>561379040</v>
      </c>
      <c r="D121" s="94">
        <v>440157028</v>
      </c>
      <c r="E121" s="94">
        <v>69072146</v>
      </c>
      <c r="F121" s="94">
        <v>5919296</v>
      </c>
      <c r="G121" s="94">
        <v>737687395</v>
      </c>
      <c r="H121" s="94">
        <v>233960204</v>
      </c>
      <c r="I121" s="94">
        <v>1880074</v>
      </c>
      <c r="J121" s="94">
        <v>67918147</v>
      </c>
      <c r="K121" s="94">
        <v>86216136</v>
      </c>
      <c r="L121" s="94">
        <v>27565471</v>
      </c>
    </row>
    <row r="122" spans="1:12">
      <c r="A122" s="140">
        <v>770</v>
      </c>
      <c r="B122" s="93" t="s">
        <v>39</v>
      </c>
      <c r="C122" s="94">
        <v>8426037982</v>
      </c>
      <c r="D122" s="94">
        <v>7194585397</v>
      </c>
      <c r="E122" s="94">
        <v>920086580</v>
      </c>
      <c r="F122" s="94">
        <v>31719133</v>
      </c>
      <c r="G122" s="94">
        <v>6267487289</v>
      </c>
      <c r="H122" s="94">
        <v>1467592675</v>
      </c>
      <c r="I122" s="94">
        <v>34325197</v>
      </c>
      <c r="J122" s="94">
        <v>1123710054</v>
      </c>
      <c r="K122" s="94">
        <v>1022074067</v>
      </c>
      <c r="L122" s="94">
        <v>477110027</v>
      </c>
    </row>
    <row r="123" spans="1:12">
      <c r="A123" s="140">
        <v>791</v>
      </c>
      <c r="B123" s="93" t="s">
        <v>127</v>
      </c>
      <c r="C123" s="94">
        <v>7656886541</v>
      </c>
      <c r="D123" s="94">
        <v>5073193733</v>
      </c>
      <c r="E123" s="94">
        <v>2172494546</v>
      </c>
      <c r="F123" s="94">
        <v>118518622</v>
      </c>
      <c r="G123" s="94">
        <v>9502759011</v>
      </c>
      <c r="H123" s="94">
        <v>3504347258</v>
      </c>
      <c r="I123" s="94">
        <v>87822654</v>
      </c>
      <c r="J123" s="94">
        <v>848602981</v>
      </c>
      <c r="K123" s="94">
        <v>416941708</v>
      </c>
      <c r="L123" s="94">
        <v>508241020</v>
      </c>
    </row>
    <row r="124" spans="1:12">
      <c r="A124" s="140">
        <v>792</v>
      </c>
      <c r="B124" s="93" t="s">
        <v>128</v>
      </c>
      <c r="C124" s="94">
        <v>6836802000</v>
      </c>
      <c r="D124" s="94">
        <v>5086999600</v>
      </c>
      <c r="E124" s="94">
        <v>1352396250</v>
      </c>
      <c r="F124" s="94">
        <v>82928931</v>
      </c>
      <c r="G124" s="94">
        <v>8435496000</v>
      </c>
      <c r="H124" s="94">
        <v>3052095700</v>
      </c>
      <c r="I124" s="94">
        <v>280996362</v>
      </c>
      <c r="J124" s="94">
        <v>692159000</v>
      </c>
      <c r="K124" s="94">
        <v>815497400</v>
      </c>
      <c r="L124" s="94">
        <v>410156530</v>
      </c>
    </row>
    <row r="125" spans="1:12">
      <c r="A125" s="140">
        <v>793</v>
      </c>
      <c r="B125" s="93" t="s">
        <v>129</v>
      </c>
      <c r="C125" s="94">
        <v>3746310231</v>
      </c>
      <c r="D125" s="94">
        <v>2850392561</v>
      </c>
      <c r="E125" s="94">
        <v>712929875</v>
      </c>
      <c r="F125" s="94">
        <v>53215795</v>
      </c>
      <c r="G125" s="94">
        <v>4248282926</v>
      </c>
      <c r="H125" s="94">
        <v>1620554930</v>
      </c>
      <c r="I125" s="94">
        <v>24387389</v>
      </c>
      <c r="J125" s="94">
        <v>408807857</v>
      </c>
      <c r="K125" s="94">
        <v>265793622</v>
      </c>
      <c r="L125" s="94">
        <v>451813969</v>
      </c>
    </row>
    <row r="126" spans="1:12">
      <c r="A126" s="140">
        <v>794</v>
      </c>
      <c r="B126" s="93" t="s">
        <v>130</v>
      </c>
      <c r="C126" s="94">
        <v>6754772553</v>
      </c>
      <c r="D126" s="94">
        <v>5114234404</v>
      </c>
      <c r="E126" s="94">
        <v>1229417093</v>
      </c>
      <c r="F126" s="94">
        <v>70108181</v>
      </c>
      <c r="G126" s="94">
        <v>5631580394</v>
      </c>
      <c r="H126" s="94">
        <v>2254949911</v>
      </c>
      <c r="I126" s="94">
        <v>79831590</v>
      </c>
      <c r="J126" s="94">
        <v>802966207</v>
      </c>
      <c r="K126" s="94">
        <v>724543485</v>
      </c>
      <c r="L126" s="94">
        <v>542267319</v>
      </c>
    </row>
    <row r="127" spans="1:12">
      <c r="A127" s="140">
        <v>795</v>
      </c>
      <c r="B127" s="93" t="s">
        <v>131</v>
      </c>
      <c r="C127" s="94">
        <v>4952537211</v>
      </c>
      <c r="D127" s="94">
        <v>3794723190</v>
      </c>
      <c r="E127" s="94">
        <v>950347894</v>
      </c>
      <c r="F127" s="94">
        <v>101526232</v>
      </c>
      <c r="G127" s="94">
        <v>4184202597</v>
      </c>
      <c r="H127" s="94">
        <v>1755410962</v>
      </c>
      <c r="I127" s="94">
        <v>61319876</v>
      </c>
      <c r="J127" s="94">
        <v>626300163</v>
      </c>
      <c r="K127" s="94">
        <v>643805804</v>
      </c>
      <c r="L127" s="94">
        <v>385083556</v>
      </c>
    </row>
    <row r="128" spans="1:12">
      <c r="A128" s="140">
        <v>799</v>
      </c>
      <c r="B128" s="93" t="s">
        <v>132</v>
      </c>
      <c r="C128" s="94">
        <v>4952537211</v>
      </c>
      <c r="D128" s="94">
        <v>3794723190</v>
      </c>
      <c r="E128" s="94">
        <v>950347894</v>
      </c>
      <c r="F128" s="94">
        <v>101526232</v>
      </c>
      <c r="G128" s="94">
        <v>4184202597</v>
      </c>
      <c r="H128" s="94">
        <v>1755410962</v>
      </c>
      <c r="I128" s="94">
        <v>61319876</v>
      </c>
      <c r="J128" s="94">
        <v>626300163</v>
      </c>
      <c r="K128" s="94">
        <v>643805804</v>
      </c>
      <c r="L128" s="94">
        <v>385083556</v>
      </c>
    </row>
    <row r="129" spans="1:12">
      <c r="A129" s="140">
        <v>811</v>
      </c>
      <c r="B129" s="93" t="s">
        <v>133</v>
      </c>
      <c r="C129" s="94">
        <v>264223740</v>
      </c>
      <c r="D129" s="94">
        <v>147351490</v>
      </c>
      <c r="E129" s="94">
        <v>104743551</v>
      </c>
      <c r="F129" s="94">
        <v>4629879</v>
      </c>
      <c r="G129" s="94">
        <v>387589769</v>
      </c>
      <c r="H129" s="94">
        <v>135697747</v>
      </c>
      <c r="I129" s="94">
        <v>9582809</v>
      </c>
      <c r="J129" s="94">
        <v>54121660</v>
      </c>
      <c r="K129" s="94">
        <v>45365087</v>
      </c>
      <c r="L129" s="94">
        <v>17209100</v>
      </c>
    </row>
    <row r="130" spans="1:12">
      <c r="A130" s="140">
        <v>812</v>
      </c>
      <c r="B130" s="93" t="s">
        <v>134</v>
      </c>
      <c r="C130" s="94">
        <v>2485993732</v>
      </c>
      <c r="D130" s="94">
        <v>1453685106</v>
      </c>
      <c r="E130" s="94">
        <v>787528421</v>
      </c>
      <c r="F130" s="94">
        <v>25461470</v>
      </c>
      <c r="G130" s="94">
        <v>4527864704</v>
      </c>
      <c r="H130" s="94">
        <v>2358883137</v>
      </c>
      <c r="I130" s="94">
        <v>177811024</v>
      </c>
      <c r="J130" s="94">
        <v>656458743</v>
      </c>
      <c r="K130" s="94">
        <v>236595394</v>
      </c>
      <c r="L130" s="94">
        <v>165188418</v>
      </c>
    </row>
    <row r="131" spans="1:12">
      <c r="A131" s="140">
        <v>821</v>
      </c>
      <c r="B131" s="93" t="s">
        <v>146</v>
      </c>
      <c r="C131" s="94">
        <v>5155768162</v>
      </c>
      <c r="D131" s="94">
        <v>3151677763</v>
      </c>
      <c r="E131" s="94">
        <v>1684560413</v>
      </c>
      <c r="F131" s="94">
        <v>132113266</v>
      </c>
      <c r="G131" s="94">
        <v>7350165627</v>
      </c>
      <c r="H131" s="94">
        <v>3390209149</v>
      </c>
      <c r="I131" s="94">
        <v>320932133</v>
      </c>
      <c r="J131" s="94">
        <v>549882359</v>
      </c>
      <c r="K131" s="94">
        <v>456278287</v>
      </c>
      <c r="L131" s="94">
        <v>351906758</v>
      </c>
    </row>
    <row r="132" spans="1:12">
      <c r="A132" s="140">
        <v>822</v>
      </c>
      <c r="B132" s="93" t="s">
        <v>146</v>
      </c>
      <c r="C132" s="94">
        <v>16155538</v>
      </c>
      <c r="D132" s="94">
        <v>11126157</v>
      </c>
      <c r="E132" s="94">
        <v>3880180</v>
      </c>
      <c r="F132" s="94">
        <v>1045327</v>
      </c>
      <c r="G132" s="94">
        <v>17808545</v>
      </c>
      <c r="H132" s="94">
        <v>16057343</v>
      </c>
      <c r="I132" s="94">
        <v>0</v>
      </c>
      <c r="J132" s="94">
        <v>541346</v>
      </c>
      <c r="K132" s="94">
        <v>219565</v>
      </c>
      <c r="L132" s="94">
        <v>310209</v>
      </c>
    </row>
    <row r="133" spans="1:12">
      <c r="A133" s="140">
        <v>911</v>
      </c>
      <c r="B133" s="93" t="s">
        <v>135</v>
      </c>
      <c r="C133" s="94">
        <v>2037390655</v>
      </c>
      <c r="D133" s="94">
        <v>1543476594</v>
      </c>
      <c r="E133" s="94">
        <v>393645838</v>
      </c>
      <c r="F133" s="94">
        <v>33815156</v>
      </c>
      <c r="G133" s="94">
        <v>2373951350</v>
      </c>
      <c r="H133" s="94">
        <v>751623439</v>
      </c>
      <c r="I133" s="94">
        <v>23671179</v>
      </c>
      <c r="J133" s="94">
        <v>309759443</v>
      </c>
      <c r="K133" s="94">
        <v>233136247</v>
      </c>
      <c r="L133" s="94">
        <v>226987438</v>
      </c>
    </row>
    <row r="134" spans="1:12">
      <c r="A134" s="140">
        <v>912</v>
      </c>
      <c r="B134" s="93" t="s">
        <v>136</v>
      </c>
      <c r="C134" s="94">
        <v>1015684082</v>
      </c>
      <c r="D134" s="94">
        <v>735277723</v>
      </c>
      <c r="E134" s="94">
        <v>232561684</v>
      </c>
      <c r="F134" s="94">
        <v>23126974</v>
      </c>
      <c r="G134" s="94">
        <v>957573106</v>
      </c>
      <c r="H134" s="94">
        <v>333124745</v>
      </c>
      <c r="I134" s="94">
        <v>109194508</v>
      </c>
      <c r="J134" s="94">
        <v>157288804</v>
      </c>
      <c r="K134" s="94">
        <v>102728536</v>
      </c>
      <c r="L134" s="94">
        <v>88430563</v>
      </c>
    </row>
    <row r="135" spans="1:12">
      <c r="A135" s="140">
        <v>913</v>
      </c>
      <c r="B135" s="93" t="s">
        <v>137</v>
      </c>
      <c r="C135" s="94">
        <v>46924850916</v>
      </c>
      <c r="D135" s="94">
        <v>39702553429</v>
      </c>
      <c r="E135" s="94">
        <v>4883433800</v>
      </c>
      <c r="F135" s="94">
        <v>1099647880</v>
      </c>
      <c r="G135" s="94">
        <v>47298840091</v>
      </c>
      <c r="H135" s="94">
        <v>21011338709</v>
      </c>
      <c r="I135" s="94">
        <v>555702663</v>
      </c>
      <c r="J135" s="94">
        <v>9187934886</v>
      </c>
      <c r="K135" s="94">
        <v>5099590070</v>
      </c>
      <c r="L135" s="94">
        <v>4732773109</v>
      </c>
    </row>
    <row r="136" spans="1:12">
      <c r="A136" s="140">
        <v>914</v>
      </c>
      <c r="B136" s="93" t="s">
        <v>138</v>
      </c>
      <c r="C136" s="94">
        <v>7458676381</v>
      </c>
      <c r="D136" s="94">
        <v>4753561636</v>
      </c>
      <c r="E136" s="94">
        <v>2051100845</v>
      </c>
      <c r="F136" s="94">
        <v>108728238</v>
      </c>
      <c r="G136" s="94">
        <v>6631108806</v>
      </c>
      <c r="H136" s="94">
        <v>2192360644</v>
      </c>
      <c r="I136" s="94">
        <v>74252374</v>
      </c>
      <c r="J136" s="94">
        <v>1019119903</v>
      </c>
      <c r="K136" s="94">
        <v>730629888</v>
      </c>
      <c r="L136" s="94">
        <v>514342261</v>
      </c>
    </row>
    <row r="137" spans="1:12">
      <c r="A137" s="140">
        <v>915</v>
      </c>
      <c r="B137" s="93" t="s">
        <v>139</v>
      </c>
      <c r="C137" s="94">
        <v>19533474672</v>
      </c>
      <c r="D137" s="94">
        <v>16441122345</v>
      </c>
      <c r="E137" s="94">
        <v>1941977277</v>
      </c>
      <c r="F137" s="94">
        <v>468167828</v>
      </c>
      <c r="G137" s="94">
        <v>21732962128</v>
      </c>
      <c r="H137" s="94">
        <v>9129176801</v>
      </c>
      <c r="I137" s="94">
        <v>455006756</v>
      </c>
      <c r="J137" s="94">
        <v>3821776936</v>
      </c>
      <c r="K137" s="94">
        <v>1926053299</v>
      </c>
      <c r="L137" s="94">
        <v>1843765525</v>
      </c>
    </row>
    <row r="138" spans="1:12">
      <c r="A138" s="140">
        <v>919</v>
      </c>
      <c r="B138" s="93" t="s">
        <v>140</v>
      </c>
      <c r="C138" s="94">
        <v>6311187281</v>
      </c>
      <c r="D138" s="94">
        <v>5230277658</v>
      </c>
      <c r="E138" s="94">
        <v>749124543</v>
      </c>
      <c r="F138" s="94">
        <v>119696098</v>
      </c>
      <c r="G138" s="94">
        <v>6430596558</v>
      </c>
      <c r="H138" s="94">
        <v>2363584514</v>
      </c>
      <c r="I138" s="94">
        <v>125382689</v>
      </c>
      <c r="J138" s="94">
        <v>1185517386</v>
      </c>
      <c r="K138" s="94">
        <v>644492882</v>
      </c>
      <c r="L138" s="94">
        <v>727386489</v>
      </c>
    </row>
    <row r="139" spans="1:12">
      <c r="A139" s="140">
        <v>921</v>
      </c>
      <c r="B139" s="93" t="s">
        <v>141</v>
      </c>
      <c r="C139" s="94">
        <v>1916081553</v>
      </c>
      <c r="D139" s="94">
        <v>1438100693</v>
      </c>
      <c r="E139" s="94">
        <v>438300035</v>
      </c>
      <c r="F139" s="94">
        <v>33852830</v>
      </c>
      <c r="G139" s="94">
        <v>1894227522</v>
      </c>
      <c r="H139" s="94">
        <v>453479582</v>
      </c>
      <c r="I139" s="94">
        <v>180697663</v>
      </c>
      <c r="J139" s="94">
        <v>406493438</v>
      </c>
      <c r="K139" s="94">
        <v>83107205</v>
      </c>
      <c r="L139" s="94">
        <v>127680808</v>
      </c>
    </row>
    <row r="140" spans="1:12">
      <c r="A140" s="140">
        <v>922</v>
      </c>
      <c r="B140" s="93" t="s">
        <v>142</v>
      </c>
      <c r="C140" s="94">
        <v>42581999904</v>
      </c>
      <c r="D140" s="94">
        <v>26912887961</v>
      </c>
      <c r="E140" s="94">
        <v>13970274206</v>
      </c>
      <c r="F140" s="94">
        <v>688335269</v>
      </c>
      <c r="G140" s="94">
        <v>37415076035</v>
      </c>
      <c r="H140" s="94">
        <v>6368361893</v>
      </c>
      <c r="I140" s="94">
        <v>3340638925</v>
      </c>
      <c r="J140" s="94">
        <v>8474487811</v>
      </c>
      <c r="K140" s="94">
        <v>1250325567</v>
      </c>
      <c r="L140" s="94">
        <v>3820941656</v>
      </c>
    </row>
    <row r="141" spans="1:12">
      <c r="A141" s="140">
        <v>923</v>
      </c>
      <c r="B141" s="93" t="s">
        <v>143</v>
      </c>
      <c r="C141" s="94">
        <v>2029097702</v>
      </c>
      <c r="D141" s="94">
        <v>842373393</v>
      </c>
      <c r="E141" s="94">
        <v>1052150008</v>
      </c>
      <c r="F141" s="94">
        <v>94000230</v>
      </c>
      <c r="G141" s="94">
        <v>1849084209</v>
      </c>
      <c r="H141" s="94">
        <v>799368240</v>
      </c>
      <c r="I141" s="94">
        <v>53217458</v>
      </c>
      <c r="J141" s="94">
        <v>276639750</v>
      </c>
      <c r="K141" s="94">
        <v>20542332</v>
      </c>
      <c r="L141" s="94">
        <v>34015100</v>
      </c>
    </row>
    <row r="142" spans="1:12">
      <c r="A142" s="140">
        <v>924</v>
      </c>
      <c r="B142" s="93" t="s">
        <v>144</v>
      </c>
      <c r="C142" s="94">
        <v>7873072075</v>
      </c>
      <c r="D142" s="94">
        <v>5683468964</v>
      </c>
      <c r="E142" s="94">
        <v>1823605625</v>
      </c>
      <c r="F142" s="94">
        <v>259125688</v>
      </c>
      <c r="G142" s="94">
        <v>8424226772</v>
      </c>
      <c r="H142" s="94">
        <v>3780276437</v>
      </c>
      <c r="I142" s="94">
        <v>175225330</v>
      </c>
      <c r="J142" s="94">
        <v>837838277</v>
      </c>
      <c r="K142" s="94">
        <v>682598501</v>
      </c>
      <c r="L142" s="94">
        <v>225793899</v>
      </c>
    </row>
    <row r="143" spans="1:12">
      <c r="A143" s="140">
        <v>929</v>
      </c>
      <c r="B143" s="93" t="s">
        <v>145</v>
      </c>
      <c r="C143" s="94">
        <v>506136660</v>
      </c>
      <c r="D143" s="94">
        <v>160629696</v>
      </c>
      <c r="E143" s="94">
        <v>315811909</v>
      </c>
      <c r="F143" s="94">
        <v>6566685</v>
      </c>
      <c r="G143" s="94">
        <v>394881978</v>
      </c>
      <c r="H143" s="94">
        <v>95748255</v>
      </c>
      <c r="I143" s="94">
        <v>17913638</v>
      </c>
      <c r="J143" s="94">
        <v>43787003</v>
      </c>
      <c r="K143" s="94">
        <v>3869746</v>
      </c>
      <c r="L143" s="94">
        <v>8695477</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38</vt:i4>
      </vt:variant>
      <vt:variant>
        <vt:lpstr>이름 지정된 범위</vt:lpstr>
      </vt:variant>
      <vt:variant>
        <vt:i4>14</vt:i4>
      </vt:variant>
    </vt:vector>
  </HeadingPairs>
  <TitlesOfParts>
    <vt:vector size="52" baseType="lpstr">
      <vt:lpstr>Manual</vt:lpstr>
      <vt:lpstr>History</vt:lpstr>
      <vt:lpstr>INPUT</vt:lpstr>
      <vt:lpstr>OUTPUT</vt:lpstr>
      <vt:lpstr>품질관리</vt:lpstr>
      <vt:lpstr>현금흐름</vt:lpstr>
      <vt:lpstr>기술수명</vt:lpstr>
      <vt:lpstr>기술비중산정표</vt:lpstr>
      <vt:lpstr>(DCF,로열티1) 기술기여도 및 조정계수1</vt:lpstr>
      <vt:lpstr>(로열티2) 조정계수2 및 지식재산 유효성</vt:lpstr>
      <vt:lpstr>할인율</vt:lpstr>
      <vt:lpstr>경상로열티</vt:lpstr>
      <vt:lpstr>재무</vt:lpstr>
      <vt:lpstr>업종분류</vt:lpstr>
      <vt:lpstr>농림축수산식품 재무비율 원본데이터(2017년-2019년)</vt:lpstr>
      <vt:lpstr>업종분류 검수용</vt:lpstr>
      <vt:lpstr>표준산업분류</vt:lpstr>
      <vt:lpstr>산업기술요소(보조)</vt:lpstr>
      <vt:lpstr>TCT</vt:lpstr>
      <vt:lpstr>IPC</vt:lpstr>
      <vt:lpstr>Total</vt:lpstr>
      <vt:lpstr>Y_2017</vt:lpstr>
      <vt:lpstr>Y_2018</vt:lpstr>
      <vt:lpstr>Y_2019</vt:lpstr>
      <vt:lpstr>상관행법로열티</vt:lpstr>
      <vt:lpstr>2017-2019 농업</vt:lpstr>
      <vt:lpstr>2017-2019 임업</vt:lpstr>
      <vt:lpstr>2017-2019 어업</vt:lpstr>
      <vt:lpstr>2017-2019 식품</vt:lpstr>
      <vt:lpstr>2015_전체</vt:lpstr>
      <vt:lpstr>2014_전체</vt:lpstr>
      <vt:lpstr>2013_전체</vt:lpstr>
      <vt:lpstr>2013_상위25</vt:lpstr>
      <vt:lpstr>2014_상위25</vt:lpstr>
      <vt:lpstr>2013_하위25</vt:lpstr>
      <vt:lpstr>2014_하위25</vt:lpstr>
      <vt:lpstr>2015_상위25</vt:lpstr>
      <vt:lpstr>2015_하위25</vt:lpstr>
      <vt:lpstr>Clear범위</vt:lpstr>
      <vt:lpstr>'(DCF,로열티1) 기술기여도 및 조정계수1'!Print_Area</vt:lpstr>
      <vt:lpstr>History!Print_Area</vt:lpstr>
      <vt:lpstr>INPUT!Print_Area</vt:lpstr>
      <vt:lpstr>Manual!Print_Area</vt:lpstr>
      <vt:lpstr>OUTPUT!Print_Area</vt:lpstr>
      <vt:lpstr>재무!Print_Area</vt:lpstr>
      <vt:lpstr>품질관리!Print_Area</vt:lpstr>
      <vt:lpstr>할인율!Print_Area</vt:lpstr>
      <vt:lpstr>현금흐름!Print_Area</vt:lpstr>
      <vt:lpstr>Total</vt:lpstr>
      <vt:lpstr>Y_2017</vt:lpstr>
      <vt:lpstr>Y_2018</vt:lpstr>
      <vt:lpstr>Y_2019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Park</dc:creator>
  <cp:lastModifiedBy>user</cp:lastModifiedBy>
  <cp:lastPrinted>2023-03-06T08:46:03Z</cp:lastPrinted>
  <dcterms:created xsi:type="dcterms:W3CDTF">1997-01-10T04:21:27Z</dcterms:created>
  <dcterms:modified xsi:type="dcterms:W3CDTF">2024-02-25T23:42:04Z</dcterms:modified>
</cp:coreProperties>
</file>