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earce/Downloads/"/>
    </mc:Choice>
  </mc:AlternateContent>
  <xr:revisionPtr revIDLastSave="0" documentId="13_ncr:1_{C6792F4B-66B9-3B47-B1D0-8C841DCC1F90}" xr6:coauthVersionLast="45" xr6:coauthVersionMax="45" xr10:uidLastSave="{00000000-0000-0000-0000-000000000000}"/>
  <bookViews>
    <workbookView xWindow="20" yWindow="460" windowWidth="33600" windowHeight="18940" xr2:uid="{00000000-000D-0000-FFFF-FFFF00000000}"/>
  </bookViews>
  <sheets>
    <sheet name="2019 Reimbursables" sheetId="1" r:id="rId1"/>
    <sheet name="Phone" sheetId="2" r:id="rId2"/>
    <sheet name="ISP" sheetId="3" r:id="rId3"/>
    <sheet name="Power" sheetId="4" r:id="rId4"/>
    <sheet name="Nat Gas" sheetId="5" r:id="rId5"/>
    <sheet name="Water Sewer" sheetId="6" r:id="rId6"/>
    <sheet name="Mileag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C30" i="1"/>
  <c r="C29" i="1"/>
  <c r="C28" i="1"/>
  <c r="C27" i="1"/>
  <c r="B32" i="1"/>
  <c r="C35" i="7"/>
  <c r="B30" i="1"/>
  <c r="B29" i="1"/>
  <c r="B28" i="1"/>
  <c r="B27" i="1"/>
  <c r="D31" i="7"/>
  <c r="D30" i="7"/>
  <c r="C29" i="7"/>
  <c r="D29" i="7" s="1"/>
  <c r="C28" i="7"/>
  <c r="D28" i="7" s="1"/>
  <c r="C27" i="7"/>
  <c r="D27" i="7" s="1"/>
  <c r="C26" i="7"/>
  <c r="D26" i="7" s="1"/>
  <c r="C25" i="7"/>
  <c r="D25" i="7" s="1"/>
  <c r="C24" i="7"/>
  <c r="D24" i="7" s="1"/>
  <c r="C23" i="7"/>
  <c r="D23" i="7" s="1"/>
  <c r="C22" i="7"/>
  <c r="D22" i="7" s="1"/>
  <c r="C21" i="7"/>
  <c r="D21" i="7" s="1"/>
  <c r="C20" i="7"/>
  <c r="D20" i="7" s="1"/>
  <c r="C19" i="7"/>
  <c r="D19" i="7" s="1"/>
  <c r="C18" i="7"/>
  <c r="D18" i="7" s="1"/>
  <c r="C17" i="7"/>
  <c r="D17" i="7" s="1"/>
  <c r="D16" i="7"/>
  <c r="C16" i="7"/>
  <c r="D15" i="7"/>
  <c r="D14" i="7"/>
  <c r="D13" i="7"/>
  <c r="C12" i="7"/>
  <c r="D12" i="7" s="1"/>
  <c r="D11" i="7"/>
  <c r="D10" i="7"/>
  <c r="D9" i="7"/>
  <c r="D8" i="7"/>
  <c r="D7" i="7"/>
  <c r="C6" i="7"/>
  <c r="D6" i="7" s="1"/>
  <c r="C5" i="7"/>
  <c r="D5" i="7" s="1"/>
  <c r="D4" i="7"/>
  <c r="D3" i="7"/>
  <c r="D2" i="7"/>
  <c r="M10" i="6"/>
  <c r="M11" i="6" s="1"/>
  <c r="F14" i="1" s="1"/>
  <c r="L10" i="6"/>
  <c r="L11" i="6" s="1"/>
  <c r="F13" i="1" s="1"/>
  <c r="K10" i="6"/>
  <c r="K11" i="6" s="1"/>
  <c r="F12" i="1" s="1"/>
  <c r="J10" i="6"/>
  <c r="J11" i="6" s="1"/>
  <c r="F11" i="1" s="1"/>
  <c r="I10" i="6"/>
  <c r="I11" i="6" s="1"/>
  <c r="F10" i="1" s="1"/>
  <c r="H10" i="6"/>
  <c r="H11" i="6" s="1"/>
  <c r="F9" i="1" s="1"/>
  <c r="G10" i="6"/>
  <c r="G11" i="6" s="1"/>
  <c r="F8" i="1" s="1"/>
  <c r="F10" i="6"/>
  <c r="E10" i="6"/>
  <c r="E11" i="6" s="1"/>
  <c r="F6" i="1" s="1"/>
  <c r="D10" i="6"/>
  <c r="D11" i="6" s="1"/>
  <c r="F5" i="1" s="1"/>
  <c r="C10" i="6"/>
  <c r="C11" i="6" s="1"/>
  <c r="F4" i="1" s="1"/>
  <c r="B10" i="6"/>
  <c r="B11" i="6" s="1"/>
  <c r="N9" i="6"/>
  <c r="N10" i="6" s="1"/>
  <c r="M10" i="5"/>
  <c r="M11" i="5" s="1"/>
  <c r="E14" i="1" s="1"/>
  <c r="L10" i="5"/>
  <c r="L11" i="5" s="1"/>
  <c r="E13" i="1" s="1"/>
  <c r="K10" i="5"/>
  <c r="K11" i="5" s="1"/>
  <c r="E12" i="1" s="1"/>
  <c r="J10" i="5"/>
  <c r="J11" i="5" s="1"/>
  <c r="E11" i="1" s="1"/>
  <c r="I10" i="5"/>
  <c r="I11" i="5" s="1"/>
  <c r="E10" i="1" s="1"/>
  <c r="H10" i="5"/>
  <c r="H11" i="5" s="1"/>
  <c r="E9" i="1" s="1"/>
  <c r="G10" i="5"/>
  <c r="G11" i="5" s="1"/>
  <c r="E8" i="1" s="1"/>
  <c r="F10" i="5"/>
  <c r="F11" i="5" s="1"/>
  <c r="E7" i="1" s="1"/>
  <c r="E10" i="5"/>
  <c r="E11" i="5" s="1"/>
  <c r="E6" i="1" s="1"/>
  <c r="D10" i="5"/>
  <c r="D11" i="5" s="1"/>
  <c r="E5" i="1" s="1"/>
  <c r="C10" i="5"/>
  <c r="C11" i="5" s="1"/>
  <c r="E4" i="1" s="1"/>
  <c r="B10" i="5"/>
  <c r="B11" i="5" s="1"/>
  <c r="N9" i="5"/>
  <c r="N10" i="5" s="1"/>
  <c r="N10" i="4"/>
  <c r="M10" i="4"/>
  <c r="L10" i="4"/>
  <c r="L11" i="4" s="1"/>
  <c r="D13" i="1" s="1"/>
  <c r="K10" i="4"/>
  <c r="K11" i="4" s="1"/>
  <c r="D12" i="1" s="1"/>
  <c r="J10" i="4"/>
  <c r="J11" i="4" s="1"/>
  <c r="D11" i="1" s="1"/>
  <c r="I10" i="4"/>
  <c r="H10" i="4"/>
  <c r="H11" i="4" s="1"/>
  <c r="D9" i="1" s="1"/>
  <c r="G10" i="4"/>
  <c r="F10" i="4"/>
  <c r="E10" i="4"/>
  <c r="D10" i="4"/>
  <c r="D11" i="4" s="1"/>
  <c r="D5" i="1" s="1"/>
  <c r="C10" i="4"/>
  <c r="C11" i="4" s="1"/>
  <c r="D4" i="1" s="1"/>
  <c r="B10" i="4"/>
  <c r="B11" i="4" s="1"/>
  <c r="N9" i="4"/>
  <c r="L11" i="3"/>
  <c r="J11" i="3"/>
  <c r="C11" i="1" s="1"/>
  <c r="I11" i="3"/>
  <c r="H11" i="3"/>
  <c r="D11" i="3"/>
  <c r="B11" i="3"/>
  <c r="C3" i="1" s="1"/>
  <c r="N10" i="3"/>
  <c r="M10" i="3"/>
  <c r="M11" i="3" s="1"/>
  <c r="C14" i="1" s="1"/>
  <c r="L10" i="3"/>
  <c r="K10" i="3"/>
  <c r="K11" i="3" s="1"/>
  <c r="C12" i="1" s="1"/>
  <c r="J10" i="3"/>
  <c r="I10" i="3"/>
  <c r="H10" i="3"/>
  <c r="G10" i="3"/>
  <c r="G11" i="3" s="1"/>
  <c r="C8" i="1" s="1"/>
  <c r="F10" i="3"/>
  <c r="F11" i="3" s="1"/>
  <c r="C7" i="1" s="1"/>
  <c r="E10" i="3"/>
  <c r="E11" i="3" s="1"/>
  <c r="C6" i="1" s="1"/>
  <c r="D10" i="3"/>
  <c r="C10" i="3"/>
  <c r="C11" i="3" s="1"/>
  <c r="C4" i="1" s="1"/>
  <c r="B10" i="3"/>
  <c r="N9" i="3"/>
  <c r="M12" i="2"/>
  <c r="B14" i="1" s="1"/>
  <c r="L12" i="2"/>
  <c r="B13" i="1" s="1"/>
  <c r="E12" i="2"/>
  <c r="B6" i="1" s="1"/>
  <c r="D12" i="2"/>
  <c r="B5" i="1" s="1"/>
  <c r="J11" i="2"/>
  <c r="I11" i="2"/>
  <c r="F11" i="2"/>
  <c r="B11" i="2"/>
  <c r="N10" i="2"/>
  <c r="N9" i="2"/>
  <c r="M8" i="2"/>
  <c r="M11" i="2" s="1"/>
  <c r="L8" i="2"/>
  <c r="L11" i="2" s="1"/>
  <c r="K8" i="2"/>
  <c r="K11" i="2" s="1"/>
  <c r="J8" i="2"/>
  <c r="J12" i="2" s="1"/>
  <c r="B11" i="1" s="1"/>
  <c r="I8" i="2"/>
  <c r="I12" i="2" s="1"/>
  <c r="B10" i="1" s="1"/>
  <c r="H8" i="2"/>
  <c r="H12" i="2" s="1"/>
  <c r="B9" i="1" s="1"/>
  <c r="G8" i="2"/>
  <c r="G11" i="2" s="1"/>
  <c r="F8" i="2"/>
  <c r="F12" i="2" s="1"/>
  <c r="B7" i="1" s="1"/>
  <c r="E8" i="2"/>
  <c r="E11" i="2" s="1"/>
  <c r="D8" i="2"/>
  <c r="D11" i="2" s="1"/>
  <c r="C8" i="2"/>
  <c r="C11" i="2" s="1"/>
  <c r="B8" i="2"/>
  <c r="B12" i="2" s="1"/>
  <c r="B21" i="1"/>
  <c r="F11" i="6" s="1"/>
  <c r="F7" i="1" s="1"/>
  <c r="C13" i="1"/>
  <c r="C10" i="1"/>
  <c r="C9" i="1"/>
  <c r="C5" i="1"/>
  <c r="G11" i="1" l="1"/>
  <c r="G5" i="1"/>
  <c r="G13" i="1"/>
  <c r="G9" i="1"/>
  <c r="D35" i="7"/>
  <c r="D3" i="1"/>
  <c r="C15" i="1"/>
  <c r="C17" i="1" s="1"/>
  <c r="N11" i="6"/>
  <c r="F3" i="1"/>
  <c r="F15" i="1" s="1"/>
  <c r="F17" i="1" s="1"/>
  <c r="B3" i="1"/>
  <c r="E3" i="1"/>
  <c r="E15" i="1" s="1"/>
  <c r="E17" i="1" s="1"/>
  <c r="N11" i="5"/>
  <c r="H11" i="2"/>
  <c r="N11" i="2" s="1"/>
  <c r="C12" i="2"/>
  <c r="B4" i="1" s="1"/>
  <c r="G4" i="1" s="1"/>
  <c r="K12" i="2"/>
  <c r="B12" i="1" s="1"/>
  <c r="G12" i="1" s="1"/>
  <c r="E11" i="4"/>
  <c r="D6" i="1" s="1"/>
  <c r="G6" i="1" s="1"/>
  <c r="M11" i="4"/>
  <c r="D14" i="1" s="1"/>
  <c r="G14" i="1" s="1"/>
  <c r="G12" i="2"/>
  <c r="B8" i="1" s="1"/>
  <c r="I11" i="4"/>
  <c r="D10" i="1" s="1"/>
  <c r="G10" i="1" s="1"/>
  <c r="N11" i="3"/>
  <c r="F11" i="4"/>
  <c r="D7" i="1" s="1"/>
  <c r="G7" i="1" s="1"/>
  <c r="G11" i="4"/>
  <c r="D8" i="1" s="1"/>
  <c r="N8" i="2"/>
  <c r="G8" i="1" l="1"/>
  <c r="N11" i="4"/>
  <c r="N12" i="2"/>
  <c r="B15" i="1"/>
  <c r="B17" i="1" s="1"/>
  <c r="G3" i="1"/>
  <c r="D15" i="1"/>
  <c r="D17" i="1" s="1"/>
  <c r="G17" i="1" l="1"/>
  <c r="G15" i="1"/>
</calcChain>
</file>

<file path=xl/sharedStrings.xml><?xml version="1.0" encoding="utf-8"?>
<sst xmlns="http://schemas.openxmlformats.org/spreadsheetml/2006/main" count="233" uniqueCount="78">
  <si>
    <t>Phone</t>
  </si>
  <si>
    <t>ISP</t>
  </si>
  <si>
    <t>Electricity</t>
  </si>
  <si>
    <t>Natural Gas</t>
  </si>
  <si>
    <t>Water Sewer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</si>
  <si>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</si>
  <si>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</si>
  <si>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</si>
  <si>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</si>
  <si>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</si>
  <si>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</si>
  <si>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</si>
  <si>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</si>
  <si>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</si>
  <si>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</si>
  <si>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</si>
  <si>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</si>
  <si>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</si>
  <si>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Sq ft (House)</t>
  </si>
  <si>
    <t>Sq ft (Office)</t>
  </si>
  <si>
    <t>Sq ft %</t>
  </si>
  <si>
    <t>Payee</t>
  </si>
  <si>
    <t>Total</t>
  </si>
  <si>
    <t>Wireless</t>
  </si>
  <si>
    <t>Ooma</t>
  </si>
  <si>
    <t>Ooma Premiere Subscription</t>
  </si>
  <si>
    <t xml:space="preserve">
</t>
  </si>
  <si>
    <t>How is Wireless calculated?</t>
  </si>
  <si>
    <t>Time Warner</t>
  </si>
  <si>
    <t>Power</t>
  </si>
  <si>
    <t>Nat Gas</t>
  </si>
  <si>
    <t>Amount For business</t>
  </si>
  <si>
    <t>Business</t>
  </si>
  <si>
    <t>Amt due from Business</t>
  </si>
  <si>
    <t>Total Bill - (half of data plan) - (non-member's charges) = business amount</t>
  </si>
  <si>
    <t>Muni Water</t>
  </si>
  <si>
    <t>1/1/2019 through 12/31/2019</t>
  </si>
  <si>
    <t>Date</t>
  </si>
  <si>
    <t>Miles</t>
  </si>
  <si>
    <t>Reimbursement Amount</t>
  </si>
  <si>
    <t>Starting Point</t>
  </si>
  <si>
    <t>Ending Point</t>
  </si>
  <si>
    <t>Round Trip?</t>
  </si>
  <si>
    <t>Client</t>
  </si>
  <si>
    <t>Comments</t>
  </si>
  <si>
    <t>Yes</t>
  </si>
  <si>
    <t>Working on computers</t>
  </si>
  <si>
    <t>TOTAL MILEAGE REIMBURSEMENT</t>
  </si>
  <si>
    <t>Airport</t>
  </si>
  <si>
    <t>Client in-office day</t>
  </si>
  <si>
    <t>Equipment clean up and inventory</t>
  </si>
  <si>
    <t>Annual event</t>
  </si>
  <si>
    <t>Executive retreat</t>
  </si>
  <si>
    <t>Client 1</t>
  </si>
  <si>
    <t>Client 2</t>
  </si>
  <si>
    <t>Client's office address</t>
  </si>
  <si>
    <t>Home 1</t>
  </si>
  <si>
    <t>Home 2</t>
  </si>
  <si>
    <t>Home 3</t>
  </si>
  <si>
    <t>Executive outing/meeting</t>
  </si>
  <si>
    <t>Annual event planning</t>
  </si>
  <si>
    <t>Client conferences</t>
  </si>
  <si>
    <t>Conference hotel</t>
  </si>
  <si>
    <t>Site review/planning</t>
  </si>
  <si>
    <t>Year start planning sessions</t>
  </si>
  <si>
    <t>Airport 2</t>
  </si>
  <si>
    <t>Starbucks</t>
  </si>
  <si>
    <t>equipment handoff</t>
  </si>
  <si>
    <t>Team meeting</t>
  </si>
  <si>
    <t>Inventory</t>
  </si>
  <si>
    <t>Q1</t>
  </si>
  <si>
    <t>Q2</t>
  </si>
  <si>
    <t>Q3</t>
  </si>
  <si>
    <t>Q4</t>
  </si>
  <si>
    <t>Quarter</t>
  </si>
  <si>
    <t>MILEAGE</t>
  </si>
  <si>
    <t>UTILITIES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</si>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</sst>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\$#,##0.00"/>
    <numFmt numFmtId="165" formatCode="#,##0.###############"/>
    <numFmt numFmtId="166" formatCode="\$#,##0.00;\(\$#,##0.00\)"/>
    <numFmt numFmtId="167" formatCode="&quot;$&quot;#,##0.00"/>
    <numFmt numFmtId="168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6AA84F"/>
      <name val="Calibri"/>
    </font>
    <font>
      <sz val="1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Arial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9">
    <xf numFmtId="0" fontId="0" fillId="0" borderId="0" xfId="0" applyFont="1" applyAlignment="1">
      <alignment wrapText="1"/>
    </xf>
    <xf numFmtId="0" fontId="2" fillId="0" borderId="0" xfId="0" applyFont="1" applyAlignment="1"/>
    <xf numFmtId="0" fontId="3" fillId="2" borderId="0" xfId="0" applyFont="1" applyFill="1" applyAlignment="1"/>
    <xf numFmtId="164" fontId="3" fillId="0" borderId="0" xfId="0" applyNumberFormat="1" applyFont="1" applyAlignment="1"/>
    <xf numFmtId="164" fontId="3" fillId="2" borderId="0" xfId="0" applyNumberFormat="1" applyFont="1" applyFill="1" applyAlignment="1"/>
    <xf numFmtId="0" fontId="4" fillId="0" borderId="0" xfId="0" applyFont="1" applyAlignment="1">
      <alignment wrapText="1"/>
    </xf>
    <xf numFmtId="164" fontId="2" fillId="0" borderId="0" xfId="0" applyNumberFormat="1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/>
    <xf numFmtId="1" fontId="2" fillId="0" borderId="0" xfId="0" applyNumberFormat="1" applyFont="1" applyAlignment="1"/>
    <xf numFmtId="10" fontId="2" fillId="0" borderId="0" xfId="0" applyNumberFormat="1" applyFont="1" applyAlignment="1"/>
    <xf numFmtId="10" fontId="5" fillId="0" borderId="0" xfId="0" applyNumberFormat="1" applyFont="1" applyAlignment="1">
      <alignment wrapText="1"/>
    </xf>
    <xf numFmtId="165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/>
    <xf numFmtId="17" fontId="7" fillId="0" borderId="0" xfId="0" applyNumberFormat="1" applyFont="1" applyAlignment="1"/>
    <xf numFmtId="166" fontId="6" fillId="0" borderId="0" xfId="0" applyNumberFormat="1" applyFont="1" applyAlignment="1"/>
    <xf numFmtId="166" fontId="6" fillId="2" borderId="0" xfId="0" applyNumberFormat="1" applyFont="1" applyFill="1" applyAlignment="1"/>
    <xf numFmtId="166" fontId="6" fillId="0" borderId="0" xfId="0" applyNumberFormat="1" applyFont="1" applyAlignment="1"/>
    <xf numFmtId="0" fontId="6" fillId="2" borderId="0" xfId="0" applyFont="1" applyFill="1" applyAlignment="1"/>
    <xf numFmtId="0" fontId="7" fillId="0" borderId="0" xfId="0" applyFont="1" applyAlignment="1"/>
    <xf numFmtId="166" fontId="3" fillId="0" borderId="0" xfId="0" applyNumberFormat="1" applyFont="1" applyAlignment="1"/>
    <xf numFmtId="166" fontId="7" fillId="2" borderId="0" xfId="0" applyNumberFormat="1" applyFont="1" applyFill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7" fillId="0" borderId="0" xfId="0" applyFont="1"/>
    <xf numFmtId="167" fontId="5" fillId="0" borderId="0" xfId="0" applyNumberFormat="1" applyFont="1" applyAlignment="1">
      <alignment wrapText="1"/>
    </xf>
    <xf numFmtId="167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14" fontId="5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168" fontId="7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/>
    <xf numFmtId="0" fontId="12" fillId="0" borderId="0" xfId="0" applyFont="1" applyAlignment="1">
      <alignment wrapText="1"/>
    </xf>
    <xf numFmtId="0" fontId="13" fillId="0" borderId="0" xfId="0" applyFont="1"/>
    <xf numFmtId="0" fontId="1" fillId="0" borderId="0" xfId="0" applyFont="1" applyAlignment="1">
      <alignment wrapText="1"/>
    </xf>
    <xf numFmtId="0" fontId="14" fillId="0" borderId="0" xfId="0" applyFont="1" applyAlignment="1">
      <alignment wrapText="1"/>
    </xf>
    <xf numFmtId="165" fontId="15" fillId="0" borderId="0" xfId="0" applyNumberFormat="1" applyFont="1" applyAlignment="1">
      <alignment wrapText="1"/>
    </xf>
    <xf numFmtId="165" fontId="15" fillId="3" borderId="0" xfId="0" applyNumberFormat="1" applyFont="1" applyFill="1" applyAlignment="1">
      <alignment horizontal="center" wrapText="1"/>
    </xf>
    <xf numFmtId="0" fontId="16" fillId="3" borderId="0" xfId="0" applyFont="1" applyFill="1" applyAlignment="1">
      <alignment horizontal="center" wrapText="1"/>
    </xf>
    <xf numFmtId="0" fontId="14" fillId="4" borderId="0" xfId="0" applyFont="1" applyFill="1" applyAlignment="1">
      <alignment wrapText="1"/>
    </xf>
    <xf numFmtId="44" fontId="14" fillId="4" borderId="0" xfId="1" applyFont="1" applyFill="1" applyAlignment="1">
      <alignment wrapText="1"/>
    </xf>
    <xf numFmtId="0" fontId="10" fillId="2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44" fontId="17" fillId="4" borderId="0" xfId="1" applyFont="1" applyFill="1" applyAlignment="1">
      <alignment wrapText="1"/>
    </xf>
    <xf numFmtId="0" fontId="18" fillId="4" borderId="0" xfId="0" applyFont="1" applyFill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2"/>
  <sheetViews>
    <sheetView tabSelected="1" workbookViewId="0">
      <selection activeCell="E31" sqref="E31"/>
    </sheetView>
  </sheetViews>
  <sheetFormatPr baseColWidth="10" defaultColWidth="14.5" defaultRowHeight="12.75" customHeight="1" x14ac:dyDescent="0.15"/>
  <cols>
    <col min="1" max="1" width="19.83203125" customWidth="1"/>
    <col min="2" max="2" width="11.5" customWidth="1"/>
    <col min="3" max="3" width="11.83203125" customWidth="1"/>
    <col min="4" max="4" width="11.5" customWidth="1"/>
    <col min="5" max="5" width="13.5" customWidth="1"/>
    <col min="6" max="6" width="14.5" customWidth="1"/>
    <col min="7" max="7" width="11.83203125" customWidth="1"/>
    <col min="8" max="8" width="12.5" customWidth="1"/>
    <col min="9" max="9" width="12.1640625" customWidth="1"/>
  </cols>
  <sheetData>
    <row r="1" spans="1:8" ht="17" customHeight="1" x14ac:dyDescent="0.15">
      <c r="A1" s="51" t="s">
        <v>76</v>
      </c>
      <c r="B1" s="51"/>
      <c r="C1" s="51"/>
      <c r="D1" s="51"/>
      <c r="E1" s="51"/>
      <c r="F1" s="51"/>
      <c r="G1" s="51"/>
    </row>
    <row r="2" spans="1:8" ht="35" customHeight="1" x14ac:dyDescent="0.2"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54" t="s">
        <v>33</v>
      </c>
    </row>
    <row r="3" spans="1:8" ht="14.25" customHeight="1" x14ac:dyDescent="0.2">
      <c r="A3" s="1" t="s">
        <v>5</v>
      </c>
      <c r="B3" s="3">
        <f>Phone!B12</f>
        <v>60.5</v>
      </c>
      <c r="C3" s="3">
        <f>ISP!B11</f>
        <v>59.99</v>
      </c>
      <c r="D3" s="3">
        <f>Power!B11</f>
        <v>4.3160464285714291</v>
      </c>
      <c r="E3" s="3">
        <f>'Nat Gas'!B11</f>
        <v>6.1929214285714291</v>
      </c>
      <c r="F3" s="3">
        <f>'Water Sewer'!B11</f>
        <v>2.7588785714285717</v>
      </c>
      <c r="G3" s="4">
        <f t="shared" ref="G3:G14" si="0">SUM(B3:F3)</f>
        <v>133.75784642857144</v>
      </c>
      <c r="H3" s="5"/>
    </row>
    <row r="4" spans="1:8" ht="14.25" customHeight="1" x14ac:dyDescent="0.2">
      <c r="A4" s="1" t="s">
        <v>6</v>
      </c>
      <c r="B4" s="3">
        <f>Phone!C12</f>
        <v>60.5</v>
      </c>
      <c r="C4" s="3">
        <f>ISP!C11</f>
        <v>59.99</v>
      </c>
      <c r="D4" s="3">
        <f>Power!C11</f>
        <v>3.5990035714285713</v>
      </c>
      <c r="E4" s="3">
        <f>'Nat Gas'!C11</f>
        <v>5.3155142857142854</v>
      </c>
      <c r="F4" s="3">
        <f>'Water Sewer'!C11</f>
        <v>3.0407928571428573</v>
      </c>
      <c r="G4" s="4">
        <f t="shared" si="0"/>
        <v>132.44531071428571</v>
      </c>
      <c r="H4" s="5"/>
    </row>
    <row r="5" spans="1:8" ht="14.25" customHeight="1" x14ac:dyDescent="0.2">
      <c r="A5" s="1" t="s">
        <v>7</v>
      </c>
      <c r="B5" s="3">
        <f>Phone!D12</f>
        <v>57.793750000000003</v>
      </c>
      <c r="C5" s="3">
        <f>ISP!D11</f>
        <v>59.99</v>
      </c>
      <c r="D5" s="3">
        <f>Power!D11</f>
        <v>3.7471107142857147</v>
      </c>
      <c r="E5" s="3">
        <f>'Nat Gas'!D11</f>
        <v>5.2976392857142862</v>
      </c>
      <c r="F5" s="3">
        <f>'Water Sewer'!D11</f>
        <v>2.6746107142857141</v>
      </c>
      <c r="G5" s="4">
        <f t="shared" si="0"/>
        <v>129.5031107142857</v>
      </c>
      <c r="H5" s="5"/>
    </row>
    <row r="6" spans="1:8" ht="14.25" customHeight="1" x14ac:dyDescent="0.2">
      <c r="A6" s="1" t="s">
        <v>8</v>
      </c>
      <c r="B6" s="3">
        <f>Phone!E12</f>
        <v>60.512499999999996</v>
      </c>
      <c r="C6" s="3">
        <f>ISP!E11</f>
        <v>59.99</v>
      </c>
      <c r="D6" s="3">
        <f>Power!E11</f>
        <v>3.3186214285714288</v>
      </c>
      <c r="E6" s="3">
        <f>'Nat Gas'!E11</f>
        <v>0.69916785714285712</v>
      </c>
      <c r="F6" s="3">
        <f>'Water Sewer'!E11</f>
        <v>2.4958607142857141</v>
      </c>
      <c r="G6" s="4">
        <f t="shared" si="0"/>
        <v>127.01615</v>
      </c>
      <c r="H6" s="5"/>
    </row>
    <row r="7" spans="1:8" ht="14.25" customHeight="1" x14ac:dyDescent="0.2">
      <c r="A7" s="1" t="s">
        <v>9</v>
      </c>
      <c r="B7" s="3">
        <f>Phone!F12</f>
        <v>60.512499999999996</v>
      </c>
      <c r="C7" s="3">
        <f>ISP!F11</f>
        <v>69.989999999999995</v>
      </c>
      <c r="D7" s="3">
        <f>Power!F11</f>
        <v>3.3875678571428574</v>
      </c>
      <c r="E7" s="3">
        <f>'Nat Gas'!F11</f>
        <v>1.4126357142857144</v>
      </c>
      <c r="F7" s="3">
        <f>'Water Sewer'!F11</f>
        <v>2.6511178571428569</v>
      </c>
      <c r="G7" s="4">
        <f t="shared" si="0"/>
        <v>137.95382142857144</v>
      </c>
      <c r="H7" s="5"/>
    </row>
    <row r="8" spans="1:8" ht="14.25" customHeight="1" x14ac:dyDescent="0.2">
      <c r="A8" s="1" t="s">
        <v>10</v>
      </c>
      <c r="B8" s="3">
        <f>Phone!G12</f>
        <v>60.512500000000003</v>
      </c>
      <c r="C8" s="3">
        <f>ISP!G11</f>
        <v>69.989999999999995</v>
      </c>
      <c r="D8" s="3">
        <f>Power!G11</f>
        <v>5.0867142857142857</v>
      </c>
      <c r="E8" s="3">
        <f>'Nat Gas'!G11</f>
        <v>1.0694357142857145</v>
      </c>
      <c r="F8" s="3">
        <f>'Water Sewer'!G11</f>
        <v>3.8941964285714286</v>
      </c>
      <c r="G8" s="4">
        <f t="shared" si="0"/>
        <v>140.55284642857143</v>
      </c>
      <c r="H8" s="5"/>
    </row>
    <row r="9" spans="1:8" ht="14.25" customHeight="1" x14ac:dyDescent="0.2">
      <c r="A9" s="1" t="s">
        <v>11</v>
      </c>
      <c r="B9" s="3">
        <f>Phone!H12</f>
        <v>60.712499999999999</v>
      </c>
      <c r="C9" s="3">
        <f>ISP!H11</f>
        <v>69.989999999999995</v>
      </c>
      <c r="D9" s="3">
        <f>Power!H11</f>
        <v>9.1565964285714276</v>
      </c>
      <c r="E9" s="3">
        <f>'Nat Gas'!H11</f>
        <v>0.92132857142857139</v>
      </c>
      <c r="F9" s="3">
        <f>'Water Sewer'!H11</f>
        <v>5.1970285714285716</v>
      </c>
      <c r="G9" s="4">
        <f t="shared" si="0"/>
        <v>145.97745357142855</v>
      </c>
      <c r="H9" s="5"/>
    </row>
    <row r="10" spans="1:8" ht="14.25" customHeight="1" x14ac:dyDescent="0.2">
      <c r="A10" s="1" t="s">
        <v>12</v>
      </c>
      <c r="B10" s="3">
        <f>Phone!I12</f>
        <v>60.53125</v>
      </c>
      <c r="C10" s="3">
        <f>ISP!I11</f>
        <v>69.989999999999995</v>
      </c>
      <c r="D10" s="3">
        <f>Power!I11</f>
        <v>7.9436499999999999</v>
      </c>
      <c r="E10" s="3">
        <f>'Nat Gas'!I11</f>
        <v>0.92132857142857139</v>
      </c>
      <c r="F10" s="3">
        <f>'Water Sewer'!I11</f>
        <v>4.7746678571428571</v>
      </c>
      <c r="G10" s="4">
        <f t="shared" si="0"/>
        <v>144.16089642857142</v>
      </c>
      <c r="H10" s="5"/>
    </row>
    <row r="11" spans="1:8" ht="14.25" customHeight="1" x14ac:dyDescent="0.2">
      <c r="A11" s="1" t="s">
        <v>13</v>
      </c>
      <c r="B11" s="6">
        <f>Phone!J12</f>
        <v>60.518749999999997</v>
      </c>
      <c r="C11" s="6">
        <f>ISP!J11</f>
        <v>69.989999999999995</v>
      </c>
      <c r="D11" s="6">
        <f>Power!J11</f>
        <v>6.7261071428571428</v>
      </c>
      <c r="E11" s="6">
        <f>'Nat Gas'!J11</f>
        <v>1.10825</v>
      </c>
      <c r="F11" s="6">
        <f>'Water Sewer'!J11</f>
        <v>4.8548499999999999</v>
      </c>
      <c r="G11" s="4">
        <f t="shared" si="0"/>
        <v>143.19795714285712</v>
      </c>
    </row>
    <row r="12" spans="1:8" ht="14.25" customHeight="1" x14ac:dyDescent="0.2">
      <c r="A12" s="1" t="s">
        <v>14</v>
      </c>
      <c r="B12" s="6">
        <f>Phone!K12</f>
        <v>191.84875</v>
      </c>
      <c r="C12" s="6">
        <f>ISP!K11</f>
        <v>69.989999999999995</v>
      </c>
      <c r="D12" s="6">
        <f>Power!K11</f>
        <v>3.7455785714285716</v>
      </c>
      <c r="E12" s="6">
        <f>'Nat Gas'!K11</f>
        <v>1.2486964285714286</v>
      </c>
      <c r="F12" s="6">
        <f>'Water Sewer'!K11</f>
        <v>4.3037892857142861</v>
      </c>
      <c r="G12" s="4">
        <f t="shared" si="0"/>
        <v>271.13681428571425</v>
      </c>
    </row>
    <row r="13" spans="1:8" ht="14.25" customHeight="1" x14ac:dyDescent="0.2">
      <c r="A13" s="1" t="s">
        <v>15</v>
      </c>
      <c r="B13" s="6">
        <f>Phone!L12</f>
        <v>73.106250000000003</v>
      </c>
      <c r="C13" s="6">
        <f>ISP!L11</f>
        <v>69.989999999999995</v>
      </c>
      <c r="D13" s="6">
        <f>Power!L11</f>
        <v>3.5070750000000004</v>
      </c>
      <c r="E13" s="6">
        <f>'Nat Gas'!L11</f>
        <v>1.8717678571428571</v>
      </c>
      <c r="F13" s="6">
        <f>'Water Sewer'!L11</f>
        <v>2.7895214285714287</v>
      </c>
      <c r="G13" s="4">
        <f t="shared" si="0"/>
        <v>151.26461428571426</v>
      </c>
    </row>
    <row r="14" spans="1:8" ht="14.25" customHeight="1" x14ac:dyDescent="0.2">
      <c r="A14" s="1" t="s">
        <v>16</v>
      </c>
      <c r="B14" s="6">
        <f>Phone!M12</f>
        <v>60.724999999999994</v>
      </c>
      <c r="C14" s="6">
        <f>ISP!M11</f>
        <v>38.47</v>
      </c>
      <c r="D14" s="6">
        <f>Power!M11</f>
        <v>3.7460892857142856</v>
      </c>
      <c r="E14" s="6">
        <f>'Nat Gas'!M11</f>
        <v>3.8329107142857142</v>
      </c>
      <c r="F14" s="6">
        <f>'Water Sewer'!M11</f>
        <v>3.2440571428571432</v>
      </c>
      <c r="G14" s="4">
        <f t="shared" si="0"/>
        <v>110.01805714285715</v>
      </c>
    </row>
    <row r="15" spans="1:8" ht="14.25" customHeight="1" x14ac:dyDescent="0.2">
      <c r="A15" s="7" t="s">
        <v>17</v>
      </c>
      <c r="B15" s="3">
        <f t="shared" ref="B15:G15" si="1">SUM(B3:B14)</f>
        <v>867.77374999999995</v>
      </c>
      <c r="C15" s="3">
        <f t="shared" si="1"/>
        <v>768.36</v>
      </c>
      <c r="D15" s="3">
        <f t="shared" si="1"/>
        <v>58.280160714285721</v>
      </c>
      <c r="E15" s="3">
        <f t="shared" si="1"/>
        <v>29.891596428571422</v>
      </c>
      <c r="F15" s="3">
        <f t="shared" si="1"/>
        <v>42.679371428571429</v>
      </c>
      <c r="G15" s="4">
        <f t="shared" si="1"/>
        <v>1766.9848785714287</v>
      </c>
    </row>
    <row r="16" spans="1:8" ht="14.25" customHeight="1" x14ac:dyDescent="0.2">
      <c r="G16" s="8"/>
    </row>
    <row r="17" spans="1:7" ht="14.25" customHeight="1" x14ac:dyDescent="0.2">
      <c r="A17" s="2" t="s">
        <v>31</v>
      </c>
      <c r="B17" s="4">
        <f t="shared" ref="B17:F17" si="2">B15</f>
        <v>867.77374999999995</v>
      </c>
      <c r="C17" s="4">
        <f t="shared" si="2"/>
        <v>768.36</v>
      </c>
      <c r="D17" s="4">
        <f t="shared" si="2"/>
        <v>58.280160714285721</v>
      </c>
      <c r="E17" s="4">
        <f t="shared" si="2"/>
        <v>29.891596428571422</v>
      </c>
      <c r="F17" s="4">
        <f t="shared" si="2"/>
        <v>42.679371428571429</v>
      </c>
      <c r="G17" s="4">
        <f>SUM(G3:G14)</f>
        <v>1766.9848785714287</v>
      </c>
    </row>
    <row r="18" spans="1:7" ht="14.25" customHeight="1" x14ac:dyDescent="0.2">
      <c r="B18" s="9"/>
      <c r="C18" s="10"/>
      <c r="E18" s="10"/>
      <c r="F18" s="10"/>
    </row>
    <row r="19" spans="1:7" ht="14.25" customHeight="1" x14ac:dyDescent="0.2">
      <c r="A19" s="1" t="s">
        <v>18</v>
      </c>
      <c r="B19" s="11">
        <v>2800</v>
      </c>
      <c r="C19" s="12"/>
      <c r="D19" s="12"/>
      <c r="E19" s="12"/>
      <c r="F19" s="12"/>
    </row>
    <row r="20" spans="1:7" ht="14.25" customHeight="1" x14ac:dyDescent="0.2">
      <c r="A20" s="1" t="s">
        <v>19</v>
      </c>
      <c r="B20" s="11">
        <v>143</v>
      </c>
      <c r="C20" s="13"/>
      <c r="D20" s="13"/>
      <c r="E20" s="13"/>
      <c r="F20" s="13"/>
    </row>
    <row r="21" spans="1:7" ht="14.25" customHeight="1" x14ac:dyDescent="0.2">
      <c r="A21" s="1" t="s">
        <v>20</v>
      </c>
      <c r="B21" s="14">
        <f>B20/B19</f>
        <v>5.1071428571428573E-2</v>
      </c>
      <c r="C21" s="15"/>
      <c r="D21" s="15"/>
      <c r="E21" s="15"/>
      <c r="F21" s="15"/>
    </row>
    <row r="22" spans="1:7" ht="14.25" customHeight="1" x14ac:dyDescent="0.15"/>
    <row r="23" spans="1:7" ht="14.25" customHeight="1" x14ac:dyDescent="0.15">
      <c r="A23" s="11"/>
    </row>
    <row r="24" spans="1:7" ht="14.25" customHeight="1" x14ac:dyDescent="0.15">
      <c r="A24" s="16"/>
      <c r="B24" s="17"/>
    </row>
    <row r="25" spans="1:7" ht="14.25" customHeight="1" x14ac:dyDescent="0.15">
      <c r="A25" s="50" t="s">
        <v>75</v>
      </c>
      <c r="B25" s="50"/>
      <c r="C25" s="50"/>
    </row>
    <row r="26" spans="1:7" ht="29" customHeight="1" x14ac:dyDescent="0.15">
      <c r="A26" s="49" t="s">
        <v>74</v>
      </c>
      <c r="B26" s="45" t="s">
        <v>77</v>
      </c>
      <c r="C26" s="52" t="s">
        <v>33</v>
      </c>
    </row>
    <row r="27" spans="1:7" ht="14.25" customHeight="1" x14ac:dyDescent="0.2">
      <c r="A27" s="43" t="s">
        <v>70</v>
      </c>
      <c r="B27" s="55">
        <f>SUMIFS(Mileage!C2:'Mileage'!C31,Mileage!A2:'Mileage'!A31,"&gt;="&amp;DATE(2019,1,1),Mileage!A2:'Mileage'!A31,"&lt;="&amp;DATE(2019,3,30))</f>
        <v>1163.9999999999998</v>
      </c>
      <c r="C27" s="57">
        <f>SUMIFS(Mileage!D2:'Mileage'!D31,Mileage!A2:'Mileage'!A31,"&gt;="&amp;DATE(2019,1,1),Mileage!A2:'Mileage'!A31,"&lt;="&amp;DATE(2019,3,30))</f>
        <v>675.12</v>
      </c>
    </row>
    <row r="28" spans="1:7" ht="14.25" customHeight="1" x14ac:dyDescent="0.2">
      <c r="A28" s="44" t="s">
        <v>71</v>
      </c>
      <c r="B28" s="55">
        <f>SUMIFS(Mileage!C2:'Mileage'!C31,Mileage!A2:'Mileage'!A31,"&gt;="&amp;DATE(2019,4,1),Mileage!A2:'Mileage'!A31,"&lt;="&amp;DATE(2019,6,30))</f>
        <v>716.80000000000007</v>
      </c>
      <c r="C28" s="57">
        <f>SUMIFS(Mileage!D2:'Mileage'!D31,Mileage!A2:'Mileage'!A31,"&gt;="&amp;DATE(2019,4,1),Mileage!A2:'Mileage'!A31,"&lt;="&amp;DATE(2019,6,30))</f>
        <v>415.74400000000009</v>
      </c>
    </row>
    <row r="29" spans="1:7" ht="12.75" customHeight="1" x14ac:dyDescent="0.2">
      <c r="A29" s="43" t="s">
        <v>72</v>
      </c>
      <c r="B29" s="55">
        <f>SUMIFS(Mileage!C2:'Mileage'!C31,Mileage!A2:'Mileage'!A31,"&gt;="&amp;DATE(2019,7,1),Mileage!A2:'Mileage'!A31,"&lt;="&amp;DATE(2019,9,30))</f>
        <v>79.800000000000011</v>
      </c>
      <c r="C29" s="57">
        <f>SUMIFS(Mileage!D2:'Mileage'!D31,Mileage!A2:'Mileage'!A31,"&gt;="&amp;DATE(2019,7,1),Mileage!A2:'Mileage'!A31,"&lt;="&amp;DATE(2019,9,30))</f>
        <v>46.283999999999999</v>
      </c>
    </row>
    <row r="30" spans="1:7" ht="12.75" customHeight="1" x14ac:dyDescent="0.2">
      <c r="A30" s="43" t="s">
        <v>73</v>
      </c>
      <c r="B30" s="55">
        <f>SUMIFS(Mileage!C2:'Mileage'!C31,Mileage!A2:'Mileage'!A31,"&gt;="&amp;DATE(2019,10,1),Mileage!A2:'Mileage'!A31,"&lt;="&amp;DATE(2019,12,31))</f>
        <v>45.6</v>
      </c>
      <c r="C30" s="57">
        <f>SUMIFS(Mileage!D2:'Mileage'!D31,Mileage!A2:'Mileage'!A31,"&gt;="&amp;DATE(2019,10,1),Mileage!A2:'Mileage'!A31,"&lt;="&amp;DATE(2019,12,31))</f>
        <v>26.448</v>
      </c>
    </row>
    <row r="31" spans="1:7" ht="12.75" customHeight="1" x14ac:dyDescent="0.15">
      <c r="B31" s="56"/>
      <c r="C31" s="58"/>
    </row>
    <row r="32" spans="1:7" ht="12.75" customHeight="1" x14ac:dyDescent="0.15">
      <c r="A32" s="48" t="s">
        <v>17</v>
      </c>
      <c r="B32" s="43">
        <f>SUM(B27:B31)</f>
        <v>2006.1999999999996</v>
      </c>
      <c r="C32" s="53">
        <f>SUM(C27:C30)</f>
        <v>1163.5960000000002</v>
      </c>
    </row>
  </sheetData>
  <mergeCells count="2">
    <mergeCell ref="A1:G1"/>
    <mergeCell ref="A25:C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21"/>
  <sheetViews>
    <sheetView workbookViewId="0">
      <selection activeCell="B6" sqref="B6:M6"/>
    </sheetView>
  </sheetViews>
  <sheetFormatPr baseColWidth="10" defaultColWidth="14.5" defaultRowHeight="12.75" customHeight="1" x14ac:dyDescent="0.15"/>
  <cols>
    <col min="1" max="1" width="26.1640625" customWidth="1"/>
    <col min="2" max="15" width="11.5" customWidth="1"/>
  </cols>
  <sheetData>
    <row r="1" spans="1:15" ht="14.25" customHeight="1" x14ac:dyDescent="0.2">
      <c r="A1" s="1" t="s">
        <v>0</v>
      </c>
    </row>
    <row r="2" spans="1:15" ht="14.25" customHeight="1" x14ac:dyDescent="0.15"/>
    <row r="3" spans="1:15" ht="15" customHeight="1" x14ac:dyDescent="0.2">
      <c r="A3" s="27" t="s">
        <v>36</v>
      </c>
      <c r="B3" s="28"/>
      <c r="C3" s="28"/>
    </row>
    <row r="4" spans="1:15" ht="15" customHeight="1" x14ac:dyDescent="0.15"/>
    <row r="5" spans="1:15" ht="15" customHeight="1" x14ac:dyDescent="0.15"/>
    <row r="6" spans="1:15" ht="15" customHeight="1" x14ac:dyDescent="0.2">
      <c r="A6" s="18" t="s">
        <v>21</v>
      </c>
      <c r="B6" s="19">
        <v>43466</v>
      </c>
      <c r="C6" s="19">
        <v>43497</v>
      </c>
      <c r="D6" s="19">
        <v>43525</v>
      </c>
      <c r="E6" s="19">
        <v>43556</v>
      </c>
      <c r="F6" s="19">
        <v>43586</v>
      </c>
      <c r="G6" s="19">
        <v>43617</v>
      </c>
      <c r="H6" s="19">
        <v>43647</v>
      </c>
      <c r="I6" s="19">
        <v>43678</v>
      </c>
      <c r="J6" s="19">
        <v>43709</v>
      </c>
      <c r="K6" s="19">
        <v>43739</v>
      </c>
      <c r="L6" s="19">
        <v>43770</v>
      </c>
      <c r="M6" s="19">
        <v>43800</v>
      </c>
      <c r="N6" s="18" t="s">
        <v>22</v>
      </c>
    </row>
    <row r="7" spans="1:15" ht="15" customHeight="1" x14ac:dyDescent="0.15"/>
    <row r="8" spans="1:15" ht="15" customHeight="1" x14ac:dyDescent="0.2">
      <c r="A8" s="18" t="s">
        <v>23</v>
      </c>
      <c r="B8" s="20">
        <f t="shared" ref="B8:C8" si="0">198.6-(80/2)-(61.8)</f>
        <v>96.8</v>
      </c>
      <c r="C8" s="20">
        <f t="shared" si="0"/>
        <v>96.8</v>
      </c>
      <c r="D8" s="20">
        <f>198.6-(80/2)-(66.13)</f>
        <v>92.47</v>
      </c>
      <c r="E8" s="20">
        <f>218.95-(80/2)-(82.13)</f>
        <v>96.82</v>
      </c>
      <c r="F8" s="20">
        <f>199.26-(80/2)-(62.44)</f>
        <v>96.82</v>
      </c>
      <c r="G8" s="20">
        <f>217.11-(80/2)-(80.29)</f>
        <v>96.820000000000007</v>
      </c>
      <c r="H8" s="20">
        <f>201.18-(80/2)-(64.04)</f>
        <v>97.14</v>
      </c>
      <c r="I8" s="20">
        <f>198.7-(80/2)-(61.85)</f>
        <v>96.85</v>
      </c>
      <c r="J8" s="20">
        <f t="shared" ref="J8:K8" si="1">198.66-(80/2)-(61.83)</f>
        <v>96.83</v>
      </c>
      <c r="K8" s="20">
        <f t="shared" si="1"/>
        <v>96.83</v>
      </c>
      <c r="L8" s="20">
        <f>229.08-(80/2)-(72.11)</f>
        <v>116.97000000000001</v>
      </c>
      <c r="M8" s="20">
        <f>199.32-(80/2)-(62.16)</f>
        <v>97.16</v>
      </c>
      <c r="N8" s="21">
        <f t="shared" ref="N8:N12" si="2">SUM(B8:M8)</f>
        <v>1178.3100000000002</v>
      </c>
    </row>
    <row r="9" spans="1:15" ht="15" customHeight="1" x14ac:dyDescent="0.2">
      <c r="A9" s="18" t="s">
        <v>24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1">
        <f t="shared" si="2"/>
        <v>0</v>
      </c>
    </row>
    <row r="10" spans="1:15" ht="15" customHeight="1" x14ac:dyDescent="0.2">
      <c r="A10" s="18" t="s">
        <v>25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131.33000000000001</v>
      </c>
      <c r="L10" s="22">
        <v>0</v>
      </c>
      <c r="M10" s="22">
        <v>0</v>
      </c>
      <c r="N10" s="21">
        <f t="shared" si="2"/>
        <v>131.33000000000001</v>
      </c>
    </row>
    <row r="11" spans="1:15" ht="15" customHeight="1" x14ac:dyDescent="0.2">
      <c r="A11" s="23" t="s">
        <v>17</v>
      </c>
      <c r="B11" s="21">
        <f t="shared" ref="B11:M11" si="3">SUM(B8:B10)</f>
        <v>96.8</v>
      </c>
      <c r="C11" s="21">
        <f t="shared" si="3"/>
        <v>96.8</v>
      </c>
      <c r="D11" s="21">
        <f t="shared" si="3"/>
        <v>92.47</v>
      </c>
      <c r="E11" s="21">
        <f t="shared" si="3"/>
        <v>96.82</v>
      </c>
      <c r="F11" s="21">
        <f t="shared" si="3"/>
        <v>96.82</v>
      </c>
      <c r="G11" s="21">
        <f t="shared" si="3"/>
        <v>96.820000000000007</v>
      </c>
      <c r="H11" s="21">
        <f t="shared" si="3"/>
        <v>97.14</v>
      </c>
      <c r="I11" s="21">
        <f t="shared" si="3"/>
        <v>96.85</v>
      </c>
      <c r="J11" s="21">
        <f t="shared" si="3"/>
        <v>96.83</v>
      </c>
      <c r="K11" s="21">
        <f t="shared" si="3"/>
        <v>228.16000000000003</v>
      </c>
      <c r="L11" s="21">
        <f t="shared" si="3"/>
        <v>116.97000000000001</v>
      </c>
      <c r="M11" s="21">
        <f t="shared" si="3"/>
        <v>97.16</v>
      </c>
      <c r="N11" s="21">
        <f t="shared" si="2"/>
        <v>1309.6400000000001</v>
      </c>
    </row>
    <row r="12" spans="1:15" ht="15" customHeight="1" x14ac:dyDescent="0.2">
      <c r="A12" s="24" t="s">
        <v>32</v>
      </c>
      <c r="B12" s="25">
        <f t="shared" ref="B12:M12" si="4">(B8*0.625)+(B9*0.5)+(B10*1)</f>
        <v>60.5</v>
      </c>
      <c r="C12" s="25">
        <f t="shared" si="4"/>
        <v>60.5</v>
      </c>
      <c r="D12" s="25">
        <f t="shared" si="4"/>
        <v>57.793750000000003</v>
      </c>
      <c r="E12" s="25">
        <f t="shared" si="4"/>
        <v>60.512499999999996</v>
      </c>
      <c r="F12" s="25">
        <f t="shared" si="4"/>
        <v>60.512499999999996</v>
      </c>
      <c r="G12" s="25">
        <f t="shared" si="4"/>
        <v>60.512500000000003</v>
      </c>
      <c r="H12" s="25">
        <f t="shared" si="4"/>
        <v>60.712499999999999</v>
      </c>
      <c r="I12" s="25">
        <f t="shared" si="4"/>
        <v>60.53125</v>
      </c>
      <c r="J12" s="25">
        <f t="shared" si="4"/>
        <v>60.518749999999997</v>
      </c>
      <c r="K12" s="25">
        <f t="shared" si="4"/>
        <v>191.84875</v>
      </c>
      <c r="L12" s="25">
        <f t="shared" si="4"/>
        <v>73.106250000000003</v>
      </c>
      <c r="M12" s="25">
        <f t="shared" si="4"/>
        <v>60.724999999999994</v>
      </c>
      <c r="N12" s="26">
        <f t="shared" si="2"/>
        <v>867.77374999999995</v>
      </c>
      <c r="O12" s="12"/>
    </row>
    <row r="13" spans="1:15" ht="14.25" customHeight="1" x14ac:dyDescent="0.2">
      <c r="F13" s="1" t="s">
        <v>26</v>
      </c>
    </row>
    <row r="14" spans="1:15" ht="14.25" customHeight="1" x14ac:dyDescent="0.15"/>
    <row r="15" spans="1:15" ht="14.25" customHeight="1" x14ac:dyDescent="0.15">
      <c r="A15" s="30" t="s">
        <v>27</v>
      </c>
      <c r="B15" s="31"/>
      <c r="C15" s="29" t="s">
        <v>34</v>
      </c>
      <c r="D15" s="28"/>
      <c r="E15" s="28"/>
      <c r="F15" s="28"/>
      <c r="G15" s="28"/>
    </row>
    <row r="16" spans="1:15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</sheetData>
  <mergeCells count="3">
    <mergeCell ref="A3:C3"/>
    <mergeCell ref="A15:B15"/>
    <mergeCell ref="C15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0"/>
  <sheetViews>
    <sheetView workbookViewId="0">
      <selection activeCell="B6" sqref="B6:M6"/>
    </sheetView>
  </sheetViews>
  <sheetFormatPr baseColWidth="10" defaultColWidth="14.5" defaultRowHeight="12.75" customHeight="1" x14ac:dyDescent="0.15"/>
  <cols>
    <col min="1" max="15" width="11.5" customWidth="1"/>
  </cols>
  <sheetData>
    <row r="1" spans="1:14" ht="14.25" customHeight="1" x14ac:dyDescent="0.2">
      <c r="A1" s="1" t="s">
        <v>1</v>
      </c>
    </row>
    <row r="2" spans="1:14" ht="14.25" customHeight="1" x14ac:dyDescent="0.15"/>
    <row r="3" spans="1:14" ht="15" customHeight="1" x14ac:dyDescent="0.2">
      <c r="A3" s="27" t="s">
        <v>36</v>
      </c>
      <c r="B3" s="28"/>
      <c r="C3" s="28"/>
    </row>
    <row r="4" spans="1:14" ht="15" customHeight="1" x14ac:dyDescent="0.15"/>
    <row r="5" spans="1:14" ht="15" customHeight="1" x14ac:dyDescent="0.15"/>
    <row r="6" spans="1:14" ht="15" customHeight="1" x14ac:dyDescent="0.2">
      <c r="A6" s="18" t="s">
        <v>21</v>
      </c>
      <c r="B6" s="19">
        <v>43466</v>
      </c>
      <c r="C6" s="19">
        <v>43497</v>
      </c>
      <c r="D6" s="19">
        <v>43525</v>
      </c>
      <c r="E6" s="19">
        <v>43556</v>
      </c>
      <c r="F6" s="19">
        <v>43586</v>
      </c>
      <c r="G6" s="19">
        <v>43617</v>
      </c>
      <c r="H6" s="19">
        <v>43647</v>
      </c>
      <c r="I6" s="19">
        <v>43678</v>
      </c>
      <c r="J6" s="19">
        <v>43709</v>
      </c>
      <c r="K6" s="19">
        <v>43739</v>
      </c>
      <c r="L6" s="19">
        <v>43770</v>
      </c>
      <c r="M6" s="19">
        <v>43800</v>
      </c>
      <c r="N6" s="18" t="s">
        <v>22</v>
      </c>
    </row>
    <row r="7" spans="1:14" ht="15" customHeight="1" x14ac:dyDescent="0.15"/>
    <row r="8" spans="1:14" ht="15" customHeight="1" x14ac:dyDescent="0.15"/>
    <row r="9" spans="1:14" ht="15" customHeight="1" x14ac:dyDescent="0.2">
      <c r="A9" s="18" t="s">
        <v>28</v>
      </c>
      <c r="B9" s="22">
        <v>59.99</v>
      </c>
      <c r="C9" s="22">
        <v>59.99</v>
      </c>
      <c r="D9" s="22">
        <v>59.99</v>
      </c>
      <c r="E9" s="22">
        <v>59.99</v>
      </c>
      <c r="F9" s="22">
        <v>69.989999999999995</v>
      </c>
      <c r="G9" s="22">
        <v>69.989999999999995</v>
      </c>
      <c r="H9" s="22">
        <v>69.989999999999995</v>
      </c>
      <c r="I9" s="22">
        <v>69.989999999999995</v>
      </c>
      <c r="J9" s="22">
        <v>69.989999999999995</v>
      </c>
      <c r="K9" s="22">
        <v>69.989999999999995</v>
      </c>
      <c r="L9" s="22">
        <v>69.989999999999995</v>
      </c>
      <c r="M9" s="22">
        <v>38.47</v>
      </c>
      <c r="N9" s="21">
        <f>SUM(B9:M9)</f>
        <v>768.36</v>
      </c>
    </row>
    <row r="10" spans="1:14" ht="15" customHeight="1" x14ac:dyDescent="0.2">
      <c r="A10" s="23" t="s">
        <v>17</v>
      </c>
      <c r="B10" s="21">
        <f t="shared" ref="B10:N10" si="0">B9</f>
        <v>59.99</v>
      </c>
      <c r="C10" s="21">
        <f t="shared" si="0"/>
        <v>59.99</v>
      </c>
      <c r="D10" s="21">
        <f t="shared" si="0"/>
        <v>59.99</v>
      </c>
      <c r="E10" s="21">
        <f t="shared" si="0"/>
        <v>59.99</v>
      </c>
      <c r="F10" s="21">
        <f t="shared" si="0"/>
        <v>69.989999999999995</v>
      </c>
      <c r="G10" s="21">
        <f t="shared" si="0"/>
        <v>69.989999999999995</v>
      </c>
      <c r="H10" s="21">
        <f t="shared" si="0"/>
        <v>69.989999999999995</v>
      </c>
      <c r="I10" s="21">
        <f t="shared" si="0"/>
        <v>69.989999999999995</v>
      </c>
      <c r="J10" s="21">
        <f t="shared" si="0"/>
        <v>69.989999999999995</v>
      </c>
      <c r="K10" s="21">
        <f t="shared" si="0"/>
        <v>69.989999999999995</v>
      </c>
      <c r="L10" s="21">
        <f t="shared" si="0"/>
        <v>69.989999999999995</v>
      </c>
      <c r="M10" s="21">
        <f t="shared" si="0"/>
        <v>38.47</v>
      </c>
      <c r="N10" s="21">
        <f t="shared" si="0"/>
        <v>768.36</v>
      </c>
    </row>
    <row r="11" spans="1:14" ht="15" customHeight="1" x14ac:dyDescent="0.2">
      <c r="A11" s="24" t="s">
        <v>32</v>
      </c>
      <c r="B11" s="25">
        <f t="shared" ref="B11:M11" si="1">B10*1</f>
        <v>59.99</v>
      </c>
      <c r="C11" s="25">
        <f t="shared" si="1"/>
        <v>59.99</v>
      </c>
      <c r="D11" s="25">
        <f t="shared" si="1"/>
        <v>59.99</v>
      </c>
      <c r="E11" s="25">
        <f t="shared" si="1"/>
        <v>59.99</v>
      </c>
      <c r="F11" s="25">
        <f t="shared" si="1"/>
        <v>69.989999999999995</v>
      </c>
      <c r="G11" s="25">
        <f t="shared" si="1"/>
        <v>69.989999999999995</v>
      </c>
      <c r="H11" s="25">
        <f t="shared" si="1"/>
        <v>69.989999999999995</v>
      </c>
      <c r="I11" s="25">
        <f t="shared" si="1"/>
        <v>69.989999999999995</v>
      </c>
      <c r="J11" s="25">
        <f t="shared" si="1"/>
        <v>69.989999999999995</v>
      </c>
      <c r="K11" s="25">
        <f t="shared" si="1"/>
        <v>69.989999999999995</v>
      </c>
      <c r="L11" s="25">
        <f t="shared" si="1"/>
        <v>69.989999999999995</v>
      </c>
      <c r="M11" s="25">
        <f t="shared" si="1"/>
        <v>38.47</v>
      </c>
      <c r="N11" s="21">
        <f>SUM(B11:M11)</f>
        <v>768.36</v>
      </c>
    </row>
    <row r="12" spans="1:14" ht="14.25" customHeight="1" x14ac:dyDescent="0.15"/>
    <row r="13" spans="1:14" ht="14.25" customHeight="1" x14ac:dyDescent="0.15"/>
    <row r="14" spans="1:14" ht="14.25" customHeight="1" x14ac:dyDescent="0.15"/>
    <row r="15" spans="1:14" ht="14.25" customHeight="1" x14ac:dyDescent="0.15"/>
    <row r="16" spans="1:14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</sheetData>
  <mergeCells count="1"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20"/>
  <sheetViews>
    <sheetView workbookViewId="0">
      <selection activeCell="B6" sqref="B6:M6"/>
    </sheetView>
  </sheetViews>
  <sheetFormatPr baseColWidth="10" defaultColWidth="14.5" defaultRowHeight="12.75" customHeight="1" x14ac:dyDescent="0.15"/>
  <cols>
    <col min="1" max="15" width="11.5" customWidth="1"/>
  </cols>
  <sheetData>
    <row r="1" spans="1:14" ht="14.25" customHeight="1" x14ac:dyDescent="0.2">
      <c r="A1" s="1" t="s">
        <v>29</v>
      </c>
    </row>
    <row r="2" spans="1:14" ht="14.25" customHeight="1" x14ac:dyDescent="0.15"/>
    <row r="3" spans="1:14" ht="15" customHeight="1" x14ac:dyDescent="0.2">
      <c r="A3" s="27" t="s">
        <v>36</v>
      </c>
      <c r="B3" s="28"/>
      <c r="C3" s="28"/>
    </row>
    <row r="4" spans="1:14" ht="15" customHeight="1" x14ac:dyDescent="0.15"/>
    <row r="5" spans="1:14" ht="15" customHeight="1" x14ac:dyDescent="0.15"/>
    <row r="6" spans="1:14" ht="15" customHeight="1" x14ac:dyDescent="0.2">
      <c r="A6" s="18" t="s">
        <v>21</v>
      </c>
      <c r="B6" s="19">
        <v>43466</v>
      </c>
      <c r="C6" s="19">
        <v>43497</v>
      </c>
      <c r="D6" s="19">
        <v>43525</v>
      </c>
      <c r="E6" s="19">
        <v>43556</v>
      </c>
      <c r="F6" s="19">
        <v>43586</v>
      </c>
      <c r="G6" s="19">
        <v>43617</v>
      </c>
      <c r="H6" s="19">
        <v>43647</v>
      </c>
      <c r="I6" s="19">
        <v>43678</v>
      </c>
      <c r="J6" s="19">
        <v>43709</v>
      </c>
      <c r="K6" s="19">
        <v>43739</v>
      </c>
      <c r="L6" s="19">
        <v>43770</v>
      </c>
      <c r="M6" s="19">
        <v>43800</v>
      </c>
      <c r="N6" s="18" t="s">
        <v>22</v>
      </c>
    </row>
    <row r="7" spans="1:14" ht="15" customHeight="1" x14ac:dyDescent="0.15"/>
    <row r="8" spans="1:14" ht="15" customHeight="1" x14ac:dyDescent="0.15"/>
    <row r="9" spans="1:14" ht="15" customHeight="1" x14ac:dyDescent="0.2">
      <c r="A9" s="18" t="s">
        <v>29</v>
      </c>
      <c r="B9" s="22">
        <v>84.51</v>
      </c>
      <c r="C9" s="22">
        <v>70.47</v>
      </c>
      <c r="D9" s="22">
        <v>73.37</v>
      </c>
      <c r="E9" s="22">
        <v>64.98</v>
      </c>
      <c r="F9" s="22">
        <v>66.33</v>
      </c>
      <c r="G9" s="22">
        <v>99.6</v>
      </c>
      <c r="H9" s="22">
        <v>179.29</v>
      </c>
      <c r="I9" s="22">
        <v>155.54</v>
      </c>
      <c r="J9" s="22">
        <v>131.69999999999999</v>
      </c>
      <c r="K9" s="22">
        <v>73.34</v>
      </c>
      <c r="L9" s="22">
        <v>68.67</v>
      </c>
      <c r="M9" s="22">
        <v>73.349999999999994</v>
      </c>
      <c r="N9" s="21">
        <f>SUM(B9:M9)</f>
        <v>1141.1499999999999</v>
      </c>
    </row>
    <row r="10" spans="1:14" ht="15" customHeight="1" x14ac:dyDescent="0.2">
      <c r="A10" s="23" t="s">
        <v>17</v>
      </c>
      <c r="B10" s="21">
        <f t="shared" ref="B10:N10" si="0">SUM(B9)</f>
        <v>84.51</v>
      </c>
      <c r="C10" s="21">
        <f t="shared" si="0"/>
        <v>70.47</v>
      </c>
      <c r="D10" s="21">
        <f t="shared" si="0"/>
        <v>73.37</v>
      </c>
      <c r="E10" s="21">
        <f t="shared" si="0"/>
        <v>64.98</v>
      </c>
      <c r="F10" s="21">
        <f t="shared" si="0"/>
        <v>66.33</v>
      </c>
      <c r="G10" s="21">
        <f t="shared" si="0"/>
        <v>99.6</v>
      </c>
      <c r="H10" s="21">
        <f t="shared" si="0"/>
        <v>179.29</v>
      </c>
      <c r="I10" s="21">
        <f t="shared" si="0"/>
        <v>155.54</v>
      </c>
      <c r="J10" s="21">
        <f t="shared" si="0"/>
        <v>131.69999999999999</v>
      </c>
      <c r="K10" s="21">
        <f t="shared" si="0"/>
        <v>73.34</v>
      </c>
      <c r="L10" s="21">
        <f t="shared" si="0"/>
        <v>68.67</v>
      </c>
      <c r="M10" s="21">
        <f t="shared" si="0"/>
        <v>73.349999999999994</v>
      </c>
      <c r="N10" s="21">
        <f t="shared" si="0"/>
        <v>1141.1499999999999</v>
      </c>
    </row>
    <row r="11" spans="1:14" ht="15" customHeight="1" x14ac:dyDescent="0.2">
      <c r="A11" s="24" t="s">
        <v>32</v>
      </c>
      <c r="B11" s="25">
        <f>(B10*'2019 Reimbursables'!$B$21)</f>
        <v>4.3160464285714291</v>
      </c>
      <c r="C11" s="25">
        <f>(C10*'2019 Reimbursables'!$B$21)</f>
        <v>3.5990035714285713</v>
      </c>
      <c r="D11" s="25">
        <f>(D10*'2019 Reimbursables'!$B$21)</f>
        <v>3.7471107142857147</v>
      </c>
      <c r="E11" s="25">
        <f>(E10*'2019 Reimbursables'!$B$21)</f>
        <v>3.3186214285714288</v>
      </c>
      <c r="F11" s="25">
        <f>(F10*'2019 Reimbursables'!$B$21)</f>
        <v>3.3875678571428574</v>
      </c>
      <c r="G11" s="25">
        <f>(G10*'2019 Reimbursables'!$B$21)</f>
        <v>5.0867142857142857</v>
      </c>
      <c r="H11" s="25">
        <f>(H10*'2019 Reimbursables'!$B$21)</f>
        <v>9.1565964285714276</v>
      </c>
      <c r="I11" s="25">
        <f>(I10*'2019 Reimbursables'!$B$21)</f>
        <v>7.9436499999999999</v>
      </c>
      <c r="J11" s="25">
        <f>(J10*'2019 Reimbursables'!$B$21)</f>
        <v>6.7261071428571428</v>
      </c>
      <c r="K11" s="25">
        <f>(K10*'2019 Reimbursables'!$B$21)</f>
        <v>3.7455785714285716</v>
      </c>
      <c r="L11" s="25">
        <f>(L10*'2019 Reimbursables'!$B$21)</f>
        <v>3.5070750000000004</v>
      </c>
      <c r="M11" s="25">
        <f>(M10*'2019 Reimbursables'!$B$21)</f>
        <v>3.7460892857142856</v>
      </c>
      <c r="N11" s="21">
        <f>SUM(B11:M11)</f>
        <v>58.280160714285721</v>
      </c>
    </row>
    <row r="12" spans="1:14" ht="14.25" customHeight="1" x14ac:dyDescent="0.15"/>
    <row r="13" spans="1:14" ht="14.25" customHeight="1" x14ac:dyDescent="0.15"/>
    <row r="14" spans="1:14" ht="14.25" customHeight="1" x14ac:dyDescent="0.15"/>
    <row r="15" spans="1:14" ht="14.25" customHeight="1" x14ac:dyDescent="0.15"/>
    <row r="16" spans="1:14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</sheetData>
  <mergeCells count="1"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20"/>
  <sheetViews>
    <sheetView workbookViewId="0">
      <selection activeCell="B6" sqref="B6:M6"/>
    </sheetView>
  </sheetViews>
  <sheetFormatPr baseColWidth="10" defaultColWidth="14.5" defaultRowHeight="12.75" customHeight="1" x14ac:dyDescent="0.15"/>
  <cols>
    <col min="1" max="15" width="11.5" customWidth="1"/>
  </cols>
  <sheetData>
    <row r="1" spans="1:14" ht="14.25" customHeight="1" x14ac:dyDescent="0.2">
      <c r="A1" s="1" t="s">
        <v>30</v>
      </c>
    </row>
    <row r="2" spans="1:14" ht="14.25" customHeight="1" x14ac:dyDescent="0.15"/>
    <row r="3" spans="1:14" ht="15" customHeight="1" x14ac:dyDescent="0.2">
      <c r="A3" s="27" t="s">
        <v>36</v>
      </c>
      <c r="B3" s="28"/>
      <c r="C3" s="28"/>
    </row>
    <row r="4" spans="1:14" ht="15" customHeight="1" x14ac:dyDescent="0.15"/>
    <row r="5" spans="1:14" ht="15" customHeight="1" x14ac:dyDescent="0.15"/>
    <row r="6" spans="1:14" ht="15" customHeight="1" x14ac:dyDescent="0.2">
      <c r="A6" s="18" t="s">
        <v>21</v>
      </c>
      <c r="B6" s="19">
        <v>43466</v>
      </c>
      <c r="C6" s="19">
        <v>43497</v>
      </c>
      <c r="D6" s="19">
        <v>43525</v>
      </c>
      <c r="E6" s="19">
        <v>43556</v>
      </c>
      <c r="F6" s="19">
        <v>43586</v>
      </c>
      <c r="G6" s="19">
        <v>43617</v>
      </c>
      <c r="H6" s="19">
        <v>43647</v>
      </c>
      <c r="I6" s="19">
        <v>43678</v>
      </c>
      <c r="J6" s="19">
        <v>43709</v>
      </c>
      <c r="K6" s="19">
        <v>43739</v>
      </c>
      <c r="L6" s="19">
        <v>43770</v>
      </c>
      <c r="M6" s="19">
        <v>43800</v>
      </c>
      <c r="N6" s="18" t="s">
        <v>22</v>
      </c>
    </row>
    <row r="7" spans="1:14" ht="15" customHeight="1" x14ac:dyDescent="0.15"/>
    <row r="8" spans="1:14" ht="15" customHeight="1" x14ac:dyDescent="0.15"/>
    <row r="9" spans="1:14" ht="15" customHeight="1" x14ac:dyDescent="0.2">
      <c r="A9" s="18" t="s">
        <v>3</v>
      </c>
      <c r="B9" s="22">
        <v>121.26</v>
      </c>
      <c r="C9" s="22">
        <v>104.08</v>
      </c>
      <c r="D9" s="22">
        <v>103.73</v>
      </c>
      <c r="E9" s="22">
        <v>13.69</v>
      </c>
      <c r="F9" s="22">
        <v>27.66</v>
      </c>
      <c r="G9" s="22">
        <v>20.94</v>
      </c>
      <c r="H9" s="22">
        <v>18.04</v>
      </c>
      <c r="I9" s="22">
        <v>18.04</v>
      </c>
      <c r="J9" s="22">
        <v>21.7</v>
      </c>
      <c r="K9" s="22">
        <v>24.45</v>
      </c>
      <c r="L9" s="22">
        <v>36.65</v>
      </c>
      <c r="M9" s="22">
        <v>75.05</v>
      </c>
      <c r="N9" s="21">
        <f>SUM(B9:M9)</f>
        <v>585.29</v>
      </c>
    </row>
    <row r="10" spans="1:14" ht="15" customHeight="1" x14ac:dyDescent="0.2">
      <c r="A10" s="23" t="s">
        <v>17</v>
      </c>
      <c r="B10" s="21">
        <f t="shared" ref="B10:N10" si="0">SUM(B9)</f>
        <v>121.26</v>
      </c>
      <c r="C10" s="21">
        <f t="shared" si="0"/>
        <v>104.08</v>
      </c>
      <c r="D10" s="21">
        <f t="shared" si="0"/>
        <v>103.73</v>
      </c>
      <c r="E10" s="21">
        <f t="shared" si="0"/>
        <v>13.69</v>
      </c>
      <c r="F10" s="21">
        <f t="shared" si="0"/>
        <v>27.66</v>
      </c>
      <c r="G10" s="21">
        <f t="shared" si="0"/>
        <v>20.94</v>
      </c>
      <c r="H10" s="21">
        <f t="shared" si="0"/>
        <v>18.04</v>
      </c>
      <c r="I10" s="21">
        <f t="shared" si="0"/>
        <v>18.04</v>
      </c>
      <c r="J10" s="21">
        <f t="shared" si="0"/>
        <v>21.7</v>
      </c>
      <c r="K10" s="21">
        <f t="shared" si="0"/>
        <v>24.45</v>
      </c>
      <c r="L10" s="21">
        <f t="shared" si="0"/>
        <v>36.65</v>
      </c>
      <c r="M10" s="21">
        <f t="shared" si="0"/>
        <v>75.05</v>
      </c>
      <c r="N10" s="21">
        <f t="shared" si="0"/>
        <v>585.29</v>
      </c>
    </row>
    <row r="11" spans="1:14" ht="15" customHeight="1" x14ac:dyDescent="0.2">
      <c r="A11" s="24" t="s">
        <v>32</v>
      </c>
      <c r="B11" s="25">
        <f>(B10*'2019 Reimbursables'!$B$21)</f>
        <v>6.1929214285714291</v>
      </c>
      <c r="C11" s="25">
        <f>(C10*'2019 Reimbursables'!$B$21)</f>
        <v>5.3155142857142854</v>
      </c>
      <c r="D11" s="25">
        <f>(D10*'2019 Reimbursables'!$B$21)</f>
        <v>5.2976392857142862</v>
      </c>
      <c r="E11" s="25">
        <f>(E10*'2019 Reimbursables'!$B$21)</f>
        <v>0.69916785714285712</v>
      </c>
      <c r="F11" s="25">
        <f>(F10*'2019 Reimbursables'!$B$21)</f>
        <v>1.4126357142857144</v>
      </c>
      <c r="G11" s="25">
        <f>(G10*'2019 Reimbursables'!$B$21)</f>
        <v>1.0694357142857145</v>
      </c>
      <c r="H11" s="25">
        <f>(H10*'2019 Reimbursables'!$B$21)</f>
        <v>0.92132857142857139</v>
      </c>
      <c r="I11" s="25">
        <f>(I10*'2019 Reimbursables'!$B$21)</f>
        <v>0.92132857142857139</v>
      </c>
      <c r="J11" s="25">
        <f>(J10*'2019 Reimbursables'!$B$21)</f>
        <v>1.10825</v>
      </c>
      <c r="K11" s="25">
        <f>(K10*'2019 Reimbursables'!$B$21)</f>
        <v>1.2486964285714286</v>
      </c>
      <c r="L11" s="25">
        <f>(L10*'2019 Reimbursables'!$B$21)</f>
        <v>1.8717678571428571</v>
      </c>
      <c r="M11" s="25">
        <f>(M10*'2019 Reimbursables'!$B$21)</f>
        <v>3.8329107142857142</v>
      </c>
      <c r="N11" s="26">
        <f>SUM(B11:M11)</f>
        <v>29.891596428571422</v>
      </c>
    </row>
    <row r="12" spans="1:14" ht="14.25" customHeight="1" x14ac:dyDescent="0.15"/>
    <row r="13" spans="1:14" ht="14.25" customHeight="1" x14ac:dyDescent="0.15">
      <c r="F13" s="28"/>
      <c r="G13" s="28"/>
      <c r="H13" s="28"/>
      <c r="I13" s="28"/>
      <c r="J13" s="28"/>
      <c r="K13" s="28"/>
      <c r="L13" s="28"/>
    </row>
    <row r="14" spans="1:14" ht="14.25" customHeight="1" x14ac:dyDescent="0.15"/>
    <row r="15" spans="1:14" ht="14.25" customHeight="1" x14ac:dyDescent="0.15"/>
    <row r="16" spans="1:14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</sheetData>
  <mergeCells count="2">
    <mergeCell ref="A3:C3"/>
    <mergeCell ref="F13:L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20"/>
  <sheetViews>
    <sheetView workbookViewId="0">
      <selection activeCell="B6" sqref="B6:M6"/>
    </sheetView>
  </sheetViews>
  <sheetFormatPr baseColWidth="10" defaultColWidth="14.5" defaultRowHeight="12.75" customHeight="1" x14ac:dyDescent="0.15"/>
  <cols>
    <col min="1" max="15" width="11.5" customWidth="1"/>
  </cols>
  <sheetData>
    <row r="1" spans="1:14" ht="14.25" customHeight="1" x14ac:dyDescent="0.2">
      <c r="A1" s="1" t="s">
        <v>4</v>
      </c>
    </row>
    <row r="2" spans="1:14" ht="14.25" customHeight="1" x14ac:dyDescent="0.15"/>
    <row r="3" spans="1:14" ht="15" customHeight="1" x14ac:dyDescent="0.2">
      <c r="A3" s="27" t="s">
        <v>36</v>
      </c>
      <c r="B3" s="28"/>
      <c r="C3" s="28"/>
    </row>
    <row r="4" spans="1:14" ht="15" customHeight="1" x14ac:dyDescent="0.15"/>
    <row r="5" spans="1:14" ht="15" customHeight="1" x14ac:dyDescent="0.15"/>
    <row r="6" spans="1:14" ht="15" customHeight="1" x14ac:dyDescent="0.2">
      <c r="A6" s="18" t="s">
        <v>21</v>
      </c>
      <c r="B6" s="19">
        <v>43466</v>
      </c>
      <c r="C6" s="19">
        <v>43497</v>
      </c>
      <c r="D6" s="19">
        <v>43525</v>
      </c>
      <c r="E6" s="19">
        <v>43556</v>
      </c>
      <c r="F6" s="19">
        <v>43586</v>
      </c>
      <c r="G6" s="19">
        <v>43617</v>
      </c>
      <c r="H6" s="19">
        <v>43647</v>
      </c>
      <c r="I6" s="19">
        <v>43678</v>
      </c>
      <c r="J6" s="19">
        <v>43709</v>
      </c>
      <c r="K6" s="19">
        <v>43739</v>
      </c>
      <c r="L6" s="19">
        <v>43770</v>
      </c>
      <c r="M6" s="19">
        <v>43800</v>
      </c>
      <c r="N6" s="18" t="s">
        <v>22</v>
      </c>
    </row>
    <row r="7" spans="1:14" ht="15" customHeight="1" x14ac:dyDescent="0.15"/>
    <row r="8" spans="1:14" ht="15" customHeight="1" x14ac:dyDescent="0.15"/>
    <row r="9" spans="1:14" ht="15" customHeight="1" x14ac:dyDescent="0.2">
      <c r="A9" s="18" t="s">
        <v>35</v>
      </c>
      <c r="B9" s="22">
        <v>54.02</v>
      </c>
      <c r="C9" s="22">
        <v>59.54</v>
      </c>
      <c r="D9" s="22">
        <v>52.37</v>
      </c>
      <c r="E9" s="22">
        <v>48.87</v>
      </c>
      <c r="F9" s="22">
        <v>51.91</v>
      </c>
      <c r="G9" s="22">
        <v>76.25</v>
      </c>
      <c r="H9" s="22">
        <v>101.76</v>
      </c>
      <c r="I9" s="22">
        <v>93.49</v>
      </c>
      <c r="J9" s="22">
        <v>95.06</v>
      </c>
      <c r="K9" s="22">
        <v>84.27</v>
      </c>
      <c r="L9" s="22">
        <v>54.62</v>
      </c>
      <c r="M9" s="22">
        <v>63.52</v>
      </c>
      <c r="N9" s="21">
        <f>SUM(B9:M9)</f>
        <v>835.68</v>
      </c>
    </row>
    <row r="10" spans="1:14" ht="15" customHeight="1" x14ac:dyDescent="0.2">
      <c r="A10" s="23" t="s">
        <v>17</v>
      </c>
      <c r="B10" s="21">
        <f t="shared" ref="B10:N10" si="0">B9</f>
        <v>54.02</v>
      </c>
      <c r="C10" s="21">
        <f t="shared" si="0"/>
        <v>59.54</v>
      </c>
      <c r="D10" s="21">
        <f t="shared" si="0"/>
        <v>52.37</v>
      </c>
      <c r="E10" s="21">
        <f t="shared" si="0"/>
        <v>48.87</v>
      </c>
      <c r="F10" s="21">
        <f t="shared" si="0"/>
        <v>51.91</v>
      </c>
      <c r="G10" s="21">
        <f t="shared" si="0"/>
        <v>76.25</v>
      </c>
      <c r="H10" s="21">
        <f t="shared" si="0"/>
        <v>101.76</v>
      </c>
      <c r="I10" s="21">
        <f t="shared" si="0"/>
        <v>93.49</v>
      </c>
      <c r="J10" s="21">
        <f t="shared" si="0"/>
        <v>95.06</v>
      </c>
      <c r="K10" s="21">
        <f t="shared" si="0"/>
        <v>84.27</v>
      </c>
      <c r="L10" s="21">
        <f t="shared" si="0"/>
        <v>54.62</v>
      </c>
      <c r="M10" s="21">
        <f t="shared" si="0"/>
        <v>63.52</v>
      </c>
      <c r="N10" s="21">
        <f t="shared" si="0"/>
        <v>835.68</v>
      </c>
    </row>
    <row r="11" spans="1:14" ht="15" customHeight="1" x14ac:dyDescent="0.2">
      <c r="A11" s="24" t="s">
        <v>32</v>
      </c>
      <c r="B11" s="25">
        <f>(B10*'2019 Reimbursables'!$B$21)</f>
        <v>2.7588785714285717</v>
      </c>
      <c r="C11" s="25">
        <f>(C10*'2019 Reimbursables'!$B$21)</f>
        <v>3.0407928571428573</v>
      </c>
      <c r="D11" s="25">
        <f>(D10*'2019 Reimbursables'!$B$21)</f>
        <v>2.6746107142857141</v>
      </c>
      <c r="E11" s="25">
        <f>(E10*'2019 Reimbursables'!$B$21)</f>
        <v>2.4958607142857141</v>
      </c>
      <c r="F11" s="25">
        <f>(F10*'2019 Reimbursables'!$B$21)</f>
        <v>2.6511178571428569</v>
      </c>
      <c r="G11" s="25">
        <f>(G10*'2019 Reimbursables'!$B$21)</f>
        <v>3.8941964285714286</v>
      </c>
      <c r="H11" s="25">
        <f>(H10*'2019 Reimbursables'!$B$21)</f>
        <v>5.1970285714285716</v>
      </c>
      <c r="I11" s="25">
        <f>(I10*'2019 Reimbursables'!$B$21)</f>
        <v>4.7746678571428571</v>
      </c>
      <c r="J11" s="25">
        <f>(J10*'2019 Reimbursables'!$B$21)</f>
        <v>4.8548499999999999</v>
      </c>
      <c r="K11" s="25">
        <f>(K10*'2019 Reimbursables'!$B$21)</f>
        <v>4.3037892857142861</v>
      </c>
      <c r="L11" s="25">
        <f>(L10*'2019 Reimbursables'!$B$21)</f>
        <v>2.7895214285714287</v>
      </c>
      <c r="M11" s="25">
        <f>(M10*'2019 Reimbursables'!$B$21)</f>
        <v>3.2440571428571432</v>
      </c>
      <c r="N11" s="26">
        <f>SUM(B11:M11)</f>
        <v>42.679371428571429</v>
      </c>
    </row>
    <row r="12" spans="1:14" ht="14.25" customHeight="1" x14ac:dyDescent="0.15"/>
    <row r="13" spans="1:14" ht="14.25" customHeight="1" x14ac:dyDescent="0.15"/>
    <row r="14" spans="1:14" ht="14.25" customHeight="1" x14ac:dyDescent="0.15"/>
    <row r="15" spans="1:14" ht="14.25" customHeight="1" x14ac:dyDescent="0.15"/>
    <row r="16" spans="1:14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</sheetData>
  <mergeCells count="1">
    <mergeCell ref="A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8C2E-29AE-CE47-B4CF-ABF5EDE7D044}">
  <dimension ref="A1:I38"/>
  <sheetViews>
    <sheetView workbookViewId="0">
      <selection activeCell="D16" sqref="D16:D26"/>
    </sheetView>
  </sheetViews>
  <sheetFormatPr baseColWidth="10" defaultColWidth="14.5" defaultRowHeight="13" x14ac:dyDescent="0.15"/>
  <cols>
    <col min="1" max="3" width="10.5" style="36" customWidth="1"/>
    <col min="4" max="4" width="16.6640625" style="36" customWidth="1"/>
    <col min="5" max="5" width="22.5" style="36" customWidth="1"/>
    <col min="6" max="6" width="28.83203125" style="36" customWidth="1"/>
    <col min="7" max="7" width="13.1640625" style="36" customWidth="1"/>
    <col min="8" max="8" width="10.5" style="36" customWidth="1"/>
    <col min="9" max="9" width="152" style="36" customWidth="1"/>
    <col min="10" max="16384" width="14.5" style="36"/>
  </cols>
  <sheetData>
    <row r="1" spans="1:9" ht="34" x14ac:dyDescent="0.2">
      <c r="A1" s="32" t="s">
        <v>37</v>
      </c>
      <c r="B1" s="33"/>
      <c r="C1" s="46" t="s">
        <v>38</v>
      </c>
      <c r="D1" s="34" t="s">
        <v>39</v>
      </c>
      <c r="E1" s="34" t="s">
        <v>40</v>
      </c>
      <c r="F1" s="34" t="s">
        <v>41</v>
      </c>
      <c r="G1" s="34" t="s">
        <v>42</v>
      </c>
      <c r="H1" s="35" t="s">
        <v>43</v>
      </c>
      <c r="I1" s="32" t="s">
        <v>44</v>
      </c>
    </row>
    <row r="2" spans="1:9" ht="17" x14ac:dyDescent="0.2">
      <c r="A2" s="37">
        <v>43472</v>
      </c>
      <c r="B2" s="33">
        <v>0.57999999999999996</v>
      </c>
      <c r="C2" s="17">
        <v>80.8</v>
      </c>
      <c r="D2" s="33">
        <f t="shared" ref="D2" si="0">B2*C2</f>
        <v>46.863999999999997</v>
      </c>
      <c r="E2" s="17" t="s">
        <v>56</v>
      </c>
      <c r="F2" s="38" t="s">
        <v>55</v>
      </c>
      <c r="G2" s="17" t="s">
        <v>45</v>
      </c>
      <c r="H2" s="17" t="s">
        <v>53</v>
      </c>
      <c r="I2" s="17" t="s">
        <v>49</v>
      </c>
    </row>
    <row r="3" spans="1:9" ht="17" x14ac:dyDescent="0.2">
      <c r="A3" s="37">
        <v>43479</v>
      </c>
      <c r="B3" s="33">
        <v>0.57999999999999996</v>
      </c>
      <c r="C3" s="17">
        <v>80.8</v>
      </c>
      <c r="D3" s="33">
        <f>B3*C3</f>
        <v>46.863999999999997</v>
      </c>
      <c r="E3" s="17" t="s">
        <v>56</v>
      </c>
      <c r="F3" s="38" t="s">
        <v>55</v>
      </c>
      <c r="G3" s="17" t="s">
        <v>45</v>
      </c>
      <c r="H3" s="17" t="s">
        <v>53</v>
      </c>
      <c r="I3" s="17" t="s">
        <v>49</v>
      </c>
    </row>
    <row r="4" spans="1:9" ht="17" x14ac:dyDescent="0.2">
      <c r="A4" s="37">
        <v>43486</v>
      </c>
      <c r="B4" s="33">
        <v>0.57999999999999996</v>
      </c>
      <c r="C4" s="17">
        <v>80.8</v>
      </c>
      <c r="D4" s="33">
        <f>B4*C4</f>
        <v>46.863999999999997</v>
      </c>
      <c r="E4" s="17" t="s">
        <v>56</v>
      </c>
      <c r="F4" s="38" t="s">
        <v>55</v>
      </c>
      <c r="G4" s="17" t="s">
        <v>45</v>
      </c>
      <c r="H4" s="17" t="s">
        <v>53</v>
      </c>
      <c r="I4" s="17" t="s">
        <v>49</v>
      </c>
    </row>
    <row r="5" spans="1:9" ht="14" x14ac:dyDescent="0.15">
      <c r="A5" s="37">
        <v>43488</v>
      </c>
      <c r="B5" s="33">
        <v>0.57999999999999996</v>
      </c>
      <c r="C5" s="36">
        <f>15.8*2</f>
        <v>31.6</v>
      </c>
      <c r="D5" s="33">
        <f>B5*C5</f>
        <v>18.327999999999999</v>
      </c>
      <c r="E5" s="17" t="s">
        <v>56</v>
      </c>
      <c r="F5" s="17" t="s">
        <v>66</v>
      </c>
      <c r="G5" s="17" t="s">
        <v>45</v>
      </c>
      <c r="H5" s="17" t="s">
        <v>54</v>
      </c>
      <c r="I5" s="17" t="s">
        <v>68</v>
      </c>
    </row>
    <row r="6" spans="1:9" ht="14" x14ac:dyDescent="0.15">
      <c r="A6" s="37">
        <v>43495</v>
      </c>
      <c r="B6" s="33">
        <v>0.57999999999999996</v>
      </c>
      <c r="C6" s="36">
        <f>17.3*2</f>
        <v>34.6</v>
      </c>
      <c r="D6" s="33">
        <f>B6*C6</f>
        <v>20.067999999999998</v>
      </c>
      <c r="E6" s="17" t="s">
        <v>56</v>
      </c>
      <c r="F6" s="17" t="s">
        <v>66</v>
      </c>
      <c r="G6" s="17" t="s">
        <v>45</v>
      </c>
      <c r="H6" s="17" t="s">
        <v>54</v>
      </c>
      <c r="I6" s="17" t="s">
        <v>67</v>
      </c>
    </row>
    <row r="7" spans="1:9" ht="17" x14ac:dyDescent="0.2">
      <c r="A7" s="37">
        <v>43500</v>
      </c>
      <c r="B7" s="33">
        <v>0.57999999999999996</v>
      </c>
      <c r="C7" s="17">
        <v>80.8</v>
      </c>
      <c r="D7" s="33">
        <f>B7*C7</f>
        <v>46.863999999999997</v>
      </c>
      <c r="E7" s="17" t="s">
        <v>56</v>
      </c>
      <c r="F7" s="38" t="s">
        <v>55</v>
      </c>
      <c r="G7" s="17" t="s">
        <v>45</v>
      </c>
      <c r="H7" s="17" t="s">
        <v>53</v>
      </c>
      <c r="I7" s="17" t="s">
        <v>49</v>
      </c>
    </row>
    <row r="8" spans="1:9" ht="17" x14ac:dyDescent="0.2">
      <c r="A8" s="37">
        <v>43507</v>
      </c>
      <c r="B8" s="33">
        <v>0.57999999999999996</v>
      </c>
      <c r="C8" s="17">
        <v>80.8</v>
      </c>
      <c r="D8" s="33">
        <f>B8*C8</f>
        <v>46.863999999999997</v>
      </c>
      <c r="E8" s="17" t="s">
        <v>56</v>
      </c>
      <c r="F8" s="38" t="s">
        <v>55</v>
      </c>
      <c r="G8" s="17" t="s">
        <v>45</v>
      </c>
      <c r="H8" s="17" t="s">
        <v>53</v>
      </c>
      <c r="I8" s="17" t="s">
        <v>49</v>
      </c>
    </row>
    <row r="9" spans="1:9" ht="17" x14ac:dyDescent="0.2">
      <c r="A9" s="37">
        <v>43521</v>
      </c>
      <c r="B9" s="33">
        <v>0.57999999999999996</v>
      </c>
      <c r="C9" s="17">
        <v>80.8</v>
      </c>
      <c r="D9" s="33">
        <f>B9*C9</f>
        <v>46.863999999999997</v>
      </c>
      <c r="E9" s="17" t="s">
        <v>56</v>
      </c>
      <c r="F9" s="38" t="s">
        <v>55</v>
      </c>
      <c r="G9" s="17" t="s">
        <v>45</v>
      </c>
      <c r="H9" s="17" t="s">
        <v>53</v>
      </c>
      <c r="I9" s="17" t="s">
        <v>49</v>
      </c>
    </row>
    <row r="10" spans="1:9" ht="16" x14ac:dyDescent="0.2">
      <c r="A10" s="37">
        <v>43522</v>
      </c>
      <c r="B10" s="33">
        <v>0.57999999999999996</v>
      </c>
      <c r="C10" s="38">
        <v>51.8</v>
      </c>
      <c r="D10" s="33">
        <f>B10*C10</f>
        <v>30.043999999999997</v>
      </c>
      <c r="E10" s="17" t="s">
        <v>56</v>
      </c>
      <c r="F10" s="17" t="s">
        <v>48</v>
      </c>
      <c r="G10" s="17" t="s">
        <v>45</v>
      </c>
      <c r="H10" s="17" t="s">
        <v>54</v>
      </c>
      <c r="I10" s="17" t="s">
        <v>64</v>
      </c>
    </row>
    <row r="11" spans="1:9" ht="17" x14ac:dyDescent="0.2">
      <c r="A11" s="37">
        <v>43528</v>
      </c>
      <c r="B11" s="33">
        <v>0.57999999999999996</v>
      </c>
      <c r="C11" s="17">
        <v>80.8</v>
      </c>
      <c r="D11" s="33">
        <f>B11*C11</f>
        <v>46.863999999999997</v>
      </c>
      <c r="E11" s="17" t="s">
        <v>56</v>
      </c>
      <c r="F11" s="38" t="s">
        <v>55</v>
      </c>
      <c r="G11" s="17" t="s">
        <v>45</v>
      </c>
      <c r="H11" s="17" t="s">
        <v>53</v>
      </c>
      <c r="I11" s="17" t="s">
        <v>49</v>
      </c>
    </row>
    <row r="12" spans="1:9" ht="16" x14ac:dyDescent="0.2">
      <c r="A12" s="37">
        <v>43529</v>
      </c>
      <c r="B12" s="33">
        <v>0.57999999999999996</v>
      </c>
      <c r="C12" s="38">
        <f>119*2</f>
        <v>238</v>
      </c>
      <c r="D12" s="33">
        <f>B12*C12</f>
        <v>138.04</v>
      </c>
      <c r="E12" s="17" t="s">
        <v>56</v>
      </c>
      <c r="F12" s="17" t="s">
        <v>65</v>
      </c>
      <c r="G12" s="17" t="s">
        <v>45</v>
      </c>
      <c r="H12" s="17" t="s">
        <v>54</v>
      </c>
      <c r="I12" s="17" t="s">
        <v>63</v>
      </c>
    </row>
    <row r="13" spans="1:9" ht="17" x14ac:dyDescent="0.2">
      <c r="A13" s="37">
        <v>43535</v>
      </c>
      <c r="B13" s="33">
        <v>0.57999999999999996</v>
      </c>
      <c r="C13" s="17">
        <v>80.8</v>
      </c>
      <c r="D13" s="33">
        <f>B13*C13</f>
        <v>46.863999999999997</v>
      </c>
      <c r="E13" s="17" t="s">
        <v>56</v>
      </c>
      <c r="F13" s="38" t="s">
        <v>55</v>
      </c>
      <c r="G13" s="17" t="s">
        <v>45</v>
      </c>
      <c r="H13" s="17" t="s">
        <v>53</v>
      </c>
      <c r="I13" s="17" t="s">
        <v>49</v>
      </c>
    </row>
    <row r="14" spans="1:9" ht="17" x14ac:dyDescent="0.2">
      <c r="A14" s="37">
        <v>43542</v>
      </c>
      <c r="B14" s="33">
        <v>0.57999999999999996</v>
      </c>
      <c r="C14" s="17">
        <v>80.8</v>
      </c>
      <c r="D14" s="33">
        <f>B14*C14</f>
        <v>46.863999999999997</v>
      </c>
      <c r="E14" s="17" t="s">
        <v>56</v>
      </c>
      <c r="F14" s="38" t="s">
        <v>55</v>
      </c>
      <c r="G14" s="17" t="s">
        <v>45</v>
      </c>
      <c r="H14" s="17" t="s">
        <v>53</v>
      </c>
      <c r="I14" s="17" t="s">
        <v>49</v>
      </c>
    </row>
    <row r="15" spans="1:9" ht="17" x14ac:dyDescent="0.2">
      <c r="A15" s="37">
        <v>43549</v>
      </c>
      <c r="B15" s="33">
        <v>0.57999999999999996</v>
      </c>
      <c r="C15" s="17">
        <v>80.8</v>
      </c>
      <c r="D15" s="33">
        <f>B15*C15</f>
        <v>46.863999999999997</v>
      </c>
      <c r="E15" s="17" t="s">
        <v>56</v>
      </c>
      <c r="F15" s="38" t="s">
        <v>55</v>
      </c>
      <c r="G15" s="17" t="s">
        <v>45</v>
      </c>
      <c r="H15" s="17" t="s">
        <v>53</v>
      </c>
      <c r="I15" s="17" t="s">
        <v>49</v>
      </c>
    </row>
    <row r="16" spans="1:9" ht="14" x14ac:dyDescent="0.15">
      <c r="A16" s="37">
        <v>43570</v>
      </c>
      <c r="B16" s="33">
        <v>0.57999999999999996</v>
      </c>
      <c r="C16" s="36">
        <f>(259*2)</f>
        <v>518</v>
      </c>
      <c r="D16" s="33">
        <f>B16*C16</f>
        <v>300.44</v>
      </c>
      <c r="E16" s="17" t="s">
        <v>56</v>
      </c>
      <c r="F16" s="17" t="s">
        <v>62</v>
      </c>
      <c r="G16" s="17" t="s">
        <v>45</v>
      </c>
      <c r="H16" s="17" t="s">
        <v>54</v>
      </c>
      <c r="I16" s="17" t="s">
        <v>61</v>
      </c>
    </row>
    <row r="17" spans="1:9" ht="17" x14ac:dyDescent="0.2">
      <c r="A17" s="37">
        <v>43584</v>
      </c>
      <c r="B17" s="33">
        <v>0.57999999999999996</v>
      </c>
      <c r="C17" s="36">
        <f>(8.5 * 2)</f>
        <v>17</v>
      </c>
      <c r="D17" s="33">
        <f>B17*C17</f>
        <v>9.86</v>
      </c>
      <c r="E17" s="17" t="s">
        <v>57</v>
      </c>
      <c r="F17" s="38" t="s">
        <v>55</v>
      </c>
      <c r="G17" s="17" t="s">
        <v>45</v>
      </c>
      <c r="H17" s="17" t="s">
        <v>53</v>
      </c>
      <c r="I17" s="17" t="s">
        <v>49</v>
      </c>
    </row>
    <row r="18" spans="1:9" ht="14" x14ac:dyDescent="0.15">
      <c r="A18" s="37">
        <v>43586</v>
      </c>
      <c r="B18" s="33">
        <v>0.57999999999999996</v>
      </c>
      <c r="C18" s="36">
        <f>(2 * 13.3)</f>
        <v>26.6</v>
      </c>
      <c r="D18" s="33">
        <f>B18*C18</f>
        <v>15.427999999999999</v>
      </c>
      <c r="E18" s="17" t="s">
        <v>57</v>
      </c>
      <c r="F18" s="17" t="s">
        <v>48</v>
      </c>
      <c r="G18" s="17" t="s">
        <v>45</v>
      </c>
      <c r="H18" s="17" t="s">
        <v>54</v>
      </c>
      <c r="I18" s="17" t="s">
        <v>69</v>
      </c>
    </row>
    <row r="19" spans="1:9" ht="17" x14ac:dyDescent="0.2">
      <c r="A19" s="37">
        <v>43591</v>
      </c>
      <c r="B19" s="33">
        <v>0.57999999999999996</v>
      </c>
      <c r="C19" s="36">
        <f>(8.5 * 2)</f>
        <v>17</v>
      </c>
      <c r="D19" s="33">
        <f>B19*C19</f>
        <v>9.86</v>
      </c>
      <c r="E19" s="17" t="s">
        <v>57</v>
      </c>
      <c r="F19" s="38" t="s">
        <v>55</v>
      </c>
      <c r="G19" s="17" t="s">
        <v>45</v>
      </c>
      <c r="H19" s="17" t="s">
        <v>53</v>
      </c>
      <c r="I19" s="17" t="s">
        <v>49</v>
      </c>
    </row>
    <row r="20" spans="1:9" ht="14" x14ac:dyDescent="0.15">
      <c r="A20" s="37">
        <v>43591</v>
      </c>
      <c r="B20" s="33">
        <v>0.57999999999999996</v>
      </c>
      <c r="C20" s="36">
        <f t="shared" ref="C20:C21" si="1">(2 * 13.3)</f>
        <v>26.6</v>
      </c>
      <c r="D20" s="33">
        <f>B20*C20</f>
        <v>15.427999999999999</v>
      </c>
      <c r="E20" s="17" t="s">
        <v>57</v>
      </c>
      <c r="F20" s="17" t="s">
        <v>48</v>
      </c>
      <c r="G20" s="17" t="s">
        <v>45</v>
      </c>
      <c r="H20" s="17" t="s">
        <v>54</v>
      </c>
      <c r="I20" s="17" t="s">
        <v>59</v>
      </c>
    </row>
    <row r="21" spans="1:9" ht="14" x14ac:dyDescent="0.15">
      <c r="A21" s="37">
        <v>43600</v>
      </c>
      <c r="B21" s="33">
        <v>0.57999999999999996</v>
      </c>
      <c r="C21" s="36">
        <f t="shared" si="1"/>
        <v>26.6</v>
      </c>
      <c r="D21" s="33">
        <f>B21*C21</f>
        <v>15.427999999999999</v>
      </c>
      <c r="E21" s="17" t="s">
        <v>57</v>
      </c>
      <c r="F21" s="17" t="s">
        <v>48</v>
      </c>
      <c r="G21" s="17" t="s">
        <v>45</v>
      </c>
      <c r="H21" s="17" t="s">
        <v>54</v>
      </c>
      <c r="I21" s="17" t="s">
        <v>52</v>
      </c>
    </row>
    <row r="22" spans="1:9" ht="17" x14ac:dyDescent="0.2">
      <c r="A22" s="37">
        <v>43598</v>
      </c>
      <c r="B22" s="33">
        <v>0.57999999999999996</v>
      </c>
      <c r="C22" s="36">
        <f t="shared" ref="C22:C26" si="2">(8.5 * 2)</f>
        <v>17</v>
      </c>
      <c r="D22" s="33">
        <f>B22*C22</f>
        <v>9.86</v>
      </c>
      <c r="E22" s="17" t="s">
        <v>57</v>
      </c>
      <c r="F22" s="38" t="s">
        <v>55</v>
      </c>
      <c r="G22" s="17" t="s">
        <v>45</v>
      </c>
      <c r="H22" s="17" t="s">
        <v>53</v>
      </c>
      <c r="I22" s="17" t="s">
        <v>49</v>
      </c>
    </row>
    <row r="23" spans="1:9" ht="17" x14ac:dyDescent="0.2">
      <c r="A23" s="37">
        <v>43605</v>
      </c>
      <c r="B23" s="33">
        <v>0.57999999999999996</v>
      </c>
      <c r="C23" s="36">
        <f t="shared" si="2"/>
        <v>17</v>
      </c>
      <c r="D23" s="33">
        <f>B23*C23</f>
        <v>9.86</v>
      </c>
      <c r="E23" s="17" t="s">
        <v>57</v>
      </c>
      <c r="F23" s="38" t="s">
        <v>55</v>
      </c>
      <c r="G23" s="17" t="s">
        <v>45</v>
      </c>
      <c r="H23" s="17" t="s">
        <v>53</v>
      </c>
      <c r="I23" s="17" t="s">
        <v>49</v>
      </c>
    </row>
    <row r="24" spans="1:9" ht="17" x14ac:dyDescent="0.2">
      <c r="A24" s="37">
        <v>43612</v>
      </c>
      <c r="B24" s="33">
        <v>0.57999999999999996</v>
      </c>
      <c r="C24" s="36">
        <f t="shared" si="2"/>
        <v>17</v>
      </c>
      <c r="D24" s="33">
        <f>B24*C24</f>
        <v>9.86</v>
      </c>
      <c r="E24" s="17" t="s">
        <v>57</v>
      </c>
      <c r="F24" s="38" t="s">
        <v>55</v>
      </c>
      <c r="G24" s="17" t="s">
        <v>45</v>
      </c>
      <c r="H24" s="17" t="s">
        <v>53</v>
      </c>
      <c r="I24" s="17" t="s">
        <v>49</v>
      </c>
    </row>
    <row r="25" spans="1:9" ht="17" x14ac:dyDescent="0.2">
      <c r="A25" s="37">
        <v>43619</v>
      </c>
      <c r="B25" s="33">
        <v>0.57999999999999996</v>
      </c>
      <c r="C25" s="36">
        <f t="shared" si="2"/>
        <v>17</v>
      </c>
      <c r="D25" s="33">
        <f>B25*C25</f>
        <v>9.86</v>
      </c>
      <c r="E25" s="17" t="s">
        <v>57</v>
      </c>
      <c r="F25" s="38" t="s">
        <v>55</v>
      </c>
      <c r="G25" s="17" t="s">
        <v>45</v>
      </c>
      <c r="H25" s="17" t="s">
        <v>53</v>
      </c>
      <c r="I25" s="17" t="s">
        <v>49</v>
      </c>
    </row>
    <row r="26" spans="1:9" ht="17" x14ac:dyDescent="0.2">
      <c r="A26" s="37">
        <v>43626</v>
      </c>
      <c r="B26" s="33">
        <v>0.57999999999999996</v>
      </c>
      <c r="C26" s="36">
        <f t="shared" si="2"/>
        <v>17</v>
      </c>
      <c r="D26" s="33">
        <f>B26*C26</f>
        <v>9.86</v>
      </c>
      <c r="E26" s="17" t="s">
        <v>57</v>
      </c>
      <c r="F26" s="38" t="s">
        <v>55</v>
      </c>
      <c r="G26" s="17" t="s">
        <v>45</v>
      </c>
      <c r="H26" s="17" t="s">
        <v>53</v>
      </c>
      <c r="I26" s="17" t="s">
        <v>49</v>
      </c>
    </row>
    <row r="27" spans="1:9" ht="14" x14ac:dyDescent="0.15">
      <c r="A27" s="37">
        <v>43667</v>
      </c>
      <c r="B27" s="33">
        <v>0.57999999999999996</v>
      </c>
      <c r="C27" s="36">
        <f t="shared" ref="C27:C29" si="3">(2 * 13.3)</f>
        <v>26.6</v>
      </c>
      <c r="D27" s="33">
        <f>B27*C27</f>
        <v>15.427999999999999</v>
      </c>
      <c r="E27" s="17" t="s">
        <v>57</v>
      </c>
      <c r="F27" s="17" t="s">
        <v>48</v>
      </c>
      <c r="G27" s="17" t="s">
        <v>45</v>
      </c>
      <c r="H27" s="17" t="s">
        <v>54</v>
      </c>
      <c r="I27" s="17" t="s">
        <v>46</v>
      </c>
    </row>
    <row r="28" spans="1:9" ht="14" x14ac:dyDescent="0.15">
      <c r="A28" s="37">
        <v>43689</v>
      </c>
      <c r="B28" s="33">
        <v>0.57999999999999996</v>
      </c>
      <c r="C28" s="36">
        <f t="shared" si="3"/>
        <v>26.6</v>
      </c>
      <c r="D28" s="33">
        <f>B28*C28</f>
        <v>15.427999999999999</v>
      </c>
      <c r="E28" s="17" t="s">
        <v>57</v>
      </c>
      <c r="F28" s="17" t="s">
        <v>48</v>
      </c>
      <c r="G28" s="17" t="s">
        <v>45</v>
      </c>
      <c r="H28" s="17" t="s">
        <v>54</v>
      </c>
      <c r="I28" s="17" t="s">
        <v>60</v>
      </c>
    </row>
    <row r="29" spans="1:9" ht="14" x14ac:dyDescent="0.15">
      <c r="A29" s="37">
        <v>43692</v>
      </c>
      <c r="B29" s="33">
        <v>0.57999999999999996</v>
      </c>
      <c r="C29" s="36">
        <f t="shared" si="3"/>
        <v>26.6</v>
      </c>
      <c r="D29" s="33">
        <f>B29*C29</f>
        <v>15.427999999999999</v>
      </c>
      <c r="E29" s="17" t="s">
        <v>57</v>
      </c>
      <c r="F29" s="17" t="s">
        <v>48</v>
      </c>
      <c r="G29" s="17" t="s">
        <v>45</v>
      </c>
      <c r="H29" s="17" t="s">
        <v>54</v>
      </c>
      <c r="I29" s="17" t="s">
        <v>50</v>
      </c>
    </row>
    <row r="30" spans="1:9" ht="14" x14ac:dyDescent="0.15">
      <c r="A30" s="37">
        <v>43775</v>
      </c>
      <c r="B30" s="33">
        <v>0.57999999999999996</v>
      </c>
      <c r="C30" s="17">
        <v>22.8</v>
      </c>
      <c r="D30" s="33">
        <f>B30*C30</f>
        <v>13.224</v>
      </c>
      <c r="E30" s="17" t="s">
        <v>58</v>
      </c>
      <c r="F30" s="17" t="s">
        <v>48</v>
      </c>
      <c r="G30" s="17" t="s">
        <v>45</v>
      </c>
      <c r="H30" s="17" t="s">
        <v>54</v>
      </c>
      <c r="I30" s="17" t="s">
        <v>51</v>
      </c>
    </row>
    <row r="31" spans="1:9" ht="14" x14ac:dyDescent="0.15">
      <c r="A31" s="37">
        <v>43799</v>
      </c>
      <c r="B31" s="33">
        <v>0.57999999999999996</v>
      </c>
      <c r="C31" s="17">
        <v>22.8</v>
      </c>
      <c r="D31" s="33">
        <f>B31*C31</f>
        <v>13.224</v>
      </c>
      <c r="E31" s="17" t="s">
        <v>58</v>
      </c>
      <c r="F31" s="17" t="s">
        <v>48</v>
      </c>
      <c r="G31" s="17" t="s">
        <v>45</v>
      </c>
      <c r="H31" s="17" t="s">
        <v>54</v>
      </c>
      <c r="I31" s="17" t="s">
        <v>52</v>
      </c>
    </row>
    <row r="32" spans="1:9" ht="15" customHeight="1" x14ac:dyDescent="0.15">
      <c r="B32" s="33"/>
      <c r="D32" s="33"/>
    </row>
    <row r="33" spans="1:6" ht="15" customHeight="1" x14ac:dyDescent="0.15">
      <c r="B33" s="33"/>
      <c r="D33" s="33"/>
    </row>
    <row r="34" spans="1:6" ht="15" customHeight="1" x14ac:dyDescent="0.15">
      <c r="B34" s="33"/>
      <c r="D34" s="33"/>
    </row>
    <row r="35" spans="1:6" ht="16" x14ac:dyDescent="0.2">
      <c r="B35" s="33"/>
      <c r="C35" s="39">
        <f>SUM(C2:C31)</f>
        <v>2006.1999999999991</v>
      </c>
      <c r="D35" s="40">
        <f>SUM(D2:D34)</f>
        <v>1163.5959999999998</v>
      </c>
      <c r="E35" s="41" t="s">
        <v>47</v>
      </c>
      <c r="F35" s="42"/>
    </row>
    <row r="36" spans="1:6" ht="28" x14ac:dyDescent="0.15">
      <c r="B36" s="33"/>
      <c r="D36" s="17" t="s">
        <v>26</v>
      </c>
    </row>
    <row r="37" spans="1:6" ht="15.75" customHeight="1" x14ac:dyDescent="0.15">
      <c r="B37" s="33"/>
    </row>
    <row r="38" spans="1:6" ht="16" x14ac:dyDescent="0.2">
      <c r="A38" s="47"/>
    </row>
  </sheetData>
  <mergeCells count="1">
    <mergeCell ref="E35:F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 Reimbursables</vt:lpstr>
      <vt:lpstr>Phone</vt:lpstr>
      <vt:lpstr>ISP</vt:lpstr>
      <vt:lpstr>Power</vt:lpstr>
      <vt:lpstr>Nat Gas</vt:lpstr>
      <vt:lpstr>Water Sewer</vt:lpstr>
      <vt:lpstr>Mileage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Lecia Pearce</cp:lastModifiedBy>
  <dcterms:modified xsi:type="dcterms:W3CDTF">2020-06-09T14:13:05Z</dcterms:modified>
</cp:coreProperties>
</file>