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Pythonfail\My_Project\budget_lamer\"/>
    </mc:Choice>
  </mc:AlternateContent>
  <xr:revisionPtr revIDLastSave="0" documentId="13_ncr:1_{C7E903FB-18C3-47E9-8D6A-31E7F143AAC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anuary" sheetId="1" r:id="rId1"/>
    <sheet name="February" sheetId="2" r:id="rId2"/>
    <sheet name="March" sheetId="6" r:id="rId3"/>
    <sheet name="Сводка" sheetId="4" r:id="rId4"/>
    <sheet name="Шаблон" sheetId="5" r:id="rId5"/>
  </sheets>
  <calcPr calcId="181029"/>
</workbook>
</file>

<file path=xl/calcChain.xml><?xml version="1.0" encoding="utf-8"?>
<calcChain xmlns="http://schemas.openxmlformats.org/spreadsheetml/2006/main">
  <c r="H43" i="6" l="1"/>
  <c r="H42" i="6"/>
  <c r="H41" i="6"/>
  <c r="H40" i="6"/>
  <c r="K34" i="6"/>
  <c r="K33" i="6"/>
  <c r="K32" i="6"/>
  <c r="K4" i="6"/>
  <c r="K5" i="6"/>
  <c r="K6" i="6"/>
  <c r="K7" i="6"/>
  <c r="K3" i="6"/>
  <c r="J4" i="6"/>
  <c r="J5" i="6"/>
  <c r="J6" i="6"/>
  <c r="J7" i="6"/>
  <c r="J3" i="6"/>
  <c r="I10" i="6"/>
  <c r="I15" i="6" s="1"/>
  <c r="I19" i="6" s="1"/>
  <c r="I9" i="6"/>
  <c r="I18" i="6"/>
  <c r="H8" i="6"/>
  <c r="H18" i="6" s="1"/>
  <c r="I8" i="6"/>
  <c r="C57" i="6"/>
  <c r="C3" i="6"/>
  <c r="C6" i="6"/>
  <c r="C10" i="6"/>
  <c r="C15" i="6"/>
  <c r="C21" i="6"/>
  <c r="C26" i="6"/>
  <c r="C30" i="6"/>
  <c r="C37" i="6"/>
  <c r="C48" i="6"/>
  <c r="B48" i="6"/>
  <c r="D48" i="6" s="1"/>
  <c r="B37" i="6"/>
  <c r="B30" i="6"/>
  <c r="E30" i="6" s="1"/>
  <c r="B26" i="6"/>
  <c r="E26" i="6" s="1"/>
  <c r="B21" i="6"/>
  <c r="D21" i="6" s="1"/>
  <c r="B15" i="6"/>
  <c r="B10" i="6"/>
  <c r="E10" i="6" s="1"/>
  <c r="B6" i="6"/>
  <c r="D6" i="6" s="1"/>
  <c r="B3" i="6"/>
  <c r="E3" i="6" s="1"/>
  <c r="E4" i="6"/>
  <c r="E5" i="6"/>
  <c r="E6" i="6"/>
  <c r="E7" i="6"/>
  <c r="E8" i="6"/>
  <c r="E9" i="6"/>
  <c r="E11" i="6"/>
  <c r="E12" i="6"/>
  <c r="E13" i="6"/>
  <c r="E14" i="6"/>
  <c r="E16" i="6"/>
  <c r="E17" i="6"/>
  <c r="E18" i="6"/>
  <c r="E19" i="6"/>
  <c r="E20" i="6"/>
  <c r="E22" i="6"/>
  <c r="E23" i="6"/>
  <c r="E24" i="6"/>
  <c r="E25" i="6"/>
  <c r="E27" i="6"/>
  <c r="E28" i="6"/>
  <c r="E29" i="6"/>
  <c r="E31" i="6"/>
  <c r="E32" i="6"/>
  <c r="E33" i="6"/>
  <c r="E34" i="6"/>
  <c r="E35" i="6"/>
  <c r="E36" i="6"/>
  <c r="E38" i="6"/>
  <c r="E39" i="6"/>
  <c r="E40" i="6"/>
  <c r="E41" i="6"/>
  <c r="E42" i="6"/>
  <c r="E43" i="6"/>
  <c r="E44" i="6"/>
  <c r="E45" i="6"/>
  <c r="E46" i="6"/>
  <c r="E47" i="6"/>
  <c r="E49" i="6"/>
  <c r="E50" i="6"/>
  <c r="E51" i="6"/>
  <c r="E52" i="6"/>
  <c r="E53" i="6"/>
  <c r="E54" i="6"/>
  <c r="E55" i="6"/>
  <c r="E56" i="6"/>
  <c r="D4" i="6"/>
  <c r="D5" i="6"/>
  <c r="D7" i="6"/>
  <c r="D8" i="6"/>
  <c r="D9" i="6"/>
  <c r="D11" i="6"/>
  <c r="D12" i="6"/>
  <c r="D13" i="6"/>
  <c r="D14" i="6"/>
  <c r="D16" i="6"/>
  <c r="D17" i="6"/>
  <c r="D18" i="6"/>
  <c r="D19" i="6"/>
  <c r="D20" i="6"/>
  <c r="D22" i="6"/>
  <c r="D23" i="6"/>
  <c r="D24" i="6"/>
  <c r="D25" i="6"/>
  <c r="D27" i="6"/>
  <c r="D28" i="6"/>
  <c r="D29" i="6"/>
  <c r="D31" i="6"/>
  <c r="D32" i="6"/>
  <c r="D33" i="6"/>
  <c r="D34" i="6"/>
  <c r="D35" i="6"/>
  <c r="D36" i="6"/>
  <c r="D38" i="6"/>
  <c r="D39" i="6"/>
  <c r="D40" i="6"/>
  <c r="D41" i="6"/>
  <c r="D42" i="6"/>
  <c r="D43" i="6"/>
  <c r="D44" i="6"/>
  <c r="D45" i="6"/>
  <c r="D46" i="6"/>
  <c r="D47" i="6"/>
  <c r="D49" i="6"/>
  <c r="D50" i="6"/>
  <c r="D51" i="6"/>
  <c r="D52" i="6"/>
  <c r="D53" i="6"/>
  <c r="D54" i="6"/>
  <c r="D55" i="6"/>
  <c r="D56" i="6"/>
  <c r="F64" i="5"/>
  <c r="F63" i="5"/>
  <c r="F62" i="5"/>
  <c r="F61" i="5"/>
  <c r="F60" i="5"/>
  <c r="F59" i="5"/>
  <c r="F58" i="5"/>
  <c r="F57" i="5"/>
  <c r="D56" i="5"/>
  <c r="L21" i="5" s="1"/>
  <c r="B56" i="5"/>
  <c r="F54" i="5"/>
  <c r="D53" i="5"/>
  <c r="F53" i="5" s="1"/>
  <c r="F52" i="5"/>
  <c r="F51" i="5"/>
  <c r="F50" i="5"/>
  <c r="F49" i="5"/>
  <c r="F48" i="5"/>
  <c r="F47" i="5"/>
  <c r="F46" i="5"/>
  <c r="F45" i="5"/>
  <c r="D44" i="5"/>
  <c r="B44" i="5"/>
  <c r="F43" i="5"/>
  <c r="F42" i="5"/>
  <c r="F41" i="5"/>
  <c r="F40" i="5"/>
  <c r="F39" i="5"/>
  <c r="F38" i="5"/>
  <c r="D37" i="5"/>
  <c r="B37" i="5"/>
  <c r="F37" i="5" s="1"/>
  <c r="M35" i="5"/>
  <c r="F35" i="5"/>
  <c r="F34" i="5"/>
  <c r="M33" i="5"/>
  <c r="F33" i="5"/>
  <c r="D32" i="5"/>
  <c r="B32" i="5"/>
  <c r="F31" i="5"/>
  <c r="F30" i="5"/>
  <c r="F29" i="5"/>
  <c r="F28" i="5"/>
  <c r="D27" i="5"/>
  <c r="B27" i="5"/>
  <c r="F27" i="5" s="1"/>
  <c r="F26" i="5"/>
  <c r="F25" i="5"/>
  <c r="F24" i="5"/>
  <c r="F23" i="5"/>
  <c r="F22" i="5"/>
  <c r="J21" i="5"/>
  <c r="D21" i="5"/>
  <c r="B21" i="5"/>
  <c r="F21" i="5" s="1"/>
  <c r="J20" i="5"/>
  <c r="F20" i="5"/>
  <c r="J19" i="5"/>
  <c r="F19" i="5"/>
  <c r="F18" i="5"/>
  <c r="F17" i="5"/>
  <c r="D16" i="5"/>
  <c r="B16" i="5"/>
  <c r="F16" i="5" s="1"/>
  <c r="J15" i="5"/>
  <c r="F15" i="5"/>
  <c r="F14" i="5"/>
  <c r="K13" i="5"/>
  <c r="L12" i="5" s="1"/>
  <c r="J13" i="5"/>
  <c r="J34" i="5" s="1"/>
  <c r="F13" i="5"/>
  <c r="D12" i="5"/>
  <c r="B12" i="5"/>
  <c r="F11" i="5"/>
  <c r="F10" i="5"/>
  <c r="M9" i="5"/>
  <c r="L9" i="5"/>
  <c r="D9" i="5"/>
  <c r="L19" i="5" s="1"/>
  <c r="B9" i="5"/>
  <c r="B65" i="5" s="1"/>
  <c r="M8" i="5"/>
  <c r="M35" i="4"/>
  <c r="L35" i="4"/>
  <c r="K35" i="4"/>
  <c r="J35" i="4"/>
  <c r="I35" i="4"/>
  <c r="H35" i="4"/>
  <c r="G35" i="4"/>
  <c r="F35" i="4"/>
  <c r="E35" i="4"/>
  <c r="D34" i="4"/>
  <c r="B34" i="4"/>
  <c r="B33" i="4"/>
  <c r="B35" i="4" s="1"/>
  <c r="C32" i="4"/>
  <c r="B32" i="4"/>
  <c r="C31" i="4"/>
  <c r="B30" i="4"/>
  <c r="M28" i="4"/>
  <c r="M29" i="4" s="1"/>
  <c r="L28" i="4"/>
  <c r="L29" i="4" s="1"/>
  <c r="K28" i="4"/>
  <c r="K29" i="4" s="1"/>
  <c r="J28" i="4"/>
  <c r="J29" i="4" s="1"/>
  <c r="I28" i="4"/>
  <c r="I29" i="4" s="1"/>
  <c r="H28" i="4"/>
  <c r="H29" i="4" s="1"/>
  <c r="G28" i="4"/>
  <c r="G29" i="4" s="1"/>
  <c r="F28" i="4"/>
  <c r="F29" i="4" s="1"/>
  <c r="E28" i="4"/>
  <c r="E29" i="4" s="1"/>
  <c r="D27" i="4"/>
  <c r="C27" i="4"/>
  <c r="C28" i="4" s="1"/>
  <c r="B27" i="4"/>
  <c r="D26" i="4"/>
  <c r="D28" i="4" s="1"/>
  <c r="D29" i="4" s="1"/>
  <c r="C26" i="4"/>
  <c r="B26" i="4"/>
  <c r="B28" i="4" s="1"/>
  <c r="B29" i="4" s="1"/>
  <c r="AP22" i="4"/>
  <c r="AO22" i="4"/>
  <c r="AN22" i="4"/>
  <c r="AM22" i="4"/>
  <c r="AL22" i="4"/>
  <c r="AK22" i="4"/>
  <c r="AJ22" i="4"/>
  <c r="AI22" i="4"/>
  <c r="AH22" i="4"/>
  <c r="M22" i="4"/>
  <c r="L22" i="4"/>
  <c r="K22" i="4"/>
  <c r="J22" i="4"/>
  <c r="I22" i="4"/>
  <c r="H22" i="4"/>
  <c r="G22" i="4"/>
  <c r="F22" i="4"/>
  <c r="E22" i="4"/>
  <c r="D21" i="4"/>
  <c r="C21" i="4"/>
  <c r="B21" i="4"/>
  <c r="D20" i="4"/>
  <c r="C20" i="4"/>
  <c r="B20" i="4"/>
  <c r="D19" i="4"/>
  <c r="C19" i="4"/>
  <c r="B19" i="4"/>
  <c r="D17" i="4"/>
  <c r="C17" i="4"/>
  <c r="B17" i="4"/>
  <c r="D14" i="4"/>
  <c r="C14" i="4"/>
  <c r="B14" i="4"/>
  <c r="D13" i="4"/>
  <c r="C13" i="4"/>
  <c r="B13" i="4"/>
  <c r="D9" i="4"/>
  <c r="C9" i="4"/>
  <c r="B9" i="4"/>
  <c r="D7" i="4"/>
  <c r="C7" i="4"/>
  <c r="B7" i="4"/>
  <c r="D6" i="4"/>
  <c r="C6" i="4"/>
  <c r="B6" i="4"/>
  <c r="C3" i="4"/>
  <c r="D18" i="4"/>
  <c r="D16" i="4"/>
  <c r="D15" i="4"/>
  <c r="D12" i="4"/>
  <c r="D11" i="4"/>
  <c r="D10" i="4"/>
  <c r="D33" i="4"/>
  <c r="D35" i="4" s="1"/>
  <c r="D8" i="4"/>
  <c r="D5" i="4"/>
  <c r="D4" i="4"/>
  <c r="F64" i="2"/>
  <c r="F63" i="2"/>
  <c r="F62" i="2"/>
  <c r="F61" i="2"/>
  <c r="F60" i="2"/>
  <c r="F59" i="2"/>
  <c r="F58" i="2"/>
  <c r="F57" i="2"/>
  <c r="D56" i="2"/>
  <c r="C18" i="4" s="1"/>
  <c r="B56" i="2"/>
  <c r="F56" i="2" s="1"/>
  <c r="F54" i="2"/>
  <c r="D53" i="2"/>
  <c r="F52" i="2"/>
  <c r="F51" i="2"/>
  <c r="F50" i="2"/>
  <c r="F49" i="2"/>
  <c r="F48" i="2"/>
  <c r="F47" i="2"/>
  <c r="F46" i="2"/>
  <c r="F45" i="2"/>
  <c r="D44" i="2"/>
  <c r="B44" i="2"/>
  <c r="F43" i="2"/>
  <c r="F42" i="2"/>
  <c r="F41" i="2"/>
  <c r="F40" i="2"/>
  <c r="F39" i="2"/>
  <c r="F38" i="2"/>
  <c r="D37" i="2"/>
  <c r="B37" i="2"/>
  <c r="J35" i="2"/>
  <c r="F35" i="2"/>
  <c r="K34" i="2"/>
  <c r="F34" i="2"/>
  <c r="F33" i="2"/>
  <c r="D32" i="2"/>
  <c r="C11" i="4" s="1"/>
  <c r="B32" i="2"/>
  <c r="F32" i="2" s="1"/>
  <c r="F31" i="2"/>
  <c r="F30" i="2"/>
  <c r="F29" i="2"/>
  <c r="J28" i="2"/>
  <c r="M33" i="2" s="1"/>
  <c r="F28" i="2"/>
  <c r="M27" i="2"/>
  <c r="J27" i="2"/>
  <c r="C34" i="4" s="1"/>
  <c r="D27" i="2"/>
  <c r="B27" i="2"/>
  <c r="J26" i="2"/>
  <c r="C33" i="4" s="1"/>
  <c r="F26" i="2"/>
  <c r="F25" i="2"/>
  <c r="F24" i="2"/>
  <c r="F23" i="2"/>
  <c r="F22" i="2"/>
  <c r="L21" i="2"/>
  <c r="J21" i="2"/>
  <c r="D21" i="2"/>
  <c r="C8" i="4" s="1"/>
  <c r="B21" i="2"/>
  <c r="F21" i="2" s="1"/>
  <c r="F20" i="2"/>
  <c r="F19" i="2"/>
  <c r="F18" i="2"/>
  <c r="F17" i="2"/>
  <c r="D16" i="2"/>
  <c r="C5" i="4" s="1"/>
  <c r="B16" i="2"/>
  <c r="F16" i="2" s="1"/>
  <c r="F15" i="2"/>
  <c r="F14" i="2"/>
  <c r="K13" i="2"/>
  <c r="J13" i="2"/>
  <c r="F13" i="2"/>
  <c r="D12" i="2"/>
  <c r="B12" i="2"/>
  <c r="F11" i="2"/>
  <c r="F10" i="2"/>
  <c r="M9" i="2"/>
  <c r="D9" i="2"/>
  <c r="L19" i="2" s="1"/>
  <c r="B9" i="2"/>
  <c r="B65" i="2" s="1"/>
  <c r="M8" i="2"/>
  <c r="F64" i="1"/>
  <c r="F63" i="1"/>
  <c r="F62" i="1"/>
  <c r="F61" i="1"/>
  <c r="F60" i="1"/>
  <c r="F59" i="1"/>
  <c r="F58" i="1"/>
  <c r="F57" i="1"/>
  <c r="F56" i="1"/>
  <c r="D56" i="1"/>
  <c r="B18" i="4" s="1"/>
  <c r="B56" i="1"/>
  <c r="F54" i="1"/>
  <c r="F53" i="1"/>
  <c r="D53" i="1"/>
  <c r="B16" i="4" s="1"/>
  <c r="F52" i="1"/>
  <c r="F51" i="1"/>
  <c r="F50" i="1"/>
  <c r="F49" i="1"/>
  <c r="F48" i="1"/>
  <c r="F47" i="1"/>
  <c r="F46" i="1"/>
  <c r="F45" i="1"/>
  <c r="D44" i="1"/>
  <c r="B44" i="1"/>
  <c r="F43" i="1"/>
  <c r="F42" i="1"/>
  <c r="F41" i="1"/>
  <c r="F40" i="1"/>
  <c r="F39" i="1"/>
  <c r="F38" i="1"/>
  <c r="D37" i="1"/>
  <c r="B12" i="4" s="1"/>
  <c r="B37" i="1"/>
  <c r="F37" i="1" s="1"/>
  <c r="M36" i="1"/>
  <c r="M35" i="1"/>
  <c r="K35" i="1"/>
  <c r="F35" i="1"/>
  <c r="M34" i="1"/>
  <c r="F34" i="1"/>
  <c r="F33" i="1"/>
  <c r="D32" i="1"/>
  <c r="B11" i="4" s="1"/>
  <c r="B32" i="1"/>
  <c r="F32" i="1" s="1"/>
  <c r="F31" i="1"/>
  <c r="F30" i="1"/>
  <c r="F29" i="1"/>
  <c r="J28" i="1"/>
  <c r="M33" i="1" s="1"/>
  <c r="F28" i="1"/>
  <c r="D27" i="1"/>
  <c r="B10" i="4" s="1"/>
  <c r="B27" i="1"/>
  <c r="F27" i="1" s="1"/>
  <c r="F26" i="1"/>
  <c r="F25" i="1"/>
  <c r="F24" i="1"/>
  <c r="F23" i="1"/>
  <c r="F22" i="1"/>
  <c r="L21" i="1"/>
  <c r="J21" i="1"/>
  <c r="D21" i="1"/>
  <c r="B8" i="4" s="1"/>
  <c r="B21" i="1"/>
  <c r="F21" i="1" s="1"/>
  <c r="F20" i="1"/>
  <c r="F19" i="1"/>
  <c r="F18" i="1"/>
  <c r="F17" i="1"/>
  <c r="D16" i="1"/>
  <c r="B16" i="1"/>
  <c r="J15" i="1"/>
  <c r="F15" i="1"/>
  <c r="F14" i="1"/>
  <c r="K13" i="1"/>
  <c r="K15" i="1" s="1"/>
  <c r="J13" i="1"/>
  <c r="F13" i="1"/>
  <c r="L12" i="1"/>
  <c r="D12" i="1"/>
  <c r="B4" i="4" s="1"/>
  <c r="B12" i="1"/>
  <c r="F12" i="1" s="1"/>
  <c r="D11" i="1"/>
  <c r="L10" i="1"/>
  <c r="F10" i="1"/>
  <c r="M9" i="1"/>
  <c r="L9" i="1"/>
  <c r="L13" i="1" s="1"/>
  <c r="D9" i="1"/>
  <c r="B9" i="1"/>
  <c r="B65" i="1" s="1"/>
  <c r="C52" i="1" s="1"/>
  <c r="M8" i="1"/>
  <c r="L8" i="1"/>
  <c r="E21" i="6" l="1"/>
  <c r="B57" i="6"/>
  <c r="H15" i="6" s="1"/>
  <c r="H19" i="6" s="1"/>
  <c r="E15" i="6"/>
  <c r="E37" i="6"/>
  <c r="E48" i="6"/>
  <c r="D37" i="6"/>
  <c r="D30" i="6"/>
  <c r="D26" i="6"/>
  <c r="D15" i="6"/>
  <c r="D10" i="6"/>
  <c r="D3" i="6"/>
  <c r="C62" i="2"/>
  <c r="C58" i="2"/>
  <c r="C50" i="2"/>
  <c r="C46" i="2"/>
  <c r="C40" i="2"/>
  <c r="C35" i="2"/>
  <c r="C26" i="2"/>
  <c r="C22" i="2"/>
  <c r="C20" i="2"/>
  <c r="C63" i="2"/>
  <c r="C60" i="2"/>
  <c r="C52" i="2"/>
  <c r="C47" i="2"/>
  <c r="C44" i="2"/>
  <c r="C43" i="2"/>
  <c r="C33" i="2"/>
  <c r="C29" i="2"/>
  <c r="C27" i="2"/>
  <c r="C23" i="2"/>
  <c r="C19" i="2"/>
  <c r="C11" i="2"/>
  <c r="C10" i="2"/>
  <c r="C61" i="2"/>
  <c r="C53" i="2"/>
  <c r="C45" i="2"/>
  <c r="C41" i="2"/>
  <c r="C38" i="2"/>
  <c r="C17" i="2"/>
  <c r="C16" i="2"/>
  <c r="C14" i="2"/>
  <c r="C64" i="2"/>
  <c r="C59" i="2"/>
  <c r="C56" i="2"/>
  <c r="C54" i="2"/>
  <c r="C51" i="2"/>
  <c r="C48" i="2"/>
  <c r="C39" i="2"/>
  <c r="C30" i="2"/>
  <c r="C24" i="2"/>
  <c r="C15" i="2"/>
  <c r="C42" i="2"/>
  <c r="C49" i="2"/>
  <c r="C34" i="2"/>
  <c r="C28" i="2"/>
  <c r="C25" i="2"/>
  <c r="C18" i="2"/>
  <c r="C31" i="2"/>
  <c r="C13" i="2"/>
  <c r="C32" i="2"/>
  <c r="C57" i="2"/>
  <c r="F9" i="1"/>
  <c r="B5" i="4"/>
  <c r="C18" i="1"/>
  <c r="C28" i="1"/>
  <c r="C15" i="4"/>
  <c r="C9" i="1"/>
  <c r="L19" i="1"/>
  <c r="C27" i="1"/>
  <c r="C33" i="1"/>
  <c r="C38" i="1"/>
  <c r="C40" i="1"/>
  <c r="J20" i="1"/>
  <c r="C44" i="1"/>
  <c r="C62" i="1"/>
  <c r="C4" i="4"/>
  <c r="B3" i="4"/>
  <c r="D65" i="1"/>
  <c r="E16" i="1" s="1"/>
  <c r="E11" i="1"/>
  <c r="C14" i="1"/>
  <c r="C20" i="1"/>
  <c r="C24" i="1"/>
  <c r="C26" i="1"/>
  <c r="C32" i="1"/>
  <c r="C37" i="1"/>
  <c r="B15" i="4"/>
  <c r="E44" i="1"/>
  <c r="L20" i="1"/>
  <c r="C46" i="1"/>
  <c r="C48" i="1"/>
  <c r="C50" i="1"/>
  <c r="F9" i="2"/>
  <c r="C10" i="4"/>
  <c r="D3" i="4"/>
  <c r="C63" i="1"/>
  <c r="C59" i="1"/>
  <c r="C51" i="1"/>
  <c r="C47" i="1"/>
  <c r="C41" i="1"/>
  <c r="C30" i="1"/>
  <c r="C23" i="1"/>
  <c r="C17" i="1"/>
  <c r="C13" i="1"/>
  <c r="C64" i="1"/>
  <c r="C60" i="1"/>
  <c r="C61" i="1"/>
  <c r="C57" i="1"/>
  <c r="C54" i="1"/>
  <c r="C53" i="1"/>
  <c r="C49" i="1"/>
  <c r="C45" i="1"/>
  <c r="C43" i="1"/>
  <c r="C39" i="1"/>
  <c r="C25" i="1"/>
  <c r="C19" i="1"/>
  <c r="C15" i="1"/>
  <c r="C11" i="1"/>
  <c r="C10" i="1"/>
  <c r="J19" i="1"/>
  <c r="C22" i="1"/>
  <c r="C34" i="1"/>
  <c r="J19" i="2"/>
  <c r="C9" i="2"/>
  <c r="C12" i="2"/>
  <c r="C37" i="2"/>
  <c r="L22" i="5"/>
  <c r="M19" i="5" s="1"/>
  <c r="M22" i="5" s="1"/>
  <c r="C12" i="1"/>
  <c r="F16" i="1"/>
  <c r="C42" i="1"/>
  <c r="M13" i="2"/>
  <c r="L12" i="2"/>
  <c r="L10" i="2"/>
  <c r="L8" i="2"/>
  <c r="L9" i="2"/>
  <c r="C12" i="4"/>
  <c r="E9" i="1"/>
  <c r="F11" i="1"/>
  <c r="J35" i="1"/>
  <c r="C16" i="1"/>
  <c r="C21" i="1"/>
  <c r="C29" i="1"/>
  <c r="C31" i="1"/>
  <c r="C35" i="1"/>
  <c r="F44" i="1"/>
  <c r="C56" i="1"/>
  <c r="C58" i="1"/>
  <c r="L20" i="2"/>
  <c r="M13" i="1"/>
  <c r="C35" i="4"/>
  <c r="F37" i="2"/>
  <c r="F12" i="2"/>
  <c r="C21" i="2"/>
  <c r="F27" i="2"/>
  <c r="C30" i="4"/>
  <c r="C29" i="4" s="1"/>
  <c r="K35" i="2"/>
  <c r="F44" i="2"/>
  <c r="D65" i="2"/>
  <c r="E37" i="2" s="1"/>
  <c r="E53" i="1"/>
  <c r="E56" i="1"/>
  <c r="E9" i="2"/>
  <c r="J15" i="2"/>
  <c r="J20" i="2"/>
  <c r="M34" i="2"/>
  <c r="M36" i="2" s="1"/>
  <c r="M35" i="2"/>
  <c r="F53" i="2"/>
  <c r="C16" i="4"/>
  <c r="C12" i="5"/>
  <c r="C44" i="5"/>
  <c r="C56" i="5"/>
  <c r="C61" i="5"/>
  <c r="C57" i="5"/>
  <c r="C54" i="5"/>
  <c r="C53" i="5"/>
  <c r="C49" i="5"/>
  <c r="C45" i="5"/>
  <c r="C43" i="5"/>
  <c r="C39" i="5"/>
  <c r="C30" i="5"/>
  <c r="C24" i="5"/>
  <c r="C18" i="5"/>
  <c r="C14" i="5"/>
  <c r="C11" i="5"/>
  <c r="C10" i="5"/>
  <c r="C62" i="5"/>
  <c r="C58" i="5"/>
  <c r="C50" i="5"/>
  <c r="C46" i="5"/>
  <c r="C40" i="5"/>
  <c r="C31" i="5"/>
  <c r="C25" i="5"/>
  <c r="C19" i="5"/>
  <c r="C15" i="5"/>
  <c r="C63" i="5"/>
  <c r="C59" i="5"/>
  <c r="C51" i="5"/>
  <c r="C47" i="5"/>
  <c r="C41" i="5"/>
  <c r="C35" i="5"/>
  <c r="C28" i="5"/>
  <c r="C27" i="5"/>
  <c r="C26" i="5"/>
  <c r="C22" i="5"/>
  <c r="C21" i="5"/>
  <c r="C20" i="5"/>
  <c r="C9" i="5"/>
  <c r="C65" i="5" s="1"/>
  <c r="C64" i="5"/>
  <c r="C60" i="5"/>
  <c r="C52" i="5"/>
  <c r="C48" i="5"/>
  <c r="C42" i="5"/>
  <c r="C38" i="5"/>
  <c r="C37" i="5"/>
  <c r="C34" i="5"/>
  <c r="C33" i="5"/>
  <c r="C29" i="5"/>
  <c r="C23" i="5"/>
  <c r="C17" i="5"/>
  <c r="C16" i="5"/>
  <c r="C13" i="5"/>
  <c r="C32" i="5"/>
  <c r="F9" i="5"/>
  <c r="J22" i="5"/>
  <c r="K20" i="5" s="1"/>
  <c r="K34" i="5"/>
  <c r="F32" i="5"/>
  <c r="D65" i="5"/>
  <c r="L8" i="5"/>
  <c r="L13" i="5" s="1"/>
  <c r="L10" i="5"/>
  <c r="F12" i="5"/>
  <c r="M13" i="5"/>
  <c r="K15" i="5"/>
  <c r="L20" i="5"/>
  <c r="F44" i="5"/>
  <c r="F56" i="5"/>
  <c r="D57" i="6" l="1"/>
  <c r="M19" i="1"/>
  <c r="L22" i="1"/>
  <c r="E62" i="5"/>
  <c r="E58" i="5"/>
  <c r="E50" i="5"/>
  <c r="E46" i="5"/>
  <c r="E40" i="5"/>
  <c r="E31" i="5"/>
  <c r="E25" i="5"/>
  <c r="E19" i="5"/>
  <c r="E15" i="5"/>
  <c r="E63" i="5"/>
  <c r="E59" i="5"/>
  <c r="E51" i="5"/>
  <c r="E47" i="5"/>
  <c r="E41" i="5"/>
  <c r="E35" i="5"/>
  <c r="E28" i="5"/>
  <c r="E26" i="5"/>
  <c r="E22" i="5"/>
  <c r="E20" i="5"/>
  <c r="E64" i="5"/>
  <c r="E60" i="5"/>
  <c r="E56" i="5"/>
  <c r="E53" i="5"/>
  <c r="E52" i="5"/>
  <c r="E48" i="5"/>
  <c r="E44" i="5"/>
  <c r="E42" i="5"/>
  <c r="E38" i="5"/>
  <c r="E34" i="5"/>
  <c r="E33" i="5"/>
  <c r="E29" i="5"/>
  <c r="E23" i="5"/>
  <c r="E17" i="5"/>
  <c r="E13" i="5"/>
  <c r="E12" i="5"/>
  <c r="E61" i="5"/>
  <c r="E57" i="5"/>
  <c r="E54" i="5"/>
  <c r="E49" i="5"/>
  <c r="E45" i="5"/>
  <c r="E43" i="5"/>
  <c r="E39" i="5"/>
  <c r="E32" i="5"/>
  <c r="E30" i="5"/>
  <c r="E24" i="5"/>
  <c r="E18" i="5"/>
  <c r="E14" i="5"/>
  <c r="E11" i="5"/>
  <c r="E10" i="5"/>
  <c r="F65" i="5"/>
  <c r="E16" i="5"/>
  <c r="AF16" i="4"/>
  <c r="C22" i="4"/>
  <c r="C65" i="2"/>
  <c r="J22" i="1"/>
  <c r="K19" i="1"/>
  <c r="F65" i="2"/>
  <c r="M20" i="1"/>
  <c r="C65" i="1"/>
  <c r="K19" i="5"/>
  <c r="K22" i="5" s="1"/>
  <c r="J32" i="5"/>
  <c r="J35" i="5" s="1"/>
  <c r="M20" i="5"/>
  <c r="M21" i="5"/>
  <c r="E27" i="5"/>
  <c r="E63" i="2"/>
  <c r="E59" i="2"/>
  <c r="E51" i="2"/>
  <c r="E47" i="2"/>
  <c r="E41" i="2"/>
  <c r="E34" i="2"/>
  <c r="E29" i="2"/>
  <c r="E28" i="2"/>
  <c r="E23" i="2"/>
  <c r="E17" i="2"/>
  <c r="E61" i="2"/>
  <c r="E58" i="2"/>
  <c r="E56" i="2"/>
  <c r="E50" i="2"/>
  <c r="E45" i="2"/>
  <c r="E38" i="2"/>
  <c r="E26" i="2"/>
  <c r="E14" i="2"/>
  <c r="E64" i="2"/>
  <c r="E54" i="2"/>
  <c r="E48" i="2"/>
  <c r="E39" i="2"/>
  <c r="E32" i="2"/>
  <c r="E30" i="2"/>
  <c r="E24" i="2"/>
  <c r="E22" i="2"/>
  <c r="E15" i="2"/>
  <c r="E62" i="2"/>
  <c r="E57" i="2"/>
  <c r="E49" i="2"/>
  <c r="E46" i="2"/>
  <c r="E42" i="2"/>
  <c r="E31" i="2"/>
  <c r="E25" i="2"/>
  <c r="E20" i="2"/>
  <c r="E18" i="2"/>
  <c r="E13" i="2"/>
  <c r="E33" i="2"/>
  <c r="E19" i="2"/>
  <c r="E16" i="2"/>
  <c r="E52" i="2"/>
  <c r="E53" i="2"/>
  <c r="E40" i="2"/>
  <c r="E35" i="2"/>
  <c r="E10" i="2"/>
  <c r="E21" i="2"/>
  <c r="E11" i="2"/>
  <c r="E43" i="2"/>
  <c r="E60" i="2"/>
  <c r="J22" i="2"/>
  <c r="D22" i="4"/>
  <c r="AG3" i="4" s="1"/>
  <c r="E64" i="1"/>
  <c r="E60" i="1"/>
  <c r="E52" i="1"/>
  <c r="E48" i="1"/>
  <c r="E42" i="1"/>
  <c r="E38" i="1"/>
  <c r="E33" i="1"/>
  <c r="E31" i="1"/>
  <c r="E24" i="1"/>
  <c r="E18" i="1"/>
  <c r="E14" i="1"/>
  <c r="E61" i="1"/>
  <c r="E57" i="1"/>
  <c r="E54" i="1"/>
  <c r="E62" i="1"/>
  <c r="E58" i="1"/>
  <c r="E50" i="1"/>
  <c r="E46" i="1"/>
  <c r="E40" i="1"/>
  <c r="E35" i="1"/>
  <c r="E34" i="1"/>
  <c r="E29" i="1"/>
  <c r="E28" i="1"/>
  <c r="E26" i="1"/>
  <c r="E22" i="1"/>
  <c r="E20" i="1"/>
  <c r="E63" i="1"/>
  <c r="E43" i="1"/>
  <c r="E41" i="1"/>
  <c r="E39" i="1"/>
  <c r="E27" i="1"/>
  <c r="E12" i="1"/>
  <c r="E10" i="1"/>
  <c r="E51" i="1"/>
  <c r="E49" i="1"/>
  <c r="E45" i="1"/>
  <c r="E32" i="1"/>
  <c r="E19" i="1"/>
  <c r="E17" i="1"/>
  <c r="E59" i="1"/>
  <c r="E30" i="1"/>
  <c r="E21" i="1"/>
  <c r="E13" i="1"/>
  <c r="E47" i="1"/>
  <c r="E37" i="1"/>
  <c r="E25" i="1"/>
  <c r="E23" i="1"/>
  <c r="E15" i="1"/>
  <c r="E44" i="2"/>
  <c r="AE5" i="4"/>
  <c r="AF12" i="4"/>
  <c r="K21" i="5"/>
  <c r="E9" i="5"/>
  <c r="E65" i="5" s="1"/>
  <c r="K32" i="5"/>
  <c r="K35" i="5" s="1"/>
  <c r="E37" i="5"/>
  <c r="E21" i="5"/>
  <c r="E65" i="1"/>
  <c r="L13" i="2"/>
  <c r="L22" i="2"/>
  <c r="E27" i="2"/>
  <c r="AE15" i="4"/>
  <c r="B22" i="4"/>
  <c r="AE3" i="4"/>
  <c r="E12" i="2"/>
  <c r="E65" i="2" s="1"/>
  <c r="K20" i="1"/>
  <c r="AF15" i="4"/>
  <c r="F65" i="1"/>
  <c r="K21" i="2" l="1"/>
  <c r="J33" i="2"/>
  <c r="J36" i="2" s="1"/>
  <c r="AF18" i="4"/>
  <c r="AF5" i="4"/>
  <c r="AF13" i="4"/>
  <c r="AF20" i="4"/>
  <c r="AF7" i="4"/>
  <c r="AF3" i="4"/>
  <c r="AF11" i="4"/>
  <c r="AF17" i="4"/>
  <c r="AF21" i="4"/>
  <c r="AF9" i="4"/>
  <c r="AF14" i="4"/>
  <c r="AF8" i="4"/>
  <c r="AF19" i="4"/>
  <c r="AF6" i="4"/>
  <c r="AF4" i="4"/>
  <c r="K19" i="2"/>
  <c r="AF10" i="4"/>
  <c r="AE19" i="4"/>
  <c r="AE17" i="4"/>
  <c r="AE13" i="4"/>
  <c r="AE9" i="4"/>
  <c r="AE7" i="4"/>
  <c r="AE14" i="4"/>
  <c r="AE6" i="4"/>
  <c r="AE20" i="4"/>
  <c r="AE8" i="4"/>
  <c r="AE10" i="4"/>
  <c r="AE18" i="4"/>
  <c r="AE11" i="4"/>
  <c r="AE21" i="4"/>
  <c r="AE16" i="4"/>
  <c r="AE12" i="4"/>
  <c r="AE4" i="4"/>
  <c r="AE22" i="4" s="1"/>
  <c r="M19" i="2"/>
  <c r="M21" i="2"/>
  <c r="M20" i="2"/>
  <c r="K20" i="2"/>
  <c r="J33" i="1"/>
  <c r="J36" i="1" s="1"/>
  <c r="K21" i="1"/>
  <c r="K22" i="1" s="1"/>
  <c r="K33" i="1"/>
  <c r="K36" i="1" s="1"/>
  <c r="K14" i="2" s="1"/>
  <c r="K15" i="2" s="1"/>
  <c r="K33" i="2" s="1"/>
  <c r="K36" i="2" s="1"/>
  <c r="M21" i="1"/>
  <c r="AG9" i="4"/>
  <c r="AG7" i="4"/>
  <c r="AG14" i="4"/>
  <c r="AG6" i="4"/>
  <c r="AG13" i="4"/>
  <c r="AG11" i="4"/>
  <c r="AG5" i="4"/>
  <c r="AG19" i="4"/>
  <c r="AG17" i="4"/>
  <c r="AG15" i="4"/>
  <c r="AG8" i="4"/>
  <c r="AG18" i="4"/>
  <c r="AG10" i="4"/>
  <c r="AG16" i="4"/>
  <c r="AG21" i="4"/>
  <c r="AG20" i="4"/>
  <c r="AG12" i="4"/>
  <c r="AG4" i="4"/>
  <c r="AG22" i="4" s="1"/>
  <c r="M22" i="1"/>
  <c r="K22" i="2" l="1"/>
  <c r="M22" i="2"/>
  <c r="AF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J28" authorId="0" shapeId="0" xr:uid="{00000000-0006-0000-01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Никита:
Отложено на кв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A30" authorId="0" shapeId="0" xr:uid="{00000000-0006-0000-03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Эти деньги сейчас идут на БС</t>
        </r>
      </text>
    </comment>
    <comment ref="B30" authorId="0" shapeId="0" xr:uid="{00000000-0006-0000-03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Из них 13К ушло на квартиру</t>
        </r>
      </text>
    </comment>
  </commentList>
</comments>
</file>

<file path=xl/sharedStrings.xml><?xml version="1.0" encoding="utf-8"?>
<sst xmlns="http://schemas.openxmlformats.org/spreadsheetml/2006/main" count="603" uniqueCount="182">
  <si>
    <t>СТРАТЕГИЧЕСКИЕ ЦЕЛИ</t>
  </si>
  <si>
    <t>ЦЕЛИ МЕСЯЦА</t>
  </si>
  <si>
    <t>Соблюсти бюджет по вкусняшкам</t>
  </si>
  <si>
    <t>Соблюсти бюджет по алкоголю</t>
  </si>
  <si>
    <t>Бюджет (Расход)</t>
  </si>
  <si>
    <t>Бюджет (Доход)</t>
  </si>
  <si>
    <t>Статья</t>
  </si>
  <si>
    <t xml:space="preserve">Бюджет </t>
  </si>
  <si>
    <t>В %</t>
  </si>
  <si>
    <t xml:space="preserve">Факт </t>
  </si>
  <si>
    <t>Разница</t>
  </si>
  <si>
    <t>Комментарий</t>
  </si>
  <si>
    <t>Основные статьи</t>
  </si>
  <si>
    <t>В % (факт)</t>
  </si>
  <si>
    <t>Необходимые (обязательные)</t>
  </si>
  <si>
    <t>1) Зарплата</t>
  </si>
  <si>
    <t>Аренда жилья</t>
  </si>
  <si>
    <t>2) Стипендия</t>
  </si>
  <si>
    <t>1) Коммуналка</t>
  </si>
  <si>
    <t>Должны съехать</t>
  </si>
  <si>
    <t>3) Родители</t>
  </si>
  <si>
    <t>2) Основной платеж</t>
  </si>
  <si>
    <t>Заплатил за новую квартиру</t>
  </si>
  <si>
    <t>4) За БлаБла</t>
  </si>
  <si>
    <t>Для дома</t>
  </si>
  <si>
    <t>5) Другие поступления</t>
  </si>
  <si>
    <t>1) Бытовая химия</t>
  </si>
  <si>
    <t>ИТОГО</t>
  </si>
  <si>
    <t>!!!Без БлаБла!!!</t>
  </si>
  <si>
    <t>2) Ремонт</t>
  </si>
  <si>
    <t>Остаток</t>
  </si>
  <si>
    <t>3) Бытовая техника</t>
  </si>
  <si>
    <t>ВСЕГО В ОБРАЩЕНИИ</t>
  </si>
  <si>
    <t>Питание</t>
  </si>
  <si>
    <t>1) Продукты</t>
  </si>
  <si>
    <t>Сводная аналитика качества расходов</t>
  </si>
  <si>
    <t>2) StreetFood</t>
  </si>
  <si>
    <t>Статьи расходные</t>
  </si>
  <si>
    <t>Бюджет</t>
  </si>
  <si>
    <t>Факт</t>
  </si>
  <si>
    <t>Интернет подписки</t>
  </si>
  <si>
    <t>1) Необходимые</t>
  </si>
  <si>
    <t>Одежда</t>
  </si>
  <si>
    <t>2) Полезные</t>
  </si>
  <si>
    <t>Передвижение</t>
  </si>
  <si>
    <t>3) Бесполезные</t>
  </si>
  <si>
    <t>1) БлаБла</t>
  </si>
  <si>
    <t>2) Поезда</t>
  </si>
  <si>
    <t>3) Маршрутка (Метро)</t>
  </si>
  <si>
    <t>Поездок в орел не планируется</t>
  </si>
  <si>
    <t>Сводка инвестиций</t>
  </si>
  <si>
    <t>4) Такси</t>
  </si>
  <si>
    <t>Счет</t>
  </si>
  <si>
    <t>Общая сумма</t>
  </si>
  <si>
    <t>Процент</t>
  </si>
  <si>
    <t>Заработано за п.п.</t>
  </si>
  <si>
    <t>Инвестировано</t>
  </si>
  <si>
    <t>Передвижения</t>
  </si>
  <si>
    <t>Техника (для себя)</t>
  </si>
  <si>
    <t xml:space="preserve">1) Подушка </t>
  </si>
  <si>
    <t>Уход за собой</t>
  </si>
  <si>
    <t>2) Брокерский счет</t>
  </si>
  <si>
    <t>1) Бытовая химия (для себя)</t>
  </si>
  <si>
    <t>3) БКС</t>
  </si>
  <si>
    <t>2) Здоровье (Аптеки)</t>
  </si>
  <si>
    <t>3) Секс</t>
  </si>
  <si>
    <t>Общая сводка</t>
  </si>
  <si>
    <t>4) Стрижка</t>
  </si>
  <si>
    <t>Остаток &amp; % Инвестиций</t>
  </si>
  <si>
    <t>Отложенное</t>
  </si>
  <si>
    <t>Машина</t>
  </si>
  <si>
    <t>Пункт</t>
  </si>
  <si>
    <t>Баланс</t>
  </si>
  <si>
    <t>1) Бензин</t>
  </si>
  <si>
    <t>Доход - Расход</t>
  </si>
  <si>
    <t>1) БКС</t>
  </si>
  <si>
    <t>-</t>
  </si>
  <si>
    <t>2) Сервис</t>
  </si>
  <si>
    <t>Инвестиции</t>
  </si>
  <si>
    <t>2) Подушка</t>
  </si>
  <si>
    <t>3) Другое (мойка, штрафы)</t>
  </si>
  <si>
    <t>% Инвестиций</t>
  </si>
  <si>
    <t>3) Брокерский счет</t>
  </si>
  <si>
    <t>Полезные</t>
  </si>
  <si>
    <t>ОСТАТОК</t>
  </si>
  <si>
    <t>ИТОГО КАПИТАЛ</t>
  </si>
  <si>
    <t>Отношения</t>
  </si>
  <si>
    <t>Скрытые строки</t>
  </si>
  <si>
    <t xml:space="preserve">1) Подарки </t>
  </si>
  <si>
    <t>2) Заведения</t>
  </si>
  <si>
    <t>3) Прогулки, кино</t>
  </si>
  <si>
    <t>4) Другие</t>
  </si>
  <si>
    <t>Подарки семье</t>
  </si>
  <si>
    <t>Подарки друзьям</t>
  </si>
  <si>
    <t>Путешествия</t>
  </si>
  <si>
    <t>1) Проживание</t>
  </si>
  <si>
    <t>2) Еда (Продукты)</t>
  </si>
  <si>
    <t>3) Еда (В дороге)</t>
  </si>
  <si>
    <t>4) Походы в заведения</t>
  </si>
  <si>
    <t>5) Транспорт (Билеты, бензин)</t>
  </si>
  <si>
    <t>6) Передвижения</t>
  </si>
  <si>
    <t>7) Спиртное</t>
  </si>
  <si>
    <t>8) Другое</t>
  </si>
  <si>
    <t>Спорт</t>
  </si>
  <si>
    <t>Учёба</t>
  </si>
  <si>
    <t>Бесполезные</t>
  </si>
  <si>
    <t>Развлечения</t>
  </si>
  <si>
    <t>1) Кафе, рестораны</t>
  </si>
  <si>
    <t>2) Прогулки</t>
  </si>
  <si>
    <t>3) Алкоголь</t>
  </si>
  <si>
    <t>4) Покатушки</t>
  </si>
  <si>
    <t>5) Другое*</t>
  </si>
  <si>
    <t>Вредные привычки</t>
  </si>
  <si>
    <t>Вкусняшки</t>
  </si>
  <si>
    <t>Кот</t>
  </si>
  <si>
    <t>Письменный отчет (30-го числа)</t>
  </si>
  <si>
    <t>Бюджет не сходиться, для выравнивания манипулирую остатком, поэтому не сходиться с декабрем. Переезд в новую квартиру осуществлен. Поэтому в феврале вырастет платеж по квартире, позже приедет Вика (платеж должен упасть). Большая часть инвестиций ушла на оплату квартиры. Бюджет закрывается дефецитом в силу оплаты за квартиру.</t>
  </si>
  <si>
    <t>Избитая тема употреблять слишком много легкого дофамина. Нужно вкусно готовить,  а  так все норм.</t>
  </si>
  <si>
    <t>Кол-во</t>
  </si>
  <si>
    <t>Средняя цена покупки</t>
  </si>
  <si>
    <t>Текущая цена</t>
  </si>
  <si>
    <t>YNDX</t>
  </si>
  <si>
    <t>SBER</t>
  </si>
  <si>
    <t>OZON</t>
  </si>
  <si>
    <t>RUB</t>
  </si>
  <si>
    <t>Общая сумма портфеля:</t>
  </si>
  <si>
    <t>Общая сумма инвестиций:</t>
  </si>
  <si>
    <t>Общий рост:</t>
  </si>
  <si>
    <t>РАСХОДНАЯ ЧАСТЬ</t>
  </si>
  <si>
    <t xml:space="preserve">                         Месяц                                                                   Статья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</si>
  <si>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</si>
  <si>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</si>
  <si>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</si>
  <si>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</si>
  <si>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</si>
  <si>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</si>
  <si>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</si>
  <si>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</si>
  <si>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</si>
  <si>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</si>
  <si>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</si>
  <si>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</si>
  <si>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ДОХОДНАЯ ЧАСТЬ</t>
  </si>
  <si>
    <t>Зарплата</t>
  </si>
  <si>
    <t>Другие поступления</t>
  </si>
  <si>
    <t>Всего поступлений</t>
  </si>
  <si>
    <t>Процент инвестиций</t>
  </si>
  <si>
    <t>Инвестирование</t>
  </si>
  <si>
    <t>Ставка процентов</t>
  </si>
  <si>
    <t>Проценты на капитал (п.п.)</t>
  </si>
  <si>
    <t>Подушка безопасности</t>
  </si>
  <si>
    <t>Брокерский счет</t>
  </si>
  <si>
    <t>Сумма капитала</t>
  </si>
  <si>
    <t>1) Сбер</t>
  </si>
  <si>
    <t>Бюджет || Расходная часть</t>
  </si>
  <si>
    <t>План</t>
  </si>
  <si>
    <t>∆</t>
  </si>
  <si>
    <t>%</t>
  </si>
  <si>
    <t>Итого</t>
  </si>
  <si>
    <t>Бюджет || Доходная часть</t>
  </si>
  <si>
    <t>Статьи</t>
  </si>
  <si>
    <t>Денег в обращении</t>
  </si>
  <si>
    <t>Остаток пр. месяц</t>
  </si>
  <si>
    <t>Счета</t>
  </si>
  <si>
    <t>БКС</t>
  </si>
  <si>
    <t>Тинькофф</t>
  </si>
  <si>
    <t>Инвестировано / Отложено</t>
  </si>
  <si>
    <t>Процент / Ставка</t>
  </si>
  <si>
    <t>Бюджет || Сводка</t>
  </si>
  <si>
    <t>Показатели</t>
  </si>
  <si>
    <t>Отложено</t>
  </si>
  <si>
    <t>% инвестиций</t>
  </si>
  <si>
    <t>Тикеры</t>
  </si>
  <si>
    <t>Всего капитал</t>
  </si>
  <si>
    <t>% прироста кап.</t>
  </si>
  <si>
    <t>% расходов</t>
  </si>
  <si>
    <t>Текущий капитал</t>
  </si>
  <si>
    <t>Брокерский счет || Сводка</t>
  </si>
  <si>
    <t>Показатель</t>
  </si>
  <si>
    <t>Заработано за весь п.:</t>
  </si>
  <si>
    <t>Значение</t>
  </si>
  <si>
    <t>!!!БЕЗ БЛА БЛА!!!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</si>
</sst>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0.0%"/>
    <numFmt numFmtId="165" formatCode="_-* #,##0.00\ [$₽-419]_-;\-* #,##0.00\ [$₽-419]_-;_-* &quot;-&quot;??\ [$₽-419]_-;_-@_-"/>
    <numFmt numFmtId="167" formatCode="#,##0.00\ &quot;₽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4"/>
      <color theme="4" tint="0.7999816888943144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6A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lightDown"/>
    </fill>
    <fill>
      <patternFill patternType="solid">
        <fgColor theme="5" tint="0.79998168889431442"/>
        <bgColor indexed="64"/>
      </patternFill>
    </fill>
    <fill>
      <patternFill patternType="darkDown"/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9" fillId="0" borderId="0"/>
    <xf numFmtId="9" fontId="9" fillId="0" borderId="0"/>
    <xf numFmtId="9" fontId="9" fillId="0" borderId="0"/>
    <xf numFmtId="43" fontId="9" fillId="0" borderId="0"/>
    <xf numFmtId="44" fontId="9" fillId="0" borderId="0" applyFont="0" applyFill="0" applyBorder="0" applyAlignment="0" applyProtection="0"/>
  </cellStyleXfs>
  <cellXfs count="433">
    <xf numFmtId="0" fontId="0" fillId="0" borderId="0" xfId="0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0" xfId="0" applyBorder="1"/>
    <xf numFmtId="0" fontId="0" fillId="0" borderId="46" xfId="0" applyBorder="1"/>
    <xf numFmtId="0" fontId="0" fillId="0" borderId="45" xfId="0" applyBorder="1"/>
    <xf numFmtId="0" fontId="0" fillId="0" borderId="10" xfId="0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7" borderId="4" xfId="0" applyFont="1" applyFill="1" applyBorder="1"/>
    <xf numFmtId="0" fontId="2" fillId="7" borderId="10" xfId="0" applyFont="1" applyFill="1" applyBorder="1" applyAlignment="1">
      <alignment horizontal="centerContinuous" vertical="center"/>
    </xf>
    <xf numFmtId="0" fontId="0" fillId="7" borderId="5" xfId="0" applyFill="1" applyBorder="1" applyAlignment="1">
      <alignment horizontal="centerContinuous"/>
    </xf>
    <xf numFmtId="0" fontId="0" fillId="7" borderId="6" xfId="0" applyFill="1" applyBorder="1" applyAlignment="1">
      <alignment horizontal="centerContinuous"/>
    </xf>
    <xf numFmtId="0" fontId="2" fillId="0" borderId="0" xfId="0" applyFont="1" applyAlignment="1">
      <alignment horizontal="center" vertical="center"/>
    </xf>
    <xf numFmtId="164" fontId="2" fillId="7" borderId="41" xfId="0" applyNumberFormat="1" applyFont="1" applyFill="1" applyBorder="1" applyAlignment="1">
      <alignment horizontal="centerContinuous" vertical="center"/>
    </xf>
    <xf numFmtId="0" fontId="2" fillId="7" borderId="41" xfId="0" applyFont="1" applyFill="1" applyBorder="1" applyAlignment="1">
      <alignment horizontal="centerContinuous" vertical="center"/>
    </xf>
    <xf numFmtId="0" fontId="3" fillId="7" borderId="30" xfId="0" applyFont="1" applyFill="1" applyBorder="1" applyAlignment="1">
      <alignment horizontal="centerContinuous" vertical="center"/>
    </xf>
    <xf numFmtId="0" fontId="3" fillId="8" borderId="30" xfId="0" applyFont="1" applyFill="1" applyBorder="1" applyAlignment="1">
      <alignment horizontal="centerContinuous" vertical="center"/>
    </xf>
    <xf numFmtId="0" fontId="3" fillId="8" borderId="41" xfId="0" applyFont="1" applyFill="1" applyBorder="1" applyAlignment="1">
      <alignment horizontal="centerContinuous" vertical="center"/>
    </xf>
    <xf numFmtId="0" fontId="0" fillId="7" borderId="31" xfId="0" applyFill="1" applyBorder="1" applyAlignment="1">
      <alignment horizontal="centerContinuous" vertical="center"/>
    </xf>
    <xf numFmtId="0" fontId="3" fillId="8" borderId="31" xfId="0" applyFont="1" applyFill="1" applyBorder="1" applyAlignment="1">
      <alignment horizontal="centerContinuous" vertical="center"/>
    </xf>
    <xf numFmtId="10" fontId="2" fillId="4" borderId="52" xfId="0" applyNumberFormat="1" applyFont="1" applyFill="1" applyBorder="1" applyAlignment="1">
      <alignment horizontal="right" vertical="center"/>
    </xf>
    <xf numFmtId="0" fontId="3" fillId="13" borderId="30" xfId="0" applyFont="1" applyFill="1" applyBorder="1" applyAlignment="1">
      <alignment horizontal="centerContinuous" vertical="center"/>
    </xf>
    <xf numFmtId="0" fontId="3" fillId="13" borderId="41" xfId="0" applyFont="1" applyFill="1" applyBorder="1" applyAlignment="1">
      <alignment horizontal="centerContinuous" vertical="center"/>
    </xf>
    <xf numFmtId="164" fontId="3" fillId="13" borderId="41" xfId="0" applyNumberFormat="1" applyFont="1" applyFill="1" applyBorder="1" applyAlignment="1">
      <alignment horizontal="centerContinuous" vertical="center"/>
    </xf>
    <xf numFmtId="0" fontId="3" fillId="13" borderId="31" xfId="0" applyFont="1" applyFill="1" applyBorder="1" applyAlignment="1">
      <alignment horizontal="centerContinuous" vertical="center"/>
    </xf>
    <xf numFmtId="165" fontId="0" fillId="0" borderId="0" xfId="0" applyNumberFormat="1"/>
    <xf numFmtId="0" fontId="2" fillId="0" borderId="0" xfId="0" applyFont="1"/>
    <xf numFmtId="44" fontId="0" fillId="0" borderId="0" xfId="1" applyFont="1"/>
    <xf numFmtId="0" fontId="0" fillId="0" borderId="22" xfId="0" applyBorder="1"/>
    <xf numFmtId="0" fontId="0" fillId="0" borderId="4" xfId="0" applyBorder="1"/>
    <xf numFmtId="0" fontId="3" fillId="0" borderId="4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right"/>
    </xf>
    <xf numFmtId="10" fontId="2" fillId="4" borderId="49" xfId="0" applyNumberFormat="1" applyFont="1" applyFill="1" applyBorder="1" applyAlignment="1">
      <alignment horizontal="right" vertical="center"/>
    </xf>
    <xf numFmtId="10" fontId="2" fillId="5" borderId="33" xfId="0" applyNumberFormat="1" applyFont="1" applyFill="1" applyBorder="1" applyAlignment="1">
      <alignment horizontal="right" vertical="center"/>
    </xf>
    <xf numFmtId="10" fontId="2" fillId="4" borderId="33" xfId="0" applyNumberFormat="1" applyFont="1" applyFill="1" applyBorder="1" applyAlignment="1">
      <alignment horizontal="right" vertical="center"/>
    </xf>
    <xf numFmtId="10" fontId="2" fillId="5" borderId="35" xfId="0" applyNumberFormat="1" applyFont="1" applyFill="1" applyBorder="1" applyAlignment="1">
      <alignment horizontal="right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0" fontId="2" fillId="4" borderId="35" xfId="0" applyNumberFormat="1" applyFont="1" applyFill="1" applyBorder="1" applyAlignment="1">
      <alignment horizontal="right" vertical="center"/>
    </xf>
    <xf numFmtId="0" fontId="8" fillId="0" borderId="4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0" fontId="2" fillId="5" borderId="52" xfId="0" applyNumberFormat="1" applyFont="1" applyFill="1" applyBorder="1" applyAlignment="1">
      <alignment horizontal="right" vertical="center"/>
    </xf>
    <xf numFmtId="165" fontId="2" fillId="4" borderId="48" xfId="0" applyNumberFormat="1" applyFont="1" applyFill="1" applyBorder="1" applyAlignment="1">
      <alignment horizontal="right" vertical="center"/>
    </xf>
    <xf numFmtId="165" fontId="2" fillId="4" borderId="32" xfId="0" applyNumberFormat="1" applyFont="1" applyFill="1" applyBorder="1" applyAlignment="1">
      <alignment horizontal="right" vertical="center"/>
    </xf>
    <xf numFmtId="165" fontId="0" fillId="5" borderId="32" xfId="0" applyNumberFormat="1" applyFill="1" applyBorder="1" applyAlignment="1">
      <alignment horizontal="right" vertical="center"/>
    </xf>
    <xf numFmtId="165" fontId="2" fillId="4" borderId="34" xfId="0" applyNumberFormat="1" applyFont="1" applyFill="1" applyBorder="1" applyAlignment="1">
      <alignment horizontal="right" vertical="center"/>
    </xf>
    <xf numFmtId="165" fontId="2" fillId="4" borderId="43" xfId="0" applyNumberFormat="1" applyFont="1" applyFill="1" applyBorder="1" applyAlignment="1">
      <alignment horizontal="right" vertical="center"/>
    </xf>
    <xf numFmtId="165" fontId="0" fillId="5" borderId="37" xfId="0" applyNumberFormat="1" applyFill="1" applyBorder="1" applyAlignment="1">
      <alignment horizontal="right" vertical="center"/>
    </xf>
    <xf numFmtId="165" fontId="2" fillId="4" borderId="37" xfId="0" applyNumberFormat="1" applyFont="1" applyFill="1" applyBorder="1" applyAlignment="1">
      <alignment horizontal="right" vertical="center"/>
    </xf>
    <xf numFmtId="165" fontId="0" fillId="5" borderId="51" xfId="0" applyNumberFormat="1" applyFill="1" applyBorder="1" applyAlignment="1">
      <alignment horizontal="right" vertical="center"/>
    </xf>
    <xf numFmtId="165" fontId="2" fillId="4" borderId="51" xfId="0" applyNumberFormat="1" applyFont="1" applyFill="1" applyBorder="1" applyAlignment="1">
      <alignment horizontal="right" vertical="center"/>
    </xf>
    <xf numFmtId="0" fontId="0" fillId="0" borderId="9" xfId="0" applyBorder="1"/>
    <xf numFmtId="0" fontId="1" fillId="16" borderId="1" xfId="0" applyFont="1" applyFill="1" applyBorder="1"/>
    <xf numFmtId="0" fontId="1" fillId="16" borderId="2" xfId="0" applyFont="1" applyFill="1" applyBorder="1"/>
    <xf numFmtId="0" fontId="1" fillId="16" borderId="3" xfId="0" applyFont="1" applyFill="1" applyBorder="1"/>
    <xf numFmtId="0" fontId="1" fillId="16" borderId="13" xfId="0" applyFont="1" applyFill="1" applyBorder="1"/>
    <xf numFmtId="0" fontId="1" fillId="16" borderId="20" xfId="0" applyFont="1" applyFill="1" applyBorder="1"/>
    <xf numFmtId="0" fontId="1" fillId="16" borderId="22" xfId="0" applyFont="1" applyFill="1" applyBorder="1"/>
    <xf numFmtId="0" fontId="4" fillId="16" borderId="9" xfId="0" applyFont="1" applyFill="1" applyBorder="1" applyAlignment="1">
      <alignment horizontal="center"/>
    </xf>
    <xf numFmtId="9" fontId="0" fillId="16" borderId="36" xfId="2" applyFont="1" applyFill="1" applyBorder="1"/>
    <xf numFmtId="9" fontId="3" fillId="16" borderId="14" xfId="2" applyFont="1" applyFill="1" applyBorder="1"/>
    <xf numFmtId="0" fontId="2" fillId="4" borderId="23" xfId="0" applyFont="1" applyFill="1" applyBorder="1"/>
    <xf numFmtId="0" fontId="0" fillId="5" borderId="25" xfId="0" applyFill="1" applyBorder="1"/>
    <xf numFmtId="0" fontId="2" fillId="4" borderId="25" xfId="0" applyFont="1" applyFill="1" applyBorder="1"/>
    <xf numFmtId="0" fontId="0" fillId="5" borderId="27" xfId="0" applyFill="1" applyBorder="1"/>
    <xf numFmtId="0" fontId="3" fillId="8" borderId="56" xfId="0" applyFont="1" applyFill="1" applyBorder="1" applyAlignment="1">
      <alignment horizontal="centerContinuous" vertical="center"/>
    </xf>
    <xf numFmtId="0" fontId="2" fillId="4" borderId="27" xfId="0" applyFont="1" applyFill="1" applyBorder="1"/>
    <xf numFmtId="0" fontId="2" fillId="7" borderId="59" xfId="0" applyFont="1" applyFill="1" applyBorder="1" applyAlignment="1">
      <alignment horizontal="centerContinuous" vertical="center"/>
    </xf>
    <xf numFmtId="164" fontId="2" fillId="7" borderId="59" xfId="0" applyNumberFormat="1" applyFont="1" applyFill="1" applyBorder="1" applyAlignment="1">
      <alignment horizontal="centerContinuous" vertical="center"/>
    </xf>
    <xf numFmtId="0" fontId="3" fillId="13" borderId="59" xfId="0" applyFont="1" applyFill="1" applyBorder="1" applyAlignment="1">
      <alignment horizontal="centerContinuous" vertical="center"/>
    </xf>
    <xf numFmtId="164" fontId="3" fillId="13" borderId="59" xfId="0" applyNumberFormat="1" applyFont="1" applyFill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1" xfId="0" applyFont="1" applyFill="1" applyBorder="1"/>
    <xf numFmtId="0" fontId="3" fillId="7" borderId="3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/>
    </xf>
    <xf numFmtId="44" fontId="3" fillId="7" borderId="2" xfId="1" applyFont="1" applyFill="1" applyBorder="1" applyAlignment="1">
      <alignment horizontal="right" vertical="center"/>
    </xf>
    <xf numFmtId="44" fontId="3" fillId="7" borderId="5" xfId="0" applyNumberFormat="1" applyFont="1" applyFill="1" applyBorder="1" applyAlignment="1">
      <alignment horizontal="right" vertical="center"/>
    </xf>
    <xf numFmtId="44" fontId="3" fillId="7" borderId="42" xfId="1" applyFont="1" applyFill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0" fontId="3" fillId="15" borderId="10" xfId="1" applyNumberFormat="1" applyFont="1" applyFill="1" applyBorder="1" applyAlignment="1">
      <alignment horizontal="left" vertical="center"/>
    </xf>
    <xf numFmtId="0" fontId="3" fillId="9" borderId="10" xfId="1" applyNumberFormat="1" applyFont="1" applyFill="1" applyBorder="1" applyAlignment="1">
      <alignment horizontal="left" vertical="center"/>
    </xf>
    <xf numFmtId="165" fontId="0" fillId="0" borderId="44" xfId="3" applyNumberFormat="1" applyFont="1" applyBorder="1"/>
    <xf numFmtId="165" fontId="0" fillId="0" borderId="16" xfId="3" applyNumberFormat="1" applyFont="1" applyBorder="1"/>
    <xf numFmtId="165" fontId="0" fillId="0" borderId="39" xfId="3" applyNumberFormat="1" applyFont="1" applyBorder="1"/>
    <xf numFmtId="165" fontId="0" fillId="0" borderId="15" xfId="3" applyNumberFormat="1" applyFont="1" applyBorder="1"/>
    <xf numFmtId="165" fontId="0" fillId="0" borderId="17" xfId="3" applyNumberFormat="1" applyFont="1" applyBorder="1"/>
    <xf numFmtId="0" fontId="4" fillId="0" borderId="60" xfId="0" applyFont="1" applyBorder="1" applyAlignment="1">
      <alignment vertical="top" wrapText="1"/>
    </xf>
    <xf numFmtId="164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8" xfId="0" applyFont="1" applyBorder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6" xfId="0" applyFont="1" applyBorder="1" applyAlignment="1">
      <alignment horizontal="centerContinuous" vertical="center"/>
    </xf>
    <xf numFmtId="0" fontId="0" fillId="0" borderId="0" xfId="0" applyAlignment="1">
      <alignment horizontal="right" vertical="center"/>
    </xf>
    <xf numFmtId="165" fontId="0" fillId="0" borderId="39" xfId="1" applyNumberFormat="1" applyFont="1" applyBorder="1" applyAlignment="1">
      <alignment horizontal="right" vertical="center"/>
    </xf>
    <xf numFmtId="165" fontId="0" fillId="0" borderId="44" xfId="1" applyNumberFormat="1" applyFont="1" applyBorder="1" applyAlignment="1">
      <alignment horizontal="right" vertical="center"/>
    </xf>
    <xf numFmtId="165" fontId="0" fillId="0" borderId="15" xfId="1" applyNumberFormat="1" applyFont="1" applyBorder="1" applyAlignment="1">
      <alignment horizontal="right" vertical="center"/>
    </xf>
    <xf numFmtId="165" fontId="0" fillId="0" borderId="16" xfId="1" applyNumberFormat="1" applyFont="1" applyBorder="1" applyAlignment="1">
      <alignment horizontal="right" vertical="center"/>
    </xf>
    <xf numFmtId="165" fontId="0" fillId="5" borderId="32" xfId="1" applyNumberFormat="1" applyFont="1" applyFill="1" applyBorder="1" applyAlignment="1">
      <alignment horizontal="right" vertical="center"/>
    </xf>
    <xf numFmtId="165" fontId="0" fillId="0" borderId="19" xfId="1" applyNumberFormat="1" applyFont="1" applyBorder="1" applyAlignment="1">
      <alignment horizontal="right" vertical="center"/>
    </xf>
    <xf numFmtId="165" fontId="0" fillId="0" borderId="21" xfId="1" applyNumberFormat="1" applyFont="1" applyBorder="1" applyAlignment="1">
      <alignment horizontal="right" vertical="center"/>
    </xf>
    <xf numFmtId="165" fontId="0" fillId="0" borderId="10" xfId="1" applyNumberFormat="1" applyFont="1" applyBorder="1" applyAlignment="1">
      <alignment horizontal="right" vertical="center"/>
    </xf>
    <xf numFmtId="44" fontId="0" fillId="0" borderId="5" xfId="0" applyNumberFormat="1" applyBorder="1" applyAlignment="1">
      <alignment horizontal="right" vertical="center"/>
    </xf>
    <xf numFmtId="0" fontId="5" fillId="0" borderId="0" xfId="0" applyFont="1"/>
    <xf numFmtId="0" fontId="11" fillId="0" borderId="0" xfId="0" applyFont="1" applyAlignment="1">
      <alignment horizontal="center"/>
    </xf>
    <xf numFmtId="44" fontId="9" fillId="0" borderId="0" xfId="1"/>
    <xf numFmtId="9" fontId="9" fillId="0" borderId="0" xfId="2"/>
    <xf numFmtId="44" fontId="9" fillId="0" borderId="0" xfId="1" applyAlignment="1">
      <alignment horizontal="right" vertical="center"/>
    </xf>
    <xf numFmtId="0" fontId="11" fillId="0" borderId="0" xfId="0" applyFont="1" applyAlignment="1">
      <alignment horizontal="left"/>
    </xf>
    <xf numFmtId="44" fontId="5" fillId="0" borderId="0" xfId="1" applyFont="1"/>
    <xf numFmtId="9" fontId="5" fillId="0" borderId="0" xfId="2" applyFont="1"/>
    <xf numFmtId="9" fontId="3" fillId="7" borderId="5" xfId="2" applyFont="1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5" fontId="0" fillId="5" borderId="34" xfId="1" applyNumberFormat="1" applyFont="1" applyFill="1" applyBorder="1" applyAlignment="1">
      <alignment horizontal="right" vertical="center"/>
    </xf>
    <xf numFmtId="10" fontId="9" fillId="0" borderId="39" xfId="2" applyNumberFormat="1" applyBorder="1"/>
    <xf numFmtId="165" fontId="0" fillId="0" borderId="40" xfId="0" applyNumberFormat="1" applyBorder="1" applyAlignment="1">
      <alignment horizontal="right" vertical="center"/>
    </xf>
    <xf numFmtId="10" fontId="9" fillId="0" borderId="15" xfId="2" applyNumberFormat="1" applyBorder="1"/>
    <xf numFmtId="165" fontId="0" fillId="0" borderId="26" xfId="0" applyNumberFormat="1" applyBorder="1" applyAlignment="1">
      <alignment horizontal="right" vertical="center"/>
    </xf>
    <xf numFmtId="10" fontId="9" fillId="0" borderId="17" xfId="2" applyNumberFormat="1" applyBorder="1"/>
    <xf numFmtId="165" fontId="0" fillId="0" borderId="28" xfId="1" applyNumberFormat="1" applyFont="1" applyBorder="1" applyAlignment="1">
      <alignment horizontal="right" vertical="center"/>
    </xf>
    <xf numFmtId="10" fontId="3" fillId="7" borderId="10" xfId="0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44" fontId="9" fillId="0" borderId="11" xfId="1" applyBorder="1" applyAlignment="1">
      <alignment horizontal="right" vertical="center"/>
    </xf>
    <xf numFmtId="10" fontId="9" fillId="0" borderId="24" xfId="2" applyNumberFormat="1" applyBorder="1" applyAlignment="1">
      <alignment horizontal="right" vertical="center"/>
    </xf>
    <xf numFmtId="44" fontId="9" fillId="0" borderId="50" xfId="1" applyBorder="1" applyAlignment="1">
      <alignment horizontal="right" vertical="center"/>
    </xf>
    <xf numFmtId="10" fontId="9" fillId="0" borderId="12" xfId="2" applyNumberFormat="1" applyBorder="1" applyAlignment="1">
      <alignment horizontal="right" vertical="center"/>
    </xf>
    <xf numFmtId="44" fontId="9" fillId="0" borderId="15" xfId="1" applyBorder="1" applyAlignment="1">
      <alignment horizontal="right" vertical="center"/>
    </xf>
    <xf numFmtId="10" fontId="9" fillId="0" borderId="26" xfId="2" applyNumberFormat="1" applyBorder="1" applyAlignment="1">
      <alignment horizontal="right" vertical="center"/>
    </xf>
    <xf numFmtId="44" fontId="9" fillId="0" borderId="37" xfId="1" applyBorder="1" applyAlignment="1">
      <alignment horizontal="right" vertical="center"/>
    </xf>
    <xf numFmtId="10" fontId="9" fillId="0" borderId="53" xfId="2" applyNumberFormat="1" applyBorder="1" applyAlignment="1">
      <alignment horizontal="right" vertical="center"/>
    </xf>
    <xf numFmtId="44" fontId="3" fillId="7" borderId="10" xfId="1" applyFont="1" applyFill="1" applyBorder="1" applyAlignment="1">
      <alignment horizontal="right" vertical="center"/>
    </xf>
    <xf numFmtId="9" fontId="3" fillId="7" borderId="6" xfId="2" applyFont="1" applyFill="1" applyBorder="1" applyAlignment="1">
      <alignment horizontal="right" vertical="center"/>
    </xf>
    <xf numFmtId="10" fontId="0" fillId="0" borderId="10" xfId="2" applyNumberFormat="1" applyFont="1" applyBorder="1"/>
    <xf numFmtId="44" fontId="5" fillId="0" borderId="10" xfId="0" applyNumberFormat="1" applyFont="1" applyBorder="1" applyAlignment="1">
      <alignment horizontal="left" vertical="center"/>
    </xf>
    <xf numFmtId="44" fontId="5" fillId="0" borderId="6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165" fontId="5" fillId="0" borderId="10" xfId="0" applyNumberFormat="1" applyFont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44" fontId="5" fillId="0" borderId="10" xfId="1" applyFont="1" applyBorder="1" applyAlignment="1">
      <alignment horizontal="left" vertical="center"/>
    </xf>
    <xf numFmtId="44" fontId="5" fillId="10" borderId="10" xfId="1" applyFont="1" applyFill="1" applyBorder="1" applyAlignment="1">
      <alignment horizontal="left" vertical="center"/>
    </xf>
    <xf numFmtId="10" fontId="0" fillId="0" borderId="6" xfId="0" applyNumberFormat="1" applyBorder="1" applyAlignment="1">
      <alignment horizontal="left" vertical="center"/>
    </xf>
    <xf numFmtId="9" fontId="5" fillId="0" borderId="10" xfId="2" applyFont="1" applyBorder="1" applyAlignment="1">
      <alignment horizontal="right" vertical="center"/>
    </xf>
    <xf numFmtId="9" fontId="5" fillId="0" borderId="0" xfId="2" applyFont="1" applyAlignment="1">
      <alignment horizontal="right" vertical="center"/>
    </xf>
    <xf numFmtId="2" fontId="4" fillId="0" borderId="36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44" fontId="6" fillId="7" borderId="10" xfId="0" applyNumberFormat="1" applyFont="1" applyFill="1" applyBorder="1" applyAlignment="1">
      <alignment horizontal="left" vertical="center"/>
    </xf>
    <xf numFmtId="44" fontId="6" fillId="6" borderId="6" xfId="0" applyNumberFormat="1" applyFont="1" applyFill="1" applyBorder="1" applyAlignment="1">
      <alignment horizontal="left" vertical="center"/>
    </xf>
    <xf numFmtId="10" fontId="6" fillId="7" borderId="4" xfId="0" applyNumberFormat="1" applyFont="1" applyFill="1" applyBorder="1" applyAlignment="1">
      <alignment horizontal="left" vertical="center"/>
    </xf>
    <xf numFmtId="165" fontId="7" fillId="7" borderId="10" xfId="2" applyNumberFormat="1" applyFont="1" applyFill="1" applyBorder="1" applyAlignment="1">
      <alignment horizontal="left" vertical="center"/>
    </xf>
    <xf numFmtId="10" fontId="7" fillId="7" borderId="6" xfId="0" applyNumberFormat="1" applyFont="1" applyFill="1" applyBorder="1" applyAlignment="1">
      <alignment horizontal="left" vertical="center"/>
    </xf>
    <xf numFmtId="0" fontId="4" fillId="0" borderId="61" xfId="0" applyFont="1" applyBorder="1" applyAlignment="1">
      <alignment vertical="top" wrapText="1"/>
    </xf>
    <xf numFmtId="165" fontId="0" fillId="0" borderId="36" xfId="0" applyNumberFormat="1" applyBorder="1"/>
    <xf numFmtId="164" fontId="0" fillId="0" borderId="36" xfId="3" applyNumberFormat="1" applyFont="1" applyBorder="1"/>
    <xf numFmtId="0" fontId="2" fillId="10" borderId="10" xfId="0" applyFont="1" applyFill="1" applyBorder="1"/>
    <xf numFmtId="165" fontId="2" fillId="10" borderId="10" xfId="3" applyNumberFormat="1" applyFont="1" applyFill="1" applyBorder="1"/>
    <xf numFmtId="10" fontId="0" fillId="0" borderId="15" xfId="3" applyNumberFormat="1" applyFont="1" applyBorder="1"/>
    <xf numFmtId="10" fontId="0" fillId="0" borderId="16" xfId="3" applyNumberFormat="1" applyFont="1" applyBorder="1"/>
    <xf numFmtId="10" fontId="0" fillId="0" borderId="44" xfId="3" applyNumberFormat="1" applyFont="1" applyBorder="1"/>
    <xf numFmtId="10" fontId="0" fillId="0" borderId="39" xfId="3" applyNumberFormat="1" applyFont="1" applyBorder="1"/>
    <xf numFmtId="0" fontId="10" fillId="0" borderId="0" xfId="0" applyFont="1"/>
    <xf numFmtId="44" fontId="0" fillId="0" borderId="0" xfId="1" applyFont="1" applyAlignment="1">
      <alignment horizontal="right"/>
    </xf>
    <xf numFmtId="44" fontId="0" fillId="0" borderId="0" xfId="0" applyNumberFormat="1" applyAlignment="1">
      <alignment horizontal="right"/>
    </xf>
    <xf numFmtId="44" fontId="3" fillId="0" borderId="0" xfId="0" applyNumberFormat="1" applyFont="1" applyAlignment="1">
      <alignment horizontal="right"/>
    </xf>
    <xf numFmtId="49" fontId="5" fillId="0" borderId="7" xfId="0" applyNumberFormat="1" applyFont="1" applyBorder="1" applyAlignment="1">
      <alignment horizontal="left" vertical="center"/>
    </xf>
    <xf numFmtId="0" fontId="0" fillId="0" borderId="7" xfId="0" applyBorder="1"/>
    <xf numFmtId="164" fontId="0" fillId="0" borderId="0" xfId="3" applyNumberFormat="1" applyFont="1"/>
    <xf numFmtId="9" fontId="2" fillId="10" borderId="5" xfId="3" applyFont="1" applyFill="1" applyBorder="1"/>
    <xf numFmtId="165" fontId="0" fillId="0" borderId="25" xfId="3" applyNumberFormat="1" applyFont="1" applyBorder="1"/>
    <xf numFmtId="165" fontId="0" fillId="0" borderId="11" xfId="3" applyNumberFormat="1" applyFont="1" applyBorder="1"/>
    <xf numFmtId="165" fontId="0" fillId="0" borderId="18" xfId="3" applyNumberFormat="1" applyFont="1" applyBorder="1"/>
    <xf numFmtId="0" fontId="2" fillId="4" borderId="53" xfId="0" applyFont="1" applyFill="1" applyBorder="1"/>
    <xf numFmtId="10" fontId="2" fillId="5" borderId="38" xfId="0" applyNumberFormat="1" applyFont="1" applyFill="1" applyBorder="1" applyAlignment="1">
      <alignment horizontal="right" vertical="center"/>
    </xf>
    <xf numFmtId="10" fontId="2" fillId="4" borderId="38" xfId="0" applyNumberFormat="1" applyFont="1" applyFill="1" applyBorder="1" applyAlignment="1">
      <alignment horizontal="right" vertical="center"/>
    </xf>
    <xf numFmtId="0" fontId="2" fillId="4" borderId="54" xfId="0" applyFont="1" applyFill="1" applyBorder="1"/>
    <xf numFmtId="0" fontId="6" fillId="2" borderId="4" xfId="0" applyFont="1" applyFill="1" applyBorder="1"/>
    <xf numFmtId="165" fontId="6" fillId="2" borderId="30" xfId="0" applyNumberFormat="1" applyFont="1" applyFill="1" applyBorder="1"/>
    <xf numFmtId="164" fontId="6" fillId="2" borderId="31" xfId="2" applyNumberFormat="1" applyFont="1" applyFill="1" applyBorder="1"/>
    <xf numFmtId="165" fontId="6" fillId="2" borderId="10" xfId="0" applyNumberFormat="1" applyFont="1" applyFill="1" applyBorder="1"/>
    <xf numFmtId="0" fontId="6" fillId="2" borderId="6" xfId="0" applyFont="1" applyFill="1" applyBorder="1"/>
    <xf numFmtId="165" fontId="0" fillId="0" borderId="0" xfId="3" applyNumberFormat="1" applyFont="1"/>
    <xf numFmtId="165" fontId="0" fillId="0" borderId="36" xfId="3" applyNumberFormat="1" applyFont="1" applyBorder="1"/>
    <xf numFmtId="10" fontId="0" fillId="0" borderId="0" xfId="3" applyNumberFormat="1" applyFont="1"/>
    <xf numFmtId="0" fontId="0" fillId="0" borderId="54" xfId="0" applyBorder="1"/>
    <xf numFmtId="0" fontId="2" fillId="10" borderId="4" xfId="0" applyFont="1" applyFill="1" applyBorder="1"/>
    <xf numFmtId="10" fontId="0" fillId="0" borderId="36" xfId="3" applyNumberFormat="1" applyFont="1" applyBorder="1"/>
    <xf numFmtId="10" fontId="0" fillId="0" borderId="11" xfId="3" applyNumberFormat="1" applyFont="1" applyBorder="1"/>
    <xf numFmtId="10" fontId="0" fillId="0" borderId="18" xfId="3" applyNumberFormat="1" applyFont="1" applyBorder="1"/>
    <xf numFmtId="10" fontId="0" fillId="0" borderId="17" xfId="3" applyNumberFormat="1" applyFont="1" applyBorder="1"/>
    <xf numFmtId="9" fontId="2" fillId="10" borderId="10" xfId="3" applyFont="1" applyFill="1" applyBorder="1"/>
    <xf numFmtId="0" fontId="3" fillId="4" borderId="10" xfId="0" applyFont="1" applyFill="1" applyBorder="1"/>
    <xf numFmtId="0" fontId="0" fillId="4" borderId="5" xfId="0" applyFill="1" applyBorder="1"/>
    <xf numFmtId="0" fontId="0" fillId="4" borderId="6" xfId="0" applyFill="1" applyBorder="1"/>
    <xf numFmtId="44" fontId="2" fillId="4" borderId="32" xfId="0" applyNumberFormat="1" applyFont="1" applyFill="1" applyBorder="1" applyAlignment="1">
      <alignment horizontal="right" vertical="center"/>
    </xf>
    <xf numFmtId="44" fontId="2" fillId="0" borderId="15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2" fillId="10" borderId="14" xfId="3" applyNumberFormat="1" applyFont="1" applyFill="1" applyBorder="1"/>
    <xf numFmtId="165" fontId="0" fillId="0" borderId="23" xfId="3" applyNumberFormat="1" applyFont="1" applyBorder="1"/>
    <xf numFmtId="165" fontId="0" fillId="0" borderId="27" xfId="3" applyNumberFormat="1" applyFont="1" applyBorder="1"/>
    <xf numFmtId="165" fontId="2" fillId="10" borderId="13" xfId="3" applyNumberFormat="1" applyFont="1" applyFill="1" applyBorder="1"/>
    <xf numFmtId="165" fontId="0" fillId="0" borderId="19" xfId="3" applyNumberFormat="1" applyFont="1" applyBorder="1"/>
    <xf numFmtId="0" fontId="2" fillId="0" borderId="13" xfId="0" applyFont="1" applyBorder="1"/>
    <xf numFmtId="165" fontId="2" fillId="0" borderId="14" xfId="3" applyNumberFormat="1" applyFont="1" applyBorder="1"/>
    <xf numFmtId="0" fontId="0" fillId="0" borderId="53" xfId="0" applyBorder="1"/>
    <xf numFmtId="165" fontId="0" fillId="0" borderId="12" xfId="3" applyNumberFormat="1" applyFont="1" applyBorder="1"/>
    <xf numFmtId="165" fontId="0" fillId="0" borderId="18" xfId="0" applyNumberFormat="1" applyBorder="1"/>
    <xf numFmtId="165" fontId="0" fillId="0" borderId="16" xfId="0" applyNumberFormat="1" applyBorder="1"/>
    <xf numFmtId="0" fontId="0" fillId="0" borderId="18" xfId="0" applyBorder="1"/>
    <xf numFmtId="165" fontId="0" fillId="0" borderId="45" xfId="3" applyNumberFormat="1" applyFont="1" applyBorder="1"/>
    <xf numFmtId="165" fontId="2" fillId="0" borderId="13" xfId="3" applyNumberFormat="1" applyFont="1" applyBorder="1"/>
    <xf numFmtId="165" fontId="2" fillId="0" borderId="22" xfId="3" applyNumberFormat="1" applyFont="1" applyBorder="1"/>
    <xf numFmtId="165" fontId="0" fillId="0" borderId="15" xfId="0" applyNumberFormat="1" applyBorder="1"/>
    <xf numFmtId="164" fontId="0" fillId="0" borderId="15" xfId="3" applyNumberFormat="1" applyFont="1" applyBorder="1"/>
    <xf numFmtId="165" fontId="2" fillId="0" borderId="19" xfId="3" applyNumberFormat="1" applyFont="1" applyBorder="1"/>
    <xf numFmtId="10" fontId="0" fillId="0" borderId="23" xfId="3" applyNumberFormat="1" applyFont="1" applyBorder="1"/>
    <xf numFmtId="10" fontId="0" fillId="0" borderId="46" xfId="3" applyNumberFormat="1" applyFont="1" applyBorder="1"/>
    <xf numFmtId="10" fontId="0" fillId="0" borderId="7" xfId="3" applyNumberFormat="1" applyFont="1" applyBorder="1"/>
    <xf numFmtId="9" fontId="2" fillId="10" borderId="20" xfId="3" applyFont="1" applyFill="1" applyBorder="1"/>
    <xf numFmtId="9" fontId="2" fillId="10" borderId="14" xfId="3" applyFont="1" applyFill="1" applyBorder="1"/>
    <xf numFmtId="10" fontId="0" fillId="0" borderId="48" xfId="3" applyNumberFormat="1" applyFont="1" applyBorder="1"/>
    <xf numFmtId="10" fontId="0" fillId="0" borderId="49" xfId="3" applyNumberFormat="1" applyFont="1" applyBorder="1"/>
    <xf numFmtId="10" fontId="0" fillId="0" borderId="32" xfId="3" applyNumberFormat="1" applyFont="1" applyBorder="1"/>
    <xf numFmtId="10" fontId="0" fillId="0" borderId="33" xfId="3" applyNumberFormat="1" applyFont="1" applyBorder="1"/>
    <xf numFmtId="10" fontId="0" fillId="0" borderId="34" xfId="3" applyNumberFormat="1" applyFont="1" applyBorder="1"/>
    <xf numFmtId="10" fontId="0" fillId="0" borderId="35" xfId="3" applyNumberFormat="1" applyFont="1" applyBorder="1"/>
    <xf numFmtId="0" fontId="3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4" fontId="5" fillId="0" borderId="0" xfId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left" vertical="center"/>
    </xf>
    <xf numFmtId="165" fontId="7" fillId="0" borderId="0" xfId="2" applyNumberFormat="1" applyFont="1" applyAlignment="1">
      <alignment horizontal="left" vertical="center"/>
    </xf>
    <xf numFmtId="10" fontId="7" fillId="0" borderId="0" xfId="0" applyNumberFormat="1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3" fillId="0" borderId="1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14" xfId="0" applyFont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13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0" xfId="0"/>
    <xf numFmtId="0" fontId="3" fillId="12" borderId="10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1" borderId="30" xfId="0" applyFont="1" applyFill="1" applyBorder="1" applyAlignment="1">
      <alignment horizontal="center"/>
    </xf>
    <xf numFmtId="0" fontId="0" fillId="0" borderId="42" xfId="0" applyBorder="1"/>
    <xf numFmtId="0" fontId="0" fillId="0" borderId="1" xfId="0" applyBorder="1" applyAlignment="1">
      <alignment horizontal="center"/>
    </xf>
    <xf numFmtId="0" fontId="4" fillId="12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0" fontId="9" fillId="0" borderId="0" xfId="2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5" fillId="0" borderId="0" xfId="4" applyFont="1" applyAlignment="1">
      <alignment horizontal="left" vertical="center"/>
    </xf>
    <xf numFmtId="44" fontId="9" fillId="0" borderId="0" xfId="1" applyAlignment="1">
      <alignment horizontal="left" vertical="center"/>
    </xf>
    <xf numFmtId="9" fontId="9" fillId="0" borderId="0" xfId="2" applyAlignment="1">
      <alignment horizontal="left" vertical="center"/>
    </xf>
    <xf numFmtId="10" fontId="9" fillId="0" borderId="0" xfId="3" applyNumberFormat="1" applyAlignment="1">
      <alignment horizontal="left" vertical="center"/>
    </xf>
    <xf numFmtId="9" fontId="0" fillId="0" borderId="0" xfId="2" applyFont="1" applyAlignment="1">
      <alignment horizontal="left" vertical="center"/>
    </xf>
    <xf numFmtId="9" fontId="5" fillId="0" borderId="0" xfId="2" applyFont="1" applyAlignment="1">
      <alignment horizontal="left" vertical="center"/>
    </xf>
    <xf numFmtId="44" fontId="3" fillId="0" borderId="0" xfId="1" applyFont="1" applyAlignment="1">
      <alignment horizontal="left" vertical="center"/>
    </xf>
    <xf numFmtId="9" fontId="3" fillId="0" borderId="0" xfId="2" applyFont="1" applyAlignment="1">
      <alignment horizontal="left" vertical="center"/>
    </xf>
    <xf numFmtId="44" fontId="3" fillId="0" borderId="0" xfId="0" applyNumberFormat="1" applyFont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44" fontId="2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64" fontId="6" fillId="0" borderId="0" xfId="2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44" fontId="0" fillId="0" borderId="0" xfId="1" applyFon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9" fontId="9" fillId="17" borderId="33" xfId="3" applyFill="1" applyBorder="1" applyAlignment="1">
      <alignment horizontal="left" vertical="center"/>
    </xf>
    <xf numFmtId="9" fontId="9" fillId="0" borderId="33" xfId="3" applyBorder="1" applyAlignment="1">
      <alignment horizontal="left" vertical="center"/>
    </xf>
    <xf numFmtId="9" fontId="9" fillId="17" borderId="38" xfId="3" applyFill="1" applyBorder="1" applyAlignment="1">
      <alignment horizontal="left" vertical="center"/>
    </xf>
    <xf numFmtId="165" fontId="2" fillId="17" borderId="43" xfId="0" applyNumberFormat="1" applyFont="1" applyFill="1" applyBorder="1" applyAlignment="1">
      <alignment horizontal="left" vertical="center"/>
    </xf>
    <xf numFmtId="165" fontId="0" fillId="0" borderId="37" xfId="0" applyNumberFormat="1" applyFont="1" applyBorder="1" applyAlignment="1">
      <alignment horizontal="left" vertical="center"/>
    </xf>
    <xf numFmtId="165" fontId="2" fillId="17" borderId="37" xfId="0" applyNumberFormat="1" applyFont="1" applyFill="1" applyBorder="1" applyAlignment="1">
      <alignment horizontal="left" vertical="center"/>
    </xf>
    <xf numFmtId="165" fontId="2" fillId="17" borderId="37" xfId="1" applyNumberFormat="1" applyFont="1" applyFill="1" applyBorder="1" applyAlignment="1">
      <alignment horizontal="left" vertical="center"/>
    </xf>
    <xf numFmtId="165" fontId="9" fillId="0" borderId="37" xfId="1" applyNumberFormat="1" applyFont="1" applyBorder="1" applyAlignment="1">
      <alignment horizontal="left" vertical="center"/>
    </xf>
    <xf numFmtId="165" fontId="0" fillId="17" borderId="37" xfId="0" applyNumberFormat="1" applyFont="1" applyFill="1" applyBorder="1" applyAlignment="1">
      <alignment horizontal="left" vertical="center"/>
    </xf>
    <xf numFmtId="0" fontId="2" fillId="17" borderId="39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2" fillId="17" borderId="15" xfId="0" applyFont="1" applyFill="1" applyBorder="1" applyAlignment="1">
      <alignment horizontal="left" vertical="center"/>
    </xf>
    <xf numFmtId="165" fontId="2" fillId="17" borderId="52" xfId="0" applyNumberFormat="1" applyFont="1" applyFill="1" applyBorder="1" applyAlignment="1">
      <alignment horizontal="left" vertical="center"/>
    </xf>
    <xf numFmtId="165" fontId="0" fillId="0" borderId="53" xfId="0" applyNumberFormat="1" applyFont="1" applyBorder="1" applyAlignment="1">
      <alignment horizontal="left" vertical="center"/>
    </xf>
    <xf numFmtId="165" fontId="2" fillId="17" borderId="53" xfId="0" applyNumberFormat="1" applyFont="1" applyFill="1" applyBorder="1" applyAlignment="1">
      <alignment horizontal="left" vertical="center"/>
    </xf>
    <xf numFmtId="165" fontId="2" fillId="17" borderId="53" xfId="1" applyNumberFormat="1" applyFont="1" applyFill="1" applyBorder="1" applyAlignment="1">
      <alignment horizontal="left" vertical="center"/>
    </xf>
    <xf numFmtId="165" fontId="9" fillId="0" borderId="53" xfId="1" applyNumberFormat="1" applyFont="1" applyBorder="1" applyAlignment="1">
      <alignment horizontal="left" vertical="center"/>
    </xf>
    <xf numFmtId="165" fontId="0" fillId="17" borderId="53" xfId="0" applyNumberFormat="1" applyFont="1" applyFill="1" applyBorder="1" applyAlignment="1">
      <alignment horizontal="left" vertical="center"/>
    </xf>
    <xf numFmtId="165" fontId="0" fillId="17" borderId="65" xfId="0" applyNumberFormat="1" applyFont="1" applyFill="1" applyBorder="1" applyAlignment="1">
      <alignment horizontal="left" vertical="center"/>
    </xf>
    <xf numFmtId="165" fontId="0" fillId="0" borderId="32" xfId="0" applyNumberFormat="1" applyFont="1" applyBorder="1" applyAlignment="1">
      <alignment horizontal="left" vertical="center"/>
    </xf>
    <xf numFmtId="165" fontId="0" fillId="17" borderId="32" xfId="0" applyNumberFormat="1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42" xfId="0" applyFont="1" applyFill="1" applyBorder="1" applyAlignment="1">
      <alignment horizontal="left" vertical="center"/>
    </xf>
    <xf numFmtId="0" fontId="3" fillId="2" borderId="68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0" fillId="0" borderId="33" xfId="0" applyBorder="1" applyAlignment="1">
      <alignment horizontal="right" vertical="center"/>
    </xf>
    <xf numFmtId="0" fontId="0" fillId="0" borderId="38" xfId="0" applyBorder="1" applyAlignment="1">
      <alignment horizontal="right" vertical="center"/>
    </xf>
    <xf numFmtId="0" fontId="2" fillId="17" borderId="17" xfId="0" applyFont="1" applyFill="1" applyBorder="1" applyAlignment="1">
      <alignment horizontal="left" vertical="center"/>
    </xf>
    <xf numFmtId="165" fontId="2" fillId="17" borderId="51" xfId="0" applyNumberFormat="1" applyFont="1" applyFill="1" applyBorder="1" applyAlignment="1">
      <alignment horizontal="left" vertical="center"/>
    </xf>
    <xf numFmtId="165" fontId="2" fillId="17" borderId="54" xfId="0" applyNumberFormat="1" applyFont="1" applyFill="1" applyBorder="1" applyAlignment="1">
      <alignment horizontal="left" vertical="center"/>
    </xf>
    <xf numFmtId="165" fontId="0" fillId="17" borderId="69" xfId="0" applyNumberFormat="1" applyFont="1" applyFill="1" applyBorder="1" applyAlignment="1">
      <alignment horizontal="left" vertical="center"/>
    </xf>
    <xf numFmtId="9" fontId="9" fillId="17" borderId="70" xfId="3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165" fontId="0" fillId="2" borderId="42" xfId="0" applyNumberFormat="1" applyFill="1" applyBorder="1" applyAlignment="1">
      <alignment horizontal="left" vertical="center"/>
    </xf>
    <xf numFmtId="165" fontId="0" fillId="2" borderId="68" xfId="0" applyNumberFormat="1" applyFill="1" applyBorder="1" applyAlignment="1">
      <alignment horizontal="left" vertical="center"/>
    </xf>
    <xf numFmtId="165" fontId="0" fillId="2" borderId="30" xfId="0" applyNumberFormat="1" applyFill="1" applyBorder="1" applyAlignment="1">
      <alignment horizontal="left" vertical="center"/>
    </xf>
    <xf numFmtId="9" fontId="9" fillId="2" borderId="31" xfId="3" applyFill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5" xfId="0" applyBorder="1" applyAlignment="1">
      <alignment horizontal="right" vertical="center"/>
    </xf>
    <xf numFmtId="0" fontId="12" fillId="2" borderId="42" xfId="0" applyFont="1" applyFill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165" fontId="0" fillId="18" borderId="43" xfId="1" applyNumberFormat="1" applyFont="1" applyFill="1" applyBorder="1" applyAlignment="1">
      <alignment horizontal="right" vertical="center"/>
    </xf>
    <xf numFmtId="165" fontId="0" fillId="18" borderId="38" xfId="1" applyNumberFormat="1" applyFont="1" applyFill="1" applyBorder="1" applyAlignment="1">
      <alignment horizontal="right" vertical="center"/>
    </xf>
    <xf numFmtId="165" fontId="0" fillId="18" borderId="67" xfId="1" applyNumberFormat="1" applyFont="1" applyFill="1" applyBorder="1" applyAlignment="1">
      <alignment horizontal="right" vertical="center"/>
    </xf>
    <xf numFmtId="165" fontId="0" fillId="18" borderId="35" xfId="1" applyNumberFormat="1" applyFont="1" applyFill="1" applyBorder="1" applyAlignment="1">
      <alignment horizontal="right" vertical="center"/>
    </xf>
    <xf numFmtId="0" fontId="0" fillId="18" borderId="65" xfId="0" applyFill="1" applyBorder="1" applyAlignment="1">
      <alignment horizontal="right" vertical="center"/>
    </xf>
    <xf numFmtId="0" fontId="0" fillId="18" borderId="34" xfId="0" applyFill="1" applyBorder="1" applyAlignment="1">
      <alignment horizontal="right" vertical="center"/>
    </xf>
    <xf numFmtId="165" fontId="0" fillId="2" borderId="31" xfId="1" applyNumberFormat="1" applyFont="1" applyFill="1" applyBorder="1" applyAlignment="1">
      <alignment horizontal="centerContinuous" vertical="center"/>
    </xf>
    <xf numFmtId="165" fontId="2" fillId="2" borderId="42" xfId="1" applyNumberFormat="1" applyFont="1" applyFill="1" applyBorder="1" applyAlignment="1">
      <alignment horizontal="centerContinuous" vertical="center"/>
    </xf>
    <xf numFmtId="0" fontId="0" fillId="0" borderId="32" xfId="0" applyFont="1" applyBorder="1" applyAlignment="1">
      <alignment horizontal="left" vertical="center"/>
    </xf>
    <xf numFmtId="0" fontId="0" fillId="0" borderId="65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0" fillId="18" borderId="70" xfId="0" applyFill="1" applyBorder="1" applyAlignment="1">
      <alignment horizontal="right" vertical="center"/>
    </xf>
    <xf numFmtId="10" fontId="9" fillId="18" borderId="31" xfId="2" applyNumberFormat="1" applyFill="1" applyBorder="1" applyAlignment="1">
      <alignment horizontal="right" vertical="center"/>
    </xf>
    <xf numFmtId="0" fontId="0" fillId="0" borderId="34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164" fontId="0" fillId="0" borderId="33" xfId="0" applyNumberFormat="1" applyBorder="1" applyAlignment="1">
      <alignment horizontal="right" vertical="center"/>
    </xf>
    <xf numFmtId="164" fontId="0" fillId="0" borderId="38" xfId="0" applyNumberFormat="1" applyFont="1" applyBorder="1" applyAlignment="1">
      <alignment horizontal="right" vertical="center"/>
    </xf>
    <xf numFmtId="164" fontId="0" fillId="0" borderId="35" xfId="0" applyNumberFormat="1" applyFont="1" applyBorder="1" applyAlignment="1">
      <alignment horizontal="right" vertical="center"/>
    </xf>
    <xf numFmtId="0" fontId="3" fillId="2" borderId="41" xfId="0" applyFont="1" applyFill="1" applyBorder="1" applyAlignment="1">
      <alignment horizontal="left" vertical="center"/>
    </xf>
    <xf numFmtId="44" fontId="3" fillId="2" borderId="41" xfId="1" applyFont="1" applyFill="1" applyBorder="1" applyAlignment="1">
      <alignment horizontal="left" vertical="center"/>
    </xf>
    <xf numFmtId="44" fontId="3" fillId="2" borderId="31" xfId="1" applyFont="1" applyFill="1" applyBorder="1" applyAlignment="1">
      <alignment horizontal="left" vertical="center"/>
    </xf>
    <xf numFmtId="44" fontId="0" fillId="0" borderId="38" xfId="0" applyNumberFormat="1" applyBorder="1" applyAlignment="1">
      <alignment horizontal="right" vertical="center"/>
    </xf>
    <xf numFmtId="44" fontId="0" fillId="0" borderId="35" xfId="0" applyNumberFormat="1" applyBorder="1" applyAlignment="1">
      <alignment horizontal="right" vertical="center"/>
    </xf>
    <xf numFmtId="10" fontId="0" fillId="0" borderId="38" xfId="0" applyNumberFormat="1" applyBorder="1" applyAlignment="1">
      <alignment horizontal="right" vertical="center"/>
    </xf>
    <xf numFmtId="44" fontId="0" fillId="0" borderId="33" xfId="0" applyNumberFormat="1" applyBorder="1" applyAlignment="1">
      <alignment horizontal="right" vertical="center"/>
    </xf>
    <xf numFmtId="0" fontId="0" fillId="0" borderId="46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2" borderId="56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0" fillId="0" borderId="48" xfId="0" applyFont="1" applyBorder="1" applyAlignment="1">
      <alignment horizontal="right" vertical="center"/>
    </xf>
    <xf numFmtId="0" fontId="0" fillId="0" borderId="32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7" fontId="0" fillId="0" borderId="63" xfId="0" applyNumberFormat="1" applyFont="1" applyBorder="1" applyAlignment="1">
      <alignment horizontal="right" vertical="center"/>
    </xf>
    <xf numFmtId="167" fontId="0" fillId="0" borderId="49" xfId="0" applyNumberFormat="1" applyFont="1" applyBorder="1" applyAlignment="1">
      <alignment horizontal="right" vertical="center"/>
    </xf>
    <xf numFmtId="167" fontId="9" fillId="0" borderId="62" xfId="1" applyNumberFormat="1" applyFont="1" applyBorder="1" applyAlignment="1">
      <alignment horizontal="right" vertical="center"/>
    </xf>
    <xf numFmtId="167" fontId="9" fillId="0" borderId="33" xfId="1" applyNumberFormat="1" applyFont="1" applyBorder="1" applyAlignment="1">
      <alignment horizontal="right" vertical="center"/>
    </xf>
    <xf numFmtId="167" fontId="9" fillId="0" borderId="62" xfId="2" applyNumberFormat="1" applyFont="1" applyBorder="1" applyAlignment="1">
      <alignment horizontal="right" vertical="center"/>
    </xf>
    <xf numFmtId="167" fontId="9" fillId="0" borderId="33" xfId="2" applyNumberFormat="1" applyFont="1" applyBorder="1" applyAlignment="1">
      <alignment horizontal="right" vertical="center"/>
    </xf>
    <xf numFmtId="167" fontId="0" fillId="0" borderId="64" xfId="0" applyNumberFormat="1" applyFont="1" applyBorder="1" applyAlignment="1">
      <alignment horizontal="right" vertical="center"/>
    </xf>
    <xf numFmtId="167" fontId="0" fillId="0" borderId="35" xfId="0" applyNumberFormat="1" applyFont="1" applyBorder="1" applyAlignment="1">
      <alignment horizontal="right" vertical="center"/>
    </xf>
    <xf numFmtId="167" fontId="0" fillId="0" borderId="43" xfId="0" applyNumberFormat="1" applyFont="1" applyBorder="1" applyAlignment="1">
      <alignment horizontal="right" vertical="center"/>
    </xf>
    <xf numFmtId="167" fontId="0" fillId="0" borderId="37" xfId="0" applyNumberFormat="1" applyFont="1" applyBorder="1" applyAlignment="1">
      <alignment horizontal="right" vertical="center"/>
    </xf>
    <xf numFmtId="167" fontId="0" fillId="0" borderId="62" xfId="0" applyNumberFormat="1" applyFont="1" applyBorder="1" applyAlignment="1">
      <alignment horizontal="right" vertical="center"/>
    </xf>
    <xf numFmtId="167" fontId="0" fillId="0" borderId="67" xfId="0" applyNumberFormat="1" applyFont="1" applyBorder="1" applyAlignment="1">
      <alignment horizontal="right" vertical="center"/>
    </xf>
    <xf numFmtId="167" fontId="0" fillId="0" borderId="66" xfId="0" applyNumberFormat="1" applyFont="1" applyBorder="1" applyAlignment="1">
      <alignment horizontal="right" vertical="center"/>
    </xf>
    <xf numFmtId="0" fontId="0" fillId="18" borderId="51" xfId="0" applyFill="1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44" fontId="9" fillId="18" borderId="42" xfId="1" applyFill="1" applyBorder="1" applyAlignment="1">
      <alignment horizontal="left" vertical="center"/>
    </xf>
    <xf numFmtId="167" fontId="0" fillId="0" borderId="65" xfId="0" applyNumberFormat="1" applyBorder="1" applyAlignment="1">
      <alignment horizontal="right" vertical="center"/>
    </xf>
    <xf numFmtId="167" fontId="0" fillId="0" borderId="38" xfId="0" applyNumberFormat="1" applyBorder="1" applyAlignment="1">
      <alignment horizontal="right" vertical="center"/>
    </xf>
    <xf numFmtId="167" fontId="0" fillId="0" borderId="32" xfId="0" applyNumberFormat="1" applyBorder="1" applyAlignment="1">
      <alignment horizontal="right" vertical="center"/>
    </xf>
    <xf numFmtId="167" fontId="0" fillId="0" borderId="33" xfId="0" applyNumberFormat="1" applyBorder="1" applyAlignment="1">
      <alignment horizontal="right" vertical="center"/>
    </xf>
    <xf numFmtId="165" fontId="0" fillId="2" borderId="72" xfId="0" applyNumberFormat="1" applyFill="1" applyBorder="1" applyAlignment="1">
      <alignment horizontal="right" vertical="center"/>
    </xf>
    <xf numFmtId="165" fontId="0" fillId="2" borderId="73" xfId="0" applyNumberFormat="1" applyFill="1" applyBorder="1" applyAlignment="1">
      <alignment horizontal="right" vertical="center"/>
    </xf>
    <xf numFmtId="167" fontId="0" fillId="0" borderId="48" xfId="0" applyNumberFormat="1" applyBorder="1" applyAlignment="1">
      <alignment horizontal="right" vertical="center"/>
    </xf>
    <xf numFmtId="167" fontId="0" fillId="0" borderId="49" xfId="0" applyNumberFormat="1" applyBorder="1" applyAlignment="1">
      <alignment horizontal="right" vertical="center"/>
    </xf>
    <xf numFmtId="9" fontId="9" fillId="0" borderId="13" xfId="3" applyBorder="1"/>
    <xf numFmtId="9" fontId="9" fillId="0" borderId="35" xfId="3" applyBorder="1"/>
    <xf numFmtId="167" fontId="3" fillId="0" borderId="33" xfId="0" applyNumberFormat="1" applyFont="1" applyBorder="1" applyAlignment="1">
      <alignment horizontal="right" vertical="center"/>
    </xf>
    <xf numFmtId="167" fontId="0" fillId="0" borderId="69" xfId="0" applyNumberFormat="1" applyBorder="1" applyAlignment="1">
      <alignment horizontal="right" vertical="center"/>
    </xf>
    <xf numFmtId="167" fontId="3" fillId="0" borderId="70" xfId="0" applyNumberFormat="1" applyFont="1" applyBorder="1" applyAlignment="1">
      <alignment horizontal="right" vertical="center"/>
    </xf>
    <xf numFmtId="167" fontId="0" fillId="2" borderId="30" xfId="0" applyNumberFormat="1" applyFill="1" applyBorder="1" applyAlignment="1">
      <alignment horizontal="right" vertical="center"/>
    </xf>
    <xf numFmtId="167" fontId="0" fillId="2" borderId="31" xfId="0" applyNumberFormat="1" applyFill="1" applyBorder="1" applyAlignment="1">
      <alignment horizontal="right" vertical="center"/>
    </xf>
    <xf numFmtId="44" fontId="0" fillId="0" borderId="43" xfId="5" applyFont="1" applyBorder="1" applyAlignment="1">
      <alignment horizontal="right" vertical="center"/>
    </xf>
  </cellXfs>
  <cellStyles count="6">
    <cellStyle name="Денежный" xfId="5" builtinId="4"/>
    <cellStyle name="Денежный 2" xfId="1" xr:uid="{00000000-0005-0000-0000-000001000000}"/>
    <cellStyle name="Обычный" xfId="0" builtinId="0"/>
    <cellStyle name="Процентный" xfId="3" builtinId="5"/>
    <cellStyle name="Процентный 2" xfId="2" xr:uid="{00000000-0005-0000-0000-000002000000}"/>
    <cellStyle name="Финансовый" xfId="4" builtinId="3"/>
  </cellStyles>
  <dxfs count="23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BD-406B-8284-DED9545584C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BD-406B-8284-DED9545584C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BD-406B-8284-DED9545584C9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January!$J$19:$J$21</c:f>
              <c:numCache>
                <c:formatCode>_("₽"* #,##0.00_);_("₽"* \(#,##0.00\);_("₽"* "-"??_);_(@_)</c:formatCode>
                <c:ptCount val="3"/>
                <c:pt idx="0">
                  <c:v>15592</c:v>
                </c:pt>
                <c:pt idx="1">
                  <c:v>3000</c:v>
                </c:pt>
                <c:pt idx="2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D-406B-8284-DED9545584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Сводка!$A$3</c:f>
              <c:strCache>
                <c:ptCount val="1"/>
                <c:pt idx="0">
                  <c:v>Аренда жилья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Сводка!$B$3:$M$3</c:f>
              <c:numCache>
                <c:formatCode>_-* #\ ##0.00\ [$₽-419]_-;\-* #\ ##0.00\ [$₽-419]_-;_-* "-"??\ [$₽-419]_-;_-@_-</c:formatCode>
                <c:ptCount val="12"/>
                <c:pt idx="0">
                  <c:v>16610</c:v>
                </c:pt>
                <c:pt idx="1">
                  <c:v>17530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5-4E00-B127-F3979E52F7BC}"/>
            </c:ext>
          </c:extLst>
        </c:ser>
        <c:ser>
          <c:idx val="1"/>
          <c:order val="1"/>
          <c:tx>
            <c:strRef>
              <c:f>Сводка!$A$4</c:f>
              <c:strCache>
                <c:ptCount val="1"/>
                <c:pt idx="0">
                  <c:v>Для дома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Сводка!$B$4:$M$4</c:f>
              <c:numCache>
                <c:formatCode>_-* #\ ##0.00\ [$₽-419]_-;\-* #\ ##0.00\ [$₽-419]_-;_-* "-"??\ [$₽-419]_-;_-@_-</c:formatCode>
                <c:ptCount val="12"/>
                <c:pt idx="0">
                  <c:v>1525</c:v>
                </c:pt>
                <c:pt idx="1">
                  <c:v>895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5-4E00-B127-F3979E52F7BC}"/>
            </c:ext>
          </c:extLst>
        </c:ser>
        <c:ser>
          <c:idx val="2"/>
          <c:order val="2"/>
          <c:tx>
            <c:strRef>
              <c:f>Сводка!$A$5</c:f>
              <c:strCache>
                <c:ptCount val="1"/>
                <c:pt idx="0">
                  <c:v>Питание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Сводка!$B$5:$M$5</c:f>
              <c:numCache>
                <c:formatCode>_-* #\ ##0.00\ [$₽-419]_-;\-* #\ ##0.00\ [$₽-419]_-;_-* "-"??\ [$₽-419]_-;_-@_-</c:formatCode>
                <c:ptCount val="12"/>
                <c:pt idx="0">
                  <c:v>8327.85</c:v>
                </c:pt>
                <c:pt idx="1">
                  <c:v>9620.66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5-4E00-B127-F3979E52F7BC}"/>
            </c:ext>
          </c:extLst>
        </c:ser>
        <c:ser>
          <c:idx val="3"/>
          <c:order val="3"/>
          <c:tx>
            <c:strRef>
              <c:f>Сводка!$A$6</c:f>
              <c:strCache>
                <c:ptCount val="1"/>
                <c:pt idx="0">
                  <c:v>Интернет подписки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Сводка!$B$6:$M$6</c:f>
              <c:numCache>
                <c:formatCode>_-* #\ ##0.00\ [$₽-419]_-;\-* #\ ##0.00\ [$₽-419]_-;_-* "-"??\ [$₽-419]_-;_-@_-</c:formatCode>
                <c:ptCount val="12"/>
                <c:pt idx="0">
                  <c:v>1242</c:v>
                </c:pt>
                <c:pt idx="1">
                  <c:v>592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5-4E00-B127-F3979E52F7BC}"/>
            </c:ext>
          </c:extLst>
        </c:ser>
        <c:ser>
          <c:idx val="4"/>
          <c:order val="4"/>
          <c:tx>
            <c:strRef>
              <c:f>Сводка!$A$7</c:f>
              <c:strCache>
                <c:ptCount val="1"/>
                <c:pt idx="0">
                  <c:v>Одежда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Сводка!$B$7:$M$7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5-4E00-B127-F3979E52F7BC}"/>
            </c:ext>
          </c:extLst>
        </c:ser>
        <c:ser>
          <c:idx val="5"/>
          <c:order val="5"/>
          <c:tx>
            <c:strRef>
              <c:f>Сводка!$A$8</c:f>
              <c:strCache>
                <c:ptCount val="1"/>
                <c:pt idx="0">
                  <c:v>Передвижение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Сводка!$B$8:$M$8</c:f>
              <c:numCache>
                <c:formatCode>_-* #\ ##0.00\ [$₽-419]_-;\-* #\ ##0.00\ [$₽-419]_-;_-* "-"??\ [$₽-419]_-;_-@_-</c:formatCode>
                <c:ptCount val="12"/>
                <c:pt idx="0">
                  <c:v>633</c:v>
                </c:pt>
                <c:pt idx="1">
                  <c:v>457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15-4E00-B127-F3979E52F7BC}"/>
            </c:ext>
          </c:extLst>
        </c:ser>
        <c:ser>
          <c:idx val="6"/>
          <c:order val="6"/>
          <c:tx>
            <c:strRef>
              <c:f>Сводка!$A$9</c:f>
              <c:strCache>
                <c:ptCount val="1"/>
                <c:pt idx="0">
                  <c:v>Техника (для себя)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Сводка!$B$9:$M$9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15-4E00-B127-F3979E52F7BC}"/>
            </c:ext>
          </c:extLst>
        </c:ser>
        <c:ser>
          <c:idx val="7"/>
          <c:order val="7"/>
          <c:tx>
            <c:strRef>
              <c:f>Сводка!$A$10</c:f>
              <c:strCache>
                <c:ptCount val="1"/>
                <c:pt idx="0">
                  <c:v>Уход за собой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Сводка!$B$10:$M$10</c:f>
              <c:numCache>
                <c:formatCode>_-* #\ ##0.00\ [$₽-419]_-;\-* #\ ##0.00\ [$₽-419]_-;_-* "-"??\ [$₽-419]_-;_-@_-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15-4E00-B127-F3979E52F7BC}"/>
            </c:ext>
          </c:extLst>
        </c:ser>
        <c:ser>
          <c:idx val="8"/>
          <c:order val="8"/>
          <c:tx>
            <c:strRef>
              <c:f>Сводка!$A$11</c:f>
              <c:strCache>
                <c:ptCount val="1"/>
                <c:pt idx="0">
                  <c:v>Машина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Сводка!$B$11:$M$11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5-4E00-B127-F3979E52F7BC}"/>
            </c:ext>
          </c:extLst>
        </c:ser>
        <c:ser>
          <c:idx val="9"/>
          <c:order val="9"/>
          <c:tx>
            <c:strRef>
              <c:f>Сводка!$A$12</c:f>
              <c:strCache>
                <c:ptCount val="1"/>
                <c:pt idx="0">
                  <c:v>Отношения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Сводка!$B$12:$M$12</c:f>
              <c:numCache>
                <c:formatCode>_-* #\ ##0.00\ [$₽-419]_-;\-* #\ ##0.00\ [$₽-419]_-;_-* "-"??\ [$₽-419]_-;_-@_-</c:formatCode>
                <c:ptCount val="12"/>
                <c:pt idx="0">
                  <c:v>4589</c:v>
                </c:pt>
                <c:pt idx="1">
                  <c:v>2283.98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15-4E00-B127-F3979E52F7BC}"/>
            </c:ext>
          </c:extLst>
        </c:ser>
        <c:ser>
          <c:idx val="10"/>
          <c:order val="10"/>
          <c:tx>
            <c:strRef>
              <c:f>Сводка!$A$13</c:f>
              <c:strCache>
                <c:ptCount val="1"/>
                <c:pt idx="0">
                  <c:v>Подарки семье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Сводка!$B$13:$M$13</c:f>
              <c:numCache>
                <c:formatCode>_-* #\ ##0.00\ [$₽-419]_-;\-* #\ ##0.00\ [$₽-419]_-;_-* "-"??\ [$₽-419]_-;_-@_-</c:formatCode>
                <c:ptCount val="12"/>
                <c:pt idx="0">
                  <c:v>600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5-4E00-B127-F3979E52F7BC}"/>
            </c:ext>
          </c:extLst>
        </c:ser>
        <c:ser>
          <c:idx val="11"/>
          <c:order val="11"/>
          <c:tx>
            <c:strRef>
              <c:f>Сводка!$A$14</c:f>
              <c:strCache>
                <c:ptCount val="1"/>
                <c:pt idx="0">
                  <c:v>Подарки друзьям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Сводка!$B$14:$M$14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15-4E00-B127-F3979E52F7BC}"/>
            </c:ext>
          </c:extLst>
        </c:ser>
        <c:ser>
          <c:idx val="12"/>
          <c:order val="12"/>
          <c:tx>
            <c:strRef>
              <c:f>Сводка!$A$15</c:f>
              <c:strCache>
                <c:ptCount val="1"/>
                <c:pt idx="0">
                  <c:v>Путешествия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Сводка!$B$15:$M$15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5-4E00-B127-F3979E52F7BC}"/>
            </c:ext>
          </c:extLst>
        </c:ser>
        <c:ser>
          <c:idx val="13"/>
          <c:order val="13"/>
          <c:tx>
            <c:strRef>
              <c:f>Сводка!$A$16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Сводка!$B$16:$M$16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15-4E00-B127-F3979E52F7BC}"/>
            </c:ext>
          </c:extLst>
        </c:ser>
        <c:ser>
          <c:idx val="14"/>
          <c:order val="14"/>
          <c:tx>
            <c:strRef>
              <c:f>Сводка!$A$17</c:f>
              <c:strCache>
                <c:ptCount val="1"/>
                <c:pt idx="0">
                  <c:v>Учёба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Сводка!$B$17:$M$17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15-4E00-B127-F3979E52F7BC}"/>
            </c:ext>
          </c:extLst>
        </c:ser>
        <c:ser>
          <c:idx val="15"/>
          <c:order val="15"/>
          <c:tx>
            <c:strRef>
              <c:f>Сводка!$A$18</c:f>
              <c:strCache>
                <c:ptCount val="1"/>
                <c:pt idx="0">
                  <c:v>Развлечения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Сводка!$B$18:$M$18</c:f>
              <c:numCache>
                <c:formatCode>_-* #\ ##0.00\ [$₽-419]_-;\-* #\ ##0.00\ [$₽-419]_-;_-* "-"??\ [$₽-419]_-;_-@_-</c:formatCode>
                <c:ptCount val="12"/>
                <c:pt idx="0">
                  <c:v>1411.21</c:v>
                </c:pt>
                <c:pt idx="1">
                  <c:v>2533.9499999999998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15-4E00-B127-F3979E52F7BC}"/>
            </c:ext>
          </c:extLst>
        </c:ser>
        <c:ser>
          <c:idx val="16"/>
          <c:order val="16"/>
          <c:tx>
            <c:strRef>
              <c:f>Сводка!$A$19</c:f>
              <c:strCache>
                <c:ptCount val="1"/>
                <c:pt idx="0">
                  <c:v>Вредные привычки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Сводка!$B$19:$M$19</c:f>
              <c:numCache>
                <c:formatCode>_-* #\ ##0.00\ [$₽-419]_-;\-* #\ ##0.00\ [$₽-419]_-;_-* "-"??\ [$₽-419]_-;_-@_-</c:formatCode>
                <c:ptCount val="12"/>
                <c:pt idx="0">
                  <c:v>590</c:v>
                </c:pt>
                <c:pt idx="1">
                  <c:v>500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5-4E00-B127-F3979E52F7BC}"/>
            </c:ext>
          </c:extLst>
        </c:ser>
        <c:ser>
          <c:idx val="17"/>
          <c:order val="17"/>
          <c:tx>
            <c:strRef>
              <c:f>Сводка!$A$20</c:f>
              <c:strCache>
                <c:ptCount val="1"/>
                <c:pt idx="0">
                  <c:v>Вкусняшки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Сводка!$B$20:$M$20</c:f>
              <c:numCache>
                <c:formatCode>_-* #\ ##0.00\ [$₽-419]_-;\-* #\ ##0.00\ [$₽-419]_-;_-* "-"??\ [$₽-419]_-;_-@_-</c:formatCode>
                <c:ptCount val="12"/>
                <c:pt idx="0">
                  <c:v>2106.4699999999998</c:v>
                </c:pt>
                <c:pt idx="1">
                  <c:v>2492.27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15-4E00-B127-F3979E52F7BC}"/>
            </c:ext>
          </c:extLst>
        </c:ser>
        <c:ser>
          <c:idx val="18"/>
          <c:order val="18"/>
          <c:tx>
            <c:strRef>
              <c:f>Сводка!$A$21</c:f>
              <c:strCache>
                <c:ptCount val="1"/>
                <c:pt idx="0">
                  <c:v>Кот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Сводка!$B$21:$M$21</c:f>
              <c:numCache>
                <c:formatCode>_-* #\ ##0.00\ [$₽-419]_-;\-* #\ ##0.00\ [$₽-419]_-;_-* "-"??\ [$₽-419]_-;_-@_-</c:formatCode>
                <c:ptCount val="12"/>
                <c:pt idx="0">
                  <c:v>760.85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15-4E00-B127-F3979E52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911360"/>
        <c:axId val="828896800"/>
      </c:barChart>
      <c:catAx>
        <c:axId val="82891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896800"/>
        <c:crosses val="autoZero"/>
        <c:auto val="1"/>
        <c:lblAlgn val="ctr"/>
        <c:lblOffset val="100"/>
        <c:noMultiLvlLbl val="0"/>
      </c:catAx>
      <c:valAx>
        <c:axId val="8288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113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en-US"/>
              <a:t> &amp; </a:t>
            </a:r>
            <a:r>
              <a:rPr lang="ru-RU"/>
              <a:t>Расходы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Расходы</c:v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Сводка!$B$22:$M$22</c:f>
              <c:numCache>
                <c:formatCode>_-* #\ ##0.00\ [$₽-419]_-;\-* #\ ##0.00\ [$₽-419]_-;_-* "-"??\ [$₽-419]_-;_-@_-</c:formatCode>
                <c:ptCount val="12"/>
                <c:pt idx="0">
                  <c:v>38695.379999999997</c:v>
                </c:pt>
                <c:pt idx="1">
                  <c:v>37204.859999999993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0-4A9A-8A7A-358A2C895995}"/>
            </c:ext>
          </c:extLst>
        </c:ser>
        <c:ser>
          <c:idx val="1"/>
          <c:order val="1"/>
          <c:tx>
            <c:v>Доходы</c:v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Сводка!$B$28:$M$28</c:f>
              <c:numCache>
                <c:formatCode>_-* #\ ##0.00\ [$₽-419]_-;\-* #\ ##0.00\ [$₽-419]_-;_-* "-"??\ [$₽-419]_-;_-@_-</c:formatCode>
                <c:ptCount val="12"/>
                <c:pt idx="0">
                  <c:v>58468</c:v>
                </c:pt>
                <c:pt idx="1">
                  <c:v>62935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0-4A9A-8A7A-358A2C895995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0-4A9A-8A7A-358A2C895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787040"/>
        <c:axId val="690770400"/>
      </c:lineChart>
      <c:catAx>
        <c:axId val="6907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70400"/>
        <c:crosses val="autoZero"/>
        <c:auto val="1"/>
        <c:lblAlgn val="ctr"/>
        <c:lblOffset val="100"/>
        <c:noMultiLvlLbl val="0"/>
      </c:catAx>
      <c:valAx>
        <c:axId val="690770400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8704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6B-4EF2-9978-9C05F315AA5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6B-4EF2-9978-9C05F315AA5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6B-4EF2-9978-9C05F315AA5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Шаблон!$J$19:$J$21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B-4EF2-9978-9C05F315AA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02-425A-9CCE-AB51FFC0C52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02-425A-9CCE-AB51FFC0C52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02-425A-9CCE-AB51FFC0C524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02-425A-9CCE-AB51FFC0C524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02-425A-9CCE-AB51FFC0C524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02-425A-9CCE-AB51FFC0C524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Шаблон!$L$19:$L$21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02-425A-9CCE-AB51FFC0C5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FED-4472-841D-FB9C277B2B1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FED-4472-841D-FB9C277B2B1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FED-4472-841D-FB9C277B2B1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FED-4472-841D-FB9C277B2B1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(Шаблон!$I$8:$I$10,Шаблон!$I$12)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(Шаблон!$K$8:$K$10,Шаблон!$K$12)</c:f>
              <c:numCache>
                <c:formatCode>_-* #\ ##0.00\ [$₽-419]_-;\-* #\ ##0.00\ [$₽-419]_-;_-* "-"??\ [$₽-419]_-;_-@_-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D-4472-841D-FB9C277B2B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85-4610-AAF1-A23D75C71A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85-4610-AAF1-A23D75C71A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85-4610-AAF1-A23D75C71A73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85-4610-AAF1-A23D75C71A73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85-4610-AAF1-A23D75C71A73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85-4610-AAF1-A23D75C71A73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January!$L$19:$L$21</c:f>
              <c:numCache>
                <c:formatCode>_("₽"* #,##0.00_);_("₽"* \(#,##0.00\);_("₽"* "-"??_);_(@_)</c:formatCode>
                <c:ptCount val="3"/>
                <c:pt idx="0">
                  <c:v>28637.85</c:v>
                </c:pt>
                <c:pt idx="1">
                  <c:v>5189</c:v>
                </c:pt>
                <c:pt idx="2">
                  <c:v>4868.5300000000007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85-4610-AAF1-A23D75C71A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DD-4C21-ADC8-C576BFB766C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DD-4C21-ADC8-C576BFB766C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0DD-4C21-ADC8-C576BFB766C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0DD-4C21-ADC8-C576BFB766C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(January!$I$8:$I$10,January!$I$12)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(January!$K$8:$K$10,January!$K$12)</c:f>
              <c:numCache>
                <c:formatCode>_-* #\ ##0.00\ [$₽-419]_-;\-* #\ ##0.00\ [$₽-419]_-;_-* "-"??\ [$₽-419]_-;_-@_-</c:formatCode>
                <c:ptCount val="4"/>
                <c:pt idx="0">
                  <c:v>55015</c:v>
                </c:pt>
                <c:pt idx="1">
                  <c:v>0</c:v>
                </c:pt>
                <c:pt idx="2">
                  <c:v>3300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DD-4C21-ADC8-C576BFB766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DC-464F-87C9-0E8FDE925F4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9DC-464F-87C9-0E8FDE925F4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9DC-464F-87C9-0E8FDE925F4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February!$J$19:$J$21</c:f>
              <c:numCache>
                <c:formatCode>_("₽"* #,##0.00_);_("₽"* \(#,##0.00\);_("₽"* "-"??_);_(@_)</c:formatCode>
                <c:ptCount val="3"/>
                <c:pt idx="0">
                  <c:v>33892</c:v>
                </c:pt>
                <c:pt idx="1">
                  <c:v>3000</c:v>
                </c:pt>
                <c:pt idx="2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C-464F-87C9-0E8FDE925F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71-42AA-B539-53F3F361605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71-42AA-B539-53F3F361605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71-42AA-B539-53F3F3616052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71-42AA-B539-53F3F3616052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71-42AA-B539-53F3F3616052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71-42AA-B539-53F3F3616052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February!$L$19:$L$21</c:f>
              <c:numCache>
                <c:formatCode>_("₽"* #,##0.00_);_("₽"* \(#,##0.00\);_("₽"* "-"??_);_(@_)</c:formatCode>
                <c:ptCount val="3"/>
                <c:pt idx="0">
                  <c:v>29394.66</c:v>
                </c:pt>
                <c:pt idx="1">
                  <c:v>2283.98</c:v>
                </c:pt>
                <c:pt idx="2">
                  <c:v>5526.2199999999993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1-42AA-B539-53F3F36160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47-46AE-B660-2F450F628B3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47-46AE-B660-2F450F628B3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047-46AE-B660-2F450F628B3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047-46AE-B660-2F450F628B3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(February!$I$8:$I$10,February!$I$12)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(February!$K$8:$K$10,February!$K$12)</c:f>
              <c:numCache>
                <c:formatCode>_-* #\ ##0.00\ [$₽-419]_-;\-* #\ ##0.00\ [$₽-419]_-;_-* "-"??\ [$₽-419]_-;_-@_-</c:formatCode>
                <c:ptCount val="4"/>
                <c:pt idx="0">
                  <c:v>60015</c:v>
                </c:pt>
                <c:pt idx="1">
                  <c:v>0</c:v>
                </c:pt>
                <c:pt idx="2">
                  <c:v>2551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47-46AE-B660-2F450F628B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Поступления и 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Сводка!$A$26</c:f>
              <c:strCache>
                <c:ptCount val="1"/>
                <c:pt idx="0">
                  <c:v>Зарплата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Сводка!$B$26:$M$26</c:f>
              <c:numCache>
                <c:formatCode>_-* #\ ##0.00\ [$₽-419]_-;\-* #\ ##0.00\ [$₽-419]_-;_-* "-"??\ [$₽-419]_-;_-@_-</c:formatCode>
                <c:ptCount val="12"/>
                <c:pt idx="0">
                  <c:v>55015</c:v>
                </c:pt>
                <c:pt idx="1">
                  <c:v>60015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A-4C48-B5C6-0717A59CDC9C}"/>
            </c:ext>
          </c:extLst>
        </c:ser>
        <c:ser>
          <c:idx val="1"/>
          <c:order val="1"/>
          <c:tx>
            <c:strRef>
              <c:f>Сводка!$A$27</c:f>
              <c:strCache>
                <c:ptCount val="1"/>
                <c:pt idx="0">
                  <c:v>Другие поступления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Сводка!$B$27:$M$27</c:f>
              <c:numCache>
                <c:formatCode>_-* #\ ##0.00\ [$₽-419]_-;\-* #\ ##0.00\ [$₽-419]_-;_-* "-"??\ [$₽-419]_-;_-@_-</c:formatCode>
                <c:ptCount val="12"/>
                <c:pt idx="0">
                  <c:v>3453</c:v>
                </c:pt>
                <c:pt idx="1">
                  <c:v>2920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A-4C48-B5C6-0717A59CDC9C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A-4C48-B5C6-0717A59C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7008"/>
        <c:axId val="265466176"/>
      </c:lineChart>
      <c:catAx>
        <c:axId val="2654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6176"/>
        <c:crosses val="autoZero"/>
        <c:auto val="1"/>
        <c:lblAlgn val="ctr"/>
        <c:lblOffset val="100"/>
        <c:noMultiLvlLbl val="0"/>
      </c:catAx>
      <c:valAx>
        <c:axId val="265466176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7008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A-4626-9A64-62853D084242}"/>
            </c:ext>
          </c:extLst>
        </c:ser>
        <c:ser>
          <c:idx val="1"/>
          <c:order val="1"/>
          <c:tx>
            <c:strRef>
              <c:f>Сводка!$A$32</c:f>
              <c:strCache>
                <c:ptCount val="1"/>
                <c:pt idx="0">
                  <c:v>Проценты на капитал (п.п.)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Сводка!$B$32:$M$32</c:f>
              <c:numCache>
                <c:formatCode>_-* #\ ##0.00\ [$₽-419]_-;\-* #\ ##0.00\ [$₽-419]_-;_-* "-"??\ [$₽-419]_-;_-@_-</c:formatCode>
                <c:ptCount val="12"/>
                <c:pt idx="0">
                  <c:v>8383.83</c:v>
                </c:pt>
                <c:pt idx="1">
                  <c:v>8462.5499999999993</c:v>
                </c:pt>
                <c:pt idx="2">
                  <c:v>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A-4626-9A64-62853D08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8256"/>
        <c:axId val="265475744"/>
      </c:lineChart>
      <c:catAx>
        <c:axId val="2654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75744"/>
        <c:crosses val="autoZero"/>
        <c:auto val="1"/>
        <c:lblAlgn val="ctr"/>
        <c:lblOffset val="100"/>
        <c:noMultiLvlLbl val="0"/>
      </c:catAx>
      <c:valAx>
        <c:axId val="265475744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825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ru-RU" sz="1600" b="1">
                <a:solidFill>
                  <a:schemeClr val="accent3">
                    <a:lumMod val="50000"/>
                  </a:schemeClr>
                </a:solidFill>
                <a:latin typeface="+mn-lt"/>
              </a:rPr>
              <a:t>СУММА</a:t>
            </a:r>
            <a:r>
              <a:rPr lang="ru-RU" sz="1600" b="1" baseline="0">
                <a:solidFill>
                  <a:schemeClr val="accent3">
                    <a:lumMod val="50000"/>
                  </a:schemeClr>
                </a:solidFill>
                <a:latin typeface="+mn-lt"/>
              </a:rPr>
              <a:t> КАПИТАЛА</a:t>
            </a:r>
            <a:endParaRPr lang="en-US" b="1">
              <a:solidFill>
                <a:schemeClr val="accent3">
                  <a:lumMod val="50000"/>
                </a:schemeClr>
              </a:solidFill>
              <a:latin typeface="+mn-lt"/>
            </a:endParaRPr>
          </a:p>
        </c:rich>
      </c:tx>
      <c:layout>
        <c:manualLayout>
          <c:xMode val="edge"/>
          <c:yMode val="edge"/>
          <c:x val="0.32022610946086832"/>
          <c:y val="2.946274567270755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Сводка!$A$35</c:f>
              <c:strCache>
                <c:ptCount val="1"/>
                <c:pt idx="0">
                  <c:v>Сумма капитала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Сводка!$B$35:$M$35</c:f>
              <c:numCache>
                <c:formatCode>_-* #\ ##0.00\ [$₽-419]_-;\-* #\ ##0.00\ [$₽-419]_-;_-* "-"??\ [$₽-419]_-;_-@_-</c:formatCode>
                <c:ptCount val="12"/>
                <c:pt idx="0">
                  <c:v>737177</c:v>
                </c:pt>
                <c:pt idx="1">
                  <c:v>769198.55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9-4750-B420-093E7E44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947552"/>
        <c:axId val="816945472"/>
      </c:lineChart>
      <c:catAx>
        <c:axId val="8169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5472"/>
        <c:crosses val="autoZero"/>
        <c:auto val="1"/>
        <c:lblAlgn val="ctr"/>
        <c:lblOffset val="100"/>
        <c:noMultiLvlLbl val="0"/>
      </c:catAx>
      <c:valAx>
        <c:axId val="816945472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7552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2722</xdr:rowOff>
    </xdr:from>
    <xdr:to>
      <xdr:col>11</xdr:col>
      <xdr:colOff>13608</xdr:colOff>
      <xdr:row>58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1</xdr:rowOff>
    </xdr:from>
    <xdr:to>
      <xdr:col>14</xdr:col>
      <xdr:colOff>312964</xdr:colOff>
      <xdr:row>58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58</xdr:row>
      <xdr:rowOff>21771</xdr:rowOff>
    </xdr:from>
    <xdr:to>
      <xdr:col>11</xdr:col>
      <xdr:colOff>13607</xdr:colOff>
      <xdr:row>72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2722</xdr:rowOff>
    </xdr:from>
    <xdr:to>
      <xdr:col>11</xdr:col>
      <xdr:colOff>13608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38</xdr:row>
      <xdr:rowOff>1</xdr:rowOff>
    </xdr:from>
    <xdr:to>
      <xdr:col>14</xdr:col>
      <xdr:colOff>323850</xdr:colOff>
      <xdr:row>59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21770</xdr:rowOff>
    </xdr:from>
    <xdr:to>
      <xdr:col>11</xdr:col>
      <xdr:colOff>13607</xdr:colOff>
      <xdr:row>73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99172</xdr:rowOff>
    </xdr:from>
    <xdr:to>
      <xdr:col>4</xdr:col>
      <xdr:colOff>561975</xdr:colOff>
      <xdr:row>49</xdr:row>
      <xdr:rowOff>175372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702608</xdr:colOff>
      <xdr:row>35</xdr:row>
      <xdr:rowOff>99172</xdr:rowOff>
    </xdr:from>
    <xdr:to>
      <xdr:col>10</xdr:col>
      <xdr:colOff>188258</xdr:colOff>
      <xdr:row>49</xdr:row>
      <xdr:rowOff>175372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319929</xdr:colOff>
      <xdr:row>35</xdr:row>
      <xdr:rowOff>108137</xdr:rowOff>
    </xdr:from>
    <xdr:to>
      <xdr:col>16</xdr:col>
      <xdr:colOff>519954</xdr:colOff>
      <xdr:row>50</xdr:row>
      <xdr:rowOff>5043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201706</xdr:rowOff>
    </xdr:from>
    <xdr:to>
      <xdr:col>27</xdr:col>
      <xdr:colOff>504265</xdr:colOff>
      <xdr:row>34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29135</xdr:rowOff>
    </xdr:from>
    <xdr:to>
      <xdr:col>10</xdr:col>
      <xdr:colOff>291352</xdr:colOff>
      <xdr:row>71</xdr:row>
      <xdr:rowOff>56029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144236</xdr:rowOff>
    </xdr:from>
    <xdr:to>
      <xdr:col>11</xdr:col>
      <xdr:colOff>13608</xdr:colOff>
      <xdr:row>52</xdr:row>
      <xdr:rowOff>24494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37</xdr:row>
      <xdr:rowOff>130629</xdr:rowOff>
    </xdr:from>
    <xdr:to>
      <xdr:col>14</xdr:col>
      <xdr:colOff>465364</xdr:colOff>
      <xdr:row>52</xdr:row>
      <xdr:rowOff>10887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52</xdr:row>
      <xdr:rowOff>119742</xdr:rowOff>
    </xdr:from>
    <xdr:to>
      <xdr:col>11</xdr:col>
      <xdr:colOff>2721</xdr:colOff>
      <xdr:row>67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zoomScale="70" zoomScaleNormal="70" workbookViewId="0">
      <selection activeCell="D65" sqref="D65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74" t="s">
        <v>0</v>
      </c>
      <c r="B1" s="265"/>
      <c r="C1" s="265"/>
      <c r="D1" s="265"/>
      <c r="E1" s="265"/>
      <c r="F1" s="265"/>
      <c r="G1" s="266"/>
      <c r="I1" s="264" t="s">
        <v>1</v>
      </c>
      <c r="J1" s="265"/>
      <c r="K1" s="265"/>
      <c r="L1" s="265"/>
      <c r="M1" s="265"/>
      <c r="N1" s="266"/>
      <c r="V1" s="110"/>
      <c r="W1" s="111"/>
      <c r="X1" s="112"/>
    </row>
    <row r="2" spans="1:24" ht="19.5" customHeight="1" thickBot="1" x14ac:dyDescent="0.35">
      <c r="A2" s="271"/>
      <c r="B2" s="263"/>
      <c r="C2" s="263"/>
      <c r="D2" s="263"/>
      <c r="E2" s="263"/>
      <c r="F2" s="272"/>
      <c r="G2" s="113"/>
      <c r="I2" s="262" t="s">
        <v>2</v>
      </c>
      <c r="J2" s="263"/>
      <c r="K2" s="263"/>
      <c r="L2" s="263"/>
      <c r="M2" s="263"/>
      <c r="N2" s="65"/>
      <c r="V2" s="114"/>
      <c r="W2" s="115"/>
    </row>
    <row r="3" spans="1:24" ht="19.5" customHeight="1" thickBot="1" x14ac:dyDescent="0.35">
      <c r="A3" s="264"/>
      <c r="B3" s="265"/>
      <c r="C3" s="265"/>
      <c r="D3" s="265"/>
      <c r="E3" s="265"/>
      <c r="F3" s="266"/>
      <c r="G3" s="116"/>
      <c r="I3" s="273" t="s">
        <v>3</v>
      </c>
      <c r="J3" s="265"/>
      <c r="K3" s="265"/>
      <c r="L3" s="265"/>
      <c r="M3" s="266"/>
      <c r="N3" s="14"/>
      <c r="V3" s="114"/>
      <c r="W3" s="115"/>
    </row>
    <row r="4" spans="1:24" ht="15.75" customHeight="1" thickBot="1" x14ac:dyDescent="0.35">
      <c r="A4" s="267"/>
      <c r="B4" s="268"/>
      <c r="C4" s="268"/>
      <c r="D4" s="268"/>
      <c r="E4" s="268"/>
      <c r="F4" s="269"/>
      <c r="G4" s="39"/>
      <c r="I4" s="270"/>
      <c r="J4" s="268"/>
      <c r="K4" s="268"/>
      <c r="L4" s="268"/>
      <c r="M4" s="268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80" t="s">
        <v>4</v>
      </c>
      <c r="B6" s="265"/>
      <c r="C6" s="265"/>
      <c r="D6" s="265"/>
      <c r="E6" s="265"/>
      <c r="F6" s="265"/>
      <c r="G6" s="281"/>
      <c r="I6" s="277" t="s">
        <v>5</v>
      </c>
      <c r="J6" s="265"/>
      <c r="K6" s="265"/>
      <c r="L6" s="265"/>
      <c r="M6" s="265"/>
      <c r="N6" s="266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55015</v>
      </c>
      <c r="L8" s="140">
        <f>K8/$K$13</f>
        <v>0.94094205377300399</v>
      </c>
      <c r="M8" s="141">
        <f>K8-J8</f>
        <v>15</v>
      </c>
      <c r="N8" s="11"/>
      <c r="V8" s="114"/>
      <c r="W8" s="115"/>
    </row>
    <row r="9" spans="1:24" x14ac:dyDescent="0.3">
      <c r="A9" s="75" t="s">
        <v>16</v>
      </c>
      <c r="B9" s="56">
        <f>SUM(B10:B11)</f>
        <v>4000</v>
      </c>
      <c r="C9" s="46">
        <f t="shared" ref="C9:C35" si="0">B9/$B$65</f>
        <v>0.17027073046143368</v>
      </c>
      <c r="D9" s="60">
        <f>SUM(D10:D11)</f>
        <v>16610</v>
      </c>
      <c r="E9" s="31">
        <f t="shared" ref="E9:E35" si="1">D9/$D$65</f>
        <v>0.42925021023181581</v>
      </c>
      <c r="F9" s="18">
        <f t="shared" ref="F9:F35" si="2">B9-D9</f>
        <v>-12610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4000</v>
      </c>
      <c r="C10" s="47">
        <f t="shared" si="0"/>
        <v>0.17027073046143368</v>
      </c>
      <c r="D10" s="61">
        <v>1610</v>
      </c>
      <c r="E10" s="55">
        <f t="shared" si="1"/>
        <v>4.1607034224757582E-2</v>
      </c>
      <c r="F10" s="17">
        <f t="shared" si="2"/>
        <v>2390</v>
      </c>
      <c r="G10" s="7" t="s">
        <v>19</v>
      </c>
      <c r="I10" s="6" t="s">
        <v>20</v>
      </c>
      <c r="J10" s="120">
        <v>0</v>
      </c>
      <c r="K10" s="121">
        <v>3300</v>
      </c>
      <c r="L10" s="142">
        <f>K10/$K$13</f>
        <v>5.6441130190873642E-2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>
        <f t="shared" si="0"/>
        <v>0</v>
      </c>
      <c r="D11" s="61">
        <f>2000+13000</f>
        <v>15000</v>
      </c>
      <c r="E11" s="55">
        <f t="shared" si="1"/>
        <v>0.38764317600705822</v>
      </c>
      <c r="F11" s="17">
        <f t="shared" si="2"/>
        <v>-15000</v>
      </c>
      <c r="G11" s="7" t="s">
        <v>22</v>
      </c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>
        <f t="shared" si="0"/>
        <v>0</v>
      </c>
      <c r="D12" s="62">
        <f>SUM(D13:D15)</f>
        <v>1525</v>
      </c>
      <c r="E12" s="31">
        <f t="shared" si="1"/>
        <v>3.9410389560717587E-2</v>
      </c>
      <c r="F12" s="17">
        <f t="shared" si="2"/>
        <v>-1525</v>
      </c>
      <c r="G12" s="7"/>
      <c r="I12" s="8" t="s">
        <v>25</v>
      </c>
      <c r="J12" s="123">
        <v>0</v>
      </c>
      <c r="K12" s="124">
        <v>153</v>
      </c>
      <c r="L12" s="144">
        <f>K12/K13</f>
        <v>2.6168160361223231E-3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>
        <f t="shared" si="0"/>
        <v>0</v>
      </c>
      <c r="D13" s="61">
        <v>1525</v>
      </c>
      <c r="E13" s="55">
        <f t="shared" si="1"/>
        <v>3.9410389560717587E-2</v>
      </c>
      <c r="F13" s="17">
        <f t="shared" si="2"/>
        <v>-1525</v>
      </c>
      <c r="G13" s="7"/>
      <c r="I13" s="88" t="s">
        <v>27</v>
      </c>
      <c r="J13" s="91">
        <f>SUM(J8:J10)+J12</f>
        <v>55000</v>
      </c>
      <c r="K13" s="91">
        <f>SUM(K8:K10)+K12</f>
        <v>58468</v>
      </c>
      <c r="L13" s="146">
        <f>SUM(L8:L11)</f>
        <v>0.9973831839638776</v>
      </c>
      <c r="M13" s="147">
        <f>K13-J13</f>
        <v>3468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v>16990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0</v>
      </c>
      <c r="E15" s="55">
        <f t="shared" si="1"/>
        <v>0</v>
      </c>
      <c r="F15" s="17">
        <f t="shared" si="2"/>
        <v>0</v>
      </c>
      <c r="G15" s="7"/>
      <c r="I15" s="19" t="s">
        <v>32</v>
      </c>
      <c r="J15" s="92">
        <f>J13+J11+J14</f>
        <v>55000</v>
      </c>
      <c r="K15" s="92">
        <f>K13+K11+K14</f>
        <v>75458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8200</v>
      </c>
      <c r="C16" s="48">
        <f t="shared" si="0"/>
        <v>0.34905499744593904</v>
      </c>
      <c r="D16" s="62">
        <f>SUM(D17:D18)</f>
        <v>8327.85</v>
      </c>
      <c r="E16" s="31">
        <f t="shared" si="1"/>
        <v>0.21521561488735866</v>
      </c>
      <c r="F16" s="17">
        <f t="shared" si="2"/>
        <v>-127.85000000000036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7500</v>
      </c>
      <c r="C17" s="47">
        <f t="shared" si="0"/>
        <v>0.31925761961518817</v>
      </c>
      <c r="D17" s="61">
        <v>8010.88</v>
      </c>
      <c r="E17" s="55">
        <f t="shared" si="1"/>
        <v>0.20702419772076153</v>
      </c>
      <c r="F17" s="17">
        <f t="shared" si="2"/>
        <v>-510.88000000000011</v>
      </c>
      <c r="G17" s="7"/>
      <c r="I17" s="278" t="s">
        <v>35</v>
      </c>
      <c r="J17" s="265"/>
      <c r="K17" s="265"/>
      <c r="L17" s="265"/>
      <c r="M17" s="265"/>
      <c r="N17" s="266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700</v>
      </c>
      <c r="C18" s="47">
        <f t="shared" si="0"/>
        <v>2.9797377830750895E-2</v>
      </c>
      <c r="D18" s="61">
        <v>316.97000000000003</v>
      </c>
      <c r="E18" s="55">
        <f t="shared" si="1"/>
        <v>8.1914171665971505E-3</v>
      </c>
      <c r="F18" s="17">
        <f t="shared" si="2"/>
        <v>383.03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2.5200068108292183E-2</v>
      </c>
      <c r="D19" s="62">
        <v>1242</v>
      </c>
      <c r="E19" s="31">
        <f t="shared" si="1"/>
        <v>3.2096854973384423E-2</v>
      </c>
      <c r="F19" s="17">
        <f t="shared" si="2"/>
        <v>-650</v>
      </c>
      <c r="G19" s="7"/>
      <c r="I19" s="1" t="s">
        <v>41</v>
      </c>
      <c r="J19" s="148">
        <f>SUM(B9,B12,B16,B19,B20,B21,B26,B27,B32)</f>
        <v>15592</v>
      </c>
      <c r="K19" s="149">
        <f>J19/J22</f>
        <v>0.66371530733866846</v>
      </c>
      <c r="L19" s="150">
        <f>SUM(D9,D12,D16,D19,D20,D21,D26,D27,D32)</f>
        <v>28637.85</v>
      </c>
      <c r="M19" s="151">
        <f>L19/L22</f>
        <v>0.74008447520091547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0.12770304784607525</v>
      </c>
      <c r="L20" s="154">
        <f>SUM(D37,D42,D43,D44,D53,D54)</f>
        <v>5189</v>
      </c>
      <c r="M20" s="155">
        <f>L20/L22</f>
        <v>0.13409869602004168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6.3851523923037626E-2</v>
      </c>
      <c r="D21" s="62">
        <f>SUM(D22:D25)</f>
        <v>633</v>
      </c>
      <c r="E21" s="31">
        <f t="shared" si="1"/>
        <v>1.6358542027497858E-2</v>
      </c>
      <c r="F21" s="17">
        <f t="shared" si="2"/>
        <v>867</v>
      </c>
      <c r="G21" s="7"/>
      <c r="I21" s="3" t="s">
        <v>45</v>
      </c>
      <c r="J21" s="152">
        <f>SUM(B56,B62,B63,B64)</f>
        <v>4900</v>
      </c>
      <c r="K21" s="153">
        <f>J21/J22</f>
        <v>0.20858164481525626</v>
      </c>
      <c r="L21" s="154">
        <f>SUM(D56,D62,D63,D64)</f>
        <v>4868.5300000000007</v>
      </c>
      <c r="M21" s="155">
        <f>L21/L22</f>
        <v>0.12581682877904291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23492</v>
      </c>
      <c r="K22" s="157">
        <f>SUM(K19:K21)</f>
        <v>1</v>
      </c>
      <c r="L22" s="93">
        <f>SUM(L19:L21)</f>
        <v>38695.379999999997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6.3851523923037626E-2</v>
      </c>
      <c r="D24" s="61">
        <v>633</v>
      </c>
      <c r="E24" s="55">
        <f t="shared" si="1"/>
        <v>1.6358542027497858E-2</v>
      </c>
      <c r="F24" s="17">
        <f t="shared" si="2"/>
        <v>867</v>
      </c>
      <c r="G24" s="7" t="s">
        <v>49</v>
      </c>
      <c r="I24" s="279" t="s">
        <v>50</v>
      </c>
      <c r="J24" s="265"/>
      <c r="K24" s="265"/>
      <c r="L24" s="265"/>
      <c r="M24" s="265"/>
      <c r="N24" s="266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v>713662</v>
      </c>
      <c r="K26" s="158">
        <v>0.14000000000000001</v>
      </c>
      <c r="L26" s="99">
        <v>8383.83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1300</v>
      </c>
      <c r="C27" s="48">
        <f t="shared" si="0"/>
        <v>5.5337987399965947E-2</v>
      </c>
      <c r="D27" s="62">
        <f>SUM(D28:D31)</f>
        <v>300</v>
      </c>
      <c r="E27" s="31">
        <f t="shared" si="1"/>
        <v>7.752863520141165E-3</v>
      </c>
      <c r="F27" s="17">
        <f t="shared" si="2"/>
        <v>1000</v>
      </c>
      <c r="G27" s="7"/>
      <c r="I27" s="40" t="s">
        <v>61</v>
      </c>
      <c r="J27" s="100">
        <v>23515</v>
      </c>
      <c r="K27" s="158">
        <v>0</v>
      </c>
      <c r="L27" s="99">
        <v>0</v>
      </c>
      <c r="M27" s="100">
        <v>0</v>
      </c>
      <c r="N27" s="101">
        <v>0</v>
      </c>
    </row>
    <row r="28" spans="1:21" ht="15" customHeight="1" thickBot="1" x14ac:dyDescent="0.35">
      <c r="A28" s="76" t="s">
        <v>62</v>
      </c>
      <c r="B28" s="122">
        <v>0</v>
      </c>
      <c r="C28" s="47">
        <f t="shared" si="0"/>
        <v>0</v>
      </c>
      <c r="D28" s="61">
        <v>0</v>
      </c>
      <c r="E28" s="55">
        <f t="shared" si="1"/>
        <v>0</v>
      </c>
      <c r="F28" s="17">
        <f t="shared" si="2"/>
        <v>0</v>
      </c>
      <c r="G28" s="7"/>
      <c r="I28" s="40" t="s">
        <v>63</v>
      </c>
      <c r="J28" s="100">
        <f>23000+N28</f>
        <v>10000</v>
      </c>
      <c r="K28" s="158">
        <v>0</v>
      </c>
      <c r="L28" s="99">
        <v>0</v>
      </c>
      <c r="M28" s="100">
        <v>0</v>
      </c>
      <c r="N28" s="101">
        <v>-13000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4.256768261535842E-2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77" t="s">
        <v>66</v>
      </c>
      <c r="J30" s="265"/>
      <c r="K30" s="265"/>
      <c r="L30" s="265"/>
      <c r="M30" s="265"/>
      <c r="N30" s="266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1.2770304784607526E-2</v>
      </c>
      <c r="D31" s="61">
        <v>300</v>
      </c>
      <c r="E31" s="55">
        <f t="shared" si="1"/>
        <v>7.752863520141165E-3</v>
      </c>
      <c r="F31" s="17">
        <f t="shared" si="2"/>
        <v>0</v>
      </c>
      <c r="G31" s="7"/>
      <c r="I31" s="278" t="s">
        <v>68</v>
      </c>
      <c r="J31" s="265"/>
      <c r="K31" s="266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31508</v>
      </c>
      <c r="K33" s="160">
        <f>K15-L22-(SUM(N26:N28))</f>
        <v>49762.62</v>
      </c>
      <c r="L33" s="161" t="s">
        <v>75</v>
      </c>
      <c r="M33" s="162">
        <f>J28</f>
        <v>10000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25000</v>
      </c>
      <c r="K34" s="165">
        <v>33122</v>
      </c>
      <c r="L34" s="161" t="s">
        <v>79</v>
      </c>
      <c r="M34" s="162">
        <f>J26</f>
        <v>713662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0.45454545454545453</v>
      </c>
      <c r="K35" s="168">
        <f>K34/K13</f>
        <v>0.56649791338852018</v>
      </c>
      <c r="L35" s="190" t="s">
        <v>82</v>
      </c>
      <c r="M35" s="162">
        <f>J27</f>
        <v>23515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6508</v>
      </c>
      <c r="K36" s="173">
        <f>K33-K34</f>
        <v>16640.620000000003</v>
      </c>
      <c r="L36" s="174" t="s">
        <v>85</v>
      </c>
      <c r="M36" s="175">
        <f>SUM(M33:M35)</f>
        <v>747177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0.12770304784607525</v>
      </c>
      <c r="D37" s="60">
        <f>SUM(D38:D41)</f>
        <v>4589</v>
      </c>
      <c r="E37" s="31">
        <f t="shared" ref="E37:E54" si="4">D37/$D$65</f>
        <v>0.11859296897975935</v>
      </c>
      <c r="F37" s="18">
        <f t="shared" ref="F37:F54" si="5">B37-D37</f>
        <v>-1589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300</v>
      </c>
      <c r="E38" s="55">
        <f t="shared" si="4"/>
        <v>7.752863520141165E-3</v>
      </c>
      <c r="F38" s="17">
        <f t="shared" si="5"/>
        <v>-300</v>
      </c>
      <c r="G38" s="7"/>
    </row>
    <row r="39" spans="1:14" x14ac:dyDescent="0.3">
      <c r="A39" s="76" t="s">
        <v>89</v>
      </c>
      <c r="B39" s="58">
        <v>0</v>
      </c>
      <c r="C39" s="47">
        <f t="shared" si="3"/>
        <v>0</v>
      </c>
      <c r="D39" s="61">
        <v>4289</v>
      </c>
      <c r="E39" s="55">
        <f t="shared" si="4"/>
        <v>0.11084010545961819</v>
      </c>
      <c r="F39" s="17">
        <f t="shared" si="5"/>
        <v>-4289</v>
      </c>
      <c r="G39" s="7"/>
    </row>
    <row r="40" spans="1:14" x14ac:dyDescent="0.3">
      <c r="A40" s="76" t="s">
        <v>90</v>
      </c>
      <c r="B40" s="58">
        <v>3000</v>
      </c>
      <c r="C40" s="47">
        <f t="shared" si="3"/>
        <v>0.12770304784607525</v>
      </c>
      <c r="D40" s="61">
        <v>0</v>
      </c>
      <c r="E40" s="55">
        <f t="shared" si="4"/>
        <v>0</v>
      </c>
      <c r="F40" s="17">
        <f t="shared" si="5"/>
        <v>3000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600</v>
      </c>
      <c r="E42" s="31">
        <f t="shared" si="4"/>
        <v>1.550572704028233E-2</v>
      </c>
      <c r="F42" s="17">
        <f t="shared" si="5"/>
        <v>-600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2000</v>
      </c>
      <c r="C56" s="46">
        <f t="shared" ref="C56:C64" si="6">B56/$B$65</f>
        <v>8.5135365230716839E-2</v>
      </c>
      <c r="D56" s="56">
        <f>SUM(D57:D61)</f>
        <v>1411.21</v>
      </c>
      <c r="E56" s="46">
        <f t="shared" ref="E56:E64" si="7">D56/$D$65</f>
        <v>3.6469728427528048E-2</v>
      </c>
      <c r="F56" s="18">
        <f t="shared" ref="F56:F64" si="8">B56-D56</f>
        <v>588.79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0</v>
      </c>
      <c r="E57" s="198">
        <f t="shared" si="7"/>
        <v>0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2000</v>
      </c>
      <c r="C59" s="47">
        <f t="shared" si="6"/>
        <v>8.5135365230716839E-2</v>
      </c>
      <c r="D59" s="58">
        <v>1411.21</v>
      </c>
      <c r="E59" s="198">
        <f t="shared" si="7"/>
        <v>3.6469728427528048E-2</v>
      </c>
      <c r="F59" s="17">
        <f t="shared" si="8"/>
        <v>588.79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400</v>
      </c>
      <c r="C62" s="48">
        <f t="shared" si="6"/>
        <v>1.7027073046143367E-2</v>
      </c>
      <c r="D62" s="57">
        <v>590</v>
      </c>
      <c r="E62" s="199">
        <f t="shared" si="7"/>
        <v>1.5247298256277624E-2</v>
      </c>
      <c r="F62" s="17">
        <f t="shared" si="8"/>
        <v>-190</v>
      </c>
      <c r="G62" s="7"/>
    </row>
    <row r="63" spans="1:7" ht="15.75" customHeight="1" x14ac:dyDescent="0.3">
      <c r="A63" s="197" t="s">
        <v>113</v>
      </c>
      <c r="B63" s="57">
        <v>1500</v>
      </c>
      <c r="C63" s="48">
        <f t="shared" si="6"/>
        <v>6.3851523923037626E-2</v>
      </c>
      <c r="D63" s="57">
        <v>2106.4699999999998</v>
      </c>
      <c r="E63" s="48">
        <f t="shared" si="7"/>
        <v>5.4437248064239191E-2</v>
      </c>
      <c r="F63" s="17">
        <f t="shared" si="8"/>
        <v>-606.4699999999998</v>
      </c>
      <c r="G63" s="7"/>
    </row>
    <row r="64" spans="1:7" ht="15.75" customHeight="1" thickBot="1" x14ac:dyDescent="0.35">
      <c r="A64" s="200" t="s">
        <v>114</v>
      </c>
      <c r="B64" s="57">
        <v>1000</v>
      </c>
      <c r="C64" s="48">
        <f t="shared" si="6"/>
        <v>4.256768261535842E-2</v>
      </c>
      <c r="D64" s="57">
        <v>760.85</v>
      </c>
      <c r="E64" s="48">
        <f t="shared" si="7"/>
        <v>1.9662554030998019E-2</v>
      </c>
      <c r="F64" s="17">
        <f t="shared" si="8"/>
        <v>239.14999999999998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23492</v>
      </c>
      <c r="C65" s="203">
        <f>SUM(C9,C12,C16,C19,C20,C21,C26,C27,C32,C37,C42,C43,C44,C53,C54,C56,C62,C63)</f>
        <v>0.95743231738464163</v>
      </c>
      <c r="D65" s="202">
        <f>SUM(D9,D12,D16,D19,D20,D21,D26,D27,D32,D37,D42,D43,D44,D53,D54,D56,D62,D63,D64)</f>
        <v>38695.379999999997</v>
      </c>
      <c r="E65" s="203">
        <f>SUM(E9,E12,E16,E19,E20,E21,E26,E27,E32,E37,E42,E43,E44,E53,E54,E56,E62,E63)</f>
        <v>0.98033744596900196</v>
      </c>
      <c r="F65" s="204">
        <f>SUM(F9,F12,F16,F19,F20,F21,F26,F27,F32,F37,F42,F43,F44,F53,F54,F56,F62,F63)</f>
        <v>-15442.53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75" t="s">
        <v>116</v>
      </c>
      <c r="B68" s="263"/>
      <c r="C68" s="263"/>
      <c r="D68" s="263"/>
      <c r="E68" s="263"/>
      <c r="F68" s="263"/>
      <c r="G68" s="263"/>
      <c r="J68" s="38"/>
    </row>
    <row r="69" spans="1:12" x14ac:dyDescent="0.3">
      <c r="A69" s="276"/>
      <c r="B69" s="276"/>
      <c r="C69" s="276"/>
      <c r="D69" s="276"/>
      <c r="E69" s="276"/>
      <c r="F69" s="276"/>
      <c r="G69" s="276"/>
      <c r="I69" s="23"/>
      <c r="J69" s="23"/>
      <c r="K69" s="23"/>
      <c r="L69" s="23"/>
    </row>
    <row r="70" spans="1:12" x14ac:dyDescent="0.3">
      <c r="A70" s="276"/>
      <c r="B70" s="276"/>
      <c r="C70" s="276"/>
      <c r="D70" s="276"/>
      <c r="E70" s="276"/>
      <c r="F70" s="276"/>
      <c r="G70" s="276"/>
      <c r="I70" s="37"/>
    </row>
    <row r="71" spans="1:12" x14ac:dyDescent="0.3">
      <c r="A71" s="276"/>
      <c r="B71" s="276"/>
      <c r="C71" s="276"/>
      <c r="D71" s="276"/>
      <c r="E71" s="276"/>
      <c r="F71" s="276"/>
      <c r="G71" s="276"/>
      <c r="J71" s="187"/>
      <c r="K71" s="187"/>
      <c r="L71" s="188"/>
    </row>
    <row r="72" spans="1:12" x14ac:dyDescent="0.3">
      <c r="A72" s="276"/>
      <c r="B72" s="276"/>
      <c r="C72" s="276"/>
      <c r="D72" s="276"/>
      <c r="E72" s="276"/>
      <c r="F72" s="276"/>
      <c r="G72" s="276"/>
      <c r="J72" s="187"/>
      <c r="K72" s="187"/>
      <c r="L72" s="188"/>
    </row>
    <row r="73" spans="1:12" x14ac:dyDescent="0.3">
      <c r="A73" s="276"/>
      <c r="B73" s="276"/>
      <c r="C73" s="276"/>
      <c r="D73" s="276"/>
      <c r="E73" s="276"/>
      <c r="F73" s="276"/>
      <c r="G73" s="276"/>
      <c r="J73" s="187"/>
      <c r="K73" s="187"/>
      <c r="L73" s="188"/>
    </row>
    <row r="74" spans="1:12" x14ac:dyDescent="0.3">
      <c r="A74" s="276"/>
      <c r="B74" s="276"/>
      <c r="C74" s="276"/>
      <c r="D74" s="276"/>
      <c r="E74" s="276"/>
      <c r="F74" s="276"/>
      <c r="G74" s="276"/>
      <c r="I74" s="37"/>
    </row>
    <row r="75" spans="1:12" x14ac:dyDescent="0.3">
      <c r="A75" s="276"/>
      <c r="B75" s="276"/>
      <c r="C75" s="276"/>
      <c r="D75" s="276"/>
      <c r="E75" s="276"/>
      <c r="F75" s="276"/>
      <c r="G75" s="276"/>
      <c r="J75" s="187"/>
      <c r="K75" s="187"/>
      <c r="L75" s="188"/>
    </row>
    <row r="76" spans="1:12" ht="18" customHeight="1" x14ac:dyDescent="0.35">
      <c r="A76" s="276"/>
      <c r="B76" s="276"/>
      <c r="C76" s="276"/>
      <c r="D76" s="276"/>
      <c r="E76" s="276"/>
      <c r="F76" s="276"/>
      <c r="G76" s="276"/>
      <c r="J76" s="187"/>
      <c r="K76" s="187"/>
      <c r="L76" s="189"/>
    </row>
    <row r="77" spans="1:12" x14ac:dyDescent="0.3">
      <c r="A77" s="276"/>
      <c r="B77" s="276"/>
      <c r="C77" s="276"/>
      <c r="D77" s="276"/>
      <c r="E77" s="276"/>
      <c r="F77" s="276"/>
      <c r="G77" s="276"/>
    </row>
    <row r="78" spans="1:12" x14ac:dyDescent="0.3">
      <c r="A78" s="276"/>
      <c r="B78" s="276"/>
      <c r="C78" s="276"/>
      <c r="D78" s="276"/>
      <c r="E78" s="276"/>
      <c r="F78" s="276"/>
      <c r="G78" s="276"/>
    </row>
    <row r="79" spans="1:12" x14ac:dyDescent="0.3">
      <c r="A79" s="276"/>
      <c r="B79" s="276"/>
      <c r="C79" s="276"/>
      <c r="D79" s="276"/>
      <c r="E79" s="276"/>
      <c r="F79" s="276"/>
      <c r="G79" s="276"/>
    </row>
    <row r="80" spans="1:12" x14ac:dyDescent="0.3">
      <c r="A80" s="276"/>
      <c r="B80" s="276"/>
      <c r="C80" s="276"/>
      <c r="D80" s="276"/>
      <c r="E80" s="276"/>
      <c r="F80" s="276"/>
      <c r="G80" s="276"/>
    </row>
    <row r="81" spans="1:7" x14ac:dyDescent="0.3">
      <c r="A81" s="276"/>
      <c r="B81" s="276"/>
      <c r="C81" s="276"/>
      <c r="D81" s="276"/>
      <c r="E81" s="276"/>
      <c r="F81" s="276"/>
      <c r="G81" s="276"/>
    </row>
    <row r="82" spans="1:7" x14ac:dyDescent="0.3">
      <c r="A82" s="276"/>
      <c r="B82" s="276"/>
      <c r="C82" s="276"/>
      <c r="D82" s="276"/>
      <c r="E82" s="276"/>
      <c r="F82" s="276"/>
      <c r="G82" s="276"/>
    </row>
    <row r="83" spans="1:7" x14ac:dyDescent="0.3">
      <c r="A83" s="276"/>
      <c r="B83" s="276"/>
      <c r="C83" s="276"/>
      <c r="D83" s="276"/>
      <c r="E83" s="276"/>
      <c r="F83" s="276"/>
      <c r="G83" s="276"/>
    </row>
  </sheetData>
  <mergeCells count="15">
    <mergeCell ref="A68:G83"/>
    <mergeCell ref="A3:F3"/>
    <mergeCell ref="I6:N6"/>
    <mergeCell ref="I30:N30"/>
    <mergeCell ref="I31:K31"/>
    <mergeCell ref="I17:N17"/>
    <mergeCell ref="I24:N24"/>
    <mergeCell ref="A6:G6"/>
    <mergeCell ref="I2:M2"/>
    <mergeCell ref="I1:N1"/>
    <mergeCell ref="A4:F4"/>
    <mergeCell ref="I4:M4"/>
    <mergeCell ref="A2:F2"/>
    <mergeCell ref="I3:M3"/>
    <mergeCell ref="A1:G1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22" priority="5" operator="equal">
      <formula>0</formula>
    </cfRule>
    <cfRule type="cellIs" dxfId="21" priority="6" operator="greaterThan">
      <formula>0</formula>
    </cfRule>
    <cfRule type="cellIs" dxfId="20" priority="8" operator="greaterThan">
      <formula>0</formula>
    </cfRule>
  </conditionalFormatting>
  <conditionalFormatting sqref="F9:F35">
    <cfRule type="cellIs" dxfId="19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18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17" priority="2" operator="lessThan">
      <formula>0</formula>
    </cfRule>
    <cfRule type="cellIs" dxfId="16" priority="3" operator="greaterThan">
      <formula>0</formula>
    </cfRule>
  </conditionalFormatting>
  <conditionalFormatting sqref="N26:N28">
    <cfRule type="cellIs" dxfId="15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zoomScale="70" zoomScaleNormal="70" workbookViewId="0">
      <selection activeCell="M27" sqref="M27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74" t="s">
        <v>0</v>
      </c>
      <c r="B1" s="265"/>
      <c r="C1" s="265"/>
      <c r="D1" s="265"/>
      <c r="E1" s="265"/>
      <c r="F1" s="265"/>
      <c r="G1" s="266"/>
      <c r="I1" s="264" t="s">
        <v>1</v>
      </c>
      <c r="J1" s="265"/>
      <c r="K1" s="265"/>
      <c r="L1" s="265"/>
      <c r="M1" s="265"/>
      <c r="N1" s="266"/>
      <c r="V1" s="110"/>
      <c r="W1" s="111"/>
      <c r="X1" s="112"/>
    </row>
    <row r="2" spans="1:24" ht="19.5" customHeight="1" thickBot="1" x14ac:dyDescent="0.35">
      <c r="A2" s="271"/>
      <c r="B2" s="263"/>
      <c r="C2" s="263"/>
      <c r="D2" s="263"/>
      <c r="E2" s="263"/>
      <c r="F2" s="272"/>
      <c r="G2" s="113"/>
      <c r="I2" s="282" t="s">
        <v>2</v>
      </c>
      <c r="J2" s="263"/>
      <c r="K2" s="263"/>
      <c r="L2" s="263"/>
      <c r="M2" s="263"/>
      <c r="N2" s="65"/>
      <c r="V2" s="114"/>
      <c r="W2" s="115"/>
    </row>
    <row r="3" spans="1:24" ht="19.5" customHeight="1" thickBot="1" x14ac:dyDescent="0.35">
      <c r="A3" s="264"/>
      <c r="B3" s="265"/>
      <c r="C3" s="265"/>
      <c r="D3" s="265"/>
      <c r="E3" s="265"/>
      <c r="F3" s="266"/>
      <c r="G3" s="116"/>
      <c r="I3" s="273" t="s">
        <v>3</v>
      </c>
      <c r="J3" s="265"/>
      <c r="K3" s="265"/>
      <c r="L3" s="265"/>
      <c r="M3" s="266"/>
      <c r="N3" s="14"/>
      <c r="V3" s="114"/>
      <c r="W3" s="115"/>
    </row>
    <row r="4" spans="1:24" ht="15.75" customHeight="1" thickBot="1" x14ac:dyDescent="0.35">
      <c r="A4" s="267"/>
      <c r="B4" s="268"/>
      <c r="C4" s="268"/>
      <c r="D4" s="268"/>
      <c r="E4" s="268"/>
      <c r="F4" s="269"/>
      <c r="G4" s="39"/>
      <c r="I4" s="270"/>
      <c r="J4" s="268"/>
      <c r="K4" s="268"/>
      <c r="L4" s="268"/>
      <c r="M4" s="268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80" t="s">
        <v>4</v>
      </c>
      <c r="B6" s="265"/>
      <c r="C6" s="265"/>
      <c r="D6" s="265"/>
      <c r="E6" s="265"/>
      <c r="F6" s="265"/>
      <c r="G6" s="281"/>
      <c r="I6" s="277" t="s">
        <v>5</v>
      </c>
      <c r="J6" s="265"/>
      <c r="K6" s="265"/>
      <c r="L6" s="265"/>
      <c r="M6" s="265"/>
      <c r="N6" s="266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60015</v>
      </c>
      <c r="L8" s="140">
        <f>K8/$K$13</f>
        <v>0.95360292365138632</v>
      </c>
      <c r="M8" s="141">
        <f>K8-J8</f>
        <v>5015</v>
      </c>
      <c r="N8" s="11"/>
      <c r="V8" s="114"/>
      <c r="W8" s="115"/>
    </row>
    <row r="9" spans="1:24" x14ac:dyDescent="0.3">
      <c r="A9" s="75" t="s">
        <v>16</v>
      </c>
      <c r="B9" s="56">
        <f>SUM(B10:B11)</f>
        <v>20000</v>
      </c>
      <c r="C9" s="46">
        <f t="shared" ref="C9:C35" si="0">B9/$B$65</f>
        <v>0.49761146496815284</v>
      </c>
      <c r="D9" s="60">
        <f>SUM(D10:D11)</f>
        <v>17530</v>
      </c>
      <c r="E9" s="31">
        <f t="shared" ref="E9:E35" si="1">D9/$D$65</f>
        <v>0.47117500240559979</v>
      </c>
      <c r="F9" s="18">
        <f t="shared" ref="F9:F35" si="2">B9-D9</f>
        <v>2470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5000</v>
      </c>
      <c r="C10" s="47">
        <f t="shared" si="0"/>
        <v>0.12440286624203821</v>
      </c>
      <c r="D10" s="61">
        <v>2530</v>
      </c>
      <c r="E10" s="55">
        <f t="shared" si="1"/>
        <v>6.8001868573084281E-2</v>
      </c>
      <c r="F10" s="17">
        <f t="shared" si="2"/>
        <v>2470</v>
      </c>
      <c r="G10" s="7" t="s">
        <v>19</v>
      </c>
      <c r="I10" s="6" t="s">
        <v>20</v>
      </c>
      <c r="J10" s="120">
        <v>0</v>
      </c>
      <c r="K10" s="121">
        <v>2551</v>
      </c>
      <c r="L10" s="142">
        <f>K10/$K$13</f>
        <v>4.0533884166203224E-2</v>
      </c>
      <c r="M10" s="143">
        <v>0</v>
      </c>
      <c r="N10" s="7"/>
    </row>
    <row r="11" spans="1:24" x14ac:dyDescent="0.3">
      <c r="A11" s="76" t="s">
        <v>21</v>
      </c>
      <c r="B11" s="122">
        <v>15000</v>
      </c>
      <c r="C11" s="47">
        <f t="shared" si="0"/>
        <v>0.37320859872611467</v>
      </c>
      <c r="D11" s="61">
        <v>15000</v>
      </c>
      <c r="E11" s="55">
        <f t="shared" si="1"/>
        <v>0.40317313383251552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1000</v>
      </c>
      <c r="C12" s="48">
        <f t="shared" si="0"/>
        <v>2.4880573248407645E-2</v>
      </c>
      <c r="D12" s="62">
        <f>SUM(D13:D15)</f>
        <v>895</v>
      </c>
      <c r="E12" s="31">
        <f t="shared" si="1"/>
        <v>2.405599698534009E-2</v>
      </c>
      <c r="F12" s="17">
        <f t="shared" si="2"/>
        <v>105</v>
      </c>
      <c r="G12" s="7"/>
      <c r="I12" s="8" t="s">
        <v>25</v>
      </c>
      <c r="J12" s="123">
        <v>0</v>
      </c>
      <c r="K12" s="124">
        <v>369</v>
      </c>
      <c r="L12" s="144">
        <f>K12/K13</f>
        <v>5.8631921824104233E-3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1000</v>
      </c>
      <c r="C13" s="47">
        <f t="shared" si="0"/>
        <v>2.4880573248407645E-2</v>
      </c>
      <c r="D13" s="61">
        <v>164</v>
      </c>
      <c r="E13" s="55">
        <f t="shared" si="1"/>
        <v>4.4080262632355026E-3</v>
      </c>
      <c r="F13" s="17">
        <f t="shared" si="2"/>
        <v>836</v>
      </c>
      <c r="G13" s="7"/>
      <c r="I13" s="88" t="s">
        <v>27</v>
      </c>
      <c r="J13" s="91">
        <f>SUM(J8:J10)+J12</f>
        <v>55000</v>
      </c>
      <c r="K13" s="91">
        <f>SUM(K8:K10)+K12</f>
        <v>62935</v>
      </c>
      <c r="L13" s="146">
        <f>SUM(L8:L11)</f>
        <v>0.99413680781758951</v>
      </c>
      <c r="M13" s="147">
        <f>K13-J13</f>
        <v>7935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f>January!K36</f>
        <v>16640.620000000003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731</v>
      </c>
      <c r="E15" s="55">
        <f t="shared" si="1"/>
        <v>1.9647970722104589E-2</v>
      </c>
      <c r="F15" s="17">
        <f t="shared" si="2"/>
        <v>-731</v>
      </c>
      <c r="G15" s="7"/>
      <c r="I15" s="19" t="s">
        <v>32</v>
      </c>
      <c r="J15" s="92">
        <f>J13+J11+J14</f>
        <v>55000</v>
      </c>
      <c r="K15" s="92">
        <f>K13+K11+K14</f>
        <v>79575.62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9000</v>
      </c>
      <c r="C16" s="48">
        <f t="shared" si="0"/>
        <v>0.2239251592356688</v>
      </c>
      <c r="D16" s="62">
        <f>SUM(D17:D18)</f>
        <v>9620.66</v>
      </c>
      <c r="E16" s="31">
        <f t="shared" si="1"/>
        <v>0.2585861094491419</v>
      </c>
      <c r="F16" s="17">
        <f t="shared" si="2"/>
        <v>-620.65999999999985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8000</v>
      </c>
      <c r="C17" s="47">
        <f t="shared" si="0"/>
        <v>0.19904458598726116</v>
      </c>
      <c r="D17" s="61">
        <v>8713.99</v>
      </c>
      <c r="E17" s="55">
        <f t="shared" si="1"/>
        <v>0.2342164437656801</v>
      </c>
      <c r="F17" s="17">
        <f t="shared" si="2"/>
        <v>-713.98999999999978</v>
      </c>
      <c r="G17" s="7"/>
      <c r="I17" s="278" t="s">
        <v>35</v>
      </c>
      <c r="J17" s="265"/>
      <c r="K17" s="265"/>
      <c r="L17" s="265"/>
      <c r="M17" s="265"/>
      <c r="N17" s="266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1000</v>
      </c>
      <c r="C18" s="47">
        <f t="shared" si="0"/>
        <v>2.4880573248407645E-2</v>
      </c>
      <c r="D18" s="61">
        <v>906.67</v>
      </c>
      <c r="E18" s="55">
        <f t="shared" si="1"/>
        <v>2.4369665683461786E-2</v>
      </c>
      <c r="F18" s="17">
        <f t="shared" si="2"/>
        <v>93.330000000000041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1.4729299363057325E-2</v>
      </c>
      <c r="D19" s="62">
        <v>592</v>
      </c>
      <c r="E19" s="31">
        <f t="shared" si="1"/>
        <v>1.5911899681923278E-2</v>
      </c>
      <c r="F19" s="17">
        <f t="shared" si="2"/>
        <v>0</v>
      </c>
      <c r="G19" s="7"/>
      <c r="I19" s="1" t="s">
        <v>41</v>
      </c>
      <c r="J19" s="148">
        <f>SUM(B9,B12,B16,B19,B20,B21,B26,B27,B32)</f>
        <v>33892</v>
      </c>
      <c r="K19" s="149">
        <f>J19/J22</f>
        <v>0.84325238853503182</v>
      </c>
      <c r="L19" s="150">
        <f>SUM(D9,D12,D16,D19,D20,D21,D26,D27,D32)</f>
        <v>29394.66</v>
      </c>
      <c r="M19" s="151">
        <f>L19/L22</f>
        <v>0.79007581267608584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7.4641719745222934E-2</v>
      </c>
      <c r="L20" s="154">
        <f>SUM(D37,D42,D43,D44,D53,D54)</f>
        <v>2283.98</v>
      </c>
      <c r="M20" s="155">
        <f>L20/L22</f>
        <v>6.1389291614052571E-2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3.7320859872611467E-2</v>
      </c>
      <c r="D21" s="62">
        <f>SUM(D22:D25)</f>
        <v>457</v>
      </c>
      <c r="E21" s="31">
        <f t="shared" si="1"/>
        <v>1.2283341477430638E-2</v>
      </c>
      <c r="F21" s="17">
        <f t="shared" si="2"/>
        <v>1043</v>
      </c>
      <c r="G21" s="7"/>
      <c r="I21" s="3" t="s">
        <v>45</v>
      </c>
      <c r="J21" s="152">
        <f>SUM(B56,B62,B63,B64)</f>
        <v>3300</v>
      </c>
      <c r="K21" s="153">
        <f>J21/J22</f>
        <v>8.2105891719745222E-2</v>
      </c>
      <c r="L21" s="154">
        <f>SUM(D56,D62,D63,D64)</f>
        <v>5526.2199999999993</v>
      </c>
      <c r="M21" s="155">
        <f>L21/L22</f>
        <v>0.14853489570986153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40192</v>
      </c>
      <c r="K22" s="157">
        <f>SUM(K19:K21)</f>
        <v>1</v>
      </c>
      <c r="L22" s="93">
        <f>SUM(L19:L21)</f>
        <v>37204.86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3.7320859872611467E-2</v>
      </c>
      <c r="D24" s="61">
        <v>457</v>
      </c>
      <c r="E24" s="55">
        <f t="shared" si="1"/>
        <v>1.2283341477430638E-2</v>
      </c>
      <c r="F24" s="17">
        <f t="shared" si="2"/>
        <v>1043</v>
      </c>
      <c r="G24" s="7" t="s">
        <v>49</v>
      </c>
      <c r="I24" s="279" t="s">
        <v>50</v>
      </c>
      <c r="J24" s="265"/>
      <c r="K24" s="265"/>
      <c r="L24" s="265"/>
      <c r="M24" s="265"/>
      <c r="N24" s="266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f>713662+L26</f>
        <v>722124.55</v>
      </c>
      <c r="K26" s="158">
        <v>0.14000000000000001</v>
      </c>
      <c r="L26" s="99">
        <v>8462.5499999999993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1800</v>
      </c>
      <c r="C27" s="48">
        <f t="shared" si="0"/>
        <v>4.4785031847133755E-2</v>
      </c>
      <c r="D27" s="62">
        <f>SUM(D28:D31)</f>
        <v>300</v>
      </c>
      <c r="E27" s="31">
        <f t="shared" si="1"/>
        <v>8.0634626766503108E-3</v>
      </c>
      <c r="F27" s="17">
        <f t="shared" si="2"/>
        <v>1500</v>
      </c>
      <c r="G27" s="7"/>
      <c r="I27" s="40" t="s">
        <v>61</v>
      </c>
      <c r="J27" s="100">
        <f>23515+M27</f>
        <v>47074</v>
      </c>
      <c r="K27" s="158">
        <v>0</v>
      </c>
      <c r="L27" s="99">
        <v>0</v>
      </c>
      <c r="M27" s="100">
        <f>15000+13559-5000</f>
        <v>23559</v>
      </c>
      <c r="N27" s="101">
        <v>0</v>
      </c>
    </row>
    <row r="28" spans="1:21" ht="15" customHeight="1" thickBot="1" x14ac:dyDescent="0.35">
      <c r="A28" s="76" t="s">
        <v>62</v>
      </c>
      <c r="B28" s="122">
        <v>500</v>
      </c>
      <c r="C28" s="47">
        <f t="shared" si="0"/>
        <v>1.2440286624203822E-2</v>
      </c>
      <c r="D28" s="61">
        <v>0</v>
      </c>
      <c r="E28" s="55">
        <f t="shared" si="1"/>
        <v>0</v>
      </c>
      <c r="F28" s="17">
        <f t="shared" si="2"/>
        <v>500</v>
      </c>
      <c r="G28" s="7"/>
      <c r="I28" s="40" t="s">
        <v>63</v>
      </c>
      <c r="J28" s="100">
        <f>10000+M28</f>
        <v>15000</v>
      </c>
      <c r="K28" s="158">
        <v>0</v>
      </c>
      <c r="L28" s="99">
        <v>0</v>
      </c>
      <c r="M28" s="100">
        <v>5000</v>
      </c>
      <c r="N28" s="101">
        <v>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2.4880573248407645E-2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77" t="s">
        <v>66</v>
      </c>
      <c r="J30" s="265"/>
      <c r="K30" s="265"/>
      <c r="L30" s="265"/>
      <c r="M30" s="265"/>
      <c r="N30" s="266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7.4641719745222931E-3</v>
      </c>
      <c r="D31" s="61">
        <v>300</v>
      </c>
      <c r="E31" s="55">
        <f t="shared" si="1"/>
        <v>8.0634626766503108E-3</v>
      </c>
      <c r="F31" s="17">
        <f t="shared" si="2"/>
        <v>0</v>
      </c>
      <c r="G31" s="7"/>
      <c r="I31" s="278" t="s">
        <v>68</v>
      </c>
      <c r="J31" s="265"/>
      <c r="K31" s="266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14808</v>
      </c>
      <c r="K33" s="160">
        <f>K15-L22-(SUM(N26:N28))</f>
        <v>42370.759999999995</v>
      </c>
      <c r="L33" s="161" t="s">
        <v>75</v>
      </c>
      <c r="M33" s="162">
        <f>J28</f>
        <v>15000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20000</v>
      </c>
      <c r="K34" s="165">
        <f>10000+13559-1000+30</f>
        <v>22589</v>
      </c>
      <c r="L34" s="161" t="s">
        <v>79</v>
      </c>
      <c r="M34" s="162">
        <f>J26</f>
        <v>722124.55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0.36363636363636365</v>
      </c>
      <c r="K35" s="168">
        <f>K34/K13</f>
        <v>0.35892587590371017</v>
      </c>
      <c r="L35" s="190" t="s">
        <v>82</v>
      </c>
      <c r="M35" s="162">
        <f>J27</f>
        <v>47074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-5192</v>
      </c>
      <c r="K36" s="173">
        <f>K33-K34</f>
        <v>19781.759999999995</v>
      </c>
      <c r="L36" s="174" t="s">
        <v>85</v>
      </c>
      <c r="M36" s="175">
        <f>SUM(M33:M35)</f>
        <v>784198.55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7.4641719745222934E-2</v>
      </c>
      <c r="D37" s="60">
        <f>SUM(D38:D41)</f>
        <v>2283.98</v>
      </c>
      <c r="E37" s="31">
        <f t="shared" ref="E37:E54" si="4">D37/$D$65</f>
        <v>6.1389291614052585E-2</v>
      </c>
      <c r="F37" s="18">
        <f t="shared" ref="F37:F54" si="5">B37-D37</f>
        <v>716.02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143.97999999999999</v>
      </c>
      <c r="E38" s="55">
        <f t="shared" si="4"/>
        <v>3.8699245206137052E-3</v>
      </c>
      <c r="F38" s="17">
        <f t="shared" si="5"/>
        <v>-143.97999999999999</v>
      </c>
      <c r="G38" s="7"/>
    </row>
    <row r="39" spans="1:14" x14ac:dyDescent="0.3">
      <c r="A39" s="76" t="s">
        <v>89</v>
      </c>
      <c r="B39" s="58">
        <v>3000</v>
      </c>
      <c r="C39" s="47">
        <f t="shared" si="3"/>
        <v>7.4641719745222934E-2</v>
      </c>
      <c r="D39" s="61">
        <v>2140</v>
      </c>
      <c r="E39" s="55">
        <f t="shared" si="4"/>
        <v>5.7519367093438876E-2</v>
      </c>
      <c r="F39" s="17">
        <f t="shared" si="5"/>
        <v>860</v>
      </c>
      <c r="G39" s="7"/>
    </row>
    <row r="40" spans="1:14" x14ac:dyDescent="0.3">
      <c r="A40" s="76" t="s">
        <v>90</v>
      </c>
      <c r="B40" s="58">
        <v>0</v>
      </c>
      <c r="C40" s="47">
        <f t="shared" si="3"/>
        <v>0</v>
      </c>
      <c r="D40" s="61">
        <v>0</v>
      </c>
      <c r="E40" s="55">
        <f t="shared" si="4"/>
        <v>0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0</v>
      </c>
      <c r="E42" s="31">
        <f t="shared" si="4"/>
        <v>0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1500</v>
      </c>
      <c r="C56" s="46">
        <f t="shared" ref="C56:C64" si="6">B56/$B$65</f>
        <v>3.7320859872611467E-2</v>
      </c>
      <c r="D56" s="56">
        <f>SUM(D57:D61)</f>
        <v>2533.9499999999998</v>
      </c>
      <c r="E56" s="46">
        <f t="shared" ref="E56:E64" si="7">D56/$D$65</f>
        <v>6.8108037498326834E-2</v>
      </c>
      <c r="F56" s="18">
        <f t="shared" ref="F56:F64" si="8">B56-D56</f>
        <v>-1033.9499999999998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950</v>
      </c>
      <c r="E57" s="198">
        <f t="shared" si="7"/>
        <v>2.5534298476059314E-2</v>
      </c>
      <c r="F57" s="17">
        <f t="shared" si="8"/>
        <v>-950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1500</v>
      </c>
      <c r="C59" s="47">
        <f t="shared" si="6"/>
        <v>3.7320859872611467E-2</v>
      </c>
      <c r="D59" s="58">
        <v>1583.95</v>
      </c>
      <c r="E59" s="198">
        <f t="shared" si="7"/>
        <v>4.2573739022267527E-2</v>
      </c>
      <c r="F59" s="17">
        <f t="shared" si="8"/>
        <v>-83.950000000000045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219">
        <v>300</v>
      </c>
      <c r="C62" s="48">
        <f t="shared" si="6"/>
        <v>7.4641719745222931E-3</v>
      </c>
      <c r="D62" s="57">
        <v>500</v>
      </c>
      <c r="E62" s="199">
        <f t="shared" si="7"/>
        <v>1.343910446108385E-2</v>
      </c>
      <c r="F62" s="17">
        <f t="shared" si="8"/>
        <v>-200</v>
      </c>
      <c r="G62" s="7"/>
    </row>
    <row r="63" spans="1:7" ht="15.75" customHeight="1" x14ac:dyDescent="0.3">
      <c r="A63" s="197" t="s">
        <v>113</v>
      </c>
      <c r="B63" s="219">
        <v>1500</v>
      </c>
      <c r="C63" s="48">
        <f t="shared" si="6"/>
        <v>3.7320859872611467E-2</v>
      </c>
      <c r="D63" s="57">
        <v>2492.27</v>
      </c>
      <c r="E63" s="48">
        <f t="shared" si="7"/>
        <v>6.6987753750450893E-2</v>
      </c>
      <c r="F63" s="17">
        <f t="shared" si="8"/>
        <v>-992.27</v>
      </c>
      <c r="G63" s="7"/>
    </row>
    <row r="64" spans="1:7" ht="15.75" customHeight="1" thickBot="1" x14ac:dyDescent="0.35">
      <c r="A64" s="200" t="s">
        <v>114</v>
      </c>
      <c r="B64" s="219">
        <v>0</v>
      </c>
      <c r="C64" s="48">
        <f t="shared" si="6"/>
        <v>0</v>
      </c>
      <c r="D64" s="57">
        <v>0</v>
      </c>
      <c r="E64" s="48">
        <f t="shared" si="7"/>
        <v>0</v>
      </c>
      <c r="F64" s="220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40192</v>
      </c>
      <c r="C65" s="203">
        <f>SUM(C9,C12,C16,C19,C20,C21,C26,C27,C32,C37,C42,C43,C44,C53,C54,C56,C62,C63)</f>
        <v>1</v>
      </c>
      <c r="D65" s="202">
        <f>SUM(D9,D12,D16,D19,D20,D21,D26,D27,D32,D37,D42,D43,D44,D53,D54,D56,D62,D63,D64)</f>
        <v>37204.859999999993</v>
      </c>
      <c r="E65" s="203">
        <f>SUM(E9,E12,E16,E19,E20,E21,E26,E27,E32,E37,E42,E43,E44,E53,E54,E56,E62,E63)</f>
        <v>1.0000000000000002</v>
      </c>
      <c r="F65" s="204">
        <f>SUM(F9,F12,F16,F19,F20,F21,F26,F27,F32,F37,F42,F43,F44,F53,F54,F56,F62,F63)</f>
        <v>2987.1400000000008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75" t="s">
        <v>117</v>
      </c>
      <c r="B68" s="263"/>
      <c r="C68" s="263"/>
      <c r="D68" s="263"/>
      <c r="E68" s="263"/>
      <c r="F68" s="263"/>
      <c r="G68" s="263"/>
      <c r="J68" s="38"/>
    </row>
    <row r="69" spans="1:12" x14ac:dyDescent="0.3">
      <c r="A69" s="276"/>
      <c r="B69" s="276"/>
      <c r="C69" s="276"/>
      <c r="D69" s="276"/>
      <c r="E69" s="276"/>
      <c r="F69" s="276"/>
      <c r="G69" s="276"/>
      <c r="I69" s="23"/>
      <c r="J69" s="23"/>
      <c r="K69" s="23"/>
      <c r="L69" s="23"/>
    </row>
    <row r="70" spans="1:12" x14ac:dyDescent="0.3">
      <c r="A70" s="276"/>
      <c r="B70" s="276"/>
      <c r="C70" s="276"/>
      <c r="D70" s="276"/>
      <c r="E70" s="276"/>
      <c r="F70" s="276"/>
      <c r="G70" s="276"/>
      <c r="I70" s="37"/>
    </row>
    <row r="71" spans="1:12" x14ac:dyDescent="0.3">
      <c r="A71" s="276"/>
      <c r="B71" s="276"/>
      <c r="C71" s="276"/>
      <c r="D71" s="276"/>
      <c r="E71" s="276"/>
      <c r="F71" s="276"/>
      <c r="G71" s="276"/>
      <c r="J71" s="187"/>
      <c r="K71" s="187"/>
      <c r="L71" s="188"/>
    </row>
    <row r="72" spans="1:12" x14ac:dyDescent="0.3">
      <c r="A72" s="276"/>
      <c r="B72" s="276"/>
      <c r="C72" s="276"/>
      <c r="D72" s="276"/>
      <c r="E72" s="276"/>
      <c r="F72" s="276"/>
      <c r="G72" s="276"/>
      <c r="J72" s="187"/>
      <c r="K72" s="187"/>
      <c r="L72" s="188"/>
    </row>
    <row r="73" spans="1:12" x14ac:dyDescent="0.3">
      <c r="A73" s="276"/>
      <c r="B73" s="276"/>
      <c r="C73" s="276"/>
      <c r="D73" s="276"/>
      <c r="E73" s="276"/>
      <c r="F73" s="276"/>
      <c r="G73" s="276"/>
      <c r="J73" s="187"/>
      <c r="K73" s="187"/>
      <c r="L73" s="188"/>
    </row>
    <row r="74" spans="1:12" x14ac:dyDescent="0.3">
      <c r="A74" s="276"/>
      <c r="B74" s="276"/>
      <c r="C74" s="276"/>
      <c r="D74" s="276"/>
      <c r="E74" s="276"/>
      <c r="F74" s="276"/>
      <c r="G74" s="276"/>
      <c r="I74" s="37"/>
    </row>
    <row r="75" spans="1:12" x14ac:dyDescent="0.3">
      <c r="A75" s="276"/>
      <c r="B75" s="276"/>
      <c r="C75" s="276"/>
      <c r="D75" s="276"/>
      <c r="E75" s="276"/>
      <c r="F75" s="276"/>
      <c r="G75" s="276"/>
      <c r="J75" s="187"/>
      <c r="K75" s="187"/>
      <c r="L75" s="188"/>
    </row>
    <row r="76" spans="1:12" ht="18" customHeight="1" x14ac:dyDescent="0.35">
      <c r="A76" s="276"/>
      <c r="B76" s="276"/>
      <c r="C76" s="276"/>
      <c r="D76" s="276"/>
      <c r="E76" s="276"/>
      <c r="F76" s="276"/>
      <c r="G76" s="276"/>
      <c r="J76" s="187"/>
      <c r="K76" s="187"/>
      <c r="L76" s="189"/>
    </row>
    <row r="77" spans="1:12" x14ac:dyDescent="0.3">
      <c r="A77" s="276"/>
      <c r="B77" s="276"/>
      <c r="C77" s="276"/>
      <c r="D77" s="276"/>
      <c r="E77" s="276"/>
      <c r="F77" s="276"/>
      <c r="G77" s="276"/>
    </row>
    <row r="78" spans="1:12" x14ac:dyDescent="0.3">
      <c r="A78" s="276"/>
      <c r="B78" s="276"/>
      <c r="C78" s="276"/>
      <c r="D78" s="276"/>
      <c r="E78" s="276"/>
      <c r="F78" s="276"/>
      <c r="G78" s="276"/>
    </row>
    <row r="79" spans="1:12" x14ac:dyDescent="0.3">
      <c r="A79" s="276"/>
      <c r="B79" s="276"/>
      <c r="C79" s="276"/>
      <c r="D79" s="276"/>
      <c r="E79" s="276"/>
      <c r="F79" s="276"/>
      <c r="G79" s="276"/>
    </row>
    <row r="80" spans="1:12" x14ac:dyDescent="0.3">
      <c r="A80" s="276"/>
      <c r="B80" s="276"/>
      <c r="C80" s="276"/>
      <c r="D80" s="276"/>
      <c r="E80" s="276"/>
      <c r="F80" s="276"/>
      <c r="G80" s="276"/>
    </row>
    <row r="81" spans="1:7" x14ac:dyDescent="0.3">
      <c r="A81" s="276"/>
      <c r="B81" s="276"/>
      <c r="C81" s="276"/>
      <c r="D81" s="276"/>
      <c r="E81" s="276"/>
      <c r="F81" s="276"/>
      <c r="G81" s="276"/>
    </row>
    <row r="82" spans="1:7" x14ac:dyDescent="0.3">
      <c r="A82" s="276"/>
      <c r="B82" s="276"/>
      <c r="C82" s="276"/>
      <c r="D82" s="276"/>
      <c r="E82" s="276"/>
      <c r="F82" s="276"/>
      <c r="G82" s="276"/>
    </row>
    <row r="83" spans="1:7" x14ac:dyDescent="0.3">
      <c r="A83" s="276"/>
      <c r="B83" s="276"/>
      <c r="C83" s="276"/>
      <c r="D83" s="276"/>
      <c r="E83" s="276"/>
      <c r="F83" s="276"/>
      <c r="G83" s="276"/>
    </row>
  </sheetData>
  <mergeCells count="15">
    <mergeCell ref="A68:G83"/>
    <mergeCell ref="A3:F3"/>
    <mergeCell ref="I6:N6"/>
    <mergeCell ref="I30:N30"/>
    <mergeCell ref="I31:K31"/>
    <mergeCell ref="I17:N17"/>
    <mergeCell ref="I24:N24"/>
    <mergeCell ref="A6:G6"/>
    <mergeCell ref="I2:M2"/>
    <mergeCell ref="I1:N1"/>
    <mergeCell ref="A4:F4"/>
    <mergeCell ref="I4:M4"/>
    <mergeCell ref="A2:F2"/>
    <mergeCell ref="I3:M3"/>
    <mergeCell ref="A1:G1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14" priority="5" operator="equal">
      <formula>0</formula>
    </cfRule>
    <cfRule type="cellIs" dxfId="13" priority="6" operator="greaterThan">
      <formula>0</formula>
    </cfRule>
    <cfRule type="cellIs" dxfId="12" priority="8" operator="greaterThan">
      <formula>0</formula>
    </cfRule>
  </conditionalFormatting>
  <conditionalFormatting sqref="F9:F35">
    <cfRule type="cellIs" dxfId="11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10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9" priority="2" operator="lessThan">
      <formula>0</formula>
    </cfRule>
    <cfRule type="cellIs" dxfId="8" priority="3" operator="greaterThan">
      <formula>0</formula>
    </cfRule>
  </conditionalFormatting>
  <conditionalFormatting sqref="N26:N28">
    <cfRule type="cellIs" dxfId="7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9BFF-B7C2-493B-BE99-8F19D27A90F2}">
  <dimension ref="A1:X74"/>
  <sheetViews>
    <sheetView tabSelected="1" topLeftCell="A25" zoomScale="74" zoomScaleNormal="70" workbookViewId="0">
      <selection activeCell="F36" sqref="F36"/>
    </sheetView>
  </sheetViews>
  <sheetFormatPr defaultColWidth="9.109375" defaultRowHeight="14.4" x14ac:dyDescent="0.3"/>
  <cols>
    <col min="1" max="1" width="33" style="290" bestFit="1" customWidth="1"/>
    <col min="2" max="2" width="12.77734375" style="290" customWidth="1"/>
    <col min="3" max="3" width="12" style="290" bestFit="1" customWidth="1"/>
    <col min="4" max="4" width="12.109375" style="290" bestFit="1" customWidth="1"/>
    <col min="5" max="5" width="12" style="290" bestFit="1" customWidth="1"/>
    <col min="6" max="6" width="18" style="290" bestFit="1" customWidth="1"/>
    <col min="7" max="7" width="31.88671875" style="290" bestFit="1" customWidth="1"/>
    <col min="8" max="8" width="12.109375" style="290" bestFit="1" customWidth="1"/>
    <col min="9" max="9" width="32.6640625" style="290" bestFit="1" customWidth="1"/>
    <col min="10" max="10" width="23.5546875" style="290" bestFit="1" customWidth="1"/>
    <col min="11" max="11" width="23.33203125" style="290" bestFit="1" customWidth="1"/>
    <col min="12" max="12" width="24.5546875" style="290" customWidth="1"/>
    <col min="13" max="13" width="19.44140625" style="290" bestFit="1" customWidth="1"/>
    <col min="14" max="14" width="22.33203125" style="290" bestFit="1" customWidth="1"/>
    <col min="15" max="15" width="22.5546875" style="290" bestFit="1" customWidth="1"/>
    <col min="16" max="16" width="31.33203125" style="290" bestFit="1" customWidth="1"/>
    <col min="17" max="17" width="13.21875" style="290" bestFit="1" customWidth="1"/>
    <col min="18" max="18" width="27.109375" style="290" bestFit="1" customWidth="1"/>
    <col min="19" max="19" width="29.44140625" style="290" bestFit="1" customWidth="1"/>
    <col min="20" max="22" width="15" style="290" customWidth="1"/>
    <col min="23" max="23" width="15" style="290" bestFit="1" customWidth="1"/>
    <col min="24" max="24" width="10.44140625" style="290" bestFit="1" customWidth="1"/>
    <col min="25" max="25" width="18.109375" style="290" bestFit="1" customWidth="1"/>
    <col min="26" max="26" width="9.109375" style="290" customWidth="1"/>
    <col min="27" max="16384" width="9.109375" style="290"/>
  </cols>
  <sheetData>
    <row r="1" spans="1:24" ht="19.5" customHeight="1" thickBot="1" x14ac:dyDescent="0.35">
      <c r="A1" s="252" t="s">
        <v>154</v>
      </c>
      <c r="B1" s="288"/>
      <c r="C1" s="288"/>
      <c r="D1" s="288"/>
      <c r="E1" s="288"/>
      <c r="G1" s="286" t="s">
        <v>159</v>
      </c>
      <c r="I1" s="252"/>
      <c r="W1" s="291"/>
      <c r="X1" s="287"/>
    </row>
    <row r="2" spans="1:24" ht="18.600000000000001" thickBot="1" x14ac:dyDescent="0.35">
      <c r="A2" s="339" t="s">
        <v>160</v>
      </c>
      <c r="B2" s="340" t="s">
        <v>155</v>
      </c>
      <c r="C2" s="341" t="s">
        <v>39</v>
      </c>
      <c r="D2" s="342" t="s">
        <v>156</v>
      </c>
      <c r="E2" s="343" t="s">
        <v>157</v>
      </c>
      <c r="G2" s="339" t="s">
        <v>160</v>
      </c>
      <c r="H2" s="342" t="s">
        <v>155</v>
      </c>
      <c r="I2" s="343" t="s">
        <v>39</v>
      </c>
      <c r="J2" s="361" t="s">
        <v>156</v>
      </c>
      <c r="K2" s="343" t="s">
        <v>157</v>
      </c>
      <c r="W2" s="292"/>
      <c r="X2" s="287"/>
    </row>
    <row r="3" spans="1:24" x14ac:dyDescent="0.3">
      <c r="A3" s="327" t="s">
        <v>16</v>
      </c>
      <c r="B3" s="321">
        <f>SUM(B4:B5)</f>
        <v>10500</v>
      </c>
      <c r="C3" s="330">
        <f>SUM(C4:C5)</f>
        <v>0</v>
      </c>
      <c r="D3" s="336">
        <f>B3-C3</f>
        <v>10500</v>
      </c>
      <c r="E3" s="320">
        <f>(C3-B3)/B3</f>
        <v>-1</v>
      </c>
      <c r="G3" s="356" t="s">
        <v>15</v>
      </c>
      <c r="H3" s="417">
        <v>55000</v>
      </c>
      <c r="I3" s="418"/>
      <c r="J3" s="432">
        <f>I3-H3</f>
        <v>-55000</v>
      </c>
      <c r="K3" s="389">
        <f>(I3-H3)/H3</f>
        <v>-1</v>
      </c>
      <c r="W3" s="292"/>
      <c r="X3" s="287"/>
    </row>
    <row r="4" spans="1:24" x14ac:dyDescent="0.3">
      <c r="A4" s="328" t="s">
        <v>18</v>
      </c>
      <c r="B4" s="322">
        <v>3000</v>
      </c>
      <c r="C4" s="331">
        <v>0</v>
      </c>
      <c r="D4" s="337">
        <f t="shared" ref="D4:D56" si="0">B4-C4</f>
        <v>3000</v>
      </c>
      <c r="E4" s="319">
        <f t="shared" ref="E4:E56" si="1">(C4-B4)/B4</f>
        <v>-1</v>
      </c>
      <c r="G4" s="357" t="s">
        <v>17</v>
      </c>
      <c r="H4" s="419"/>
      <c r="I4" s="420"/>
      <c r="J4" s="432">
        <f t="shared" ref="J4:J7" si="2">I4-H4</f>
        <v>0</v>
      </c>
      <c r="K4" s="389" t="e">
        <f t="shared" ref="K4:K7" si="3">(I4-H4)/H4</f>
        <v>#DIV/0!</v>
      </c>
      <c r="W4" s="292"/>
      <c r="X4" s="287"/>
    </row>
    <row r="5" spans="1:24" x14ac:dyDescent="0.3">
      <c r="A5" s="328" t="s">
        <v>21</v>
      </c>
      <c r="B5" s="322">
        <v>7500</v>
      </c>
      <c r="C5" s="331">
        <v>0</v>
      </c>
      <c r="D5" s="337">
        <f t="shared" si="0"/>
        <v>7500</v>
      </c>
      <c r="E5" s="319">
        <f t="shared" si="1"/>
        <v>-1</v>
      </c>
      <c r="F5" s="287"/>
      <c r="G5" s="357" t="s">
        <v>20</v>
      </c>
      <c r="H5" s="419"/>
      <c r="I5" s="420"/>
      <c r="J5" s="432">
        <f t="shared" si="2"/>
        <v>0</v>
      </c>
      <c r="K5" s="389" t="e">
        <f t="shared" si="3"/>
        <v>#DIV/0!</v>
      </c>
      <c r="W5" s="292"/>
      <c r="X5" s="287"/>
    </row>
    <row r="6" spans="1:24" ht="18" x14ac:dyDescent="0.3">
      <c r="A6" s="329" t="s">
        <v>24</v>
      </c>
      <c r="B6" s="323">
        <f>SUM(B7:B9)</f>
        <v>1000</v>
      </c>
      <c r="C6" s="332">
        <f>SUM(C7:C9)</f>
        <v>0</v>
      </c>
      <c r="D6" s="338">
        <f t="shared" si="0"/>
        <v>1000</v>
      </c>
      <c r="E6" s="318">
        <f t="shared" si="1"/>
        <v>-1</v>
      </c>
      <c r="G6" s="357" t="s">
        <v>23</v>
      </c>
      <c r="H6" s="419"/>
      <c r="I6" s="427"/>
      <c r="J6" s="432">
        <f t="shared" si="2"/>
        <v>0</v>
      </c>
      <c r="K6" s="389" t="e">
        <f t="shared" si="3"/>
        <v>#DIV/0!</v>
      </c>
      <c r="P6" s="252"/>
      <c r="W6" s="292"/>
      <c r="X6" s="287"/>
    </row>
    <row r="7" spans="1:24" ht="18.600000000000001" thickBot="1" x14ac:dyDescent="0.35">
      <c r="A7" s="328" t="s">
        <v>26</v>
      </c>
      <c r="B7" s="322">
        <v>1000</v>
      </c>
      <c r="C7" s="331">
        <v>0</v>
      </c>
      <c r="D7" s="337">
        <f t="shared" si="0"/>
        <v>1000</v>
      </c>
      <c r="E7" s="319">
        <f t="shared" si="1"/>
        <v>-1</v>
      </c>
      <c r="F7" s="252"/>
      <c r="G7" s="359" t="s">
        <v>25</v>
      </c>
      <c r="H7" s="428"/>
      <c r="I7" s="429"/>
      <c r="J7" s="432">
        <f t="shared" si="2"/>
        <v>0</v>
      </c>
      <c r="K7" s="389" t="e">
        <f t="shared" si="3"/>
        <v>#DIV/0!</v>
      </c>
      <c r="L7" s="252"/>
      <c r="M7" s="252"/>
      <c r="N7" s="252"/>
      <c r="P7" s="252"/>
      <c r="Q7" s="252"/>
      <c r="R7" s="252"/>
      <c r="S7" s="252"/>
      <c r="W7" s="292"/>
      <c r="X7" s="287"/>
    </row>
    <row r="8" spans="1:24" ht="18.600000000000001" thickBot="1" x14ac:dyDescent="0.35">
      <c r="A8" s="328" t="s">
        <v>29</v>
      </c>
      <c r="B8" s="322">
        <v>0</v>
      </c>
      <c r="C8" s="331">
        <v>0</v>
      </c>
      <c r="D8" s="337">
        <f t="shared" si="0"/>
        <v>0</v>
      </c>
      <c r="E8" s="319" t="e">
        <f t="shared" si="1"/>
        <v>#DIV/0!</v>
      </c>
      <c r="F8" s="252"/>
      <c r="G8" s="339" t="s">
        <v>158</v>
      </c>
      <c r="H8" s="430">
        <f>SUM(H3,H4,H5,H7)</f>
        <v>55000</v>
      </c>
      <c r="I8" s="431">
        <f>SUM(I3,I4,I5,I7)</f>
        <v>0</v>
      </c>
      <c r="J8" s="370" t="s">
        <v>181</v>
      </c>
      <c r="K8" s="369"/>
      <c r="L8" s="295"/>
      <c r="M8" s="296"/>
      <c r="W8" s="292"/>
      <c r="X8" s="287"/>
    </row>
    <row r="9" spans="1:24" ht="18" x14ac:dyDescent="0.3">
      <c r="A9" s="328" t="s">
        <v>31</v>
      </c>
      <c r="B9" s="322">
        <v>0</v>
      </c>
      <c r="C9" s="331">
        <v>0</v>
      </c>
      <c r="D9" s="337">
        <f t="shared" si="0"/>
        <v>0</v>
      </c>
      <c r="E9" s="319" t="e">
        <f t="shared" si="1"/>
        <v>#DIV/0!</v>
      </c>
      <c r="F9" s="287"/>
      <c r="G9" s="362" t="s">
        <v>162</v>
      </c>
      <c r="H9" s="367"/>
      <c r="I9" s="387">
        <f>February!K36</f>
        <v>19781.759999999995</v>
      </c>
      <c r="J9" s="363"/>
      <c r="K9" s="364"/>
      <c r="L9" s="295"/>
      <c r="M9" s="296"/>
      <c r="W9" s="292"/>
      <c r="X9" s="287"/>
    </row>
    <row r="10" spans="1:24" ht="18.600000000000001" thickBot="1" x14ac:dyDescent="0.35">
      <c r="A10" s="329" t="s">
        <v>33</v>
      </c>
      <c r="B10" s="324">
        <f>SUM(B11:B12)</f>
        <v>9000</v>
      </c>
      <c r="C10" s="333">
        <f>SUM(C11:C12)</f>
        <v>0</v>
      </c>
      <c r="D10" s="338">
        <f t="shared" si="0"/>
        <v>9000</v>
      </c>
      <c r="E10" s="318">
        <f t="shared" si="1"/>
        <v>-1</v>
      </c>
      <c r="F10" s="287"/>
      <c r="G10" s="358" t="s">
        <v>161</v>
      </c>
      <c r="H10" s="368"/>
      <c r="I10" s="388">
        <f>SUM(I9,I8,I6)</f>
        <v>19781.759999999995</v>
      </c>
      <c r="J10" s="365"/>
      <c r="K10" s="366"/>
      <c r="L10" s="295"/>
      <c r="M10" s="296"/>
    </row>
    <row r="11" spans="1:24" ht="18" x14ac:dyDescent="0.3">
      <c r="A11" s="328" t="s">
        <v>34</v>
      </c>
      <c r="B11" s="325">
        <v>8000</v>
      </c>
      <c r="C11" s="334">
        <v>0</v>
      </c>
      <c r="D11" s="337">
        <f t="shared" si="0"/>
        <v>8000</v>
      </c>
      <c r="E11" s="319">
        <f t="shared" si="1"/>
        <v>-1</v>
      </c>
      <c r="F11" s="287"/>
      <c r="G11" s="252"/>
      <c r="J11" s="294"/>
      <c r="K11" s="294"/>
      <c r="L11" s="295"/>
      <c r="M11" s="296"/>
    </row>
    <row r="12" spans="1:24" ht="18" x14ac:dyDescent="0.3">
      <c r="A12" s="328" t="s">
        <v>36</v>
      </c>
      <c r="B12" s="322">
        <v>1000</v>
      </c>
      <c r="C12" s="331">
        <v>0</v>
      </c>
      <c r="D12" s="337">
        <f t="shared" si="0"/>
        <v>1000</v>
      </c>
      <c r="E12" s="319">
        <f t="shared" si="1"/>
        <v>-1</v>
      </c>
      <c r="F12" s="287"/>
      <c r="G12" s="252"/>
      <c r="J12" s="294"/>
      <c r="K12" s="294"/>
      <c r="L12" s="295"/>
      <c r="M12" s="294"/>
    </row>
    <row r="13" spans="1:24" ht="18.600000000000001" thickBot="1" x14ac:dyDescent="0.35">
      <c r="A13" s="329" t="s">
        <v>40</v>
      </c>
      <c r="B13" s="324">
        <v>592</v>
      </c>
      <c r="C13" s="333">
        <v>0</v>
      </c>
      <c r="D13" s="338">
        <f t="shared" si="0"/>
        <v>592</v>
      </c>
      <c r="E13" s="318">
        <f t="shared" si="1"/>
        <v>-1</v>
      </c>
      <c r="F13" s="287"/>
      <c r="G13" s="252" t="s">
        <v>168</v>
      </c>
      <c r="L13" s="298"/>
      <c r="M13" s="252"/>
      <c r="N13" s="252"/>
    </row>
    <row r="14" spans="1:24" ht="18.600000000000001" thickBot="1" x14ac:dyDescent="0.35">
      <c r="A14" s="329" t="s">
        <v>42</v>
      </c>
      <c r="B14" s="324">
        <v>0</v>
      </c>
      <c r="C14" s="333">
        <v>0</v>
      </c>
      <c r="D14" s="338">
        <f t="shared" si="0"/>
        <v>0</v>
      </c>
      <c r="E14" s="318" t="e">
        <f t="shared" si="1"/>
        <v>#DIV/0!</v>
      </c>
      <c r="F14" s="287"/>
      <c r="G14" s="339" t="s">
        <v>169</v>
      </c>
      <c r="H14" s="374" t="s">
        <v>155</v>
      </c>
      <c r="I14" s="375" t="s">
        <v>39</v>
      </c>
      <c r="J14" s="340" t="s">
        <v>169</v>
      </c>
      <c r="K14" s="375" t="s">
        <v>39</v>
      </c>
      <c r="L14" s="299"/>
      <c r="M14" s="299"/>
      <c r="N14" s="299"/>
      <c r="P14" s="288"/>
      <c r="Q14" s="300"/>
      <c r="R14" s="288"/>
      <c r="S14" s="288"/>
      <c r="T14" s="288"/>
      <c r="U14" s="288"/>
      <c r="V14" s="288"/>
    </row>
    <row r="15" spans="1:24" ht="18" x14ac:dyDescent="0.3">
      <c r="A15" s="329" t="s">
        <v>44</v>
      </c>
      <c r="B15" s="324">
        <f>SUM(B16:B19)</f>
        <v>1000</v>
      </c>
      <c r="C15" s="333">
        <f>SUM(C16:C19)</f>
        <v>0</v>
      </c>
      <c r="D15" s="338">
        <f t="shared" si="0"/>
        <v>1000</v>
      </c>
      <c r="E15" s="318">
        <f t="shared" si="1"/>
        <v>-1</v>
      </c>
      <c r="F15" s="287"/>
      <c r="G15" s="373" t="s">
        <v>74</v>
      </c>
      <c r="H15" s="423">
        <f>$H$8-$B$57</f>
        <v>19708</v>
      </c>
      <c r="I15" s="424">
        <f>$I$10-$C$57</f>
        <v>19781.759999999995</v>
      </c>
      <c r="J15" s="414" t="s">
        <v>175</v>
      </c>
      <c r="K15" s="345"/>
      <c r="L15" s="299"/>
      <c r="M15" s="299"/>
      <c r="N15" s="299"/>
      <c r="P15" s="288"/>
      <c r="Q15" s="300"/>
      <c r="R15" s="254"/>
      <c r="S15" s="254"/>
      <c r="T15" s="254"/>
      <c r="U15" s="254"/>
      <c r="V15" s="254"/>
    </row>
    <row r="16" spans="1:24" ht="18" x14ac:dyDescent="0.3">
      <c r="A16" s="328" t="s">
        <v>46</v>
      </c>
      <c r="B16" s="322">
        <v>0</v>
      </c>
      <c r="C16" s="331">
        <v>0</v>
      </c>
      <c r="D16" s="337">
        <f t="shared" si="0"/>
        <v>0</v>
      </c>
      <c r="E16" s="319" t="e">
        <f t="shared" si="1"/>
        <v>#DIV/0!</v>
      </c>
      <c r="F16" s="287"/>
      <c r="G16" s="357" t="s">
        <v>170</v>
      </c>
      <c r="H16" s="419">
        <v>0</v>
      </c>
      <c r="I16" s="420">
        <v>8781</v>
      </c>
      <c r="J16" s="415" t="s">
        <v>173</v>
      </c>
      <c r="K16" s="344"/>
      <c r="P16" s="288"/>
      <c r="Q16" s="300"/>
      <c r="R16" s="301"/>
      <c r="S16" s="302"/>
      <c r="T16" s="301"/>
      <c r="U16" s="302"/>
      <c r="V16" s="302"/>
    </row>
    <row r="17" spans="1:22" ht="18" x14ac:dyDescent="0.3">
      <c r="A17" s="328" t="s">
        <v>47</v>
      </c>
      <c r="B17" s="325">
        <v>0</v>
      </c>
      <c r="C17" s="334">
        <v>0</v>
      </c>
      <c r="D17" s="337">
        <f t="shared" si="0"/>
        <v>0</v>
      </c>
      <c r="E17" s="319" t="e">
        <f t="shared" si="1"/>
        <v>#DIV/0!</v>
      </c>
      <c r="F17" s="287"/>
      <c r="G17" s="357" t="s">
        <v>56</v>
      </c>
      <c r="H17" s="419">
        <v>20000</v>
      </c>
      <c r="I17" s="420">
        <v>15000</v>
      </c>
      <c r="J17" s="415" t="s">
        <v>174</v>
      </c>
      <c r="K17" s="344"/>
      <c r="P17" s="288"/>
      <c r="Q17" s="303"/>
      <c r="R17" s="301"/>
      <c r="S17" s="302"/>
      <c r="T17" s="301"/>
      <c r="U17" s="302"/>
      <c r="V17" s="302"/>
    </row>
    <row r="18" spans="1:22" ht="18.600000000000001" thickBot="1" x14ac:dyDescent="0.35">
      <c r="A18" s="328" t="s">
        <v>48</v>
      </c>
      <c r="B18" s="325">
        <v>1000</v>
      </c>
      <c r="C18" s="334">
        <v>0</v>
      </c>
      <c r="D18" s="337">
        <f t="shared" si="0"/>
        <v>1000</v>
      </c>
      <c r="E18" s="319">
        <f t="shared" si="1"/>
        <v>-1</v>
      </c>
      <c r="F18" s="287"/>
      <c r="G18" s="359" t="s">
        <v>171</v>
      </c>
      <c r="H18" s="425">
        <f>H17/H8</f>
        <v>0.36363636363636365</v>
      </c>
      <c r="I18" s="426" t="e">
        <f>I17/I8</f>
        <v>#DIV/0!</v>
      </c>
      <c r="J18" s="413"/>
      <c r="K18" s="376"/>
      <c r="L18" s="252"/>
      <c r="M18" s="252"/>
      <c r="N18" s="257"/>
      <c r="R18" s="301"/>
      <c r="S18" s="302"/>
      <c r="T18" s="301"/>
      <c r="U18" s="302"/>
      <c r="V18" s="302"/>
    </row>
    <row r="19" spans="1:22" ht="18.600000000000001" thickBot="1" x14ac:dyDescent="0.35">
      <c r="A19" s="328" t="s">
        <v>51</v>
      </c>
      <c r="B19" s="322">
        <v>0</v>
      </c>
      <c r="C19" s="331">
        <v>0</v>
      </c>
      <c r="D19" s="337">
        <f t="shared" si="0"/>
        <v>0</v>
      </c>
      <c r="E19" s="319" t="e">
        <f t="shared" si="1"/>
        <v>#DIV/0!</v>
      </c>
      <c r="F19" s="287"/>
      <c r="G19" s="339" t="s">
        <v>30</v>
      </c>
      <c r="H19" s="422">
        <f>$H$15-$H$16-$H$17</f>
        <v>-292</v>
      </c>
      <c r="I19" s="421">
        <f>$I$15-$I$16-$I$17</f>
        <v>-3999.2400000000052</v>
      </c>
      <c r="J19" s="416"/>
      <c r="K19" s="377"/>
      <c r="L19" s="301"/>
      <c r="M19" s="295"/>
      <c r="N19" s="304"/>
      <c r="P19" s="254"/>
      <c r="Q19" s="254"/>
      <c r="R19" s="301"/>
      <c r="S19" s="302"/>
      <c r="T19" s="255"/>
      <c r="U19" s="305"/>
      <c r="V19" s="305"/>
    </row>
    <row r="20" spans="1:22" ht="18" x14ac:dyDescent="0.3">
      <c r="A20" s="329" t="s">
        <v>58</v>
      </c>
      <c r="B20" s="323">
        <v>0</v>
      </c>
      <c r="C20" s="332">
        <v>0</v>
      </c>
      <c r="D20" s="338">
        <f t="shared" si="0"/>
        <v>0</v>
      </c>
      <c r="E20" s="318" t="e">
        <f t="shared" si="1"/>
        <v>#DIV/0!</v>
      </c>
      <c r="F20" s="287"/>
      <c r="G20" s="252"/>
      <c r="J20" s="301"/>
      <c r="K20" s="295"/>
      <c r="L20" s="301"/>
      <c r="M20" s="295"/>
      <c r="N20" s="304"/>
    </row>
    <row r="21" spans="1:22" ht="18" x14ac:dyDescent="0.3">
      <c r="A21" s="329" t="s">
        <v>60</v>
      </c>
      <c r="B21" s="323">
        <f>SUM(B22:B25)</f>
        <v>1300</v>
      </c>
      <c r="C21" s="332">
        <f>SUM(C22:C25)</f>
        <v>0</v>
      </c>
      <c r="D21" s="338">
        <f t="shared" si="0"/>
        <v>1300</v>
      </c>
      <c r="E21" s="318">
        <f t="shared" si="1"/>
        <v>-1</v>
      </c>
      <c r="F21" s="287"/>
      <c r="G21" s="252"/>
      <c r="J21" s="301"/>
      <c r="K21" s="295"/>
      <c r="L21" s="301"/>
      <c r="M21" s="295"/>
      <c r="N21" s="304"/>
    </row>
    <row r="22" spans="1:22" ht="18.600000000000001" thickBot="1" x14ac:dyDescent="0.35">
      <c r="A22" s="328" t="s">
        <v>62</v>
      </c>
      <c r="B22" s="325">
        <v>0</v>
      </c>
      <c r="C22" s="334">
        <v>0</v>
      </c>
      <c r="D22" s="337">
        <f t="shared" si="0"/>
        <v>0</v>
      </c>
      <c r="E22" s="319" t="e">
        <f t="shared" si="1"/>
        <v>#DIV/0!</v>
      </c>
      <c r="F22" s="287"/>
      <c r="G22" s="286" t="s">
        <v>163</v>
      </c>
      <c r="L22" s="306"/>
      <c r="M22" s="307"/>
      <c r="N22" s="307"/>
    </row>
    <row r="23" spans="1:22" ht="18.600000000000001" thickBot="1" x14ac:dyDescent="0.35">
      <c r="A23" s="328" t="s">
        <v>64</v>
      </c>
      <c r="B23" s="325">
        <v>1000</v>
      </c>
      <c r="C23" s="334">
        <v>0</v>
      </c>
      <c r="D23" s="337">
        <f t="shared" si="0"/>
        <v>1000</v>
      </c>
      <c r="E23" s="319">
        <f t="shared" si="1"/>
        <v>-1</v>
      </c>
      <c r="F23" s="287"/>
      <c r="G23" s="339" t="s">
        <v>163</v>
      </c>
      <c r="H23" s="340" t="s">
        <v>72</v>
      </c>
      <c r="I23" s="384" t="s">
        <v>166</v>
      </c>
      <c r="J23" s="385" t="s">
        <v>55</v>
      </c>
      <c r="K23" s="386" t="s">
        <v>167</v>
      </c>
    </row>
    <row r="24" spans="1:22" x14ac:dyDescent="0.3">
      <c r="A24" s="328" t="s">
        <v>65</v>
      </c>
      <c r="B24" s="325">
        <v>0</v>
      </c>
      <c r="C24" s="334">
        <v>0</v>
      </c>
      <c r="D24" s="337">
        <f t="shared" si="0"/>
        <v>0</v>
      </c>
      <c r="E24" s="319" t="e">
        <f t="shared" si="1"/>
        <v>#DIV/0!</v>
      </c>
      <c r="F24" s="287"/>
      <c r="G24" s="373" t="s">
        <v>165</v>
      </c>
      <c r="H24" s="408"/>
      <c r="I24" s="412"/>
      <c r="J24" s="412"/>
      <c r="K24" s="382">
        <v>0</v>
      </c>
    </row>
    <row r="25" spans="1:22" ht="18" x14ac:dyDescent="0.3">
      <c r="A25" s="328" t="s">
        <v>67</v>
      </c>
      <c r="B25" s="325">
        <v>300</v>
      </c>
      <c r="C25" s="334">
        <v>0</v>
      </c>
      <c r="D25" s="337">
        <f t="shared" si="0"/>
        <v>300</v>
      </c>
      <c r="E25" s="319">
        <f t="shared" si="1"/>
        <v>-1</v>
      </c>
      <c r="F25" s="287"/>
      <c r="G25" s="379" t="s">
        <v>164</v>
      </c>
      <c r="H25" s="409"/>
      <c r="I25" s="410">
        <v>8781</v>
      </c>
      <c r="J25" s="410"/>
      <c r="K25" s="381">
        <v>0</v>
      </c>
      <c r="L25" s="252"/>
      <c r="M25" s="252"/>
      <c r="N25" s="252"/>
    </row>
    <row r="26" spans="1:22" x14ac:dyDescent="0.3">
      <c r="A26" s="329" t="s">
        <v>70</v>
      </c>
      <c r="B26" s="323">
        <f>SUM(B27:B29)</f>
        <v>2000</v>
      </c>
      <c r="C26" s="332">
        <f>SUM(C27:C29)</f>
        <v>0</v>
      </c>
      <c r="D26" s="338">
        <f t="shared" si="0"/>
        <v>2000</v>
      </c>
      <c r="E26" s="318">
        <f t="shared" si="1"/>
        <v>-1</v>
      </c>
      <c r="F26" s="287"/>
      <c r="G26" s="379" t="s">
        <v>151</v>
      </c>
      <c r="H26" s="409"/>
      <c r="I26" s="410">
        <v>15000</v>
      </c>
      <c r="J26" s="410"/>
      <c r="K26" s="381">
        <v>0</v>
      </c>
      <c r="L26" s="296"/>
      <c r="M26" s="296"/>
      <c r="N26" s="296"/>
    </row>
    <row r="27" spans="1:22" ht="15" thickBot="1" x14ac:dyDescent="0.35">
      <c r="A27" s="328" t="s">
        <v>73</v>
      </c>
      <c r="B27" s="322">
        <v>2000</v>
      </c>
      <c r="C27" s="331">
        <v>0</v>
      </c>
      <c r="D27" s="337">
        <f t="shared" si="0"/>
        <v>2000</v>
      </c>
      <c r="E27" s="319">
        <f t="shared" si="1"/>
        <v>-1</v>
      </c>
      <c r="F27" s="287"/>
      <c r="G27" s="380" t="s">
        <v>150</v>
      </c>
      <c r="H27" s="411"/>
      <c r="I27" s="406"/>
      <c r="J27" s="406">
        <v>8011</v>
      </c>
      <c r="K27" s="383">
        <v>0.185</v>
      </c>
      <c r="L27" s="296"/>
      <c r="M27" s="296"/>
      <c r="N27" s="296"/>
    </row>
    <row r="28" spans="1:22" ht="18" x14ac:dyDescent="0.3">
      <c r="A28" s="328" t="s">
        <v>77</v>
      </c>
      <c r="B28" s="325">
        <v>0</v>
      </c>
      <c r="C28" s="334">
        <v>0</v>
      </c>
      <c r="D28" s="337">
        <f t="shared" si="0"/>
        <v>0</v>
      </c>
      <c r="E28" s="319" t="e">
        <f t="shared" si="1"/>
        <v>#DIV/0!</v>
      </c>
      <c r="F28" s="287"/>
      <c r="G28" s="252"/>
      <c r="J28" s="296"/>
      <c r="K28" s="309"/>
      <c r="L28" s="296"/>
      <c r="M28" s="296"/>
      <c r="N28" s="296"/>
    </row>
    <row r="29" spans="1:22" ht="18" x14ac:dyDescent="0.3">
      <c r="A29" s="328" t="s">
        <v>80</v>
      </c>
      <c r="B29" s="325">
        <v>0</v>
      </c>
      <c r="C29" s="334">
        <v>0</v>
      </c>
      <c r="D29" s="337">
        <f t="shared" si="0"/>
        <v>0</v>
      </c>
      <c r="E29" s="319" t="e">
        <f t="shared" si="1"/>
        <v>#DIV/0!</v>
      </c>
      <c r="F29" s="287"/>
      <c r="G29" s="289"/>
      <c r="H29" s="293"/>
      <c r="I29" s="293"/>
      <c r="J29" s="293"/>
      <c r="K29" s="293"/>
    </row>
    <row r="30" spans="1:22" ht="18.600000000000001" thickBot="1" x14ac:dyDescent="0.35">
      <c r="A30" s="329" t="s">
        <v>86</v>
      </c>
      <c r="B30" s="324">
        <f>SUM(B31:B34)</f>
        <v>3000</v>
      </c>
      <c r="C30" s="333">
        <f>SUM(C31:C34)</f>
        <v>0</v>
      </c>
      <c r="D30" s="338">
        <f t="shared" si="0"/>
        <v>3000</v>
      </c>
      <c r="E30" s="318">
        <f t="shared" si="1"/>
        <v>-1</v>
      </c>
      <c r="F30" s="287"/>
      <c r="G30" s="289" t="s">
        <v>151</v>
      </c>
      <c r="H30" s="293"/>
      <c r="I30" s="289"/>
      <c r="J30" s="293"/>
      <c r="K30" s="293"/>
      <c r="L30" s="252"/>
    </row>
    <row r="31" spans="1:22" ht="18.600000000000001" thickBot="1" x14ac:dyDescent="0.35">
      <c r="A31" s="328" t="s">
        <v>88</v>
      </c>
      <c r="B31" s="322">
        <v>3000</v>
      </c>
      <c r="C31" s="331">
        <v>0</v>
      </c>
      <c r="D31" s="337">
        <f t="shared" si="0"/>
        <v>3000</v>
      </c>
      <c r="E31" s="319">
        <f t="shared" si="1"/>
        <v>-1</v>
      </c>
      <c r="F31" s="287"/>
      <c r="G31" s="339" t="s">
        <v>172</v>
      </c>
      <c r="H31" s="394" t="s">
        <v>118</v>
      </c>
      <c r="I31" s="395" t="s">
        <v>119</v>
      </c>
      <c r="J31" s="395" t="s">
        <v>120</v>
      </c>
      <c r="K31" s="396" t="s">
        <v>176</v>
      </c>
      <c r="L31" s="252"/>
      <c r="M31" s="252"/>
      <c r="N31" s="252"/>
    </row>
    <row r="32" spans="1:22" ht="18" x14ac:dyDescent="0.3">
      <c r="A32" s="328" t="s">
        <v>89</v>
      </c>
      <c r="B32" s="325">
        <v>0</v>
      </c>
      <c r="C32" s="334">
        <v>0</v>
      </c>
      <c r="D32" s="337">
        <f t="shared" si="0"/>
        <v>0</v>
      </c>
      <c r="E32" s="319" t="e">
        <f t="shared" si="1"/>
        <v>#DIV/0!</v>
      </c>
      <c r="F32" s="287"/>
      <c r="G32" s="391" t="s">
        <v>121</v>
      </c>
      <c r="H32" s="397">
        <v>10</v>
      </c>
      <c r="I32" s="400">
        <v>2657.6</v>
      </c>
      <c r="J32" s="400"/>
      <c r="K32" s="401">
        <f>H32*J32</f>
        <v>0</v>
      </c>
      <c r="L32" s="253"/>
      <c r="M32" s="310"/>
      <c r="N32" s="254"/>
    </row>
    <row r="33" spans="1:14" ht="18" x14ac:dyDescent="0.3">
      <c r="A33" s="328" t="s">
        <v>90</v>
      </c>
      <c r="B33" s="325">
        <v>0</v>
      </c>
      <c r="C33" s="334">
        <v>0</v>
      </c>
      <c r="D33" s="337">
        <f t="shared" si="0"/>
        <v>0</v>
      </c>
      <c r="E33" s="319" t="e">
        <f t="shared" si="1"/>
        <v>#DIV/0!</v>
      </c>
      <c r="F33" s="287"/>
      <c r="G33" s="392" t="s">
        <v>122</v>
      </c>
      <c r="H33" s="398">
        <v>10</v>
      </c>
      <c r="I33" s="402">
        <v>288.3</v>
      </c>
      <c r="J33" s="402"/>
      <c r="K33" s="403">
        <f>H33*J33</f>
        <v>0</v>
      </c>
      <c r="L33" s="253"/>
      <c r="M33" s="310"/>
      <c r="N33" s="256"/>
    </row>
    <row r="34" spans="1:14" ht="18" x14ac:dyDescent="0.3">
      <c r="A34" s="328" t="s">
        <v>91</v>
      </c>
      <c r="B34" s="325">
        <v>0</v>
      </c>
      <c r="C34" s="334">
        <v>0</v>
      </c>
      <c r="D34" s="337">
        <f t="shared" si="0"/>
        <v>0</v>
      </c>
      <c r="E34" s="319" t="e">
        <f t="shared" si="1"/>
        <v>#DIV/0!</v>
      </c>
      <c r="F34" s="287"/>
      <c r="G34" s="392" t="s">
        <v>123</v>
      </c>
      <c r="H34" s="398">
        <v>4</v>
      </c>
      <c r="I34" s="402">
        <v>3196.8</v>
      </c>
      <c r="J34" s="404"/>
      <c r="K34" s="405">
        <f>H34*J34</f>
        <v>0</v>
      </c>
      <c r="L34" s="253"/>
      <c r="M34" s="310"/>
      <c r="N34" s="257"/>
    </row>
    <row r="35" spans="1:14" ht="21.6" thickBot="1" x14ac:dyDescent="0.35">
      <c r="A35" s="329" t="s">
        <v>92</v>
      </c>
      <c r="B35" s="323">
        <v>3000</v>
      </c>
      <c r="C35" s="332">
        <v>0</v>
      </c>
      <c r="D35" s="338">
        <f t="shared" si="0"/>
        <v>3000</v>
      </c>
      <c r="E35" s="318">
        <f t="shared" si="1"/>
        <v>-1</v>
      </c>
      <c r="F35" s="287"/>
      <c r="G35" s="393" t="s">
        <v>124</v>
      </c>
      <c r="H35" s="399" t="s">
        <v>76</v>
      </c>
      <c r="I35" s="406">
        <v>466.2</v>
      </c>
      <c r="J35" s="406">
        <v>466.2</v>
      </c>
      <c r="K35" s="407">
        <v>466.2</v>
      </c>
      <c r="L35" s="259"/>
      <c r="M35" s="260"/>
      <c r="N35" s="261"/>
    </row>
    <row r="36" spans="1:14" ht="18" x14ac:dyDescent="0.3">
      <c r="A36" s="329" t="s">
        <v>93</v>
      </c>
      <c r="B36" s="323">
        <v>2000</v>
      </c>
      <c r="C36" s="332">
        <v>0</v>
      </c>
      <c r="D36" s="338">
        <f t="shared" si="0"/>
        <v>2000</v>
      </c>
      <c r="E36" s="318">
        <f t="shared" si="1"/>
        <v>-1</v>
      </c>
      <c r="F36" s="287"/>
      <c r="G36" s="289"/>
      <c r="H36" s="293"/>
      <c r="I36" s="293"/>
      <c r="J36" s="293"/>
      <c r="K36" s="293"/>
    </row>
    <row r="37" spans="1:14" ht="18" x14ac:dyDescent="0.3">
      <c r="A37" s="329" t="s">
        <v>94</v>
      </c>
      <c r="B37" s="323">
        <f>SUM(B38:B45)</f>
        <v>0</v>
      </c>
      <c r="C37" s="332">
        <f>SUM(C38:C45)</f>
        <v>0</v>
      </c>
      <c r="D37" s="338">
        <f t="shared" si="0"/>
        <v>0</v>
      </c>
      <c r="E37" s="318" t="e">
        <f t="shared" si="1"/>
        <v>#DIV/0!</v>
      </c>
      <c r="F37" s="287"/>
      <c r="G37" s="289"/>
      <c r="H37" s="293"/>
      <c r="I37" s="293"/>
      <c r="J37" s="293"/>
      <c r="K37" s="293"/>
    </row>
    <row r="38" spans="1:14" ht="18.600000000000001" thickBot="1" x14ac:dyDescent="0.35">
      <c r="A38" s="328" t="s">
        <v>95</v>
      </c>
      <c r="B38" s="322">
        <v>0</v>
      </c>
      <c r="C38" s="331">
        <v>0</v>
      </c>
      <c r="D38" s="337">
        <f t="shared" si="0"/>
        <v>0</v>
      </c>
      <c r="E38" s="319" t="e">
        <f t="shared" si="1"/>
        <v>#DIV/0!</v>
      </c>
      <c r="F38" s="287"/>
      <c r="G38" s="289" t="s">
        <v>177</v>
      </c>
      <c r="H38" s="293"/>
      <c r="I38" s="293"/>
      <c r="J38" s="293"/>
      <c r="K38" s="293"/>
    </row>
    <row r="39" spans="1:14" ht="18.600000000000001" thickBot="1" x14ac:dyDescent="0.35">
      <c r="A39" s="328" t="s">
        <v>96</v>
      </c>
      <c r="B39" s="322">
        <v>0</v>
      </c>
      <c r="C39" s="331">
        <v>0</v>
      </c>
      <c r="D39" s="337">
        <f t="shared" si="0"/>
        <v>0</v>
      </c>
      <c r="E39" s="319" t="e">
        <f t="shared" si="1"/>
        <v>#DIV/0!</v>
      </c>
      <c r="F39" s="287"/>
      <c r="G39" s="374" t="s">
        <v>178</v>
      </c>
      <c r="H39" s="375" t="s">
        <v>180</v>
      </c>
      <c r="I39" s="293"/>
      <c r="J39" s="293"/>
      <c r="K39" s="293"/>
    </row>
    <row r="40" spans="1:14" x14ac:dyDescent="0.3">
      <c r="A40" s="328" t="s">
        <v>97</v>
      </c>
      <c r="B40" s="322">
        <v>0</v>
      </c>
      <c r="C40" s="331">
        <v>0</v>
      </c>
      <c r="D40" s="337">
        <f t="shared" si="0"/>
        <v>0</v>
      </c>
      <c r="E40" s="319" t="e">
        <f t="shared" si="1"/>
        <v>#DIV/0!</v>
      </c>
      <c r="F40" s="287"/>
      <c r="G40" s="372" t="s">
        <v>125</v>
      </c>
      <c r="H40" s="387">
        <f>SUM(K32:K35)</f>
        <v>466.2</v>
      </c>
      <c r="I40" s="293"/>
      <c r="J40" s="293"/>
      <c r="K40" s="293"/>
    </row>
    <row r="41" spans="1:14" x14ac:dyDescent="0.3">
      <c r="A41" s="328" t="s">
        <v>98</v>
      </c>
      <c r="B41" s="322">
        <v>0</v>
      </c>
      <c r="C41" s="331">
        <v>0</v>
      </c>
      <c r="D41" s="337">
        <f t="shared" si="0"/>
        <v>0</v>
      </c>
      <c r="E41" s="319" t="e">
        <f t="shared" si="1"/>
        <v>#DIV/0!</v>
      </c>
      <c r="F41" s="287"/>
      <c r="G41" s="371" t="s">
        <v>126</v>
      </c>
      <c r="H41" s="390">
        <f>SUMPRODUCT(H32:H34,I32:I34)+I35</f>
        <v>42712.399999999994</v>
      </c>
      <c r="I41" s="293"/>
      <c r="J41" s="293"/>
      <c r="K41" s="293"/>
    </row>
    <row r="42" spans="1:14" x14ac:dyDescent="0.3">
      <c r="A42" s="328" t="s">
        <v>99</v>
      </c>
      <c r="B42" s="322">
        <v>0</v>
      </c>
      <c r="C42" s="331">
        <v>0</v>
      </c>
      <c r="D42" s="337">
        <f t="shared" si="0"/>
        <v>0</v>
      </c>
      <c r="E42" s="319" t="e">
        <f t="shared" si="1"/>
        <v>#DIV/0!</v>
      </c>
      <c r="F42" s="287"/>
      <c r="G42" s="371" t="s">
        <v>179</v>
      </c>
      <c r="H42" s="390">
        <f>H40-H41</f>
        <v>-42246.2</v>
      </c>
      <c r="I42" s="293"/>
      <c r="J42" s="293"/>
      <c r="K42" s="293"/>
    </row>
    <row r="43" spans="1:14" ht="15" thickBot="1" x14ac:dyDescent="0.35">
      <c r="A43" s="328" t="s">
        <v>100</v>
      </c>
      <c r="B43" s="322">
        <v>0</v>
      </c>
      <c r="C43" s="331">
        <v>0</v>
      </c>
      <c r="D43" s="337">
        <f t="shared" si="0"/>
        <v>0</v>
      </c>
      <c r="E43" s="319" t="e">
        <f t="shared" si="1"/>
        <v>#DIV/0!</v>
      </c>
      <c r="F43" s="287"/>
      <c r="G43" s="378" t="s">
        <v>127</v>
      </c>
      <c r="H43" s="360">
        <f>(H40-H41)/H41</f>
        <v>-0.98908513686891875</v>
      </c>
      <c r="I43" s="293"/>
      <c r="J43" s="293"/>
      <c r="K43" s="293"/>
    </row>
    <row r="44" spans="1:14" ht="18" x14ac:dyDescent="0.3">
      <c r="A44" s="328" t="s">
        <v>101</v>
      </c>
      <c r="B44" s="322">
        <v>0</v>
      </c>
      <c r="C44" s="331">
        <v>0</v>
      </c>
      <c r="D44" s="337">
        <f t="shared" si="0"/>
        <v>0</v>
      </c>
      <c r="E44" s="319" t="e">
        <f t="shared" si="1"/>
        <v>#DIV/0!</v>
      </c>
      <c r="F44" s="287"/>
      <c r="G44" s="289"/>
      <c r="H44" s="293"/>
      <c r="I44" s="293"/>
      <c r="J44" s="293"/>
      <c r="K44" s="293"/>
    </row>
    <row r="45" spans="1:14" ht="18" x14ac:dyDescent="0.3">
      <c r="A45" s="328" t="s">
        <v>102</v>
      </c>
      <c r="B45" s="322">
        <v>0</v>
      </c>
      <c r="C45" s="331">
        <v>0</v>
      </c>
      <c r="D45" s="337">
        <f t="shared" si="0"/>
        <v>0</v>
      </c>
      <c r="E45" s="319" t="e">
        <f t="shared" si="1"/>
        <v>#DIV/0!</v>
      </c>
      <c r="F45" s="287"/>
      <c r="G45" s="289"/>
      <c r="H45" s="293"/>
      <c r="I45" s="293"/>
      <c r="J45" s="293"/>
      <c r="K45" s="293"/>
    </row>
    <row r="46" spans="1:14" ht="18" x14ac:dyDescent="0.3">
      <c r="A46" s="329" t="s">
        <v>103</v>
      </c>
      <c r="B46" s="326">
        <v>0</v>
      </c>
      <c r="C46" s="335">
        <v>0</v>
      </c>
      <c r="D46" s="338">
        <f t="shared" si="0"/>
        <v>0</v>
      </c>
      <c r="E46" s="318" t="e">
        <f t="shared" si="1"/>
        <v>#DIV/0!</v>
      </c>
      <c r="F46" s="287"/>
      <c r="G46" s="289"/>
      <c r="H46" s="293"/>
      <c r="I46" s="293"/>
      <c r="J46" s="293"/>
      <c r="K46" s="293"/>
    </row>
    <row r="47" spans="1:14" ht="18" x14ac:dyDescent="0.3">
      <c r="A47" s="329" t="s">
        <v>104</v>
      </c>
      <c r="B47" s="326">
        <v>0</v>
      </c>
      <c r="C47" s="335">
        <v>0</v>
      </c>
      <c r="D47" s="338">
        <f t="shared" si="0"/>
        <v>0</v>
      </c>
      <c r="E47" s="318" t="e">
        <f t="shared" si="1"/>
        <v>#DIV/0!</v>
      </c>
      <c r="F47" s="287"/>
      <c r="G47" s="289"/>
      <c r="H47" s="293"/>
      <c r="I47" s="293"/>
      <c r="J47" s="293"/>
      <c r="K47" s="293"/>
    </row>
    <row r="48" spans="1:14" ht="18" x14ac:dyDescent="0.3">
      <c r="A48" s="329" t="s">
        <v>106</v>
      </c>
      <c r="B48" s="323">
        <f>SUM(B49:B53)</f>
        <v>600</v>
      </c>
      <c r="C48" s="332">
        <f>SUM(C49:C53)</f>
        <v>0</v>
      </c>
      <c r="D48" s="338">
        <f t="shared" si="0"/>
        <v>600</v>
      </c>
      <c r="E48" s="318">
        <f t="shared" si="1"/>
        <v>-1</v>
      </c>
      <c r="F48" s="287"/>
      <c r="G48" s="289"/>
      <c r="H48" s="293"/>
      <c r="I48" s="293"/>
      <c r="J48" s="293"/>
      <c r="K48" s="293"/>
    </row>
    <row r="49" spans="1:11" ht="18" x14ac:dyDescent="0.3">
      <c r="A49" s="328" t="s">
        <v>107</v>
      </c>
      <c r="B49" s="322">
        <v>0</v>
      </c>
      <c r="C49" s="331">
        <v>0</v>
      </c>
      <c r="D49" s="337">
        <f t="shared" si="0"/>
        <v>0</v>
      </c>
      <c r="E49" s="319" t="e">
        <f t="shared" si="1"/>
        <v>#DIV/0!</v>
      </c>
      <c r="F49" s="287"/>
      <c r="G49" s="289"/>
      <c r="H49" s="293"/>
      <c r="I49" s="293"/>
      <c r="J49" s="293"/>
      <c r="K49" s="293"/>
    </row>
    <row r="50" spans="1:11" ht="18" x14ac:dyDescent="0.3">
      <c r="A50" s="328" t="s">
        <v>108</v>
      </c>
      <c r="B50" s="322">
        <v>0</v>
      </c>
      <c r="C50" s="331">
        <v>0</v>
      </c>
      <c r="D50" s="337">
        <f t="shared" si="0"/>
        <v>0</v>
      </c>
      <c r="E50" s="319" t="e">
        <f t="shared" si="1"/>
        <v>#DIV/0!</v>
      </c>
      <c r="F50" s="287"/>
      <c r="G50" s="289"/>
      <c r="H50" s="293"/>
      <c r="I50" s="293"/>
      <c r="J50" s="293"/>
      <c r="K50" s="293"/>
    </row>
    <row r="51" spans="1:11" ht="18" x14ac:dyDescent="0.3">
      <c r="A51" s="328" t="s">
        <v>109</v>
      </c>
      <c r="B51" s="322">
        <v>600</v>
      </c>
      <c r="C51" s="331">
        <v>0</v>
      </c>
      <c r="D51" s="337">
        <f t="shared" si="0"/>
        <v>600</v>
      </c>
      <c r="E51" s="319">
        <f t="shared" si="1"/>
        <v>-1</v>
      </c>
      <c r="F51" s="287"/>
      <c r="G51" s="289"/>
      <c r="H51" s="293"/>
      <c r="I51" s="293"/>
      <c r="J51" s="293"/>
      <c r="K51" s="293"/>
    </row>
    <row r="52" spans="1:11" ht="18" x14ac:dyDescent="0.3">
      <c r="A52" s="328" t="s">
        <v>110</v>
      </c>
      <c r="B52" s="322">
        <v>0</v>
      </c>
      <c r="C52" s="331">
        <v>0</v>
      </c>
      <c r="D52" s="337">
        <f t="shared" si="0"/>
        <v>0</v>
      </c>
      <c r="E52" s="319" t="e">
        <f t="shared" si="1"/>
        <v>#DIV/0!</v>
      </c>
      <c r="F52" s="287"/>
      <c r="G52" s="289"/>
      <c r="H52" s="293"/>
      <c r="I52" s="293"/>
      <c r="J52" s="293"/>
      <c r="K52" s="293"/>
    </row>
    <row r="53" spans="1:11" ht="18" x14ac:dyDescent="0.3">
      <c r="A53" s="328" t="s">
        <v>111</v>
      </c>
      <c r="B53" s="322">
        <v>0</v>
      </c>
      <c r="C53" s="331">
        <v>0</v>
      </c>
      <c r="D53" s="337">
        <f t="shared" si="0"/>
        <v>0</v>
      </c>
      <c r="E53" s="319" t="e">
        <f t="shared" si="1"/>
        <v>#DIV/0!</v>
      </c>
      <c r="F53" s="287"/>
      <c r="G53" s="289"/>
      <c r="H53" s="293"/>
      <c r="I53" s="293"/>
      <c r="J53" s="293"/>
      <c r="K53" s="293"/>
    </row>
    <row r="54" spans="1:11" ht="18" x14ac:dyDescent="0.3">
      <c r="A54" s="329" t="s">
        <v>112</v>
      </c>
      <c r="B54" s="323">
        <v>300</v>
      </c>
      <c r="C54" s="332">
        <v>0</v>
      </c>
      <c r="D54" s="338">
        <f t="shared" si="0"/>
        <v>300</v>
      </c>
      <c r="E54" s="318">
        <f t="shared" si="1"/>
        <v>-1</v>
      </c>
      <c r="F54" s="252"/>
      <c r="G54" s="252"/>
    </row>
    <row r="55" spans="1:11" ht="18" x14ac:dyDescent="0.3">
      <c r="A55" s="329" t="s">
        <v>113</v>
      </c>
      <c r="B55" s="323">
        <v>1000</v>
      </c>
      <c r="C55" s="332">
        <v>0</v>
      </c>
      <c r="D55" s="338">
        <f t="shared" si="0"/>
        <v>1000</v>
      </c>
      <c r="E55" s="318">
        <f t="shared" si="1"/>
        <v>-1</v>
      </c>
      <c r="F55" s="287"/>
      <c r="G55" s="252"/>
    </row>
    <row r="56" spans="1:11" ht="18.600000000000001" thickBot="1" x14ac:dyDescent="0.35">
      <c r="A56" s="346" t="s">
        <v>114</v>
      </c>
      <c r="B56" s="347">
        <v>0</v>
      </c>
      <c r="C56" s="348">
        <v>0</v>
      </c>
      <c r="D56" s="349">
        <f t="shared" si="0"/>
        <v>0</v>
      </c>
      <c r="E56" s="350" t="e">
        <f t="shared" si="1"/>
        <v>#DIV/0!</v>
      </c>
      <c r="F56" s="287"/>
      <c r="G56" s="252"/>
    </row>
    <row r="57" spans="1:11" ht="21.6" thickBot="1" x14ac:dyDescent="0.35">
      <c r="A57" s="351" t="s">
        <v>158</v>
      </c>
      <c r="B57" s="352">
        <f>SUM(B3,B6,B10,B13,B14,B15,B20,B21,B26,B30,B35,B36,B37,B46,B47,B48,B54,B55,B56)</f>
        <v>35292</v>
      </c>
      <c r="C57" s="353">
        <f t="shared" ref="C57:D57" si="4">SUM(C3,C6,C10,C13,C14,C15,C20,C21,C26,C30,C35,C36,C37,C46,C47,C48,C54,C55,C56)</f>
        <v>0</v>
      </c>
      <c r="D57" s="354">
        <f>SUM(D3,D6,D10,D13,D14,D15,D20,D21,D26,D30,D35,D36,D37,D46,D47,D48,D54,D55,D56)</f>
        <v>35292</v>
      </c>
      <c r="E57" s="355"/>
      <c r="F57" s="287"/>
      <c r="G57" s="252"/>
    </row>
    <row r="58" spans="1:11" x14ac:dyDescent="0.3">
      <c r="B58" s="296"/>
      <c r="C58" s="292"/>
      <c r="D58" s="296"/>
      <c r="E58" s="292"/>
      <c r="F58" s="287"/>
    </row>
    <row r="59" spans="1:11" x14ac:dyDescent="0.3">
      <c r="B59" s="296"/>
      <c r="C59" s="292"/>
      <c r="D59" s="296"/>
      <c r="E59" s="292"/>
      <c r="F59" s="287"/>
    </row>
    <row r="60" spans="1:11" x14ac:dyDescent="0.3">
      <c r="A60" s="287"/>
      <c r="B60" s="311"/>
      <c r="C60" s="292"/>
      <c r="D60" s="297"/>
      <c r="E60" s="292"/>
      <c r="F60" s="287"/>
    </row>
    <row r="61" spans="1:11" ht="15.75" customHeight="1" x14ac:dyDescent="0.3">
      <c r="A61" s="287"/>
      <c r="B61" s="311"/>
      <c r="C61" s="292"/>
      <c r="D61" s="297"/>
      <c r="E61" s="292"/>
      <c r="F61" s="287"/>
    </row>
    <row r="62" spans="1:11" ht="15.75" customHeight="1" x14ac:dyDescent="0.3">
      <c r="A62" s="287"/>
      <c r="B62" s="311"/>
      <c r="C62" s="292"/>
      <c r="D62" s="297"/>
      <c r="E62" s="292"/>
      <c r="F62" s="311"/>
    </row>
    <row r="63" spans="1:11" ht="21.75" customHeight="1" x14ac:dyDescent="0.3">
      <c r="A63" s="258"/>
      <c r="B63" s="312"/>
      <c r="C63" s="313"/>
      <c r="D63" s="312"/>
      <c r="E63" s="313"/>
      <c r="F63" s="312"/>
      <c r="G63" s="258"/>
    </row>
    <row r="64" spans="1:11" ht="15.75" customHeight="1" x14ac:dyDescent="0.3"/>
    <row r="65" spans="1:12" ht="15.75" customHeight="1" x14ac:dyDescent="0.3">
      <c r="A65" s="287"/>
      <c r="J65" s="296"/>
      <c r="K65" s="314"/>
      <c r="L65" s="314"/>
    </row>
    <row r="66" spans="1:12" ht="15.75" customHeight="1" x14ac:dyDescent="0.3">
      <c r="A66" s="315"/>
      <c r="J66" s="316"/>
    </row>
    <row r="67" spans="1:12" x14ac:dyDescent="0.3">
      <c r="I67" s="287"/>
      <c r="J67" s="287"/>
      <c r="K67" s="287"/>
      <c r="L67" s="287"/>
    </row>
    <row r="68" spans="1:12" x14ac:dyDescent="0.3">
      <c r="I68" s="287"/>
    </row>
    <row r="69" spans="1:12" x14ac:dyDescent="0.3">
      <c r="J69" s="316"/>
      <c r="K69" s="316"/>
      <c r="L69" s="317"/>
    </row>
    <row r="70" spans="1:12" x14ac:dyDescent="0.3">
      <c r="J70" s="316"/>
      <c r="K70" s="316"/>
      <c r="L70" s="317"/>
    </row>
    <row r="71" spans="1:12" x14ac:dyDescent="0.3">
      <c r="J71" s="316"/>
      <c r="K71" s="316"/>
      <c r="L71" s="317"/>
    </row>
    <row r="72" spans="1:12" x14ac:dyDescent="0.3">
      <c r="I72" s="287"/>
    </row>
    <row r="73" spans="1:12" x14ac:dyDescent="0.3">
      <c r="J73" s="316"/>
      <c r="K73" s="316"/>
      <c r="L73" s="317"/>
    </row>
    <row r="74" spans="1:12" ht="18" customHeight="1" x14ac:dyDescent="0.3">
      <c r="J74" s="316"/>
      <c r="K74" s="316"/>
      <c r="L74" s="3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5"/>
  <sheetViews>
    <sheetView zoomScale="85" zoomScaleNormal="85" workbookViewId="0">
      <selection activeCell="D27" sqref="D27"/>
    </sheetView>
  </sheetViews>
  <sheetFormatPr defaultRowHeight="14.4" x14ac:dyDescent="0.3"/>
  <cols>
    <col min="1" max="1" width="25.5546875" bestFit="1" customWidth="1"/>
    <col min="2" max="13" width="13.33203125" bestFit="1" customWidth="1"/>
    <col min="30" max="30" width="22.33203125" bestFit="1" customWidth="1"/>
    <col min="31" max="42" width="12.6640625" customWidth="1"/>
  </cols>
  <sheetData>
    <row r="1" spans="1:42" ht="16.2" customHeight="1" thickBot="1" x14ac:dyDescent="0.35">
      <c r="A1" s="283" t="s">
        <v>128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6"/>
      <c r="AD1" s="283" t="s">
        <v>128</v>
      </c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6"/>
    </row>
    <row r="2" spans="1:42" ht="34.5" customHeight="1" thickBot="1" x14ac:dyDescent="0.35">
      <c r="A2" s="109" t="s">
        <v>129</v>
      </c>
      <c r="B2" s="221" t="s">
        <v>130</v>
      </c>
      <c r="C2" s="222" t="s">
        <v>131</v>
      </c>
      <c r="D2" s="16" t="s">
        <v>132</v>
      </c>
      <c r="E2" s="15" t="s">
        <v>133</v>
      </c>
      <c r="F2" s="16" t="s">
        <v>134</v>
      </c>
      <c r="G2" s="15" t="s">
        <v>135</v>
      </c>
      <c r="H2" s="16" t="s">
        <v>136</v>
      </c>
      <c r="I2" s="15" t="s">
        <v>137</v>
      </c>
      <c r="J2" s="16" t="s">
        <v>138</v>
      </c>
      <c r="K2" s="15" t="s">
        <v>139</v>
      </c>
      <c r="L2" s="16" t="s">
        <v>140</v>
      </c>
      <c r="M2" s="15" t="s">
        <v>141</v>
      </c>
      <c r="AD2" s="109" t="s">
        <v>129</v>
      </c>
      <c r="AE2" s="16" t="s">
        <v>130</v>
      </c>
      <c r="AF2" s="222" t="s">
        <v>131</v>
      </c>
      <c r="AG2" s="221" t="s">
        <v>132</v>
      </c>
      <c r="AH2" s="15" t="s">
        <v>133</v>
      </c>
      <c r="AI2" s="16" t="s">
        <v>134</v>
      </c>
      <c r="AJ2" s="15" t="s">
        <v>135</v>
      </c>
      <c r="AK2" s="16" t="s">
        <v>136</v>
      </c>
      <c r="AL2" s="15" t="s">
        <v>137</v>
      </c>
      <c r="AM2" s="16" t="s">
        <v>138</v>
      </c>
      <c r="AN2" s="15" t="s">
        <v>139</v>
      </c>
      <c r="AO2" s="16" t="s">
        <v>140</v>
      </c>
      <c r="AP2" s="15" t="s">
        <v>141</v>
      </c>
    </row>
    <row r="3" spans="1:42" x14ac:dyDescent="0.3">
      <c r="A3" s="12" t="s">
        <v>16</v>
      </c>
      <c r="B3" s="224">
        <f>VLOOKUP($A3,January!$A$9:$D$64,4,FALSE)</f>
        <v>16610</v>
      </c>
      <c r="C3" s="195">
        <f>VLOOKUP($A3,February!$A$9:$D$64,4,FALSE)</f>
        <v>17530</v>
      </c>
      <c r="D3" s="195" t="e">
        <f>VLOOKUP($A3,#REF!,4,FALSE)</f>
        <v>#REF!</v>
      </c>
      <c r="E3" s="104"/>
      <c r="F3" s="195"/>
      <c r="G3" s="104"/>
      <c r="H3" s="195"/>
      <c r="I3" s="104"/>
      <c r="J3" s="195"/>
      <c r="K3" s="104"/>
      <c r="L3" s="195"/>
      <c r="M3" s="195"/>
      <c r="AD3" s="1" t="s">
        <v>16</v>
      </c>
      <c r="AE3" s="241">
        <f t="shared" ref="AE3:AE21" si="0">B3/B$22</f>
        <v>0.42925021023181581</v>
      </c>
      <c r="AF3" s="246">
        <f t="shared" ref="AF3:AF21" si="1">C3/C$22</f>
        <v>0.47117500240559979</v>
      </c>
      <c r="AG3" s="247" t="e">
        <f t="shared" ref="AG3:AG21" si="2">D3/D$22</f>
        <v>#REF!</v>
      </c>
      <c r="AH3" s="184"/>
      <c r="AI3" s="212"/>
      <c r="AJ3" s="184"/>
      <c r="AK3" s="212"/>
      <c r="AL3" s="184"/>
      <c r="AM3" s="212"/>
      <c r="AN3" s="184"/>
      <c r="AO3" s="212"/>
      <c r="AP3" s="212"/>
    </row>
    <row r="4" spans="1:42" x14ac:dyDescent="0.3">
      <c r="A4" s="6" t="s">
        <v>24</v>
      </c>
      <c r="B4" s="194">
        <f>VLOOKUP($A4,January!$A$9:$D$64,4,FALSE)</f>
        <v>1525</v>
      </c>
      <c r="C4" s="107">
        <f>VLOOKUP($A4,February!$A$9:$D$64,4,FALSE)</f>
        <v>895</v>
      </c>
      <c r="D4" s="107" t="e">
        <f>VLOOKUP($A4,#REF!,4,FALSE)</f>
        <v>#REF!</v>
      </c>
      <c r="E4" s="104"/>
      <c r="F4" s="106"/>
      <c r="G4" s="104"/>
      <c r="H4" s="106"/>
      <c r="I4" s="104"/>
      <c r="J4" s="106"/>
      <c r="K4" s="104"/>
      <c r="L4" s="106"/>
      <c r="M4" s="106"/>
      <c r="AD4" s="3" t="s">
        <v>24</v>
      </c>
      <c r="AE4" s="242">
        <f t="shared" si="0"/>
        <v>3.9410389560717587E-2</v>
      </c>
      <c r="AF4" s="248">
        <f t="shared" si="1"/>
        <v>2.405599698534009E-2</v>
      </c>
      <c r="AG4" s="249" t="e">
        <f t="shared" si="2"/>
        <v>#REF!</v>
      </c>
      <c r="AH4" s="184"/>
      <c r="AI4" s="185"/>
      <c r="AJ4" s="184"/>
      <c r="AK4" s="185"/>
      <c r="AL4" s="184"/>
      <c r="AM4" s="185"/>
      <c r="AN4" s="184"/>
      <c r="AO4" s="185"/>
      <c r="AP4" s="185"/>
    </row>
    <row r="5" spans="1:42" x14ac:dyDescent="0.3">
      <c r="A5" s="6" t="s">
        <v>33</v>
      </c>
      <c r="B5" s="194">
        <f>VLOOKUP(A5,January!A11:D66,4,FALSE)</f>
        <v>8327.85</v>
      </c>
      <c r="C5" s="107">
        <f>VLOOKUP($A5,February!$A$9:$D$64,4,FALSE)</f>
        <v>9620.66</v>
      </c>
      <c r="D5" s="107" t="e">
        <f>VLOOKUP($A5,#REF!,4,FALSE)</f>
        <v>#REF!</v>
      </c>
      <c r="E5" s="104"/>
      <c r="F5" s="106"/>
      <c r="G5" s="104"/>
      <c r="H5" s="106"/>
      <c r="I5" s="104"/>
      <c r="J5" s="106"/>
      <c r="K5" s="104"/>
      <c r="L5" s="106"/>
      <c r="M5" s="106"/>
      <c r="AD5" s="3" t="s">
        <v>33</v>
      </c>
      <c r="AE5" s="242">
        <f t="shared" si="0"/>
        <v>0.21521561488735866</v>
      </c>
      <c r="AF5" s="248">
        <f t="shared" si="1"/>
        <v>0.2585861094491419</v>
      </c>
      <c r="AG5" s="249" t="e">
        <f t="shared" si="2"/>
        <v>#REF!</v>
      </c>
      <c r="AH5" s="184"/>
      <c r="AI5" s="185"/>
      <c r="AJ5" s="184"/>
      <c r="AK5" s="185"/>
      <c r="AL5" s="184"/>
      <c r="AM5" s="185"/>
      <c r="AN5" s="184"/>
      <c r="AO5" s="185"/>
      <c r="AP5" s="185"/>
    </row>
    <row r="6" spans="1:42" x14ac:dyDescent="0.3">
      <c r="A6" s="6" t="s">
        <v>40</v>
      </c>
      <c r="B6" s="194">
        <f>VLOOKUP(A6,January!A12:D67,4,FALSE)</f>
        <v>1242</v>
      </c>
      <c r="C6" s="107">
        <f>VLOOKUP($A6,February!$A$9:$D$64,4,FALSE)</f>
        <v>592</v>
      </c>
      <c r="D6" s="107" t="e">
        <f>VLOOKUP($A6,#REF!,4,FALSE)</f>
        <v>#REF!</v>
      </c>
      <c r="E6" s="104"/>
      <c r="F6" s="106"/>
      <c r="G6" s="104"/>
      <c r="H6" s="106"/>
      <c r="I6" s="104"/>
      <c r="J6" s="106"/>
      <c r="K6" s="104"/>
      <c r="L6" s="106"/>
      <c r="M6" s="106"/>
      <c r="AD6" s="3" t="s">
        <v>40</v>
      </c>
      <c r="AE6" s="242">
        <f t="shared" si="0"/>
        <v>3.2096854973384423E-2</v>
      </c>
      <c r="AF6" s="248">
        <f t="shared" si="1"/>
        <v>1.5911899681923278E-2</v>
      </c>
      <c r="AG6" s="249" t="e">
        <f t="shared" si="2"/>
        <v>#REF!</v>
      </c>
      <c r="AH6" s="184"/>
      <c r="AI6" s="185"/>
      <c r="AJ6" s="184"/>
      <c r="AK6" s="185"/>
      <c r="AL6" s="184"/>
      <c r="AM6" s="185"/>
      <c r="AN6" s="184"/>
      <c r="AO6" s="185"/>
      <c r="AP6" s="185"/>
    </row>
    <row r="7" spans="1:42" x14ac:dyDescent="0.3">
      <c r="A7" s="6" t="s">
        <v>42</v>
      </c>
      <c r="B7" s="194">
        <f>VLOOKUP(A7,January!A13:D68,4,FALSE)</f>
        <v>0</v>
      </c>
      <c r="C7" s="107">
        <f>VLOOKUP($A7,February!$A$9:$D$64,4,FALSE)</f>
        <v>0</v>
      </c>
      <c r="D7" s="107" t="e">
        <f>VLOOKUP($A7,#REF!,4,FALSE)</f>
        <v>#REF!</v>
      </c>
      <c r="E7" s="104"/>
      <c r="F7" s="106"/>
      <c r="G7" s="104"/>
      <c r="H7" s="106"/>
      <c r="I7" s="104"/>
      <c r="J7" s="106"/>
      <c r="K7" s="104"/>
      <c r="L7" s="106"/>
      <c r="M7" s="106"/>
      <c r="AD7" s="3" t="s">
        <v>42</v>
      </c>
      <c r="AE7" s="242">
        <f t="shared" si="0"/>
        <v>0</v>
      </c>
      <c r="AF7" s="248">
        <f t="shared" si="1"/>
        <v>0</v>
      </c>
      <c r="AG7" s="249" t="e">
        <f t="shared" si="2"/>
        <v>#REF!</v>
      </c>
      <c r="AH7" s="184"/>
      <c r="AI7" s="185"/>
      <c r="AJ7" s="184"/>
      <c r="AK7" s="185"/>
      <c r="AL7" s="184"/>
      <c r="AM7" s="185"/>
      <c r="AN7" s="184"/>
      <c r="AO7" s="185"/>
      <c r="AP7" s="185"/>
    </row>
    <row r="8" spans="1:42" x14ac:dyDescent="0.3">
      <c r="A8" s="6" t="s">
        <v>44</v>
      </c>
      <c r="B8" s="194">
        <f>VLOOKUP(A8,January!A14:D69,4,FALSE)</f>
        <v>633</v>
      </c>
      <c r="C8" s="107">
        <f>VLOOKUP($A8,February!$A$9:$D$64,4,FALSE)</f>
        <v>457</v>
      </c>
      <c r="D8" s="107" t="e">
        <f>VLOOKUP($A8,#REF!,4,FALSE)</f>
        <v>#REF!</v>
      </c>
      <c r="E8" s="104"/>
      <c r="F8" s="106"/>
      <c r="G8" s="104"/>
      <c r="H8" s="106"/>
      <c r="I8" s="104"/>
      <c r="J8" s="106"/>
      <c r="K8" s="104"/>
      <c r="L8" s="106"/>
      <c r="M8" s="106"/>
      <c r="AD8" s="3" t="s">
        <v>44</v>
      </c>
      <c r="AE8" s="242">
        <f t="shared" si="0"/>
        <v>1.6358542027497858E-2</v>
      </c>
      <c r="AF8" s="248">
        <f t="shared" si="1"/>
        <v>1.2283341477430638E-2</v>
      </c>
      <c r="AG8" s="249" t="e">
        <f t="shared" si="2"/>
        <v>#REF!</v>
      </c>
      <c r="AH8" s="184"/>
      <c r="AI8" s="185"/>
      <c r="AJ8" s="184"/>
      <c r="AK8" s="185"/>
      <c r="AL8" s="184"/>
      <c r="AM8" s="185"/>
      <c r="AN8" s="184"/>
      <c r="AO8" s="185"/>
      <c r="AP8" s="185"/>
    </row>
    <row r="9" spans="1:42" x14ac:dyDescent="0.3">
      <c r="A9" s="6" t="s">
        <v>58</v>
      </c>
      <c r="B9" s="194">
        <f>VLOOKUP(A9,January!A15:D70,4,FALSE)</f>
        <v>0</v>
      </c>
      <c r="C9" s="107">
        <f>VLOOKUP($A9,February!$A$9:$D$64,4,FALSE)</f>
        <v>0</v>
      </c>
      <c r="D9" s="107" t="e">
        <f>VLOOKUP($A9,#REF!,4,FALSE)</f>
        <v>#REF!</v>
      </c>
      <c r="E9" s="104"/>
      <c r="F9" s="106"/>
      <c r="G9" s="104"/>
      <c r="H9" s="106"/>
      <c r="I9" s="104"/>
      <c r="J9" s="106"/>
      <c r="K9" s="104"/>
      <c r="L9" s="106"/>
      <c r="M9" s="106"/>
      <c r="AD9" s="3" t="s">
        <v>58</v>
      </c>
      <c r="AE9" s="242">
        <f t="shared" si="0"/>
        <v>0</v>
      </c>
      <c r="AF9" s="248">
        <f t="shared" si="1"/>
        <v>0</v>
      </c>
      <c r="AG9" s="249" t="e">
        <f t="shared" si="2"/>
        <v>#REF!</v>
      </c>
      <c r="AH9" s="184"/>
      <c r="AI9" s="185"/>
      <c r="AJ9" s="184"/>
      <c r="AK9" s="185"/>
      <c r="AL9" s="184"/>
      <c r="AM9" s="185"/>
      <c r="AN9" s="184"/>
      <c r="AO9" s="185"/>
      <c r="AP9" s="185"/>
    </row>
    <row r="10" spans="1:42" x14ac:dyDescent="0.3">
      <c r="A10" s="6" t="s">
        <v>60</v>
      </c>
      <c r="B10" s="194">
        <f>VLOOKUP(A10,January!A16:D71,4,FALSE)</f>
        <v>300</v>
      </c>
      <c r="C10" s="107">
        <f>VLOOKUP($A10,February!$A$9:$D$64,4,FALSE)</f>
        <v>300</v>
      </c>
      <c r="D10" s="107" t="e">
        <f>VLOOKUP($A10,#REF!,4,FALSE)</f>
        <v>#REF!</v>
      </c>
      <c r="E10" s="104"/>
      <c r="F10" s="106"/>
      <c r="G10" s="104"/>
      <c r="H10" s="106"/>
      <c r="I10" s="104"/>
      <c r="J10" s="106"/>
      <c r="K10" s="104"/>
      <c r="L10" s="106"/>
      <c r="M10" s="106"/>
      <c r="AD10" s="3" t="s">
        <v>60</v>
      </c>
      <c r="AE10" s="242">
        <f t="shared" si="0"/>
        <v>7.752863520141165E-3</v>
      </c>
      <c r="AF10" s="248">
        <f t="shared" si="1"/>
        <v>8.0634626766503108E-3</v>
      </c>
      <c r="AG10" s="249" t="e">
        <f t="shared" si="2"/>
        <v>#REF!</v>
      </c>
      <c r="AH10" s="184"/>
      <c r="AI10" s="185"/>
      <c r="AJ10" s="184"/>
      <c r="AK10" s="185"/>
      <c r="AL10" s="184"/>
      <c r="AM10" s="185"/>
      <c r="AN10" s="184"/>
      <c r="AO10" s="185"/>
      <c r="AP10" s="185"/>
    </row>
    <row r="11" spans="1:42" x14ac:dyDescent="0.3">
      <c r="A11" s="6" t="s">
        <v>70</v>
      </c>
      <c r="B11" s="194">
        <f>VLOOKUP(A11,January!A17:D72,4,FALSE)</f>
        <v>0</v>
      </c>
      <c r="C11" s="107">
        <f>VLOOKUP($A11,February!$A$9:$D$64,4,FALSE)</f>
        <v>0</v>
      </c>
      <c r="D11" s="107" t="e">
        <f>VLOOKUP($A11,#REF!,4,FALSE)</f>
        <v>#REF!</v>
      </c>
      <c r="E11" s="104"/>
      <c r="F11" s="106"/>
      <c r="G11" s="104"/>
      <c r="H11" s="106"/>
      <c r="I11" s="104"/>
      <c r="J11" s="106"/>
      <c r="K11" s="104"/>
      <c r="L11" s="106"/>
      <c r="M11" s="106"/>
      <c r="AD11" s="3" t="s">
        <v>70</v>
      </c>
      <c r="AE11" s="242">
        <f t="shared" si="0"/>
        <v>0</v>
      </c>
      <c r="AF11" s="248">
        <f t="shared" si="1"/>
        <v>0</v>
      </c>
      <c r="AG11" s="249" t="e">
        <f t="shared" si="2"/>
        <v>#REF!</v>
      </c>
      <c r="AH11" s="184"/>
      <c r="AI11" s="185"/>
      <c r="AJ11" s="184"/>
      <c r="AK11" s="185"/>
      <c r="AL11" s="184"/>
      <c r="AM11" s="185"/>
      <c r="AN11" s="184"/>
      <c r="AO11" s="185"/>
      <c r="AP11" s="185"/>
    </row>
    <row r="12" spans="1:42" x14ac:dyDescent="0.3">
      <c r="A12" s="6" t="s">
        <v>86</v>
      </c>
      <c r="B12" s="194">
        <f>VLOOKUP(A12,January!A18:D73,4,FALSE)</f>
        <v>4589</v>
      </c>
      <c r="C12" s="107">
        <f>VLOOKUP($A12,February!$A$9:$D$64,4,FALSE)</f>
        <v>2283.98</v>
      </c>
      <c r="D12" s="107" t="e">
        <f>VLOOKUP($A12,#REF!,4,FALSE)</f>
        <v>#REF!</v>
      </c>
      <c r="E12" s="104"/>
      <c r="F12" s="106"/>
      <c r="G12" s="104"/>
      <c r="H12" s="106"/>
      <c r="I12" s="104"/>
      <c r="J12" s="106"/>
      <c r="K12" s="104"/>
      <c r="L12" s="106"/>
      <c r="M12" s="106"/>
      <c r="AD12" s="3" t="s">
        <v>86</v>
      </c>
      <c r="AE12" s="242">
        <f t="shared" si="0"/>
        <v>0.11859296897975935</v>
      </c>
      <c r="AF12" s="248">
        <f t="shared" si="1"/>
        <v>6.1389291614052585E-2</v>
      </c>
      <c r="AG12" s="249" t="e">
        <f t="shared" si="2"/>
        <v>#REF!</v>
      </c>
      <c r="AH12" s="184"/>
      <c r="AI12" s="185"/>
      <c r="AJ12" s="184"/>
      <c r="AK12" s="185"/>
      <c r="AL12" s="184"/>
      <c r="AM12" s="185"/>
      <c r="AN12" s="184"/>
      <c r="AO12" s="185"/>
      <c r="AP12" s="185"/>
    </row>
    <row r="13" spans="1:42" x14ac:dyDescent="0.3">
      <c r="A13" s="6" t="s">
        <v>92</v>
      </c>
      <c r="B13" s="194">
        <f>VLOOKUP(A13,January!A19:D74,4,FALSE)</f>
        <v>600</v>
      </c>
      <c r="C13" s="107">
        <f>VLOOKUP($A13,February!$A$9:$D$64,4,FALSE)</f>
        <v>0</v>
      </c>
      <c r="D13" s="107" t="e">
        <f>VLOOKUP($A13,#REF!,4,FALSE)</f>
        <v>#REF!</v>
      </c>
      <c r="E13" s="104"/>
      <c r="F13" s="106"/>
      <c r="G13" s="104"/>
      <c r="H13" s="106"/>
      <c r="I13" s="104"/>
      <c r="J13" s="106"/>
      <c r="K13" s="104"/>
      <c r="L13" s="106"/>
      <c r="M13" s="106"/>
      <c r="AD13" s="3" t="s">
        <v>92</v>
      </c>
      <c r="AE13" s="242">
        <f t="shared" si="0"/>
        <v>1.550572704028233E-2</v>
      </c>
      <c r="AF13" s="248">
        <f t="shared" si="1"/>
        <v>0</v>
      </c>
      <c r="AG13" s="249" t="e">
        <f t="shared" si="2"/>
        <v>#REF!</v>
      </c>
      <c r="AH13" s="184"/>
      <c r="AI13" s="185"/>
      <c r="AJ13" s="184"/>
      <c r="AK13" s="185"/>
      <c r="AL13" s="184"/>
      <c r="AM13" s="185"/>
      <c r="AN13" s="184"/>
      <c r="AO13" s="185"/>
      <c r="AP13" s="185"/>
    </row>
    <row r="14" spans="1:42" x14ac:dyDescent="0.3">
      <c r="A14" s="6" t="s">
        <v>93</v>
      </c>
      <c r="B14" s="194">
        <f>VLOOKUP(A14,January!A20:D75,4,FALSE)</f>
        <v>0</v>
      </c>
      <c r="C14" s="107">
        <f>VLOOKUP($A14,February!$A$9:$D$64,4,FALSE)</f>
        <v>0</v>
      </c>
      <c r="D14" s="107" t="e">
        <f>VLOOKUP($A14,#REF!,4,FALSE)</f>
        <v>#REF!</v>
      </c>
      <c r="E14" s="104"/>
      <c r="F14" s="106"/>
      <c r="G14" s="104"/>
      <c r="H14" s="106"/>
      <c r="I14" s="104"/>
      <c r="J14" s="106"/>
      <c r="K14" s="104"/>
      <c r="L14" s="106"/>
      <c r="M14" s="106"/>
      <c r="AD14" s="3" t="s">
        <v>93</v>
      </c>
      <c r="AE14" s="242">
        <f t="shared" si="0"/>
        <v>0</v>
      </c>
      <c r="AF14" s="248">
        <f t="shared" si="1"/>
        <v>0</v>
      </c>
      <c r="AG14" s="249" t="e">
        <f t="shared" si="2"/>
        <v>#REF!</v>
      </c>
      <c r="AH14" s="184"/>
      <c r="AI14" s="185"/>
      <c r="AJ14" s="184"/>
      <c r="AK14" s="185"/>
      <c r="AL14" s="184"/>
      <c r="AM14" s="185"/>
      <c r="AN14" s="184"/>
      <c r="AO14" s="185"/>
      <c r="AP14" s="185"/>
    </row>
    <row r="15" spans="1:42" x14ac:dyDescent="0.3">
      <c r="A15" s="6" t="s">
        <v>94</v>
      </c>
      <c r="B15" s="194">
        <f>VLOOKUP(A15,January!A21:D76,4,FALSE)</f>
        <v>0</v>
      </c>
      <c r="C15" s="107">
        <f>VLOOKUP($A15,February!$A$9:$D$64,4,FALSE)</f>
        <v>0</v>
      </c>
      <c r="D15" s="107" t="e">
        <f>VLOOKUP($A15,#REF!,4,FALSE)</f>
        <v>#REF!</v>
      </c>
      <c r="E15" s="104"/>
      <c r="F15" s="106"/>
      <c r="G15" s="104"/>
      <c r="H15" s="106"/>
      <c r="I15" s="104"/>
      <c r="J15" s="106"/>
      <c r="K15" s="104"/>
      <c r="L15" s="106"/>
      <c r="M15" s="106"/>
      <c r="AD15" s="3" t="s">
        <v>94</v>
      </c>
      <c r="AE15" s="242">
        <f t="shared" si="0"/>
        <v>0</v>
      </c>
      <c r="AF15" s="248">
        <f t="shared" si="1"/>
        <v>0</v>
      </c>
      <c r="AG15" s="249" t="e">
        <f t="shared" si="2"/>
        <v>#REF!</v>
      </c>
      <c r="AH15" s="184"/>
      <c r="AI15" s="185"/>
      <c r="AJ15" s="184"/>
      <c r="AK15" s="185"/>
      <c r="AL15" s="184"/>
      <c r="AM15" s="185"/>
      <c r="AN15" s="184"/>
      <c r="AO15" s="185"/>
      <c r="AP15" s="185"/>
    </row>
    <row r="16" spans="1:42" x14ac:dyDescent="0.3">
      <c r="A16" s="6" t="s">
        <v>103</v>
      </c>
      <c r="B16" s="194">
        <f>VLOOKUP(A16,January!A22:D77,4,FALSE)</f>
        <v>0</v>
      </c>
      <c r="C16" s="107">
        <f>VLOOKUP($A16,February!$A$9:$D$64,4,FALSE)</f>
        <v>0</v>
      </c>
      <c r="D16" s="107" t="e">
        <f>VLOOKUP($A16,#REF!,4,FALSE)</f>
        <v>#REF!</v>
      </c>
      <c r="E16" s="104"/>
      <c r="F16" s="106"/>
      <c r="G16" s="104"/>
      <c r="H16" s="106"/>
      <c r="I16" s="104"/>
      <c r="J16" s="106"/>
      <c r="K16" s="104"/>
      <c r="L16" s="106"/>
      <c r="M16" s="106"/>
      <c r="AD16" s="3" t="s">
        <v>103</v>
      </c>
      <c r="AE16" s="242">
        <f t="shared" si="0"/>
        <v>0</v>
      </c>
      <c r="AF16" s="248">
        <f t="shared" si="1"/>
        <v>0</v>
      </c>
      <c r="AG16" s="249" t="e">
        <f t="shared" si="2"/>
        <v>#REF!</v>
      </c>
      <c r="AH16" s="184"/>
      <c r="AI16" s="185"/>
      <c r="AJ16" s="184"/>
      <c r="AK16" s="185"/>
      <c r="AL16" s="184"/>
      <c r="AM16" s="185"/>
      <c r="AN16" s="184"/>
      <c r="AO16" s="185"/>
      <c r="AP16" s="185"/>
    </row>
    <row r="17" spans="1:42" x14ac:dyDescent="0.3">
      <c r="A17" s="6" t="s">
        <v>104</v>
      </c>
      <c r="B17" s="194">
        <f>VLOOKUP(A17,January!A23:D78,4,FALSE)</f>
        <v>0</v>
      </c>
      <c r="C17" s="107">
        <f>VLOOKUP($A17,February!$A$9:$D$64,4,FALSE)</f>
        <v>0</v>
      </c>
      <c r="D17" s="107" t="e">
        <f>VLOOKUP($A17,#REF!,4,FALSE)</f>
        <v>#REF!</v>
      </c>
      <c r="E17" s="104"/>
      <c r="F17" s="106"/>
      <c r="G17" s="104"/>
      <c r="H17" s="106"/>
      <c r="I17" s="104"/>
      <c r="J17" s="106"/>
      <c r="K17" s="104"/>
      <c r="L17" s="106"/>
      <c r="M17" s="106"/>
      <c r="AD17" s="3" t="s">
        <v>104</v>
      </c>
      <c r="AE17" s="242">
        <f t="shared" si="0"/>
        <v>0</v>
      </c>
      <c r="AF17" s="248">
        <f t="shared" si="1"/>
        <v>0</v>
      </c>
      <c r="AG17" s="249" t="e">
        <f t="shared" si="2"/>
        <v>#REF!</v>
      </c>
      <c r="AH17" s="184"/>
      <c r="AI17" s="185"/>
      <c r="AJ17" s="184"/>
      <c r="AK17" s="185"/>
      <c r="AL17" s="184"/>
      <c r="AM17" s="185"/>
      <c r="AN17" s="184"/>
      <c r="AO17" s="185"/>
      <c r="AP17" s="185"/>
    </row>
    <row r="18" spans="1:42" x14ac:dyDescent="0.3">
      <c r="A18" s="6" t="s">
        <v>106</v>
      </c>
      <c r="B18" s="194">
        <f>VLOOKUP(A18,January!A24:D79,4,FALSE)</f>
        <v>1411.21</v>
      </c>
      <c r="C18" s="107">
        <f>VLOOKUP($A18,February!$A$9:$D$64,4,FALSE)</f>
        <v>2533.9499999999998</v>
      </c>
      <c r="D18" s="107" t="e">
        <f>VLOOKUP($A18,#REF!,4,FALSE)</f>
        <v>#REF!</v>
      </c>
      <c r="E18" s="104"/>
      <c r="F18" s="106"/>
      <c r="G18" s="104"/>
      <c r="H18" s="106"/>
      <c r="I18" s="104"/>
      <c r="J18" s="106"/>
      <c r="K18" s="104"/>
      <c r="L18" s="106"/>
      <c r="M18" s="106"/>
      <c r="AD18" s="3" t="s">
        <v>106</v>
      </c>
      <c r="AE18" s="242">
        <f t="shared" si="0"/>
        <v>3.6469728427528048E-2</v>
      </c>
      <c r="AF18" s="248">
        <f t="shared" si="1"/>
        <v>6.8108037498326834E-2</v>
      </c>
      <c r="AG18" s="249" t="e">
        <f t="shared" si="2"/>
        <v>#REF!</v>
      </c>
      <c r="AH18" s="184"/>
      <c r="AI18" s="185"/>
      <c r="AJ18" s="184"/>
      <c r="AK18" s="185"/>
      <c r="AL18" s="184"/>
      <c r="AM18" s="185"/>
      <c r="AN18" s="184"/>
      <c r="AO18" s="185"/>
      <c r="AP18" s="185"/>
    </row>
    <row r="19" spans="1:42" x14ac:dyDescent="0.3">
      <c r="A19" s="6" t="s">
        <v>112</v>
      </c>
      <c r="B19" s="194">
        <f>VLOOKUP(A19,January!A25:D80,4,FALSE)</f>
        <v>590</v>
      </c>
      <c r="C19" s="107">
        <f>VLOOKUP($A19,February!$A$9:$D$64,4,FALSE)</f>
        <v>500</v>
      </c>
      <c r="D19" s="107" t="e">
        <f>VLOOKUP($A19,#REF!,4,FALSE)</f>
        <v>#REF!</v>
      </c>
      <c r="E19" s="104"/>
      <c r="F19" s="106"/>
      <c r="G19" s="104"/>
      <c r="H19" s="106"/>
      <c r="I19" s="104"/>
      <c r="J19" s="106"/>
      <c r="K19" s="104"/>
      <c r="L19" s="106"/>
      <c r="M19" s="106"/>
      <c r="AD19" s="3" t="s">
        <v>112</v>
      </c>
      <c r="AE19" s="242">
        <f t="shared" si="0"/>
        <v>1.5247298256277624E-2</v>
      </c>
      <c r="AF19" s="248">
        <f t="shared" si="1"/>
        <v>1.343910446108385E-2</v>
      </c>
      <c r="AG19" s="249" t="e">
        <f t="shared" si="2"/>
        <v>#REF!</v>
      </c>
      <c r="AH19" s="184"/>
      <c r="AI19" s="185"/>
      <c r="AJ19" s="184"/>
      <c r="AK19" s="185"/>
      <c r="AL19" s="184"/>
      <c r="AM19" s="185"/>
      <c r="AN19" s="184"/>
      <c r="AO19" s="185"/>
      <c r="AP19" s="185"/>
    </row>
    <row r="20" spans="1:42" ht="15" customHeight="1" x14ac:dyDescent="0.3">
      <c r="A20" s="13" t="s">
        <v>113</v>
      </c>
      <c r="B20" s="194">
        <f>VLOOKUP(A20,January!A26:D81,4,FALSE)</f>
        <v>2106.4699999999998</v>
      </c>
      <c r="C20" s="107">
        <f>VLOOKUP($A20,February!$A$9:$D$64,4,FALSE)</f>
        <v>2492.27</v>
      </c>
      <c r="D20" s="107" t="e">
        <f>VLOOKUP($A20,#REF!,4,FALSE)</f>
        <v>#REF!</v>
      </c>
      <c r="E20" s="206"/>
      <c r="F20" s="207"/>
      <c r="G20" s="206"/>
      <c r="H20" s="207"/>
      <c r="I20" s="206"/>
      <c r="J20" s="207"/>
      <c r="K20" s="206"/>
      <c r="L20" s="207"/>
      <c r="M20" s="207"/>
      <c r="AD20" s="4" t="s">
        <v>113</v>
      </c>
      <c r="AE20" s="243">
        <f t="shared" si="0"/>
        <v>5.4437248064239191E-2</v>
      </c>
      <c r="AF20" s="248">
        <f t="shared" si="1"/>
        <v>6.6987753750450893E-2</v>
      </c>
      <c r="AG20" s="249" t="e">
        <f t="shared" si="2"/>
        <v>#REF!</v>
      </c>
      <c r="AH20" s="208"/>
      <c r="AI20" s="211"/>
      <c r="AJ20" s="208"/>
      <c r="AK20" s="211"/>
      <c r="AL20" s="208"/>
      <c r="AM20" s="211"/>
      <c r="AN20" s="208"/>
      <c r="AO20" s="211"/>
      <c r="AP20" s="211"/>
    </row>
    <row r="21" spans="1:42" ht="15" customHeight="1" thickBot="1" x14ac:dyDescent="0.35">
      <c r="A21" s="209" t="s">
        <v>114</v>
      </c>
      <c r="B21" s="225">
        <f>VLOOKUP(A21,January!A27:D82,4,FALSE)</f>
        <v>760.85</v>
      </c>
      <c r="C21" s="227">
        <f>VLOOKUP($A21,February!$A$9:$D$64,4,FALSE)</f>
        <v>0</v>
      </c>
      <c r="D21" s="107" t="e">
        <f>VLOOKUP($A21,#REF!,4,FALSE)</f>
        <v>#REF!</v>
      </c>
      <c r="E21" s="196"/>
      <c r="F21" s="108"/>
      <c r="G21" s="196"/>
      <c r="H21" s="108"/>
      <c r="I21" s="196"/>
      <c r="J21" s="108"/>
      <c r="K21" s="196"/>
      <c r="L21" s="108"/>
      <c r="M21" s="108"/>
      <c r="AD21" s="4" t="s">
        <v>114</v>
      </c>
      <c r="AE21" s="243">
        <f t="shared" si="0"/>
        <v>1.9662554030998019E-2</v>
      </c>
      <c r="AF21" s="250">
        <f t="shared" si="1"/>
        <v>0</v>
      </c>
      <c r="AG21" s="251" t="e">
        <f t="shared" si="2"/>
        <v>#REF!</v>
      </c>
      <c r="AH21" s="213"/>
      <c r="AI21" s="214"/>
      <c r="AJ21" s="213"/>
      <c r="AK21" s="214"/>
      <c r="AL21" s="213"/>
      <c r="AM21" s="214"/>
      <c r="AN21" s="213"/>
      <c r="AO21" s="214"/>
      <c r="AP21" s="214"/>
    </row>
    <row r="22" spans="1:42" ht="15" customHeight="1" thickBot="1" x14ac:dyDescent="0.35">
      <c r="A22" s="210" t="s">
        <v>27</v>
      </c>
      <c r="B22" s="226">
        <f t="shared" ref="B22:M22" si="3">SUM(B3:B21)</f>
        <v>38695.379999999997</v>
      </c>
      <c r="C22" s="223">
        <f t="shared" si="3"/>
        <v>37204.859999999993</v>
      </c>
      <c r="D22" s="181" t="e">
        <f t="shared" si="3"/>
        <v>#REF!</v>
      </c>
      <c r="E22" s="181">
        <f t="shared" si="3"/>
        <v>0</v>
      </c>
      <c r="F22" s="181">
        <f t="shared" si="3"/>
        <v>0</v>
      </c>
      <c r="G22" s="181">
        <f t="shared" si="3"/>
        <v>0</v>
      </c>
      <c r="H22" s="181">
        <f t="shared" si="3"/>
        <v>0</v>
      </c>
      <c r="I22" s="181">
        <f t="shared" si="3"/>
        <v>0</v>
      </c>
      <c r="J22" s="181">
        <f t="shared" si="3"/>
        <v>0</v>
      </c>
      <c r="K22" s="181">
        <f t="shared" si="3"/>
        <v>0</v>
      </c>
      <c r="L22" s="181">
        <f t="shared" si="3"/>
        <v>0</v>
      </c>
      <c r="M22" s="181">
        <f t="shared" si="3"/>
        <v>0</v>
      </c>
      <c r="AD22" s="180" t="s">
        <v>27</v>
      </c>
      <c r="AE22" s="215">
        <f>SUM(AE3:AE21)</f>
        <v>1</v>
      </c>
      <c r="AF22" s="244">
        <f t="shared" ref="AF22:AK22" si="4">SUM(AF3:AF20)</f>
        <v>1.0000000000000002</v>
      </c>
      <c r="AG22" s="245" t="e">
        <f t="shared" si="4"/>
        <v>#REF!</v>
      </c>
      <c r="AH22" s="193">
        <f t="shared" si="4"/>
        <v>0</v>
      </c>
      <c r="AI22" s="215">
        <f t="shared" si="4"/>
        <v>0</v>
      </c>
      <c r="AJ22" s="193">
        <f t="shared" si="4"/>
        <v>0</v>
      </c>
      <c r="AK22" s="215">
        <f t="shared" si="4"/>
        <v>0</v>
      </c>
      <c r="AL22" s="193">
        <f>SUM(AL3:AL21)</f>
        <v>0</v>
      </c>
      <c r="AM22" s="215">
        <f>SUM(AM3:AM21)</f>
        <v>0</v>
      </c>
      <c r="AN22" s="193">
        <f>SUM(AN3:AN21)</f>
        <v>0</v>
      </c>
      <c r="AO22" s="215">
        <f>SUM(AO3:AO21)</f>
        <v>0</v>
      </c>
      <c r="AP22" s="215">
        <f>SUM(AP3:AP21)</f>
        <v>0</v>
      </c>
    </row>
    <row r="23" spans="1:42" ht="15" customHeight="1" thickBot="1" x14ac:dyDescent="0.35"/>
    <row r="24" spans="1:42" ht="16.2" customHeight="1" thickBot="1" x14ac:dyDescent="0.35">
      <c r="A24" s="283" t="s">
        <v>142</v>
      </c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66"/>
    </row>
    <row r="25" spans="1:42" ht="34.5" customHeight="1" thickBot="1" x14ac:dyDescent="0.35">
      <c r="A25" s="177" t="s">
        <v>129</v>
      </c>
      <c r="B25" s="15" t="s">
        <v>130</v>
      </c>
      <c r="C25" s="16" t="s">
        <v>131</v>
      </c>
      <c r="D25" s="222" t="s">
        <v>132</v>
      </c>
      <c r="E25" s="16" t="s">
        <v>133</v>
      </c>
      <c r="F25" s="15" t="s">
        <v>134</v>
      </c>
      <c r="G25" s="16" t="s">
        <v>135</v>
      </c>
      <c r="H25" s="15" t="s">
        <v>136</v>
      </c>
      <c r="I25" s="16" t="s">
        <v>137</v>
      </c>
      <c r="J25" s="15" t="s">
        <v>138</v>
      </c>
      <c r="K25" s="16" t="s">
        <v>139</v>
      </c>
      <c r="L25" s="15" t="s">
        <v>140</v>
      </c>
      <c r="M25" s="15" t="s">
        <v>141</v>
      </c>
    </row>
    <row r="26" spans="1:42" x14ac:dyDescent="0.3">
      <c r="A26" s="12" t="s">
        <v>143</v>
      </c>
      <c r="B26" s="106">
        <f>January!$K$8</f>
        <v>55015</v>
      </c>
      <c r="C26" s="104">
        <f>February!$K$8</f>
        <v>60015</v>
      </c>
      <c r="D26" s="195" t="e">
        <f>#REF!</f>
        <v>#REF!</v>
      </c>
      <c r="E26" s="104"/>
      <c r="F26" s="106"/>
      <c r="G26" s="104"/>
      <c r="H26" s="106"/>
      <c r="I26" s="104"/>
      <c r="J26" s="106"/>
      <c r="K26" s="231"/>
      <c r="L26" s="195"/>
      <c r="M26" s="195"/>
    </row>
    <row r="27" spans="1:42" x14ac:dyDescent="0.3">
      <c r="A27" s="6" t="s">
        <v>144</v>
      </c>
      <c r="B27" s="107">
        <f>SUM(January!$K$9,January!$K$10,January!K11,January!$K$12)</f>
        <v>3453</v>
      </c>
      <c r="C27" s="105">
        <f>SUM(February!$K$9,February!$K$10,February!L11,February!$K$12)</f>
        <v>2920</v>
      </c>
      <c r="D27" s="107" t="e">
        <f>SUM(#REF!,#REF!,#REF!,#REF!)</f>
        <v>#REF!</v>
      </c>
      <c r="E27" s="105"/>
      <c r="F27" s="107"/>
      <c r="G27" s="105"/>
      <c r="H27" s="107"/>
      <c r="I27" s="105"/>
      <c r="J27" s="107"/>
      <c r="K27" s="105"/>
      <c r="L27" s="107"/>
      <c r="M27" s="107"/>
    </row>
    <row r="28" spans="1:42" x14ac:dyDescent="0.3">
      <c r="A28" s="191" t="s">
        <v>145</v>
      </c>
      <c r="B28" s="178">
        <f t="shared" ref="B28:M28" si="5">SUM(B26:B27)</f>
        <v>58468</v>
      </c>
      <c r="C28" s="36">
        <f t="shared" si="5"/>
        <v>62935</v>
      </c>
      <c r="D28" s="238" t="e">
        <f t="shared" si="5"/>
        <v>#REF!</v>
      </c>
      <c r="E28" s="36">
        <f t="shared" si="5"/>
        <v>0</v>
      </c>
      <c r="F28" s="178">
        <f t="shared" si="5"/>
        <v>0</v>
      </c>
      <c r="G28" s="36">
        <f t="shared" si="5"/>
        <v>0</v>
      </c>
      <c r="H28" s="178">
        <f t="shared" si="5"/>
        <v>0</v>
      </c>
      <c r="I28" s="36">
        <f t="shared" si="5"/>
        <v>0</v>
      </c>
      <c r="J28" s="178">
        <f t="shared" si="5"/>
        <v>0</v>
      </c>
      <c r="K28" s="36">
        <f t="shared" si="5"/>
        <v>0</v>
      </c>
      <c r="L28" s="178">
        <f t="shared" si="5"/>
        <v>0</v>
      </c>
      <c r="M28" s="178">
        <f t="shared" si="5"/>
        <v>0</v>
      </c>
    </row>
    <row r="29" spans="1:42" x14ac:dyDescent="0.3">
      <c r="A29" s="6" t="s">
        <v>146</v>
      </c>
      <c r="B29" s="182">
        <f t="shared" ref="B29:M29" si="6">B30/B28</f>
        <v>0.56649791338852018</v>
      </c>
      <c r="C29" s="183">
        <f t="shared" si="6"/>
        <v>0.35892587590371017</v>
      </c>
      <c r="D29" s="182" t="e">
        <f t="shared" si="6"/>
        <v>#REF!</v>
      </c>
      <c r="E29" s="183" t="e">
        <f t="shared" si="6"/>
        <v>#DIV/0!</v>
      </c>
      <c r="F29" s="182" t="e">
        <f t="shared" si="6"/>
        <v>#DIV/0!</v>
      </c>
      <c r="G29" s="183" t="e">
        <f t="shared" si="6"/>
        <v>#DIV/0!</v>
      </c>
      <c r="H29" s="182" t="e">
        <f t="shared" si="6"/>
        <v>#DIV/0!</v>
      </c>
      <c r="I29" s="183" t="e">
        <f t="shared" si="6"/>
        <v>#DIV/0!</v>
      </c>
      <c r="J29" s="182" t="e">
        <f t="shared" si="6"/>
        <v>#DIV/0!</v>
      </c>
      <c r="K29" s="183" t="e">
        <f t="shared" si="6"/>
        <v>#DIV/0!</v>
      </c>
      <c r="L29" s="182" t="e">
        <f t="shared" si="6"/>
        <v>#DIV/0!</v>
      </c>
      <c r="M29" s="182" t="e">
        <f t="shared" si="6"/>
        <v>#DIV/0!</v>
      </c>
    </row>
    <row r="30" spans="1:42" x14ac:dyDescent="0.3">
      <c r="A30" s="6" t="s">
        <v>147</v>
      </c>
      <c r="B30" s="107">
        <f>January!$K$34</f>
        <v>33122</v>
      </c>
      <c r="C30" s="105">
        <f>February!$K$34</f>
        <v>22589</v>
      </c>
      <c r="D30" s="107">
        <v>0</v>
      </c>
      <c r="E30" s="105"/>
      <c r="F30" s="107"/>
      <c r="G30" s="105"/>
      <c r="H30" s="107"/>
      <c r="I30" s="105"/>
      <c r="J30" s="107"/>
      <c r="K30" s="105"/>
      <c r="L30" s="107"/>
      <c r="M30" s="107"/>
    </row>
    <row r="31" spans="1:42" x14ac:dyDescent="0.3">
      <c r="A31" s="191" t="s">
        <v>148</v>
      </c>
      <c r="B31" s="179">
        <v>0.14000000000000001</v>
      </c>
      <c r="C31" s="192">
        <f>February!$K$26</f>
        <v>0.14000000000000001</v>
      </c>
      <c r="D31" s="239">
        <v>0.185</v>
      </c>
      <c r="E31" s="192"/>
      <c r="F31" s="179"/>
      <c r="G31" s="192"/>
      <c r="H31" s="179"/>
      <c r="I31" s="192"/>
      <c r="J31" s="179"/>
      <c r="K31" s="192"/>
      <c r="L31" s="179"/>
      <c r="M31" s="179"/>
    </row>
    <row r="32" spans="1:42" ht="15" customHeight="1" x14ac:dyDescent="0.3">
      <c r="A32" s="13" t="s">
        <v>149</v>
      </c>
      <c r="B32" s="108">
        <f>January!$L$26</f>
        <v>8383.83</v>
      </c>
      <c r="C32" s="196">
        <f>February!$L$26</f>
        <v>8462.5499999999993</v>
      </c>
      <c r="D32" s="107">
        <v>8011</v>
      </c>
      <c r="E32" s="196"/>
      <c r="F32" s="108"/>
      <c r="G32" s="196"/>
      <c r="H32" s="108"/>
      <c r="I32" s="196"/>
      <c r="J32" s="108"/>
      <c r="K32" s="232"/>
      <c r="L32" s="108"/>
      <c r="M32" s="108"/>
    </row>
    <row r="33" spans="1:13" ht="15" customHeight="1" x14ac:dyDescent="0.3">
      <c r="A33" s="234" t="s">
        <v>150</v>
      </c>
      <c r="B33" s="108">
        <f>January!$J$26</f>
        <v>713662</v>
      </c>
      <c r="C33" s="235">
        <f>February!$J$26</f>
        <v>722124.55</v>
      </c>
      <c r="D33" s="107" t="e">
        <f>#REF!</f>
        <v>#REF!</v>
      </c>
      <c r="E33" s="196"/>
      <c r="F33" s="108"/>
      <c r="G33" s="196"/>
      <c r="H33" s="108"/>
      <c r="I33" s="196"/>
      <c r="J33" s="108"/>
      <c r="K33" s="232"/>
      <c r="L33" s="108"/>
      <c r="M33" s="108"/>
    </row>
    <row r="34" spans="1:13" ht="15" customHeight="1" x14ac:dyDescent="0.3">
      <c r="A34" s="230" t="s">
        <v>151</v>
      </c>
      <c r="B34" s="107">
        <f>January!$J$27</f>
        <v>23515</v>
      </c>
      <c r="C34" s="194">
        <f>February!$J$27</f>
        <v>47074</v>
      </c>
      <c r="D34" s="107" t="e">
        <f>#REF!</f>
        <v>#REF!</v>
      </c>
      <c r="E34" s="105"/>
      <c r="F34" s="107"/>
      <c r="G34" s="105"/>
      <c r="H34" s="107"/>
      <c r="I34" s="105"/>
      <c r="J34" s="107"/>
      <c r="K34" s="233"/>
      <c r="L34" s="107"/>
      <c r="M34" s="107"/>
    </row>
    <row r="35" spans="1:13" ht="15" customHeight="1" thickBot="1" x14ac:dyDescent="0.35">
      <c r="A35" s="228" t="s">
        <v>152</v>
      </c>
      <c r="B35" s="229">
        <f t="shared" ref="B35:M35" si="7">SUM(B33:B34)</f>
        <v>737177</v>
      </c>
      <c r="C35" s="236">
        <f t="shared" si="7"/>
        <v>769198.55</v>
      </c>
      <c r="D35" s="240" t="e">
        <f t="shared" si="7"/>
        <v>#REF!</v>
      </c>
      <c r="E35" s="237">
        <f t="shared" si="7"/>
        <v>0</v>
      </c>
      <c r="F35" s="229">
        <f t="shared" si="7"/>
        <v>0</v>
      </c>
      <c r="G35" s="229">
        <f t="shared" si="7"/>
        <v>0</v>
      </c>
      <c r="H35" s="229">
        <f t="shared" si="7"/>
        <v>0</v>
      </c>
      <c r="I35" s="229">
        <f t="shared" si="7"/>
        <v>0</v>
      </c>
      <c r="J35" s="229">
        <f t="shared" si="7"/>
        <v>0</v>
      </c>
      <c r="K35" s="229">
        <f t="shared" si="7"/>
        <v>0</v>
      </c>
      <c r="L35" s="229">
        <f t="shared" si="7"/>
        <v>0</v>
      </c>
      <c r="M35" s="229">
        <f t="shared" si="7"/>
        <v>0</v>
      </c>
    </row>
  </sheetData>
  <mergeCells count="3">
    <mergeCell ref="AD1:AP1"/>
    <mergeCell ref="A24:M24"/>
    <mergeCell ref="A1:M1"/>
  </mergeCells>
  <conditionalFormatting sqref="B3:D21">
    <cfRule type="dataBar" priority="18">
      <dataBar>
        <cfvo type="min"/>
        <cfvo type="max"/>
        <color rgb="FFFFB628"/>
      </dataBar>
    </cfRule>
  </conditionalFormatting>
  <conditionalFormatting sqref="E3:E21">
    <cfRule type="dataBar" priority="15">
      <dataBar>
        <cfvo type="min"/>
        <cfvo type="max"/>
        <color rgb="FFFFB628"/>
      </dataBar>
    </cfRule>
  </conditionalFormatting>
  <conditionalFormatting sqref="F3:F21">
    <cfRule type="dataBar" priority="14">
      <dataBar>
        <cfvo type="min"/>
        <cfvo type="max"/>
        <color rgb="FFFFB628"/>
      </dataBar>
    </cfRule>
  </conditionalFormatting>
  <conditionalFormatting sqref="G3:G21">
    <cfRule type="dataBar" priority="13">
      <dataBar>
        <cfvo type="min"/>
        <cfvo type="max"/>
        <color rgb="FFFFB628"/>
      </dataBar>
    </cfRule>
  </conditionalFormatting>
  <conditionalFormatting sqref="H3:H21">
    <cfRule type="dataBar" priority="12">
      <dataBar>
        <cfvo type="min"/>
        <cfvo type="max"/>
        <color rgb="FFFFB628"/>
      </dataBar>
    </cfRule>
  </conditionalFormatting>
  <conditionalFormatting sqref="I3:M21">
    <cfRule type="dataBar" priority="11">
      <dataBar>
        <cfvo type="min"/>
        <cfvo type="max"/>
        <color rgb="FFFFB628"/>
      </dataBar>
    </cfRule>
  </conditionalFormatting>
  <conditionalFormatting sqref="AE3:AP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{00000000-000E-0000-0300-000008000000}</x14:id>
        </ext>
      </extLst>
    </cfRule>
  </conditionalFormatting>
  <conditionalFormatting sqref="AG3:AG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{9D0A1882-79C2-424A-A8E4-302B1EBC495F}</x14:id>
        </ext>
      </extLst>
    </cfRule>
  </conditionalFormatting>
  <pageMargins left="0.7" right="0.7" top="0.75" bottom="0.75" header="0.3" footer="0.3"/>
  <pageSetup paperSize="9" scale="72" fitToWidth="0" fitToHeight="0"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300-000008000000}">
            <x14:dataBar gradient="0" negativeBarColorSameAsPositive="1" axisPosition="none">
              <x14:cfvo type="min"/>
              <x14:cfvo type="max"/>
            </x14:dataBar>
          </x14:cfRule>
          <xm:sqref>AE3:AP21</xm:sqref>
        </x14:conditionalFormatting>
        <x14:conditionalFormatting xmlns:xm="http://schemas.microsoft.com/office/excel/2006/main">
          <x14:cfRule type="dataBar" id="{9D0A1882-79C2-424A-A8E4-302B1EBC49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AG3:AG21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zoomScale="70" zoomScaleNormal="70" workbookViewId="0">
      <selection activeCell="D33" sqref="D33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18.332031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74" t="s">
        <v>0</v>
      </c>
      <c r="B1" s="265"/>
      <c r="C1" s="265"/>
      <c r="D1" s="265"/>
      <c r="E1" s="265"/>
      <c r="F1" s="265"/>
      <c r="G1" s="266"/>
      <c r="I1" s="264" t="s">
        <v>1</v>
      </c>
      <c r="J1" s="265"/>
      <c r="K1" s="265"/>
      <c r="L1" s="265"/>
      <c r="M1" s="265"/>
      <c r="N1" s="266"/>
      <c r="V1" s="110"/>
      <c r="W1" s="111"/>
      <c r="X1" s="112"/>
    </row>
    <row r="2" spans="1:24" ht="19.5" customHeight="1" thickBot="1" x14ac:dyDescent="0.35">
      <c r="A2" s="271"/>
      <c r="B2" s="263"/>
      <c r="C2" s="263"/>
      <c r="D2" s="263"/>
      <c r="E2" s="263"/>
      <c r="F2" s="272"/>
      <c r="G2" s="113"/>
      <c r="I2" s="282"/>
      <c r="J2" s="263"/>
      <c r="K2" s="263"/>
      <c r="L2" s="263"/>
      <c r="M2" s="263"/>
      <c r="N2" s="65"/>
      <c r="V2" s="114"/>
      <c r="W2" s="115"/>
    </row>
    <row r="3" spans="1:24" ht="19.5" customHeight="1" thickBot="1" x14ac:dyDescent="0.35">
      <c r="A3" s="264"/>
      <c r="B3" s="265"/>
      <c r="C3" s="265"/>
      <c r="D3" s="265"/>
      <c r="E3" s="265"/>
      <c r="F3" s="266"/>
      <c r="G3" s="116"/>
      <c r="I3" s="285"/>
      <c r="J3" s="265"/>
      <c r="K3" s="265"/>
      <c r="L3" s="265"/>
      <c r="M3" s="265"/>
      <c r="N3" s="14"/>
      <c r="V3" s="114"/>
      <c r="W3" s="115"/>
    </row>
    <row r="4" spans="1:24" ht="15.75" customHeight="1" thickBot="1" x14ac:dyDescent="0.35">
      <c r="A4" s="267"/>
      <c r="B4" s="268"/>
      <c r="C4" s="268"/>
      <c r="D4" s="268"/>
      <c r="E4" s="268"/>
      <c r="F4" s="269"/>
      <c r="G4" s="39"/>
      <c r="I4" s="270"/>
      <c r="J4" s="268"/>
      <c r="K4" s="268"/>
      <c r="L4" s="268"/>
      <c r="M4" s="268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80" t="s">
        <v>4</v>
      </c>
      <c r="B6" s="265"/>
      <c r="C6" s="265"/>
      <c r="D6" s="265"/>
      <c r="E6" s="265"/>
      <c r="F6" s="265"/>
      <c r="G6" s="281"/>
      <c r="I6" s="277" t="s">
        <v>5</v>
      </c>
      <c r="J6" s="265"/>
      <c r="K6" s="265"/>
      <c r="L6" s="265"/>
      <c r="M6" s="265"/>
      <c r="N6" s="266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0</v>
      </c>
      <c r="K8" s="119">
        <v>0</v>
      </c>
      <c r="L8" s="140" t="e">
        <f>K8/$K$13</f>
        <v>#DIV/0!</v>
      </c>
      <c r="M8" s="141">
        <f>K8-J8</f>
        <v>0</v>
      </c>
      <c r="N8" s="11"/>
      <c r="V8" s="114"/>
      <c r="W8" s="115"/>
    </row>
    <row r="9" spans="1:24" x14ac:dyDescent="0.3">
      <c r="A9" s="75" t="s">
        <v>16</v>
      </c>
      <c r="B9" s="56">
        <f>SUM(B10:B11)</f>
        <v>0</v>
      </c>
      <c r="C9" s="46" t="e">
        <f t="shared" ref="C9:C35" si="0">B9/$B$65</f>
        <v>#DIV/0!</v>
      </c>
      <c r="D9" s="60">
        <f>SUM(D10:D11)</f>
        <v>0</v>
      </c>
      <c r="E9" s="31" t="e">
        <f t="shared" ref="E9:E35" si="1">D9/$D$65</f>
        <v>#DIV/0!</v>
      </c>
      <c r="F9" s="18">
        <f t="shared" ref="F9:F35" si="2">B9-D9</f>
        <v>0</v>
      </c>
      <c r="G9" s="11"/>
      <c r="I9" s="6" t="s">
        <v>17</v>
      </c>
      <c r="J9" s="120">
        <v>0</v>
      </c>
      <c r="K9" s="121">
        <v>0</v>
      </c>
      <c r="L9" s="142" t="e">
        <f>K9/$K$13</f>
        <v>#DIV/0!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0</v>
      </c>
      <c r="C10" s="47" t="e">
        <f t="shared" si="0"/>
        <v>#DIV/0!</v>
      </c>
      <c r="D10" s="61">
        <v>0</v>
      </c>
      <c r="E10" s="55" t="e">
        <f t="shared" si="1"/>
        <v>#DIV/0!</v>
      </c>
      <c r="F10" s="17">
        <f t="shared" si="2"/>
        <v>0</v>
      </c>
      <c r="G10" s="7"/>
      <c r="I10" s="6" t="s">
        <v>20</v>
      </c>
      <c r="J10" s="120">
        <v>0</v>
      </c>
      <c r="K10" s="121">
        <v>0</v>
      </c>
      <c r="L10" s="142" t="e">
        <f>K10/$K$13</f>
        <v>#DIV/0!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 t="e">
        <f t="shared" si="0"/>
        <v>#DIV/0!</v>
      </c>
      <c r="D11" s="61">
        <v>0</v>
      </c>
      <c r="E11" s="55" t="e">
        <f t="shared" si="1"/>
        <v>#DIV/0!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 t="e">
        <f t="shared" si="0"/>
        <v>#DIV/0!</v>
      </c>
      <c r="D12" s="62">
        <f>SUM(D13:D15)</f>
        <v>0</v>
      </c>
      <c r="E12" s="31" t="e">
        <f t="shared" si="1"/>
        <v>#DIV/0!</v>
      </c>
      <c r="F12" s="17">
        <f t="shared" si="2"/>
        <v>0</v>
      </c>
      <c r="G12" s="7"/>
      <c r="I12" s="8" t="s">
        <v>25</v>
      </c>
      <c r="J12" s="123">
        <v>0</v>
      </c>
      <c r="K12" s="124">
        <v>0</v>
      </c>
      <c r="L12" s="144" t="e">
        <f>K12/K13</f>
        <v>#DIV/0!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 t="e">
        <f t="shared" si="0"/>
        <v>#DIV/0!</v>
      </c>
      <c r="D13" s="61">
        <v>0</v>
      </c>
      <c r="E13" s="55" t="e">
        <f t="shared" si="1"/>
        <v>#DIV/0!</v>
      </c>
      <c r="F13" s="17">
        <f t="shared" si="2"/>
        <v>0</v>
      </c>
      <c r="G13" s="7"/>
      <c r="I13" s="88" t="s">
        <v>27</v>
      </c>
      <c r="J13" s="91">
        <f>SUM(J8:J10)+J12</f>
        <v>0</v>
      </c>
      <c r="K13" s="91">
        <f>SUM(K8:K10)+K12</f>
        <v>0</v>
      </c>
      <c r="L13" s="146" t="e">
        <f>SUM(L8:L11)</f>
        <v>#DIV/0!</v>
      </c>
      <c r="M13" s="147">
        <f>K13-J13</f>
        <v>0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 t="e">
        <f t="shared" si="0"/>
        <v>#DIV/0!</v>
      </c>
      <c r="D14" s="61">
        <v>0</v>
      </c>
      <c r="E14" s="55" t="e">
        <f t="shared" si="1"/>
        <v>#DIV/0!</v>
      </c>
      <c r="F14" s="17">
        <f t="shared" si="2"/>
        <v>0</v>
      </c>
      <c r="G14" s="7"/>
      <c r="I14" s="40" t="s">
        <v>30</v>
      </c>
      <c r="J14" s="125">
        <v>0</v>
      </c>
      <c r="K14" s="126">
        <v>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 t="e">
        <f t="shared" si="0"/>
        <v>#DIV/0!</v>
      </c>
      <c r="D15" s="61">
        <v>0</v>
      </c>
      <c r="E15" s="55" t="e">
        <f t="shared" si="1"/>
        <v>#DIV/0!</v>
      </c>
      <c r="F15" s="17">
        <f t="shared" si="2"/>
        <v>0</v>
      </c>
      <c r="G15" s="7"/>
      <c r="I15" s="19" t="s">
        <v>32</v>
      </c>
      <c r="J15" s="92">
        <f>J13+J11+J14</f>
        <v>0</v>
      </c>
      <c r="K15" s="92">
        <f>K13+K11+K14</f>
        <v>0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0</v>
      </c>
      <c r="C16" s="48" t="e">
        <f t="shared" si="0"/>
        <v>#DIV/0!</v>
      </c>
      <c r="D16" s="62">
        <f>SUM(D17:D18)</f>
        <v>0</v>
      </c>
      <c r="E16" s="31" t="e">
        <f t="shared" si="1"/>
        <v>#DIV/0!</v>
      </c>
      <c r="F16" s="17">
        <f t="shared" si="2"/>
        <v>0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0</v>
      </c>
      <c r="C17" s="47" t="e">
        <f t="shared" si="0"/>
        <v>#DIV/0!</v>
      </c>
      <c r="D17" s="61">
        <v>0</v>
      </c>
      <c r="E17" s="55" t="e">
        <f t="shared" si="1"/>
        <v>#DIV/0!</v>
      </c>
      <c r="F17" s="17">
        <f t="shared" si="2"/>
        <v>0</v>
      </c>
      <c r="G17" s="7"/>
      <c r="I17" s="278" t="s">
        <v>35</v>
      </c>
      <c r="J17" s="265"/>
      <c r="K17" s="265"/>
      <c r="L17" s="265"/>
      <c r="M17" s="265"/>
      <c r="N17" s="266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0</v>
      </c>
      <c r="C18" s="47" t="e">
        <f t="shared" si="0"/>
        <v>#DIV/0!</v>
      </c>
      <c r="D18" s="61">
        <v>0</v>
      </c>
      <c r="E18" s="55" t="e">
        <f t="shared" si="1"/>
        <v>#DIV/0!</v>
      </c>
      <c r="F18" s="17">
        <f t="shared" si="2"/>
        <v>0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0</v>
      </c>
      <c r="C19" s="48" t="e">
        <f t="shared" si="0"/>
        <v>#DIV/0!</v>
      </c>
      <c r="D19" s="62">
        <v>0</v>
      </c>
      <c r="E19" s="31" t="e">
        <f t="shared" si="1"/>
        <v>#DIV/0!</v>
      </c>
      <c r="F19" s="17">
        <f t="shared" si="2"/>
        <v>0</v>
      </c>
      <c r="G19" s="7"/>
      <c r="I19" s="1" t="s">
        <v>41</v>
      </c>
      <c r="J19" s="148">
        <f>SUM(B9,B12,B16,B19,B20,B21,B26,B27,B32)</f>
        <v>0</v>
      </c>
      <c r="K19" s="149" t="e">
        <f>J19/J22</f>
        <v>#DIV/0!</v>
      </c>
      <c r="L19" s="150">
        <f>SUM(D9,D12,D16,D19,D20,D21,D26,D27,D32)</f>
        <v>0</v>
      </c>
      <c r="M19" s="151" t="e">
        <f>L19/L22</f>
        <v>#DIV/0!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 t="e">
        <f t="shared" si="0"/>
        <v>#DIV/0!</v>
      </c>
      <c r="D20" s="62">
        <v>0</v>
      </c>
      <c r="E20" s="31" t="e">
        <f t="shared" si="1"/>
        <v>#DIV/0!</v>
      </c>
      <c r="F20" s="17">
        <f t="shared" si="2"/>
        <v>0</v>
      </c>
      <c r="G20" s="7"/>
      <c r="I20" s="3" t="s">
        <v>43</v>
      </c>
      <c r="J20" s="152">
        <f>SUM(B37,B42,B43,B44,B53,B54)</f>
        <v>0</v>
      </c>
      <c r="K20" s="153" t="e">
        <f>J20/J22</f>
        <v>#DIV/0!</v>
      </c>
      <c r="L20" s="154">
        <f>SUM(D37,D42,D43,D44,D53,D54)</f>
        <v>0</v>
      </c>
      <c r="M20" s="155" t="e">
        <f>L20/L22</f>
        <v>#DIV/0!</v>
      </c>
      <c r="N20" s="73"/>
    </row>
    <row r="21" spans="1:21" ht="15.75" customHeight="1" thickBot="1" x14ac:dyDescent="0.35">
      <c r="A21" s="77" t="s">
        <v>44</v>
      </c>
      <c r="B21" s="57">
        <f>SUM(B22:B25)</f>
        <v>0</v>
      </c>
      <c r="C21" s="48" t="e">
        <f t="shared" si="0"/>
        <v>#DIV/0!</v>
      </c>
      <c r="D21" s="62">
        <f>SUM(D22:D25)</f>
        <v>0</v>
      </c>
      <c r="E21" s="31" t="e">
        <f t="shared" si="1"/>
        <v>#DIV/0!</v>
      </c>
      <c r="F21" s="17">
        <f t="shared" si="2"/>
        <v>0</v>
      </c>
      <c r="G21" s="7"/>
      <c r="I21" s="3" t="s">
        <v>45</v>
      </c>
      <c r="J21" s="152">
        <f>SUM(B56,B62,B63,B64)</f>
        <v>0</v>
      </c>
      <c r="K21" s="153" t="e">
        <f>J21/J22</f>
        <v>#DIV/0!</v>
      </c>
      <c r="L21" s="154">
        <f>SUM(D56,D62,D63,D64)</f>
        <v>0</v>
      </c>
      <c r="M21" s="155" t="e">
        <f>L21/L22</f>
        <v>#DIV/0!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 t="e">
        <f t="shared" si="0"/>
        <v>#DIV/0!</v>
      </c>
      <c r="D22" s="61">
        <v>0</v>
      </c>
      <c r="E22" s="55" t="e">
        <f t="shared" si="1"/>
        <v>#DIV/0!</v>
      </c>
      <c r="F22" s="17">
        <f t="shared" si="2"/>
        <v>0</v>
      </c>
      <c r="G22" s="7"/>
      <c r="I22" s="90" t="s">
        <v>27</v>
      </c>
      <c r="J22" s="156">
        <f>SUM(J19:J21)</f>
        <v>0</v>
      </c>
      <c r="K22" s="157" t="e">
        <f>SUM(K19:K21)</f>
        <v>#DIV/0!</v>
      </c>
      <c r="L22" s="93">
        <f>SUM(L19:L21)</f>
        <v>0</v>
      </c>
      <c r="M22" s="135" t="e">
        <f>SUM(M19:M21)</f>
        <v>#DIV/0!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 t="e">
        <f t="shared" si="0"/>
        <v>#DIV/0!</v>
      </c>
      <c r="D23" s="61">
        <v>0</v>
      </c>
      <c r="E23" s="55" t="e">
        <f t="shared" si="1"/>
        <v>#DIV/0!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0</v>
      </c>
      <c r="C24" s="47" t="e">
        <f t="shared" si="0"/>
        <v>#DIV/0!</v>
      </c>
      <c r="D24" s="61">
        <v>0</v>
      </c>
      <c r="E24" s="55" t="e">
        <f t="shared" si="1"/>
        <v>#DIV/0!</v>
      </c>
      <c r="F24" s="17">
        <f t="shared" si="2"/>
        <v>0</v>
      </c>
      <c r="G24" s="7"/>
      <c r="I24" s="279" t="s">
        <v>50</v>
      </c>
      <c r="J24" s="265"/>
      <c r="K24" s="265"/>
      <c r="L24" s="265"/>
      <c r="M24" s="265"/>
      <c r="N24" s="266"/>
    </row>
    <row r="25" spans="1:21" ht="19.5" customHeight="1" thickBot="1" x14ac:dyDescent="0.35">
      <c r="A25" s="76" t="s">
        <v>51</v>
      </c>
      <c r="B25" s="122">
        <v>0</v>
      </c>
      <c r="C25" s="47" t="e">
        <f t="shared" si="0"/>
        <v>#DIV/0!</v>
      </c>
      <c r="D25" s="61">
        <v>0</v>
      </c>
      <c r="E25" s="55" t="e">
        <f t="shared" si="1"/>
        <v>#DIV/0!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 t="e">
        <f t="shared" si="0"/>
        <v>#DIV/0!</v>
      </c>
      <c r="D26" s="62">
        <v>0</v>
      </c>
      <c r="E26" s="31" t="e">
        <f t="shared" si="1"/>
        <v>#DIV/0!</v>
      </c>
      <c r="F26" s="17">
        <f t="shared" si="2"/>
        <v>0</v>
      </c>
      <c r="G26" s="7"/>
      <c r="I26" s="14" t="s">
        <v>59</v>
      </c>
      <c r="J26" s="99">
        <v>0</v>
      </c>
      <c r="K26" s="158">
        <v>0</v>
      </c>
      <c r="L26" s="99">
        <v>0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0</v>
      </c>
      <c r="C27" s="48" t="e">
        <f t="shared" si="0"/>
        <v>#DIV/0!</v>
      </c>
      <c r="D27" s="62">
        <f>SUM(D28:D31)</f>
        <v>0</v>
      </c>
      <c r="E27" s="31" t="e">
        <f t="shared" si="1"/>
        <v>#DIV/0!</v>
      </c>
      <c r="F27" s="17">
        <f t="shared" si="2"/>
        <v>0</v>
      </c>
      <c r="G27" s="7"/>
      <c r="I27" s="40" t="s">
        <v>61</v>
      </c>
      <c r="J27" s="100">
        <v>0</v>
      </c>
      <c r="K27" s="158">
        <v>0</v>
      </c>
      <c r="L27" s="99">
        <v>0</v>
      </c>
      <c r="M27" s="100">
        <v>0</v>
      </c>
      <c r="N27" s="101">
        <v>0</v>
      </c>
    </row>
    <row r="28" spans="1:21" ht="19.5" customHeight="1" thickBot="1" x14ac:dyDescent="0.35">
      <c r="A28" s="76" t="s">
        <v>62</v>
      </c>
      <c r="B28" s="122">
        <v>0</v>
      </c>
      <c r="C28" s="47" t="e">
        <f t="shared" si="0"/>
        <v>#DIV/0!</v>
      </c>
      <c r="D28" s="61">
        <v>0</v>
      </c>
      <c r="E28" s="55" t="e">
        <f t="shared" si="1"/>
        <v>#DIV/0!</v>
      </c>
      <c r="F28" s="17">
        <f t="shared" si="2"/>
        <v>0</v>
      </c>
      <c r="G28" s="7"/>
    </row>
    <row r="29" spans="1:21" ht="19.5" customHeight="1" thickBot="1" x14ac:dyDescent="0.4">
      <c r="A29" s="76" t="s">
        <v>64</v>
      </c>
      <c r="B29" s="122">
        <v>0</v>
      </c>
      <c r="C29" s="47" t="e">
        <f t="shared" si="0"/>
        <v>#DIV/0!</v>
      </c>
      <c r="D29" s="61">
        <v>0</v>
      </c>
      <c r="E29" s="55" t="e">
        <f t="shared" si="1"/>
        <v>#DIV/0!</v>
      </c>
      <c r="F29" s="17">
        <f t="shared" si="2"/>
        <v>0</v>
      </c>
      <c r="G29" s="7"/>
      <c r="I29" s="277" t="s">
        <v>66</v>
      </c>
      <c r="J29" s="265"/>
      <c r="K29" s="265"/>
      <c r="L29" s="265"/>
      <c r="M29" s="265"/>
      <c r="N29" s="266"/>
    </row>
    <row r="30" spans="1:21" ht="19.5" customHeight="1" thickBot="1" x14ac:dyDescent="0.4">
      <c r="A30" s="76" t="s">
        <v>65</v>
      </c>
      <c r="B30" s="122">
        <v>0</v>
      </c>
      <c r="C30" s="47" t="e">
        <f t="shared" si="0"/>
        <v>#DIV/0!</v>
      </c>
      <c r="D30" s="61">
        <v>0</v>
      </c>
      <c r="E30" s="55" t="e">
        <f t="shared" si="1"/>
        <v>#DIV/0!</v>
      </c>
      <c r="F30" s="17">
        <f t="shared" si="2"/>
        <v>0</v>
      </c>
      <c r="G30" s="7"/>
      <c r="I30" s="278" t="s">
        <v>68</v>
      </c>
      <c r="J30" s="265"/>
      <c r="K30" s="266"/>
      <c r="L30" s="284" t="s">
        <v>69</v>
      </c>
      <c r="M30" s="265"/>
      <c r="N30" s="266"/>
    </row>
    <row r="31" spans="1:21" ht="19.5" customHeight="1" thickBot="1" x14ac:dyDescent="0.35">
      <c r="A31" s="76" t="s">
        <v>67</v>
      </c>
      <c r="B31" s="122">
        <v>0</v>
      </c>
      <c r="C31" s="47" t="e">
        <f t="shared" si="0"/>
        <v>#DIV/0!</v>
      </c>
      <c r="D31" s="61">
        <v>0</v>
      </c>
      <c r="E31" s="55" t="e">
        <f t="shared" si="1"/>
        <v>#DIV/0!</v>
      </c>
      <c r="F31" s="17">
        <f t="shared" si="2"/>
        <v>0</v>
      </c>
      <c r="G31" s="7"/>
      <c r="I31" s="136" t="s">
        <v>71</v>
      </c>
      <c r="J31" s="42" t="s">
        <v>38</v>
      </c>
      <c r="K31" s="137" t="s">
        <v>39</v>
      </c>
      <c r="L31" s="85" t="s">
        <v>52</v>
      </c>
      <c r="M31" s="42" t="s">
        <v>72</v>
      </c>
      <c r="N31" s="87" t="s">
        <v>11</v>
      </c>
    </row>
    <row r="32" spans="1:21" ht="19.5" customHeight="1" thickBot="1" x14ac:dyDescent="0.35">
      <c r="A32" s="77" t="s">
        <v>70</v>
      </c>
      <c r="B32" s="57">
        <f>SUM(B33:B35)</f>
        <v>0</v>
      </c>
      <c r="C32" s="48" t="e">
        <f t="shared" si="0"/>
        <v>#DIV/0!</v>
      </c>
      <c r="D32" s="62">
        <f>SUM(D33:D35)</f>
        <v>0</v>
      </c>
      <c r="E32" s="31" t="e">
        <f t="shared" si="1"/>
        <v>#DIV/0!</v>
      </c>
      <c r="F32" s="17">
        <f t="shared" si="2"/>
        <v>0</v>
      </c>
      <c r="G32" s="7"/>
      <c r="I32" s="138" t="s">
        <v>74</v>
      </c>
      <c r="J32" s="159">
        <f>J13-J22</f>
        <v>0</v>
      </c>
      <c r="K32" s="160">
        <f>K15-L22</f>
        <v>0</v>
      </c>
      <c r="L32" s="161" t="s">
        <v>153</v>
      </c>
      <c r="M32" s="162">
        <v>0</v>
      </c>
      <c r="N32" s="163"/>
    </row>
    <row r="33" spans="1:14" ht="19.5" customHeight="1" thickBot="1" x14ac:dyDescent="0.35">
      <c r="A33" s="76" t="s">
        <v>73</v>
      </c>
      <c r="B33" s="122">
        <v>0</v>
      </c>
      <c r="C33" s="47" t="e">
        <f t="shared" si="0"/>
        <v>#DIV/0!</v>
      </c>
      <c r="D33" s="61">
        <v>0</v>
      </c>
      <c r="E33" s="55" t="e">
        <f t="shared" si="1"/>
        <v>#DIV/0!</v>
      </c>
      <c r="F33" s="17">
        <f t="shared" si="2"/>
        <v>0</v>
      </c>
      <c r="G33" s="7"/>
      <c r="I33" s="102" t="s">
        <v>78</v>
      </c>
      <c r="J33" s="164">
        <v>0</v>
      </c>
      <c r="K33" s="165">
        <v>0</v>
      </c>
      <c r="L33" s="161" t="s">
        <v>79</v>
      </c>
      <c r="M33" s="162">
        <f>J26</f>
        <v>0</v>
      </c>
      <c r="N33" s="166"/>
    </row>
    <row r="34" spans="1:14" ht="19.5" customHeight="1" thickBot="1" x14ac:dyDescent="0.35">
      <c r="A34" s="76" t="s">
        <v>77</v>
      </c>
      <c r="B34" s="122">
        <v>0</v>
      </c>
      <c r="C34" s="47" t="e">
        <f t="shared" si="0"/>
        <v>#DIV/0!</v>
      </c>
      <c r="D34" s="61">
        <v>0</v>
      </c>
      <c r="E34" s="55" t="e">
        <f t="shared" si="1"/>
        <v>#DIV/0!</v>
      </c>
      <c r="F34" s="17">
        <f t="shared" si="2"/>
        <v>0</v>
      </c>
      <c r="G34" s="7"/>
      <c r="I34" s="103" t="s">
        <v>81</v>
      </c>
      <c r="J34" s="167" t="e">
        <f>J33/J13</f>
        <v>#DIV/0!</v>
      </c>
      <c r="K34" s="168" t="e">
        <f>K33/K13</f>
        <v>#DIV/0!</v>
      </c>
      <c r="L34" s="190" t="s">
        <v>82</v>
      </c>
      <c r="M34" s="169" t="s">
        <v>76</v>
      </c>
      <c r="N34" s="170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 t="e">
        <f t="shared" si="0"/>
        <v>#DIV/0!</v>
      </c>
      <c r="D35" s="63">
        <v>0</v>
      </c>
      <c r="E35" s="55" t="e">
        <f t="shared" si="1"/>
        <v>#DIV/0!</v>
      </c>
      <c r="F35" s="45">
        <f t="shared" si="2"/>
        <v>0</v>
      </c>
      <c r="G35" s="10"/>
      <c r="I35" s="171" t="s">
        <v>84</v>
      </c>
      <c r="J35" s="172">
        <f>J32-J33</f>
        <v>0</v>
      </c>
      <c r="K35" s="173">
        <f>K32-K33</f>
        <v>0</v>
      </c>
      <c r="L35" s="174" t="s">
        <v>85</v>
      </c>
      <c r="M35" s="175">
        <f>SUM(M32:M34)</f>
        <v>0</v>
      </c>
      <c r="N35" s="176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</row>
    <row r="37" spans="1:14" x14ac:dyDescent="0.3">
      <c r="A37" s="75" t="s">
        <v>86</v>
      </c>
      <c r="B37" s="56">
        <f>SUM(B38:B41)</f>
        <v>0</v>
      </c>
      <c r="C37" s="46" t="e">
        <f t="shared" ref="C37:C54" si="3">B37/$B$65</f>
        <v>#DIV/0!</v>
      </c>
      <c r="D37" s="60">
        <f>SUM(D38:D41)</f>
        <v>0</v>
      </c>
      <c r="E37" s="31" t="e">
        <f t="shared" ref="E37:E54" si="4">D37/$D$65</f>
        <v>#DIV/0!</v>
      </c>
      <c r="F37" s="18">
        <f t="shared" ref="F37:F54" si="5">B37-D37</f>
        <v>0</v>
      </c>
      <c r="G37" s="53" t="s">
        <v>87</v>
      </c>
    </row>
    <row r="38" spans="1:14" x14ac:dyDescent="0.3">
      <c r="A38" s="76" t="s">
        <v>88</v>
      </c>
      <c r="B38" s="58">
        <v>0</v>
      </c>
      <c r="C38" s="47" t="e">
        <f t="shared" si="3"/>
        <v>#DIV/0!</v>
      </c>
      <c r="D38" s="61">
        <v>0</v>
      </c>
      <c r="E38" s="55" t="e">
        <f t="shared" si="4"/>
        <v>#DIV/0!</v>
      </c>
      <c r="F38" s="17">
        <f t="shared" si="5"/>
        <v>0</v>
      </c>
      <c r="G38" s="7"/>
    </row>
    <row r="39" spans="1:14" x14ac:dyDescent="0.3">
      <c r="A39" s="76" t="s">
        <v>89</v>
      </c>
      <c r="B39" s="58">
        <v>0</v>
      </c>
      <c r="C39" s="47" t="e">
        <f t="shared" si="3"/>
        <v>#DIV/0!</v>
      </c>
      <c r="D39" s="61">
        <v>0</v>
      </c>
      <c r="E39" s="55" t="e">
        <f t="shared" si="4"/>
        <v>#DIV/0!</v>
      </c>
      <c r="F39" s="17">
        <f t="shared" si="5"/>
        <v>0</v>
      </c>
      <c r="G39" s="7"/>
    </row>
    <row r="40" spans="1:14" x14ac:dyDescent="0.3">
      <c r="A40" s="76" t="s">
        <v>90</v>
      </c>
      <c r="B40" s="58">
        <v>0</v>
      </c>
      <c r="C40" s="47" t="e">
        <f t="shared" si="3"/>
        <v>#DIV/0!</v>
      </c>
      <c r="D40" s="61">
        <v>0</v>
      </c>
      <c r="E40" s="55" t="e">
        <f t="shared" si="4"/>
        <v>#DIV/0!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 t="e">
        <f t="shared" si="3"/>
        <v>#DIV/0!</v>
      </c>
      <c r="D41" s="61">
        <v>0</v>
      </c>
      <c r="E41" s="55" t="e">
        <f t="shared" si="4"/>
        <v>#DIV/0!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 t="e">
        <f t="shared" si="3"/>
        <v>#DIV/0!</v>
      </c>
      <c r="D42" s="62">
        <v>0</v>
      </c>
      <c r="E42" s="31" t="e">
        <f t="shared" si="4"/>
        <v>#DIV/0!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 t="e">
        <f t="shared" si="3"/>
        <v>#DIV/0!</v>
      </c>
      <c r="D43" s="62">
        <v>0</v>
      </c>
      <c r="E43" s="31" t="e">
        <f t="shared" si="4"/>
        <v>#DIV/0!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 t="e">
        <f t="shared" si="3"/>
        <v>#DIV/0!</v>
      </c>
      <c r="D44" s="62">
        <f>SUM(D45:D52)</f>
        <v>0</v>
      </c>
      <c r="E44" s="31" t="e">
        <f t="shared" si="4"/>
        <v>#DIV/0!</v>
      </c>
      <c r="F44" s="17">
        <f t="shared" si="5"/>
        <v>0</v>
      </c>
      <c r="G44" s="54" t="s">
        <v>87</v>
      </c>
    </row>
    <row r="45" spans="1:14" x14ac:dyDescent="0.3">
      <c r="A45" s="76" t="s">
        <v>95</v>
      </c>
      <c r="B45" s="58">
        <v>0</v>
      </c>
      <c r="C45" s="47" t="e">
        <f t="shared" si="3"/>
        <v>#DIV/0!</v>
      </c>
      <c r="D45" s="61">
        <v>0</v>
      </c>
      <c r="E45" s="55" t="e">
        <f t="shared" si="4"/>
        <v>#DIV/0!</v>
      </c>
      <c r="F45" s="17">
        <f t="shared" si="5"/>
        <v>0</v>
      </c>
      <c r="G45" s="7"/>
    </row>
    <row r="46" spans="1:14" x14ac:dyDescent="0.3">
      <c r="A46" s="76" t="s">
        <v>96</v>
      </c>
      <c r="B46" s="58">
        <v>0</v>
      </c>
      <c r="C46" s="47" t="e">
        <f t="shared" si="3"/>
        <v>#DIV/0!</v>
      </c>
      <c r="D46" s="61">
        <v>0</v>
      </c>
      <c r="E46" s="55" t="e">
        <f t="shared" si="4"/>
        <v>#DIV/0!</v>
      </c>
      <c r="F46" s="17">
        <f t="shared" si="5"/>
        <v>0</v>
      </c>
      <c r="G46" s="7"/>
    </row>
    <row r="47" spans="1:14" x14ac:dyDescent="0.3">
      <c r="A47" s="76" t="s">
        <v>97</v>
      </c>
      <c r="B47" s="58">
        <v>0</v>
      </c>
      <c r="C47" s="47" t="e">
        <f t="shared" si="3"/>
        <v>#DIV/0!</v>
      </c>
      <c r="D47" s="61">
        <v>0</v>
      </c>
      <c r="E47" s="55" t="e">
        <f t="shared" si="4"/>
        <v>#DIV/0!</v>
      </c>
      <c r="F47" s="17">
        <f t="shared" si="5"/>
        <v>0</v>
      </c>
      <c r="G47" s="7"/>
    </row>
    <row r="48" spans="1:14" x14ac:dyDescent="0.3">
      <c r="A48" s="76" t="s">
        <v>98</v>
      </c>
      <c r="B48" s="58">
        <v>0</v>
      </c>
      <c r="C48" s="47" t="e">
        <f t="shared" si="3"/>
        <v>#DIV/0!</v>
      </c>
      <c r="D48" s="61">
        <v>0</v>
      </c>
      <c r="E48" s="55" t="e">
        <f t="shared" si="4"/>
        <v>#DIV/0!</v>
      </c>
      <c r="F48" s="17">
        <f t="shared" si="5"/>
        <v>0</v>
      </c>
      <c r="G48" s="7"/>
    </row>
    <row r="49" spans="1:7" x14ac:dyDescent="0.3">
      <c r="A49" s="76" t="s">
        <v>99</v>
      </c>
      <c r="B49" s="58">
        <v>0</v>
      </c>
      <c r="C49" s="47" t="e">
        <f t="shared" si="3"/>
        <v>#DIV/0!</v>
      </c>
      <c r="D49" s="61">
        <v>0</v>
      </c>
      <c r="E49" s="55" t="e">
        <f t="shared" si="4"/>
        <v>#DIV/0!</v>
      </c>
      <c r="F49" s="17">
        <f t="shared" si="5"/>
        <v>0</v>
      </c>
      <c r="G49" s="7"/>
    </row>
    <row r="50" spans="1:7" ht="15.75" customHeight="1" x14ac:dyDescent="0.3">
      <c r="A50" s="76" t="s">
        <v>100</v>
      </c>
      <c r="B50" s="58">
        <v>0</v>
      </c>
      <c r="C50" s="47" t="e">
        <f t="shared" si="3"/>
        <v>#DIV/0!</v>
      </c>
      <c r="D50" s="61">
        <v>0</v>
      </c>
      <c r="E50" s="55" t="e">
        <f t="shared" si="4"/>
        <v>#DIV/0!</v>
      </c>
      <c r="F50" s="17">
        <f t="shared" si="5"/>
        <v>0</v>
      </c>
      <c r="G50" s="7"/>
    </row>
    <row r="51" spans="1:7" x14ac:dyDescent="0.3">
      <c r="A51" s="76" t="s">
        <v>101</v>
      </c>
      <c r="B51" s="58">
        <v>0</v>
      </c>
      <c r="C51" s="47" t="e">
        <f t="shared" si="3"/>
        <v>#DIV/0!</v>
      </c>
      <c r="D51" s="61">
        <v>0</v>
      </c>
      <c r="E51" s="55" t="e">
        <f t="shared" si="4"/>
        <v>#DIV/0!</v>
      </c>
      <c r="F51" s="17">
        <f t="shared" si="5"/>
        <v>0</v>
      </c>
      <c r="G51" s="7"/>
    </row>
    <row r="52" spans="1:7" x14ac:dyDescent="0.3">
      <c r="A52" s="76" t="s">
        <v>102</v>
      </c>
      <c r="B52" s="58">
        <v>0</v>
      </c>
      <c r="C52" s="47" t="e">
        <f t="shared" si="3"/>
        <v>#DIV/0!</v>
      </c>
      <c r="D52" s="61">
        <v>0</v>
      </c>
      <c r="E52" s="55" t="e">
        <f t="shared" si="4"/>
        <v>#DIV/0!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 t="e">
        <f t="shared" si="3"/>
        <v>#DIV/0!</v>
      </c>
      <c r="D53" s="62">
        <f>0</f>
        <v>0</v>
      </c>
      <c r="E53" s="31" t="e">
        <f t="shared" si="4"/>
        <v>#DIV/0!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 t="e">
        <f t="shared" si="3"/>
        <v>#DIV/0!</v>
      </c>
      <c r="D54" s="64">
        <v>0</v>
      </c>
      <c r="E54" s="31" t="e">
        <f t="shared" si="4"/>
        <v>#DIV/0!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0</v>
      </c>
      <c r="C56" s="46" t="e">
        <f t="shared" ref="C56:C64" si="6">B56/$B$65</f>
        <v>#DIV/0!</v>
      </c>
      <c r="D56" s="56">
        <f>SUM(D57:D61)</f>
        <v>0</v>
      </c>
      <c r="E56" s="46" t="e">
        <f t="shared" ref="E56:E64" si="7">D56/$D$65</f>
        <v>#DIV/0!</v>
      </c>
      <c r="F56" s="18">
        <f t="shared" ref="F56:F64" si="8">B56-D56</f>
        <v>0</v>
      </c>
      <c r="G56" s="5"/>
    </row>
    <row r="57" spans="1:7" x14ac:dyDescent="0.3">
      <c r="A57" s="76" t="s">
        <v>107</v>
      </c>
      <c r="B57" s="58">
        <v>0</v>
      </c>
      <c r="C57" s="47" t="e">
        <f t="shared" si="6"/>
        <v>#DIV/0!</v>
      </c>
      <c r="D57" s="58">
        <v>0</v>
      </c>
      <c r="E57" s="198" t="e">
        <f t="shared" si="7"/>
        <v>#DIV/0!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 t="e">
        <f t="shared" si="6"/>
        <v>#DIV/0!</v>
      </c>
      <c r="D58" s="58">
        <v>0</v>
      </c>
      <c r="E58" s="198" t="e">
        <f t="shared" si="7"/>
        <v>#DIV/0!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0</v>
      </c>
      <c r="C59" s="47" t="e">
        <f t="shared" si="6"/>
        <v>#DIV/0!</v>
      </c>
      <c r="D59" s="58">
        <v>0</v>
      </c>
      <c r="E59" s="198" t="e">
        <f t="shared" si="7"/>
        <v>#DIV/0!</v>
      </c>
      <c r="F59" s="17">
        <f t="shared" si="8"/>
        <v>0</v>
      </c>
      <c r="G59" s="7"/>
    </row>
    <row r="60" spans="1:7" x14ac:dyDescent="0.3">
      <c r="A60" s="76" t="s">
        <v>110</v>
      </c>
      <c r="B60" s="58">
        <v>0</v>
      </c>
      <c r="C60" s="47" t="e">
        <f t="shared" si="6"/>
        <v>#DIV/0!</v>
      </c>
      <c r="D60" s="58">
        <v>0</v>
      </c>
      <c r="E60" s="198" t="e">
        <f t="shared" si="7"/>
        <v>#DIV/0!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 t="e">
        <f t="shared" si="6"/>
        <v>#DIV/0!</v>
      </c>
      <c r="D61" s="58">
        <v>0</v>
      </c>
      <c r="E61" s="198" t="e">
        <f t="shared" si="7"/>
        <v>#DIV/0!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0</v>
      </c>
      <c r="C62" s="48" t="e">
        <f t="shared" si="6"/>
        <v>#DIV/0!</v>
      </c>
      <c r="D62" s="57">
        <v>0</v>
      </c>
      <c r="E62" s="199" t="e">
        <f t="shared" si="7"/>
        <v>#DIV/0!</v>
      </c>
      <c r="F62" s="17">
        <f t="shared" si="8"/>
        <v>0</v>
      </c>
      <c r="G62" s="7"/>
    </row>
    <row r="63" spans="1:7" ht="15.75" customHeight="1" x14ac:dyDescent="0.3">
      <c r="A63" s="197" t="s">
        <v>113</v>
      </c>
      <c r="B63" s="57">
        <v>0</v>
      </c>
      <c r="C63" s="48" t="e">
        <f t="shared" si="6"/>
        <v>#DIV/0!</v>
      </c>
      <c r="D63" s="57">
        <v>0</v>
      </c>
      <c r="E63" s="48" t="e">
        <f t="shared" si="7"/>
        <v>#DIV/0!</v>
      </c>
      <c r="F63" s="17">
        <f t="shared" si="8"/>
        <v>0</v>
      </c>
      <c r="G63" s="7"/>
    </row>
    <row r="64" spans="1:7" ht="15.75" customHeight="1" thickBot="1" x14ac:dyDescent="0.35">
      <c r="A64" s="200" t="s">
        <v>114</v>
      </c>
      <c r="B64" s="57">
        <v>0</v>
      </c>
      <c r="C64" s="48" t="e">
        <f t="shared" si="6"/>
        <v>#DIV/0!</v>
      </c>
      <c r="D64" s="57">
        <v>0</v>
      </c>
      <c r="E64" s="48" t="e">
        <f t="shared" si="7"/>
        <v>#DIV/0!</v>
      </c>
      <c r="F64" s="17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0</v>
      </c>
      <c r="C65" s="203" t="e">
        <f>SUM(C9,C12,C16,C19,C20,C21,C26,C27,C32,C37,C42,C43,C44,C53,C54,C56,C62,C63)</f>
        <v>#DIV/0!</v>
      </c>
      <c r="D65" s="202">
        <f>SUM(D9,D12,D16,D19,D20,D21,D26,D27,D32,D37,D42,D43,D44,D53,D54,D56,D62,D63,D64)</f>
        <v>0</v>
      </c>
      <c r="E65" s="203" t="e">
        <f>SUM(E9,E12,E16,E19,E20,E21,E26,E27,E32,E37,E42,E43,E44,E53,E54,E56,E62,E63)</f>
        <v>#DIV/0!</v>
      </c>
      <c r="F65" s="204">
        <f>SUM(F9,F12,F16,F19,F20,F21,F26,F27,F32,F37,F42,F43,F44,F53,F54,F56,F62,F63)</f>
        <v>0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75"/>
      <c r="B68" s="263"/>
      <c r="C68" s="263"/>
      <c r="D68" s="263"/>
      <c r="E68" s="263"/>
      <c r="F68" s="263"/>
      <c r="G68" s="263"/>
      <c r="J68" s="38"/>
    </row>
    <row r="69" spans="1:12" x14ac:dyDescent="0.3">
      <c r="A69" s="276"/>
      <c r="B69" s="276"/>
      <c r="C69" s="276"/>
      <c r="D69" s="276"/>
      <c r="E69" s="276"/>
      <c r="F69" s="276"/>
      <c r="G69" s="276"/>
      <c r="I69" s="23"/>
      <c r="J69" s="23"/>
      <c r="K69" s="23"/>
      <c r="L69" s="23"/>
    </row>
    <row r="70" spans="1:12" x14ac:dyDescent="0.3">
      <c r="A70" s="276"/>
      <c r="B70" s="276"/>
      <c r="C70" s="276"/>
      <c r="D70" s="276"/>
      <c r="E70" s="276"/>
      <c r="F70" s="276"/>
      <c r="G70" s="276"/>
      <c r="I70" s="37"/>
    </row>
    <row r="71" spans="1:12" x14ac:dyDescent="0.3">
      <c r="A71" s="276"/>
      <c r="B71" s="276"/>
      <c r="C71" s="276"/>
      <c r="D71" s="276"/>
      <c r="E71" s="276"/>
      <c r="F71" s="276"/>
      <c r="G71" s="276"/>
      <c r="J71" s="187"/>
      <c r="K71" s="187"/>
      <c r="L71" s="188"/>
    </row>
    <row r="72" spans="1:12" x14ac:dyDescent="0.3">
      <c r="A72" s="276"/>
      <c r="B72" s="276"/>
      <c r="C72" s="276"/>
      <c r="D72" s="276"/>
      <c r="E72" s="276"/>
      <c r="F72" s="276"/>
      <c r="G72" s="276"/>
      <c r="J72" s="187"/>
      <c r="K72" s="187"/>
      <c r="L72" s="188"/>
    </row>
    <row r="73" spans="1:12" x14ac:dyDescent="0.3">
      <c r="A73" s="276"/>
      <c r="B73" s="276"/>
      <c r="C73" s="276"/>
      <c r="D73" s="276"/>
      <c r="E73" s="276"/>
      <c r="F73" s="276"/>
      <c r="G73" s="276"/>
      <c r="J73" s="187"/>
      <c r="K73" s="187"/>
      <c r="L73" s="188"/>
    </row>
    <row r="74" spans="1:12" x14ac:dyDescent="0.3">
      <c r="A74" s="276"/>
      <c r="B74" s="276"/>
      <c r="C74" s="276"/>
      <c r="D74" s="276"/>
      <c r="E74" s="276"/>
      <c r="F74" s="276"/>
      <c r="G74" s="276"/>
      <c r="I74" s="37"/>
    </row>
    <row r="75" spans="1:12" x14ac:dyDescent="0.3">
      <c r="A75" s="276"/>
      <c r="B75" s="276"/>
      <c r="C75" s="276"/>
      <c r="D75" s="276"/>
      <c r="E75" s="276"/>
      <c r="F75" s="276"/>
      <c r="G75" s="276"/>
      <c r="J75" s="187"/>
      <c r="K75" s="187"/>
      <c r="L75" s="188"/>
    </row>
    <row r="76" spans="1:12" ht="18" customHeight="1" x14ac:dyDescent="0.35">
      <c r="A76" s="276"/>
      <c r="B76" s="276"/>
      <c r="C76" s="276"/>
      <c r="D76" s="276"/>
      <c r="E76" s="276"/>
      <c r="F76" s="276"/>
      <c r="G76" s="276"/>
      <c r="J76" s="187"/>
      <c r="K76" s="187"/>
      <c r="L76" s="189"/>
    </row>
    <row r="77" spans="1:12" x14ac:dyDescent="0.3">
      <c r="A77" s="276"/>
      <c r="B77" s="276"/>
      <c r="C77" s="276"/>
      <c r="D77" s="276"/>
      <c r="E77" s="276"/>
      <c r="F77" s="276"/>
      <c r="G77" s="276"/>
    </row>
    <row r="78" spans="1:12" x14ac:dyDescent="0.3">
      <c r="A78" s="276"/>
      <c r="B78" s="276"/>
      <c r="C78" s="276"/>
      <c r="D78" s="276"/>
      <c r="E78" s="276"/>
      <c r="F78" s="276"/>
      <c r="G78" s="276"/>
    </row>
    <row r="79" spans="1:12" x14ac:dyDescent="0.3">
      <c r="A79" s="276"/>
      <c r="B79" s="276"/>
      <c r="C79" s="276"/>
      <c r="D79" s="276"/>
      <c r="E79" s="276"/>
      <c r="F79" s="276"/>
      <c r="G79" s="276"/>
    </row>
    <row r="80" spans="1:12" x14ac:dyDescent="0.3">
      <c r="A80" s="276"/>
      <c r="B80" s="276"/>
      <c r="C80" s="276"/>
      <c r="D80" s="276"/>
      <c r="E80" s="276"/>
      <c r="F80" s="276"/>
      <c r="G80" s="276"/>
    </row>
    <row r="81" spans="1:7" x14ac:dyDescent="0.3">
      <c r="A81" s="276"/>
      <c r="B81" s="276"/>
      <c r="C81" s="276"/>
      <c r="D81" s="276"/>
      <c r="E81" s="276"/>
      <c r="F81" s="276"/>
      <c r="G81" s="276"/>
    </row>
    <row r="82" spans="1:7" x14ac:dyDescent="0.3">
      <c r="A82" s="276"/>
      <c r="B82" s="276"/>
      <c r="C82" s="276"/>
      <c r="D82" s="276"/>
      <c r="E82" s="276"/>
      <c r="F82" s="276"/>
      <c r="G82" s="276"/>
    </row>
    <row r="83" spans="1:7" x14ac:dyDescent="0.3">
      <c r="A83" s="276"/>
      <c r="B83" s="276"/>
      <c r="C83" s="276"/>
      <c r="D83" s="276"/>
      <c r="E83" s="276"/>
      <c r="F83" s="276"/>
      <c r="G83" s="276"/>
    </row>
  </sheetData>
  <mergeCells count="16">
    <mergeCell ref="L30:N30"/>
    <mergeCell ref="I17:N17"/>
    <mergeCell ref="I1:N1"/>
    <mergeCell ref="A4:F4"/>
    <mergeCell ref="A68:G83"/>
    <mergeCell ref="A3:F3"/>
    <mergeCell ref="I30:K30"/>
    <mergeCell ref="I6:N6"/>
    <mergeCell ref="I29:N29"/>
    <mergeCell ref="I4:M4"/>
    <mergeCell ref="A2:F2"/>
    <mergeCell ref="I3:M3"/>
    <mergeCell ref="A1:G1"/>
    <mergeCell ref="I24:N24"/>
    <mergeCell ref="A6:G6"/>
    <mergeCell ref="I2:M2"/>
  </mergeCells>
  <conditionalFormatting sqref="F5">
    <cfRule type="dataBar" priority="9">
      <dataBar>
        <cfvo type="min"/>
        <cfvo type="max"/>
        <color rgb="FF63C384"/>
      </dataBar>
    </cfRule>
  </conditionalFormatting>
  <conditionalFormatting sqref="F9:F35 F37:F54 F56:F64">
    <cfRule type="cellIs" dxfId="6" priority="4" operator="equal">
      <formula>0</formula>
    </cfRule>
    <cfRule type="cellIs" dxfId="5" priority="5" operator="greaterThan">
      <formula>0</formula>
    </cfRule>
    <cfRule type="cellIs" dxfId="4" priority="7" operator="greaterThan">
      <formula>0</formula>
    </cfRule>
  </conditionalFormatting>
  <conditionalFormatting sqref="F9:F35">
    <cfRule type="cellIs" dxfId="3" priority="3" operator="lessThan">
      <formula>0</formula>
    </cfRule>
  </conditionalFormatting>
  <conditionalFormatting sqref="F36">
    <cfRule type="dataBar" priority="11">
      <dataBar>
        <cfvo type="min"/>
        <cfvo type="max"/>
        <color rgb="FF63C384"/>
      </dataBar>
    </cfRule>
  </conditionalFormatting>
  <conditionalFormatting sqref="F37:F54 F56:F64">
    <cfRule type="cellIs" dxfId="2" priority="6" operator="lessThan">
      <formula>0</formula>
    </cfRule>
  </conditionalFormatting>
  <conditionalFormatting sqref="F55">
    <cfRule type="dataBar" priority="8">
      <dataBar>
        <cfvo type="min"/>
        <cfvo type="max"/>
        <color rgb="FF63C384"/>
      </dataBar>
    </cfRule>
  </conditionalFormatting>
  <conditionalFormatting sqref="J35:K35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W1:W9">
    <cfRule type="dataBar" priority="10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January</vt:lpstr>
      <vt:lpstr>February</vt:lpstr>
      <vt:lpstr>March</vt:lpstr>
      <vt:lpstr>Сводка</vt:lpstr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Эдуард</cp:lastModifiedBy>
  <dcterms:created xsi:type="dcterms:W3CDTF">2022-12-15T12:21:21Z</dcterms:created>
  <dcterms:modified xsi:type="dcterms:W3CDTF">2024-03-24T14:50:36Z</dcterms:modified>
</cp:coreProperties>
</file>