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lntseva/Desktop/"/>
    </mc:Choice>
  </mc:AlternateContent>
  <xr:revisionPtr revIDLastSave="0" documentId="13_ncr:1_{A08853D9-2909-9748-8CF0-EE7F57E07E65}" xr6:coauthVersionLast="47" xr6:coauthVersionMax="47" xr10:uidLastSave="{00000000-0000-0000-0000-000000000000}"/>
  <bookViews>
    <workbookView xWindow="3500" yWindow="980" windowWidth="19440" windowHeight="15320" xr2:uid="{7F10ABDF-844C-5248-85D9-09062B3BB6FF}"/>
  </bookViews>
  <sheets>
    <sheet name="Обозначения" sheetId="2" r:id="rId1"/>
    <sheet name="Данные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1" i="1" l="1"/>
  <c r="G131" i="1"/>
  <c r="F131" i="1"/>
  <c r="E131" i="1"/>
  <c r="C131" i="1"/>
  <c r="H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D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E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F120" i="1"/>
  <c r="E120" i="1"/>
  <c r="D120" i="1"/>
  <c r="C120" i="1"/>
  <c r="H119" i="1"/>
  <c r="G119" i="1"/>
  <c r="F119" i="1"/>
  <c r="E119" i="1"/>
  <c r="D119" i="1"/>
  <c r="C119" i="1"/>
  <c r="H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E110" i="1"/>
  <c r="C110" i="1"/>
  <c r="H109" i="1"/>
  <c r="F109" i="1"/>
  <c r="E109" i="1"/>
  <c r="D109" i="1"/>
  <c r="H108" i="1"/>
  <c r="F108" i="1"/>
  <c r="E108" i="1"/>
  <c r="D108" i="1"/>
  <c r="C108" i="1"/>
  <c r="H107" i="1"/>
  <c r="F107" i="1"/>
  <c r="E107" i="1"/>
  <c r="D107" i="1"/>
  <c r="C107" i="1"/>
  <c r="H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C101" i="1"/>
  <c r="H100" i="1"/>
  <c r="G100" i="1"/>
  <c r="F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E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F81" i="1"/>
  <c r="E81" i="1"/>
  <c r="C81" i="1"/>
  <c r="H80" i="1"/>
  <c r="G80" i="1"/>
  <c r="F80" i="1"/>
  <c r="E80" i="1"/>
  <c r="D80" i="1"/>
  <c r="C80" i="1"/>
  <c r="H79" i="1"/>
  <c r="F79" i="1"/>
  <c r="E79" i="1"/>
  <c r="D79" i="1"/>
  <c r="C79" i="1"/>
  <c r="H78" i="1"/>
  <c r="G78" i="1"/>
  <c r="F78" i="1"/>
  <c r="E78" i="1"/>
  <c r="D78" i="1"/>
  <c r="C78" i="1"/>
  <c r="H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F73" i="1"/>
  <c r="E73" i="1"/>
  <c r="D73" i="1"/>
  <c r="C73" i="1"/>
  <c r="H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F69" i="1"/>
  <c r="E69" i="1"/>
  <c r="D69" i="1"/>
  <c r="C69" i="1"/>
  <c r="H68" i="1"/>
  <c r="G68" i="1"/>
  <c r="E68" i="1"/>
  <c r="D68" i="1"/>
  <c r="C68" i="1"/>
  <c r="H67" i="1"/>
  <c r="G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G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F58" i="1"/>
  <c r="E58" i="1"/>
  <c r="D58" i="1"/>
  <c r="C58" i="1"/>
  <c r="H57" i="1"/>
  <c r="G57" i="1"/>
  <c r="F57" i="1"/>
  <c r="E57" i="1"/>
  <c r="D57" i="1"/>
  <c r="C57" i="1"/>
  <c r="H56" i="1"/>
  <c r="F56" i="1"/>
  <c r="E56" i="1"/>
  <c r="D56" i="1"/>
  <c r="C56" i="1"/>
  <c r="H55" i="1"/>
  <c r="G55" i="1"/>
  <c r="F55" i="1"/>
  <c r="E55" i="1"/>
  <c r="D55" i="1"/>
  <c r="C55" i="1"/>
  <c r="H54" i="1"/>
  <c r="F54" i="1"/>
  <c r="E54" i="1"/>
  <c r="D54" i="1"/>
  <c r="C54" i="1"/>
  <c r="H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D47" i="1"/>
  <c r="H46" i="1"/>
  <c r="G46" i="1"/>
  <c r="F46" i="1"/>
  <c r="E46" i="1"/>
  <c r="D46" i="1"/>
  <c r="C46" i="1"/>
  <c r="H45" i="1"/>
  <c r="F45" i="1"/>
  <c r="E45" i="1"/>
  <c r="D45" i="1"/>
  <c r="C45" i="1"/>
  <c r="H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G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D16" i="1"/>
  <c r="H15" i="1"/>
  <c r="G15" i="1"/>
  <c r="F15" i="1"/>
  <c r="E15" i="1"/>
  <c r="D15" i="1"/>
  <c r="C15" i="1"/>
  <c r="H14" i="1"/>
  <c r="F14" i="1"/>
  <c r="E14" i="1"/>
  <c r="D14" i="1"/>
  <c r="C14" i="1"/>
  <c r="H13" i="1"/>
  <c r="G13" i="1"/>
  <c r="F13" i="1"/>
  <c r="E13" i="1"/>
  <c r="D13" i="1"/>
  <c r="C13" i="1"/>
  <c r="H12" i="1"/>
  <c r="E12" i="1"/>
  <c r="C12" i="1"/>
  <c r="H11" i="1"/>
  <c r="F11" i="1"/>
  <c r="E11" i="1"/>
  <c r="D11" i="1"/>
  <c r="C11" i="1"/>
  <c r="H10" i="1"/>
  <c r="E10" i="1"/>
  <c r="C10" i="1"/>
  <c r="H9" i="1"/>
  <c r="G9" i="1"/>
  <c r="F9" i="1"/>
  <c r="E9" i="1"/>
  <c r="D9" i="1"/>
  <c r="C9" i="1"/>
  <c r="H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D5" i="1"/>
  <c r="H4" i="1"/>
  <c r="G4" i="1"/>
  <c r="F4" i="1"/>
  <c r="E4" i="1"/>
  <c r="D4" i="1"/>
  <c r="C4" i="1"/>
  <c r="H3" i="1"/>
  <c r="G3" i="1"/>
  <c r="F3" i="1"/>
  <c r="E3" i="1"/>
  <c r="D3" i="1"/>
  <c r="C3" i="1"/>
  <c r="H2" i="1"/>
  <c r="C2" i="1"/>
</calcChain>
</file>

<file path=xl/sharedStrings.xml><?xml version="1.0" encoding="utf-8"?>
<sst xmlns="http://schemas.openxmlformats.org/spreadsheetml/2006/main" count="37" uniqueCount="25">
  <si>
    <t>№</t>
  </si>
  <si>
    <t>D_E</t>
  </si>
  <si>
    <t>Revenue_gr</t>
  </si>
  <si>
    <t>DSCR</t>
  </si>
  <si>
    <t>С_R</t>
  </si>
  <si>
    <t>Tax_profit</t>
  </si>
  <si>
    <t>Regional_crime</t>
  </si>
  <si>
    <t>Industry</t>
  </si>
  <si>
    <t>CEO_traits</t>
  </si>
  <si>
    <t>Crisis</t>
  </si>
  <si>
    <t>Family_ties</t>
  </si>
  <si>
    <t>Bankrupt_co</t>
  </si>
  <si>
    <t>Финансовый рычаг (Отношение заемных средств к собственному капиталу)</t>
  </si>
  <si>
    <t>Темп роста выручки, скорректированный на инфляцию</t>
  </si>
  <si>
    <t>Отношение себестоимости к выручке</t>
  </si>
  <si>
    <t>Бинарная переменная, принимающая значение 1, если компания работает в сферестроительства, 0 -  во всех остальных случаях</t>
  </si>
  <si>
    <t>Бинарная переменная, принимающая значение 1, если собственник компании является генеральным директором, 0 - во всех остальных случаях</t>
  </si>
  <si>
    <t>Бинарная переменная, принимающая значение 1, если на момент совершения корпоративных недобросовестных действий компанией, в стране был кризис, 0 - если кризиса не было</t>
  </si>
  <si>
    <t>Бинарная переменная, принимающая значение 1, если среди членов корпоративного управления имеются родственные связи, 0 - если родственных связей нет</t>
  </si>
  <si>
    <t>Бинарная переменная, принимающая значение 1, если у собствпенника компании есть компании-банкроты, 0 - во всех остальных случаях</t>
  </si>
  <si>
    <t>Доля расходов по налогу на прибыль в прибылти до налогообложения</t>
  </si>
  <si>
    <t>Доля зарегистрированных экономических преступлений в регионе</t>
  </si>
  <si>
    <t>Коэффициент покрытия</t>
  </si>
  <si>
    <t>Avoidance</t>
  </si>
  <si>
    <t>Бинарная зависимая переменная, принимающая значение 1, если у компании имеются сдебные разбирательства по факту уклонения от исполнения обязательств, и 0 - если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</si>
</sst>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CEC8-269B-4745-8F73-81A431539AE9}">
  <dimension ref="B2:C13"/>
  <sheetViews>
    <sheetView tabSelected="1" topLeftCell="C1" workbookViewId="0">
      <selection activeCell="J9" sqref="J9"/>
    </sheetView>
  </sheetViews>
  <sheetFormatPr baseColWidth="10" defaultRowHeight="16" x14ac:dyDescent="0.2"/>
  <cols>
    <col min="2" max="2" width="14.5" customWidth="1"/>
  </cols>
  <sheetData>
    <row r="2" spans="2:3" x14ac:dyDescent="0.2">
      <c r="B2" s="4" t="s">
        <v>23</v>
      </c>
      <c r="C2" s="6" t="s">
        <v>24</v>
      </c>
    </row>
    <row r="3" spans="2:3" x14ac:dyDescent="0.2">
      <c r="B3" s="4" t="s">
        <v>1</v>
      </c>
      <c r="C3" t="s">
        <v>12</v>
      </c>
    </row>
    <row r="4" spans="2:3" x14ac:dyDescent="0.2">
      <c r="B4" s="4" t="s">
        <v>2</v>
      </c>
      <c r="C4" t="s">
        <v>13</v>
      </c>
    </row>
    <row r="5" spans="2:3" x14ac:dyDescent="0.2">
      <c r="B5" s="4" t="s">
        <v>3</v>
      </c>
      <c r="C5" t="s">
        <v>22</v>
      </c>
    </row>
    <row r="6" spans="2:3" x14ac:dyDescent="0.2">
      <c r="B6" s="4" t="s">
        <v>4</v>
      </c>
      <c r="C6" t="s">
        <v>14</v>
      </c>
    </row>
    <row r="7" spans="2:3" x14ac:dyDescent="0.2">
      <c r="B7" s="4" t="s">
        <v>5</v>
      </c>
      <c r="C7" t="s">
        <v>20</v>
      </c>
    </row>
    <row r="8" spans="2:3" x14ac:dyDescent="0.2">
      <c r="B8" s="4" t="s">
        <v>6</v>
      </c>
      <c r="C8" t="s">
        <v>21</v>
      </c>
    </row>
    <row r="9" spans="2:3" x14ac:dyDescent="0.2">
      <c r="B9" s="4" t="s">
        <v>7</v>
      </c>
      <c r="C9" t="s">
        <v>15</v>
      </c>
    </row>
    <row r="10" spans="2:3" x14ac:dyDescent="0.2">
      <c r="B10" s="4" t="s">
        <v>8</v>
      </c>
      <c r="C10" t="s">
        <v>16</v>
      </c>
    </row>
    <row r="11" spans="2:3" x14ac:dyDescent="0.2">
      <c r="B11" s="4" t="s">
        <v>9</v>
      </c>
      <c r="C11" t="s">
        <v>17</v>
      </c>
    </row>
    <row r="12" spans="2:3" x14ac:dyDescent="0.2">
      <c r="B12" s="4" t="s">
        <v>10</v>
      </c>
      <c r="C12" t="s">
        <v>18</v>
      </c>
    </row>
    <row r="13" spans="2:3" x14ac:dyDescent="0.2">
      <c r="B13" s="4" t="s">
        <v>11</v>
      </c>
      <c r="C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E6B8-65F0-F248-8F49-4F5EDED3F41A}">
  <dimension ref="A1:N133"/>
  <sheetViews>
    <sheetView zoomScale="99" workbookViewId="0">
      <selection activeCell="B1" sqref="B1"/>
    </sheetView>
  </sheetViews>
  <sheetFormatPr baseColWidth="10" defaultRowHeight="16" x14ac:dyDescent="0.2"/>
  <cols>
    <col min="1" max="2" width="10.83203125" style="2"/>
    <col min="3" max="3" width="11.33203125" style="5" customWidth="1"/>
    <col min="4" max="4" width="12.5" style="5" customWidth="1"/>
    <col min="5" max="5" width="11.83203125" style="5" bestFit="1" customWidth="1"/>
    <col min="6" max="7" width="10.83203125" style="5"/>
    <col min="8" max="8" width="13.5" style="1" bestFit="1" customWidth="1"/>
    <col min="9" max="9" width="10.83203125" style="2"/>
    <col min="10" max="14" width="10.83203125" style="1"/>
    <col min="15" max="15" width="14" style="2" bestFit="1" customWidth="1"/>
    <col min="16" max="16" width="15.1640625" style="2" customWidth="1"/>
    <col min="17" max="16384" width="10.83203125" style="2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</row>
    <row r="2" spans="1:14" s="1" customFormat="1" x14ac:dyDescent="0.2">
      <c r="A2" s="1">
        <v>1</v>
      </c>
      <c r="B2" s="1">
        <v>0</v>
      </c>
      <c r="C2" s="3">
        <f>-45127/(28217+16931)</f>
        <v>-0.99953486311686013</v>
      </c>
      <c r="D2" s="3">
        <v>0</v>
      </c>
      <c r="E2" s="3">
        <v>-1</v>
      </c>
      <c r="F2" s="3">
        <v>0</v>
      </c>
      <c r="G2" s="3">
        <v>0</v>
      </c>
      <c r="H2" s="3">
        <f>2064/104927</f>
        <v>1.9670818759709132E-2</v>
      </c>
      <c r="I2" s="1">
        <v>0</v>
      </c>
      <c r="J2" s="1">
        <v>1</v>
      </c>
      <c r="K2" s="1">
        <v>1</v>
      </c>
      <c r="L2" s="1">
        <v>0</v>
      </c>
      <c r="M2" s="1">
        <v>1</v>
      </c>
    </row>
    <row r="3" spans="1:14" s="1" customFormat="1" x14ac:dyDescent="0.2">
      <c r="A3" s="1">
        <v>2</v>
      </c>
      <c r="B3" s="1">
        <v>0</v>
      </c>
      <c r="C3" s="3">
        <f>1552/(4072+17154)</f>
        <v>7.3117874305097516E-2</v>
      </c>
      <c r="D3" s="3">
        <f>((27809/(1+0.025))/(49228/(1+0.054)))*100%</f>
        <v>0.58088468390981141</v>
      </c>
      <c r="E3" s="3">
        <f>(4072+17154)/23778</f>
        <v>0.8926739002439229</v>
      </c>
      <c r="F3" s="3">
        <f>26465/27809</f>
        <v>0.95167032255744544</v>
      </c>
      <c r="G3" s="3">
        <f>134/1268</f>
        <v>0.1056782334384858</v>
      </c>
      <c r="H3" s="3">
        <f>1444/108754</f>
        <v>1.3277672545377641E-2</v>
      </c>
      <c r="I3" s="1">
        <v>1</v>
      </c>
      <c r="J3" s="1">
        <v>1</v>
      </c>
      <c r="K3" s="1">
        <v>0</v>
      </c>
      <c r="L3" s="1">
        <v>0</v>
      </c>
      <c r="M3" s="1">
        <v>1</v>
      </c>
    </row>
    <row r="4" spans="1:14" s="1" customFormat="1" x14ac:dyDescent="0.2">
      <c r="A4" s="1">
        <v>3</v>
      </c>
      <c r="B4" s="1">
        <v>0</v>
      </c>
      <c r="C4" s="3">
        <f>10468/(24500+83692)</f>
        <v>9.6753918958887908E-2</v>
      </c>
      <c r="D4" s="3">
        <f>((298945/(1+0.129))/(271431/(1+0.1135)))*100%</f>
        <v>1.086245841305099</v>
      </c>
      <c r="E4" s="3">
        <f>(24500+83692)/118660</f>
        <v>0.91178156076184058</v>
      </c>
      <c r="F4" s="3">
        <f>258898/298945</f>
        <v>0.86603890347722823</v>
      </c>
      <c r="G4" s="3">
        <f>11/961</f>
        <v>1.1446409989594173E-2</v>
      </c>
      <c r="H4" s="3">
        <f>3389/202454</f>
        <v>1.6739605046084544E-2</v>
      </c>
      <c r="I4" s="1">
        <v>0</v>
      </c>
      <c r="J4" s="1">
        <v>1</v>
      </c>
      <c r="K4" s="1">
        <v>1</v>
      </c>
      <c r="L4" s="1">
        <v>0</v>
      </c>
      <c r="M4" s="1">
        <v>1</v>
      </c>
    </row>
    <row r="5" spans="1:14" s="1" customFormat="1" x14ac:dyDescent="0.2">
      <c r="A5" s="1">
        <v>4</v>
      </c>
      <c r="B5" s="1">
        <v>0</v>
      </c>
      <c r="C5" s="3">
        <v>0</v>
      </c>
      <c r="D5" s="3">
        <f>((232700/(1+0.129))/(181088/(1+0.1135)))*100%</f>
        <v>1.2673687386827162</v>
      </c>
      <c r="E5" s="3">
        <v>1</v>
      </c>
      <c r="F5" s="3">
        <f>212865/232700</f>
        <v>0.91476149548775243</v>
      </c>
      <c r="G5" s="3">
        <f>342/714</f>
        <v>0.47899159663865548</v>
      </c>
      <c r="H5" s="3">
        <f>2449/107797</f>
        <v>2.2718628533261592E-2</v>
      </c>
      <c r="I5" s="1">
        <v>0</v>
      </c>
      <c r="J5" s="1">
        <v>1</v>
      </c>
      <c r="K5" s="1">
        <v>1</v>
      </c>
      <c r="L5" s="1">
        <v>0</v>
      </c>
      <c r="M5" s="1">
        <v>0</v>
      </c>
    </row>
    <row r="6" spans="1:14" s="1" customFormat="1" x14ac:dyDescent="0.2">
      <c r="A6" s="1">
        <v>5</v>
      </c>
      <c r="B6" s="1">
        <v>0</v>
      </c>
      <c r="C6" s="3">
        <f>80/(15000+12)</f>
        <v>5.3290700772715164E-3</v>
      </c>
      <c r="D6" s="3">
        <f>((1151/(1+0.1135))/(3000/(1+0.065)))*100%</f>
        <v>0.36695554557700943</v>
      </c>
      <c r="E6" s="3">
        <f>80/(15000+12)</f>
        <v>5.3290700772715164E-3</v>
      </c>
      <c r="F6" s="3">
        <f>1068/1151</f>
        <v>0.92788879235447441</v>
      </c>
      <c r="G6" s="3">
        <f>12/83</f>
        <v>0.14457831325301204</v>
      </c>
      <c r="H6" s="3">
        <f>478/141229</f>
        <v>3.3845739897613095E-3</v>
      </c>
      <c r="I6" s="1">
        <v>1</v>
      </c>
      <c r="J6" s="1">
        <v>1</v>
      </c>
      <c r="K6" s="1">
        <v>0</v>
      </c>
      <c r="L6" s="1">
        <v>0</v>
      </c>
      <c r="M6" s="1">
        <v>0</v>
      </c>
    </row>
    <row r="7" spans="1:14" s="1" customFormat="1" x14ac:dyDescent="0.2">
      <c r="A7" s="1">
        <v>6</v>
      </c>
      <c r="B7" s="1">
        <v>0</v>
      </c>
      <c r="C7" s="3">
        <f>-848909/(222370+806046)</f>
        <v>-0.82545292955379923</v>
      </c>
      <c r="D7" s="3">
        <f>((9000/(1+0.049))/(64430/(1+0.03)))*100%</f>
        <v>0.13715641172194626</v>
      </c>
      <c r="E7" s="3">
        <f>179507/(222370+806046)</f>
        <v>0.17454707044620077</v>
      </c>
      <c r="F7" s="3">
        <f>42765/9000</f>
        <v>4.7516666666666669</v>
      </c>
      <c r="G7" s="3">
        <f>-10372/51862</f>
        <v>-0.1999922872237862</v>
      </c>
      <c r="H7" s="3">
        <f>586/104927</f>
        <v>5.5848351711189686E-3</v>
      </c>
      <c r="I7" s="1">
        <v>0</v>
      </c>
      <c r="J7" s="1">
        <v>1</v>
      </c>
      <c r="K7" s="1">
        <v>1</v>
      </c>
      <c r="L7" s="1">
        <v>1</v>
      </c>
      <c r="M7" s="1">
        <v>1</v>
      </c>
    </row>
    <row r="8" spans="1:14" s="1" customFormat="1" x14ac:dyDescent="0.2">
      <c r="A8" s="1">
        <v>7</v>
      </c>
      <c r="B8" s="1">
        <v>0</v>
      </c>
      <c r="C8" s="3">
        <f>-1619/137582</f>
        <v>-1.1767527728918026E-2</v>
      </c>
      <c r="D8" s="3">
        <v>0</v>
      </c>
      <c r="E8" s="3">
        <v>0.98819999999999997</v>
      </c>
      <c r="F8" s="3">
        <v>0</v>
      </c>
      <c r="G8" s="3">
        <v>0</v>
      </c>
      <c r="H8" s="3">
        <f>828/105087</f>
        <v>7.8791858174655279E-3</v>
      </c>
      <c r="I8" s="1">
        <v>0</v>
      </c>
      <c r="J8" s="1">
        <v>1</v>
      </c>
      <c r="K8" s="1">
        <v>0</v>
      </c>
      <c r="L8" s="1">
        <v>0</v>
      </c>
      <c r="M8" s="1">
        <v>0</v>
      </c>
    </row>
    <row r="9" spans="1:14" s="1" customFormat="1" x14ac:dyDescent="0.2">
      <c r="A9" s="1">
        <v>8</v>
      </c>
      <c r="B9" s="1">
        <v>0</v>
      </c>
      <c r="C9" s="3">
        <f>8602/(6238+155301)</f>
        <v>5.3250298689480557E-2</v>
      </c>
      <c r="D9" s="3">
        <f>((537655/(1+0.025))/(2231/(1+0.054)))*100%</f>
        <v>247.81116200763088</v>
      </c>
      <c r="E9" s="3">
        <f>(6238+155301)/170141</f>
        <v>0.94944193345519301</v>
      </c>
      <c r="F9" s="3">
        <f>448781/537655</f>
        <v>0.83470069096353605</v>
      </c>
      <c r="G9" s="3">
        <f>1456/7280</f>
        <v>0.2</v>
      </c>
      <c r="H9" s="3">
        <f>814/172975</f>
        <v>4.7058823529411761E-3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4" s="1" customFormat="1" x14ac:dyDescent="0.2">
      <c r="A10" s="1">
        <v>9</v>
      </c>
      <c r="B10" s="1">
        <v>0</v>
      </c>
      <c r="C10" s="3">
        <f>-1653352/1658393</f>
        <v>-0.99696031037275246</v>
      </c>
      <c r="D10" s="3">
        <v>0</v>
      </c>
      <c r="E10" s="3">
        <f>5041/1658393</f>
        <v>3.0396896272475824E-3</v>
      </c>
      <c r="F10" s="3">
        <v>0</v>
      </c>
      <c r="G10" s="3">
        <v>0</v>
      </c>
      <c r="H10" s="3">
        <f>794/104927</f>
        <v>7.5671657438028343E-3</v>
      </c>
      <c r="I10" s="1">
        <v>1</v>
      </c>
      <c r="J10" s="1">
        <v>1</v>
      </c>
      <c r="K10" s="1">
        <v>1</v>
      </c>
      <c r="L10" s="1">
        <v>0</v>
      </c>
      <c r="M10" s="1">
        <v>1</v>
      </c>
    </row>
    <row r="11" spans="1:14" s="1" customFormat="1" x14ac:dyDescent="0.2">
      <c r="A11" s="1">
        <v>10</v>
      </c>
      <c r="B11" s="1">
        <v>0</v>
      </c>
      <c r="C11" s="3">
        <f>323/(375+8191)</f>
        <v>3.7707214569227175E-2</v>
      </c>
      <c r="D11" s="3">
        <f>((1826/(1+0.129))/(4077/(1+0.1135)))*100%</f>
        <v>0.44172943642673046</v>
      </c>
      <c r="E11" s="3">
        <f>(8191+375)/8889</f>
        <v>0.96366295421307235</v>
      </c>
      <c r="F11" s="3">
        <f>1833/1826</f>
        <v>1.0038335158817087</v>
      </c>
      <c r="G11" s="3">
        <v>0</v>
      </c>
      <c r="H11" s="3">
        <f>2449/107797</f>
        <v>2.2718628533261592E-2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</row>
    <row r="12" spans="1:14" s="1" customFormat="1" x14ac:dyDescent="0.2">
      <c r="A12" s="1">
        <v>11</v>
      </c>
      <c r="B12" s="1">
        <v>0</v>
      </c>
      <c r="C12" s="3">
        <f>328/7789</f>
        <v>4.211066889202722E-2</v>
      </c>
      <c r="D12" s="3">
        <v>0</v>
      </c>
      <c r="E12" s="3">
        <f>7789/8117</f>
        <v>0.95959098188986081</v>
      </c>
      <c r="F12" s="3">
        <v>0</v>
      </c>
      <c r="G12" s="3">
        <v>0</v>
      </c>
      <c r="H12" s="3">
        <f>660/109463</f>
        <v>6.0294346034733201E-3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</row>
    <row r="13" spans="1:14" s="1" customFormat="1" x14ac:dyDescent="0.2">
      <c r="A13" s="1">
        <v>12</v>
      </c>
      <c r="B13" s="1">
        <v>0</v>
      </c>
      <c r="C13" s="3">
        <f>295870/222858</f>
        <v>1.3276166886537615</v>
      </c>
      <c r="D13" s="3">
        <f>((176285/(1+0.049))/(699398/(1+0.03)))*100%</f>
        <v>0.24748718188804025</v>
      </c>
      <c r="E13" s="3">
        <f>222858/518728</f>
        <v>0.42962400333122563</v>
      </c>
      <c r="F13" s="3">
        <f>(155965)/176285</f>
        <v>0.88473210993561557</v>
      </c>
      <c r="G13" s="3">
        <f>(973)/4863</f>
        <v>0.20008225375282748</v>
      </c>
      <c r="H13" s="3">
        <f>794/104927</f>
        <v>7.5671657438028343E-3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</row>
    <row r="14" spans="1:14" s="1" customFormat="1" x14ac:dyDescent="0.2">
      <c r="A14" s="1">
        <v>13</v>
      </c>
      <c r="B14" s="1">
        <v>0</v>
      </c>
      <c r="C14" s="3">
        <f>28722/14693</f>
        <v>1.9548084121690601</v>
      </c>
      <c r="D14" s="3">
        <f>((138692/(1+0.049))/(113908/(1+0.03)))*100%</f>
        <v>1.1955257120015206</v>
      </c>
      <c r="E14" s="3">
        <f>14693/43497</f>
        <v>0.33779341103984184</v>
      </c>
      <c r="F14" s="3">
        <f>(128081)/138692</f>
        <v>0.92349234274507541</v>
      </c>
      <c r="G14" s="3">
        <v>0</v>
      </c>
      <c r="H14" s="3">
        <f>794/104927</f>
        <v>7.5671657438028343E-3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</row>
    <row r="15" spans="1:14" s="1" customFormat="1" x14ac:dyDescent="0.2">
      <c r="A15" s="1">
        <v>14</v>
      </c>
      <c r="B15" s="1">
        <v>0</v>
      </c>
      <c r="C15" s="3">
        <f>-(6210)/(7599+14397)</f>
        <v>-0.28232405891980361</v>
      </c>
      <c r="D15" s="3">
        <f>((8691/(1+0.03))/(14051/(1+0.0043)))*100%</f>
        <v>0.60309920242003301</v>
      </c>
      <c r="E15" s="3">
        <f>15785/(7599+14397)</f>
        <v>0.71763047826877613</v>
      </c>
      <c r="F15" s="3">
        <f>0</f>
        <v>0</v>
      </c>
      <c r="G15" s="3">
        <f>(169)/(169+2741)</f>
        <v>5.8075601374570449E-2</v>
      </c>
      <c r="H15" s="3">
        <f>2214/109463</f>
        <v>2.02260124425605E-2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</row>
    <row r="16" spans="1:14" s="1" customFormat="1" x14ac:dyDescent="0.2">
      <c r="A16" s="1">
        <v>15</v>
      </c>
      <c r="B16" s="1">
        <v>0</v>
      </c>
      <c r="C16" s="3">
        <v>1</v>
      </c>
      <c r="D16" s="3">
        <f>((2119/(1+0.049))/(6866/(1+0.03)))*100%</f>
        <v>0.30303228047629455</v>
      </c>
      <c r="E16" s="3">
        <v>1</v>
      </c>
      <c r="F16" s="3">
        <f>(2929)/2119</f>
        <v>1.3822557810287872</v>
      </c>
      <c r="G16" s="3">
        <f>74/(954+74)</f>
        <v>7.1984435797665364E-2</v>
      </c>
      <c r="H16" s="3">
        <f>2551/104927</f>
        <v>2.4312140821714144E-2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</row>
    <row r="17" spans="1:13" s="1" customFormat="1" x14ac:dyDescent="0.2">
      <c r="A17" s="1">
        <v>16</v>
      </c>
      <c r="B17" s="1">
        <v>0</v>
      </c>
      <c r="C17" s="3">
        <f>3979/29529</f>
        <v>0.13474889092078973</v>
      </c>
      <c r="D17" s="3">
        <f>((29529/(1+0.1135))/(9190/(1+0.065)))*100%</f>
        <v>3.0732126689315469</v>
      </c>
      <c r="E17" s="3">
        <f>29529/33270</f>
        <v>0.88755635707844904</v>
      </c>
      <c r="F17" s="3">
        <f>26102/29529</f>
        <v>0.88394459683700766</v>
      </c>
      <c r="G17" s="3">
        <f>417/2085</f>
        <v>0.2</v>
      </c>
      <c r="H17" s="3">
        <f>478/141229</f>
        <v>3.3845739897613095E-3</v>
      </c>
      <c r="I17" s="1">
        <v>1</v>
      </c>
      <c r="J17" s="1">
        <v>1</v>
      </c>
      <c r="K17" s="1">
        <v>0</v>
      </c>
      <c r="L17" s="1">
        <v>0</v>
      </c>
      <c r="M17" s="1">
        <v>0</v>
      </c>
    </row>
    <row r="18" spans="1:13" s="1" customFormat="1" x14ac:dyDescent="0.2">
      <c r="A18" s="1">
        <v>17</v>
      </c>
      <c r="B18" s="1">
        <v>0</v>
      </c>
      <c r="C18" s="3">
        <f>937/(1680+16750)</f>
        <v>5.0841020075963105E-2</v>
      </c>
      <c r="D18" s="3">
        <f>((39266/(1+0.1135))/(148720/(1+0.065)))*100%</f>
        <v>0.25252633277399256</v>
      </c>
      <c r="E18" s="3">
        <f>(16750+1680)/19367</f>
        <v>0.95161873289616361</v>
      </c>
      <c r="F18" s="3">
        <f>32763/39266</f>
        <v>0.83438598278408804</v>
      </c>
      <c r="G18" s="3">
        <f>98/491</f>
        <v>0.19959266802443992</v>
      </c>
      <c r="H18" s="3">
        <f>478/141229</f>
        <v>3.3845739897613095E-3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</row>
    <row r="19" spans="1:13" s="1" customFormat="1" x14ac:dyDescent="0.2">
      <c r="A19" s="1">
        <v>18</v>
      </c>
      <c r="B19" s="1">
        <v>0</v>
      </c>
      <c r="C19" s="3">
        <f>15657/(1365+387)</f>
        <v>8.9366438356164384</v>
      </c>
      <c r="D19" s="3">
        <f>((7964/(1+0.1135))/(8535/(1+0.065)))*100%</f>
        <v>0.89245661371110119</v>
      </c>
      <c r="E19" s="3">
        <f>(1365+387)/(1718+578+12566)</f>
        <v>0.11788453774727493</v>
      </c>
      <c r="F19" s="3">
        <v>0</v>
      </c>
      <c r="G19" s="3">
        <v>0</v>
      </c>
      <c r="H19" s="3">
        <f>478/141229</f>
        <v>3.3845739897613095E-3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</row>
    <row r="20" spans="1:13" s="1" customFormat="1" x14ac:dyDescent="0.2">
      <c r="A20" s="1">
        <v>19</v>
      </c>
      <c r="B20" s="1">
        <v>0</v>
      </c>
      <c r="C20" s="3">
        <f>13172/371952</f>
        <v>3.5413171592033381E-2</v>
      </c>
      <c r="D20" s="3">
        <f>((384780/(1+0.1135))/(302722/(1+0.065)))*100%</f>
        <v>1.2157041317437618</v>
      </c>
      <c r="E20" s="3">
        <f>371952/385124</f>
        <v>0.96579802868686448</v>
      </c>
      <c r="F20" s="3">
        <f>(419019)/384780</f>
        <v>1.0889833151411197</v>
      </c>
      <c r="G20" s="3">
        <f>689/2322</f>
        <v>0.29672695951765721</v>
      </c>
      <c r="H20" s="3">
        <f>961/141229</f>
        <v>6.8045514731393695E-3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</row>
    <row r="21" spans="1:13" s="1" customFormat="1" x14ac:dyDescent="0.2">
      <c r="A21" s="1">
        <v>20</v>
      </c>
      <c r="B21" s="1">
        <v>0</v>
      </c>
      <c r="C21" s="5">
        <f>4378/(500+1947)</f>
        <v>1.7891295463833266</v>
      </c>
      <c r="D21" s="5">
        <f>((35493/(1+0.025))/(28194/(1+0.054)))*100%</f>
        <v>1.2945020995645158</v>
      </c>
      <c r="E21" s="5">
        <f>(500+1947)/6825</f>
        <v>0.35853479853479853</v>
      </c>
      <c r="F21" s="5">
        <f>0</f>
        <v>0</v>
      </c>
      <c r="G21" s="5">
        <f>(136)/(1087+136)</f>
        <v>0.11120196238757155</v>
      </c>
      <c r="H21" s="3">
        <f>814/172975</f>
        <v>4.7058823529411761E-3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</row>
    <row r="22" spans="1:13" s="1" customFormat="1" x14ac:dyDescent="0.2">
      <c r="A22" s="1">
        <v>21</v>
      </c>
      <c r="B22" s="1">
        <v>0</v>
      </c>
      <c r="C22" s="5">
        <f>-(12817)/16459</f>
        <v>-0.77872288717419036</v>
      </c>
      <c r="D22" s="5">
        <f>((10569/(1+0.025))/(4580/(1+0.054)))*100%</f>
        <v>2.3729313025881353</v>
      </c>
      <c r="E22" s="5">
        <f>3642/16459</f>
        <v>0.22127711282580959</v>
      </c>
      <c r="F22" s="5">
        <f>(10519)/10569</f>
        <v>0.99526918346106541</v>
      </c>
      <c r="G22" s="5">
        <f>0</f>
        <v>0</v>
      </c>
      <c r="H22" s="3">
        <f>814/172975</f>
        <v>4.7058823529411761E-3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</row>
    <row r="23" spans="1:13" s="1" customFormat="1" x14ac:dyDescent="0.2">
      <c r="A23" s="1">
        <v>22</v>
      </c>
      <c r="B23" s="1">
        <v>0</v>
      </c>
      <c r="C23" s="3">
        <f>11833/51705</f>
        <v>0.22885601005705444</v>
      </c>
      <c r="D23" s="3">
        <f>((244116/(1+0.129))/(130850/(1+0.1135)))*100%</f>
        <v>1.8400041291643214</v>
      </c>
      <c r="E23" s="3">
        <f>51705/63538</f>
        <v>0.81376499102899058</v>
      </c>
      <c r="F23" s="3">
        <f>(222815)/244116</f>
        <v>0.91274230283963365</v>
      </c>
      <c r="G23" s="3">
        <f>(3779)/8751</f>
        <v>0.43183636155867899</v>
      </c>
      <c r="H23" s="3">
        <f>2449/107797</f>
        <v>2.2718628533261592E-2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</row>
    <row r="24" spans="1:13" s="1" customFormat="1" x14ac:dyDescent="0.2">
      <c r="A24" s="1">
        <v>23</v>
      </c>
      <c r="B24" s="1">
        <v>0</v>
      </c>
      <c r="C24" s="3">
        <f>2.23696682464455</f>
        <v>2.2369668246445502</v>
      </c>
      <c r="D24" s="3">
        <f>((7390/(1+0.129))/(9148/(1+0.1135)))*100%</f>
        <v>0.79673622194689975</v>
      </c>
      <c r="E24" s="3">
        <f>633/2783</f>
        <v>0.22745238950772548</v>
      </c>
      <c r="F24" s="3">
        <f>(5961)/7390</f>
        <v>0.80663058186738834</v>
      </c>
      <c r="G24" s="3">
        <f>21/78</f>
        <v>0.26923076923076922</v>
      </c>
      <c r="H24" s="3">
        <f>2449/107797</f>
        <v>2.2718628533261592E-2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</row>
    <row r="25" spans="1:13" s="1" customFormat="1" x14ac:dyDescent="0.2">
      <c r="A25" s="1">
        <v>24</v>
      </c>
      <c r="B25" s="1">
        <v>0</v>
      </c>
      <c r="C25" s="3">
        <f>198/1188</f>
        <v>0.16666666666666666</v>
      </c>
      <c r="D25" s="3">
        <f>((4045/(1+0.129))/(3937/(1+0.1135)))*100%</f>
        <v>1.0133264774944075</v>
      </c>
      <c r="E25" s="3">
        <f>1188/1386</f>
        <v>0.8571428571428571</v>
      </c>
      <c r="F25" s="3">
        <f>(3030)/4045</f>
        <v>0.74907292954264526</v>
      </c>
      <c r="G25" s="3">
        <v>0</v>
      </c>
      <c r="H25" s="3">
        <f>2449/107797</f>
        <v>2.2718628533261592E-2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</row>
    <row r="26" spans="1:13" s="1" customFormat="1" x14ac:dyDescent="0.2">
      <c r="A26" s="1">
        <v>25</v>
      </c>
      <c r="B26" s="1">
        <v>0</v>
      </c>
      <c r="C26" s="3">
        <f>1342/(456+2538)</f>
        <v>0.4482297929191717</v>
      </c>
      <c r="D26" s="3">
        <f>((20196/(1+0.03))/(16955/(1+0.043)))*100%</f>
        <v>1.2061870227587015</v>
      </c>
      <c r="E26" s="3">
        <f>(2538+456)/4336</f>
        <v>0.69049815498154976</v>
      </c>
      <c r="F26" s="3">
        <f>(16450)/20196</f>
        <v>0.81451772628243213</v>
      </c>
      <c r="G26" s="3">
        <f>127/636</f>
        <v>0.19968553459119498</v>
      </c>
      <c r="H26" s="3">
        <f>1483/109463</f>
        <v>1.3547956843865051E-2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</row>
    <row r="27" spans="1:13" s="1" customFormat="1" x14ac:dyDescent="0.2">
      <c r="A27" s="1">
        <v>26</v>
      </c>
      <c r="B27" s="1">
        <v>0</v>
      </c>
      <c r="C27" s="3">
        <f>25/8785</f>
        <v>2.8457598178713715E-3</v>
      </c>
      <c r="D27" s="3">
        <f>((49886/(1+0.054))/(80000/(1+0.129)))*100%</f>
        <v>0.66794703510436437</v>
      </c>
      <c r="E27" s="3">
        <f>8785/8810</f>
        <v>0.99716231555051082</v>
      </c>
      <c r="F27" s="3">
        <f>(49784)/49886</f>
        <v>0.99795533817102999</v>
      </c>
      <c r="G27" s="3">
        <f>0</f>
        <v>0</v>
      </c>
      <c r="H27" s="3">
        <f>828/105087</f>
        <v>7.8791858174655279E-3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</row>
    <row r="28" spans="1:13" s="1" customFormat="1" x14ac:dyDescent="0.2">
      <c r="A28" s="1">
        <v>27</v>
      </c>
      <c r="B28" s="1">
        <v>0</v>
      </c>
      <c r="C28" s="3">
        <f>14079/6499</f>
        <v>2.1663332820433912</v>
      </c>
      <c r="D28" s="3">
        <f>((59599/(1+0.054))/(49076/(1+0.129)))*100%</f>
        <v>1.3008377936215725</v>
      </c>
      <c r="E28" s="3">
        <f>6499/21790</f>
        <v>0.29825608077099586</v>
      </c>
      <c r="F28" s="3">
        <f>(54629)/59599</f>
        <v>0.91660933908287057</v>
      </c>
      <c r="G28" s="3">
        <f>0</f>
        <v>0</v>
      </c>
      <c r="H28" s="3">
        <f>828/105087</f>
        <v>7.8791858174655279E-3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s="1" customFormat="1" x14ac:dyDescent="0.2">
      <c r="A29" s="1">
        <v>28</v>
      </c>
      <c r="B29" s="1">
        <v>0</v>
      </c>
      <c r="C29" s="3">
        <f>1784/(6369+15)</f>
        <v>0.27944862155388472</v>
      </c>
      <c r="D29" s="3">
        <f>((13594/(1+0.03))/(10865/(1+0.043)))*100%</f>
        <v>1.2669650029711506</v>
      </c>
      <c r="E29" s="3">
        <f>(6369+15)/8168</f>
        <v>0.78158667972575901</v>
      </c>
      <c r="F29" s="3">
        <f>(12590)/13594</f>
        <v>0.92614388700897454</v>
      </c>
      <c r="G29" s="3">
        <f>110/517</f>
        <v>0.21276595744680851</v>
      </c>
      <c r="H29" s="3">
        <f>660/109463</f>
        <v>6.0294346034733201E-3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</row>
    <row r="30" spans="1:13" s="1" customFormat="1" x14ac:dyDescent="0.2">
      <c r="A30" s="1">
        <v>29</v>
      </c>
      <c r="B30" s="1">
        <v>0</v>
      </c>
      <c r="C30" s="3">
        <f>16958/10537</f>
        <v>1.6093764828698871</v>
      </c>
      <c r="D30" s="3">
        <f>((42528/(1+0.03))/(44323/(1+0.043)))*100%</f>
        <v>0.97161205615704127</v>
      </c>
      <c r="E30" s="3">
        <f>10537/27495</f>
        <v>0.38323331514820874</v>
      </c>
      <c r="F30" s="3">
        <f>(38036)/42528</f>
        <v>0.8943754702784048</v>
      </c>
      <c r="G30" s="3">
        <f>748/3742</f>
        <v>0.19989310529128809</v>
      </c>
      <c r="H30" s="3">
        <f>660/109463</f>
        <v>6.0294346034733201E-3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</row>
    <row r="31" spans="1:13" s="1" customFormat="1" x14ac:dyDescent="0.2">
      <c r="A31" s="1">
        <v>30</v>
      </c>
      <c r="B31" s="1">
        <v>0</v>
      </c>
      <c r="C31" s="3">
        <f>-(861)/2480</f>
        <v>-0.3471774193548387</v>
      </c>
      <c r="D31" s="3">
        <f>((2448/(1+0.03))/(238/(1+0.043)))*100%</f>
        <v>10.415533980582524</v>
      </c>
      <c r="E31" s="3">
        <f>2480/1619</f>
        <v>1.5318097591105622</v>
      </c>
      <c r="F31" s="3">
        <f>(3275)/2448</f>
        <v>1.3378267973856208</v>
      </c>
      <c r="G31" s="3">
        <f>0</f>
        <v>0</v>
      </c>
      <c r="H31" s="3">
        <f>660/109463</f>
        <v>6.0294346034733201E-3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</row>
    <row r="32" spans="1:13" s="1" customFormat="1" x14ac:dyDescent="0.2">
      <c r="A32" s="1">
        <v>31</v>
      </c>
      <c r="B32" s="1">
        <v>0</v>
      </c>
      <c r="C32" s="3">
        <f>366/(2243+366)</f>
        <v>0.14028363357608278</v>
      </c>
      <c r="D32" s="3">
        <f>((1743/(1+0.03))/(1711/(1+0.043)))*100%</f>
        <v>1.0315599235103527</v>
      </c>
      <c r="E32" s="3">
        <f>(366+2243)/2877</f>
        <v>0.90684741049704554</v>
      </c>
      <c r="F32" s="3">
        <f>(1888)/1743</f>
        <v>1.0831899024670109</v>
      </c>
      <c r="G32" s="3">
        <v>0</v>
      </c>
      <c r="H32" s="3">
        <f>660/109463</f>
        <v>6.0294346034733201E-3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4" s="1" customFormat="1" x14ac:dyDescent="0.2">
      <c r="A33" s="1">
        <v>32</v>
      </c>
      <c r="B33" s="1">
        <v>0</v>
      </c>
      <c r="C33" s="3">
        <f>5293/(24+2379)</f>
        <v>2.2026633374947981</v>
      </c>
      <c r="D33" s="3">
        <f>((94733/(1+0.129))/(111741/(1+0.1135)))*100%</f>
        <v>0.83615158342291118</v>
      </c>
      <c r="E33" s="3">
        <f>(2379+24)/54697</f>
        <v>4.3932939649340912E-2</v>
      </c>
      <c r="F33" s="3">
        <f>(71183)/94733</f>
        <v>0.75140658482260669</v>
      </c>
      <c r="G33" s="3">
        <v>0</v>
      </c>
      <c r="H33" s="3">
        <f>3389/202454</f>
        <v>1.6739605046084544E-2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</row>
    <row r="34" spans="1:14" s="1" customFormat="1" x14ac:dyDescent="0.2">
      <c r="A34" s="1">
        <v>33</v>
      </c>
      <c r="B34" s="1">
        <v>0</v>
      </c>
      <c r="C34" s="3">
        <f>633/18375</f>
        <v>3.4448979591836737E-2</v>
      </c>
      <c r="D34" s="3">
        <f>((61065/(1+0.129))/(54802/(1+0.1135)))*100%</f>
        <v>1.0989861835808037</v>
      </c>
      <c r="E34" s="3">
        <f>18375/19008</f>
        <v>0.96669823232323238</v>
      </c>
      <c r="F34" s="3">
        <f>(56526)/61065</f>
        <v>0.92566936870547778</v>
      </c>
      <c r="G34" s="3">
        <f>119/596</f>
        <v>0.19966442953020133</v>
      </c>
      <c r="H34" s="3">
        <f>3389/202454</f>
        <v>1.6739605046084544E-2</v>
      </c>
      <c r="I34" s="1">
        <v>0</v>
      </c>
      <c r="J34" s="1">
        <v>1</v>
      </c>
      <c r="K34" s="1">
        <v>1</v>
      </c>
      <c r="L34" s="1">
        <v>1</v>
      </c>
      <c r="M34" s="1">
        <v>0</v>
      </c>
    </row>
    <row r="35" spans="1:14" s="1" customFormat="1" x14ac:dyDescent="0.2">
      <c r="A35" s="1">
        <v>34</v>
      </c>
      <c r="B35" s="1">
        <v>0</v>
      </c>
      <c r="C35" s="3">
        <f>1.58414959928762</f>
        <v>1.58414959928762</v>
      </c>
      <c r="D35" s="3">
        <f>((70335/(1+0.049))/(66495/(1+0.03)))*100%</f>
        <v>1.0385902421327864</v>
      </c>
      <c r="E35" s="3">
        <f>1123/120779</f>
        <v>9.2979739855438438E-3</v>
      </c>
      <c r="F35" s="3">
        <f>(65293)/70335</f>
        <v>0.9283144949171821</v>
      </c>
      <c r="G35" s="3">
        <v>0</v>
      </c>
      <c r="H35" s="3">
        <f>2064/104927</f>
        <v>1.9670818759709132E-2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</row>
    <row r="36" spans="1:14" s="1" customFormat="1" x14ac:dyDescent="0.2">
      <c r="A36" s="1">
        <v>35</v>
      </c>
      <c r="B36" s="1">
        <v>0</v>
      </c>
      <c r="C36" s="3">
        <f>23777/9929</f>
        <v>2.3947023869473258</v>
      </c>
      <c r="D36" s="3">
        <f>((17250/(1+0.049))/(28947/(1+0.03)))*100%</f>
        <v>0.58512314162272105</v>
      </c>
      <c r="E36" s="3">
        <f>9929/42706</f>
        <v>0.23249660469254907</v>
      </c>
      <c r="F36" s="3">
        <f>(20536)/17250</f>
        <v>1.1904927536231884</v>
      </c>
      <c r="G36" s="3">
        <v>0</v>
      </c>
      <c r="H36" s="3">
        <f>2064/104927</f>
        <v>1.9670818759709132E-2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</row>
    <row r="37" spans="1:14" s="1" customFormat="1" x14ac:dyDescent="0.2">
      <c r="A37" s="1">
        <v>36</v>
      </c>
      <c r="B37" s="1">
        <v>0</v>
      </c>
      <c r="C37" s="3">
        <f>3566/(71154+1705)</f>
        <v>4.8943850450870859E-2</v>
      </c>
      <c r="D37" s="3">
        <f>((55472/(1+0.049))/(54711/(1+0.03)))*100%</f>
        <v>0.9955450286233205</v>
      </c>
      <c r="E37" s="3">
        <f>(71154+1705)/76425</f>
        <v>0.9533398756951259</v>
      </c>
      <c r="F37" s="3">
        <f>(50391)/55472</f>
        <v>0.90840423997692532</v>
      </c>
      <c r="G37" s="3">
        <v>0</v>
      </c>
      <c r="H37" s="3">
        <f>586/104927</f>
        <v>5.5848351711189686E-3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</row>
    <row r="38" spans="1:14" s="1" customFormat="1" x14ac:dyDescent="0.2">
      <c r="A38" s="1">
        <v>37</v>
      </c>
      <c r="B38" s="1">
        <v>0</v>
      </c>
      <c r="C38" s="3">
        <f>4599/96054</f>
        <v>4.7879317883690424E-2</v>
      </c>
      <c r="D38" s="3">
        <f>((333731/(1+0.049))/(231229/(1+0.03)))*100%</f>
        <v>1.417150535786063</v>
      </c>
      <c r="E38" s="3">
        <f>96054/100653</f>
        <v>0.9543083663676194</v>
      </c>
      <c r="F38" s="3">
        <f>(200779)/333731</f>
        <v>0.60161926821302192</v>
      </c>
      <c r="G38" s="3">
        <f>(528)/2605</f>
        <v>0.20268714011516314</v>
      </c>
      <c r="H38" s="3">
        <f>586/104927</f>
        <v>5.5848351711189686E-3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</row>
    <row r="39" spans="1:14" s="1" customFormat="1" x14ac:dyDescent="0.2">
      <c r="A39" s="1">
        <v>38</v>
      </c>
      <c r="B39" s="1">
        <v>0</v>
      </c>
      <c r="C39" s="5">
        <f>2.0208686440678</f>
        <v>2.0208686440678001</v>
      </c>
      <c r="D39" s="5">
        <f>((38285/(1+0.025))/(59003/(1+0.054)))*100%</f>
        <v>0.66722345246603831</v>
      </c>
      <c r="E39" s="5">
        <f>944/21141</f>
        <v>4.4652570833924599E-2</v>
      </c>
      <c r="F39" s="5">
        <f>(35614)/38285</f>
        <v>0.93023377301815335</v>
      </c>
      <c r="G39" s="5">
        <f>0</f>
        <v>0</v>
      </c>
      <c r="H39" s="3">
        <f>1444/108754</f>
        <v>1.3277672545377641E-2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</row>
    <row r="40" spans="1:14" s="1" customFormat="1" x14ac:dyDescent="0.2">
      <c r="A40" s="1">
        <v>39</v>
      </c>
      <c r="B40" s="1">
        <v>0</v>
      </c>
      <c r="C40" s="5">
        <f>944/34599</f>
        <v>2.7284025549871384E-2</v>
      </c>
      <c r="D40" s="5">
        <f>((65875/(1+0.035))/(9526/(1+0.054)))*100%</f>
        <v>7.0422317359760882</v>
      </c>
      <c r="E40" s="5">
        <f>34599/35543</f>
        <v>0.97344062121936814</v>
      </c>
      <c r="F40" s="5">
        <f>(64116)/65875</f>
        <v>0.97329791271347244</v>
      </c>
      <c r="G40" s="5">
        <v>0</v>
      </c>
      <c r="H40" s="3">
        <f>1444/108754</f>
        <v>1.3277672545377641E-2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</row>
    <row r="41" spans="1:14" s="1" customFormat="1" x14ac:dyDescent="0.2">
      <c r="A41" s="1">
        <v>40</v>
      </c>
      <c r="B41" s="1">
        <v>0</v>
      </c>
      <c r="C41" s="3">
        <f>5/4</f>
        <v>1.25</v>
      </c>
      <c r="D41" s="3">
        <f>((2667/(1+0.129))/(982/(1+0.1135)))*100%</f>
        <v>2.6785996475081126</v>
      </c>
      <c r="E41" s="3">
        <f>4/543</f>
        <v>7.3664825046040518E-3</v>
      </c>
      <c r="F41" s="3">
        <f>(1834)/2667</f>
        <v>0.68766404199475062</v>
      </c>
      <c r="G41" s="3">
        <f>30/229</f>
        <v>0.13100436681222707</v>
      </c>
      <c r="H41" s="3">
        <f>2449/107797</f>
        <v>2.2718628533261592E-2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</row>
    <row r="42" spans="1:14" s="1" customFormat="1" x14ac:dyDescent="0.2">
      <c r="A42" s="1">
        <v>41</v>
      </c>
      <c r="B42" s="1">
        <v>0</v>
      </c>
      <c r="C42" s="3">
        <f>302/404</f>
        <v>0.74752475247524752</v>
      </c>
      <c r="D42" s="3">
        <f>((8206/(1+0.129))/(8075/(1+0.1135)))*100%</f>
        <v>1.0022712227868165</v>
      </c>
      <c r="E42" s="3">
        <f>404/3486</f>
        <v>0.11589213998852553</v>
      </c>
      <c r="F42" s="3">
        <f>(7112)/8206</f>
        <v>0.8666829149402876</v>
      </c>
      <c r="G42" s="3">
        <f>83/248</f>
        <v>0.33467741935483869</v>
      </c>
      <c r="H42" s="3">
        <f>2449/107797</f>
        <v>2.2718628533261592E-2</v>
      </c>
      <c r="I42" s="1">
        <v>0</v>
      </c>
      <c r="J42" s="1">
        <v>1</v>
      </c>
      <c r="K42" s="1">
        <v>1</v>
      </c>
      <c r="L42" s="1">
        <v>0</v>
      </c>
      <c r="M42" s="1">
        <v>0</v>
      </c>
    </row>
    <row r="43" spans="1:14" s="1" customFormat="1" x14ac:dyDescent="0.2">
      <c r="A43" s="1">
        <v>42</v>
      </c>
      <c r="B43" s="1">
        <v>1</v>
      </c>
      <c r="C43" s="3">
        <f>-19562/(1925+143563)</f>
        <v>-0.13445782470031892</v>
      </c>
      <c r="D43" s="3">
        <f>((16626/(1+0.0839))/(115553/(1+0.049)))/100%</f>
        <v>0.13924923659017419</v>
      </c>
      <c r="E43" s="3">
        <f>125926/(1925+143563)</f>
        <v>0.86554217529968103</v>
      </c>
      <c r="F43" s="3">
        <f>10314/16626</f>
        <v>0.62035366293756766</v>
      </c>
      <c r="G43" s="3">
        <f>983/-17881</f>
        <v>-5.4974553995861528E-2</v>
      </c>
      <c r="H43" s="3">
        <f>730/105480</f>
        <v>6.920743268866136E-3</v>
      </c>
      <c r="I43" s="1">
        <v>1</v>
      </c>
      <c r="J43" s="1">
        <v>0</v>
      </c>
      <c r="K43" s="1">
        <v>1</v>
      </c>
      <c r="L43" s="1">
        <v>1</v>
      </c>
      <c r="M43" s="1">
        <v>0</v>
      </c>
    </row>
    <row r="44" spans="1:14" s="1" customFormat="1" x14ac:dyDescent="0.2">
      <c r="A44" s="1">
        <v>43</v>
      </c>
      <c r="B44" s="1">
        <v>1</v>
      </c>
      <c r="C44" s="3">
        <f>22732/(452+147555)</f>
        <v>0.15358733032897093</v>
      </c>
      <c r="D44" s="3">
        <f>((50/(1+0.043))/(17480/(1+0.025)))*100%</f>
        <v>2.8110471685487428E-3</v>
      </c>
      <c r="E44" s="3">
        <f>(452+147555)/170739</f>
        <v>0.86686111550378064</v>
      </c>
      <c r="F44" s="3">
        <v>0</v>
      </c>
      <c r="G44" s="3">
        <v>0</v>
      </c>
      <c r="H44" s="3">
        <f>1598/105087</f>
        <v>1.5206447990712458E-2</v>
      </c>
      <c r="I44" s="1">
        <v>1</v>
      </c>
      <c r="J44" s="1">
        <v>1</v>
      </c>
      <c r="K44" s="1">
        <v>0</v>
      </c>
      <c r="L44" s="1">
        <v>1</v>
      </c>
      <c r="M44" s="1">
        <v>1</v>
      </c>
    </row>
    <row r="45" spans="1:14" x14ac:dyDescent="0.2">
      <c r="A45" s="1">
        <v>44</v>
      </c>
      <c r="B45" s="1">
        <v>1</v>
      </c>
      <c r="C45" s="5">
        <f>-13751/(7150+39523)</f>
        <v>-0.29462430098772308</v>
      </c>
      <c r="D45" s="5">
        <f>((24555/(1+0.1135))/(119059/(1+0.065)))*100%</f>
        <v>0.19725912137240634</v>
      </c>
      <c r="E45" s="5">
        <f>32922/(7150+39523)</f>
        <v>0.70537569901227692</v>
      </c>
      <c r="F45" s="5">
        <f>33614/24555</f>
        <v>1.3689268987986154</v>
      </c>
      <c r="G45" s="5">
        <v>0</v>
      </c>
      <c r="H45" s="3">
        <f>961/141229</f>
        <v>6.8045514731393695E-3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2"/>
    </row>
    <row r="46" spans="1:14" x14ac:dyDescent="0.2">
      <c r="A46" s="1">
        <v>45</v>
      </c>
      <c r="B46" s="1">
        <v>1</v>
      </c>
      <c r="C46" s="5">
        <f>-728/15413</f>
        <v>-4.7232855381820538E-2</v>
      </c>
      <c r="D46" s="5">
        <f>((18966/(1+0.054))/(58493/(1+0.129)))*100%</f>
        <v>0.34731631229426535</v>
      </c>
      <c r="E46" s="5">
        <f>14685/15413</f>
        <v>0.95276714461817946</v>
      </c>
      <c r="F46" s="5">
        <f>18513/18966</f>
        <v>0.97611515343245814</v>
      </c>
      <c r="G46" s="5">
        <f>41/203</f>
        <v>0.2019704433497537</v>
      </c>
      <c r="H46" s="3">
        <f>3313/112445</f>
        <v>2.9463293165547601E-2</v>
      </c>
      <c r="I46" s="1">
        <v>0</v>
      </c>
      <c r="J46" s="1">
        <v>1</v>
      </c>
      <c r="K46" s="1">
        <v>0</v>
      </c>
      <c r="L46" s="1">
        <v>1</v>
      </c>
      <c r="M46" s="1">
        <v>1</v>
      </c>
      <c r="N46" s="2"/>
    </row>
    <row r="47" spans="1:14" x14ac:dyDescent="0.2">
      <c r="A47" s="1">
        <v>46</v>
      </c>
      <c r="B47" s="1">
        <v>1</v>
      </c>
      <c r="C47" s="5">
        <v>1</v>
      </c>
      <c r="D47" s="5">
        <f>((46494/(1+0.054))/(9882/(1+0.129)))*100%</f>
        <v>5.0397082153855726</v>
      </c>
      <c r="E47" s="5">
        <v>0</v>
      </c>
      <c r="F47" s="5">
        <v>0</v>
      </c>
      <c r="G47" s="5">
        <v>0</v>
      </c>
      <c r="H47" s="3">
        <f>441/112445</f>
        <v>3.9219173818311175E-3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2"/>
    </row>
    <row r="48" spans="1:14" x14ac:dyDescent="0.2">
      <c r="A48" s="1">
        <v>47</v>
      </c>
      <c r="B48" s="1">
        <v>1</v>
      </c>
      <c r="C48" s="5">
        <f>5774/64942</f>
        <v>8.8910104400849996E-2</v>
      </c>
      <c r="D48" s="5">
        <f>((34826/(1+0.054))/(106442/(1+0.129)))*100%</f>
        <v>0.35046439309474897</v>
      </c>
      <c r="E48" s="5">
        <f>64942/70716</f>
        <v>0.91834945415464675</v>
      </c>
      <c r="F48" s="5">
        <f>52836/34836</f>
        <v>1.5167068549776093</v>
      </c>
      <c r="G48" s="5">
        <v>0</v>
      </c>
      <c r="H48" s="3">
        <f>1033/112445</f>
        <v>9.1867135043799189E-3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2"/>
    </row>
    <row r="49" spans="1:14" x14ac:dyDescent="0.2">
      <c r="A49" s="1">
        <v>48</v>
      </c>
      <c r="B49" s="1">
        <v>1</v>
      </c>
      <c r="C49" s="5">
        <f>4642/(2736+376059)</f>
        <v>1.2254649612587284E-2</v>
      </c>
      <c r="D49" s="5">
        <f>((290533/(1+0.049))/(221671/(1+0.03)))*100%</f>
        <v>1.2869104415982398</v>
      </c>
      <c r="E49" s="5">
        <f>(2736+376059)/383437</f>
        <v>0.98789370874485249</v>
      </c>
      <c r="F49" s="5">
        <f>290814/290533</f>
        <v>1.0009671878925974</v>
      </c>
      <c r="G49" s="5">
        <v>-0.20105820105820105</v>
      </c>
      <c r="H49" s="3">
        <f>1627/104927</f>
        <v>1.5506018469983894E-2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2"/>
    </row>
    <row r="50" spans="1:14" x14ac:dyDescent="0.2">
      <c r="A50" s="1">
        <v>49</v>
      </c>
      <c r="B50" s="1">
        <v>1</v>
      </c>
      <c r="C50" s="5">
        <f>521/697</f>
        <v>0.74748923959827829</v>
      </c>
      <c r="D50" s="5">
        <f>((27110/(1+0.049))/(33098/(1+0.03)))*100%</f>
        <v>0.80424709795292049</v>
      </c>
      <c r="E50" s="5">
        <f>697/1218</f>
        <v>0.57224958949096882</v>
      </c>
      <c r="F50" s="5">
        <f>26838/27110</f>
        <v>0.98996680191811137</v>
      </c>
      <c r="G50" s="5">
        <v>-0.19895287958115182</v>
      </c>
      <c r="H50" s="3">
        <f>2526/104927</f>
        <v>2.4073879935574256E-2</v>
      </c>
      <c r="I50" s="1">
        <v>0</v>
      </c>
      <c r="J50" s="1">
        <v>1</v>
      </c>
      <c r="K50" s="1">
        <v>1</v>
      </c>
      <c r="L50" s="1">
        <v>1</v>
      </c>
      <c r="M50" s="1">
        <v>1</v>
      </c>
    </row>
    <row r="51" spans="1:14" x14ac:dyDescent="0.2">
      <c r="A51" s="1">
        <v>50</v>
      </c>
      <c r="B51" s="1">
        <v>1</v>
      </c>
      <c r="C51" s="5">
        <f>21172/(561+358913)</f>
        <v>5.8897166415373577E-2</v>
      </c>
      <c r="D51" s="5">
        <f>((78281/(1+0.03))/(639735/(1+0.043)))*100%</f>
        <v>0.12390913834847121</v>
      </c>
      <c r="E51" s="5">
        <f>(561+358913)/380646</f>
        <v>0.94437876662305664</v>
      </c>
      <c r="F51" s="5">
        <f>61092/78281</f>
        <v>0.78041925882398022</v>
      </c>
      <c r="G51" s="5">
        <f>-922/4368</f>
        <v>-0.21108058608058608</v>
      </c>
      <c r="H51" s="3">
        <f>3688/109463</f>
        <v>3.3691749723650917E-2</v>
      </c>
      <c r="I51" s="1">
        <v>1</v>
      </c>
      <c r="J51" s="1">
        <v>1</v>
      </c>
      <c r="K51" s="1">
        <v>0</v>
      </c>
      <c r="L51" s="1">
        <v>0</v>
      </c>
      <c r="M51" s="1">
        <v>1</v>
      </c>
    </row>
    <row r="52" spans="1:14" x14ac:dyDescent="0.2">
      <c r="A52" s="1">
        <v>51</v>
      </c>
      <c r="B52" s="1">
        <v>1</v>
      </c>
      <c r="C52" s="5">
        <f>9144/(387037)</f>
        <v>2.3625648193841931E-2</v>
      </c>
      <c r="D52" s="5">
        <f>((296822/(1+0.054))/(414686/(1+0.129)))*100%</f>
        <v>0.76670808770232424</v>
      </c>
      <c r="E52" s="5">
        <f>387037/396181</f>
        <v>0.97691964026543421</v>
      </c>
      <c r="F52" s="5">
        <f>280872/296822</f>
        <v>0.94626409093665564</v>
      </c>
      <c r="G52" s="5">
        <f>36/139</f>
        <v>0.25899280575539568</v>
      </c>
      <c r="H52" s="3">
        <f>3946/112445</f>
        <v>3.5092711992529682E-2</v>
      </c>
      <c r="I52" s="1">
        <v>1</v>
      </c>
      <c r="J52" s="1">
        <v>1</v>
      </c>
      <c r="K52" s="1">
        <v>0</v>
      </c>
      <c r="L52" s="1">
        <v>0</v>
      </c>
      <c r="M52" s="1">
        <v>1</v>
      </c>
    </row>
    <row r="53" spans="1:14" x14ac:dyDescent="0.2">
      <c r="A53" s="1">
        <v>52</v>
      </c>
      <c r="B53" s="1">
        <v>1</v>
      </c>
      <c r="C53" s="5">
        <f>2802/238662</f>
        <v>1.174045302561782E-2</v>
      </c>
      <c r="D53" s="5">
        <f>((447738/(1+0.049))/(273104/(1+0.03)))*100%</f>
        <v>1.609747022417451</v>
      </c>
      <c r="E53" s="5">
        <f>238662/241464</f>
        <v>0.98839578570718611</v>
      </c>
      <c r="F53" s="5">
        <v>0</v>
      </c>
      <c r="G53" s="5">
        <v>-0.19961240310077519</v>
      </c>
      <c r="H53" s="3">
        <f>2551/104927</f>
        <v>2.4312140821714144E-2</v>
      </c>
      <c r="I53" s="1">
        <v>1</v>
      </c>
      <c r="J53" s="1">
        <v>1</v>
      </c>
      <c r="K53" s="1">
        <v>1</v>
      </c>
      <c r="L53" s="1">
        <v>0</v>
      </c>
      <c r="M53" s="1">
        <v>0</v>
      </c>
    </row>
    <row r="54" spans="1:14" x14ac:dyDescent="0.2">
      <c r="A54" s="1">
        <v>53</v>
      </c>
      <c r="B54" s="1">
        <v>1</v>
      </c>
      <c r="C54" s="5">
        <f>38909/(630+117869)</f>
        <v>0.32834876243681382</v>
      </c>
      <c r="D54" s="5">
        <f>((12654/(1+0.03))/(140564/(1+0.043)))*100%</f>
        <v>9.1159263250986375E-2</v>
      </c>
      <c r="E54" s="5">
        <f>4936/24311</f>
        <v>0.20303566286866029</v>
      </c>
      <c r="F54" s="5">
        <f>30978/12654</f>
        <v>2.4480796586059745</v>
      </c>
      <c r="G54" s="5">
        <v>0</v>
      </c>
      <c r="H54" s="3">
        <f>650/109463</f>
        <v>5.9380795337237238E-3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</row>
    <row r="55" spans="1:14" x14ac:dyDescent="0.2">
      <c r="A55" s="1">
        <v>54</v>
      </c>
      <c r="B55" s="1">
        <v>1</v>
      </c>
      <c r="C55" s="5">
        <f>8589/(56142+63780)</f>
        <v>7.1621554010106572E-2</v>
      </c>
      <c r="D55" s="5">
        <f>((148373/(1+0.043))/(91362/(1+0.025)))*100%</f>
        <v>1.5959851156724163</v>
      </c>
      <c r="E55" s="5">
        <f>(56142+63780)/128511</f>
        <v>0.93316525433620467</v>
      </c>
      <c r="F55" s="5">
        <f>122428/148373</f>
        <v>0.82513664885120608</v>
      </c>
      <c r="G55" s="5">
        <f>161/3919</f>
        <v>4.1081908650165859E-2</v>
      </c>
      <c r="H55" s="5">
        <f>2574/105087</f>
        <v>2.4493990693425449E-2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4" x14ac:dyDescent="0.2">
      <c r="A56" s="1">
        <v>55</v>
      </c>
      <c r="B56" s="1">
        <v>1</v>
      </c>
      <c r="C56" s="5">
        <f>17329/213134</f>
        <v>8.1305657473701984E-2</v>
      </c>
      <c r="D56" s="5">
        <f>((528883/(1+0.03))/(379661/(1+0.043)))*100%</f>
        <v>1.4106221664329417</v>
      </c>
      <c r="E56" s="5">
        <f>213134/230463</f>
        <v>0.92480788673236047</v>
      </c>
      <c r="F56" s="5">
        <f>497138/528883</f>
        <v>0.93997727285618937</v>
      </c>
      <c r="G56" s="5">
        <v>0</v>
      </c>
      <c r="H56" s="3">
        <f>1483/109463</f>
        <v>1.3547956843865051E-2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</row>
    <row r="57" spans="1:14" x14ac:dyDescent="0.2">
      <c r="A57" s="1">
        <v>56</v>
      </c>
      <c r="B57" s="1">
        <v>1</v>
      </c>
      <c r="C57" s="5">
        <f>2830/(870+109308)</f>
        <v>2.5685708580660386E-2</v>
      </c>
      <c r="D57" s="5">
        <f>((145144/(1+0.054))/(461834/(1+0.129)))*100%</f>
        <v>0.33664061868866541</v>
      </c>
      <c r="E57" s="5">
        <f>(109308+870)/113008</f>
        <v>0.97495752513096423</v>
      </c>
      <c r="F57" s="5">
        <f>141114/145144</f>
        <v>0.97223447059471968</v>
      </c>
      <c r="G57" s="5">
        <f>54/266</f>
        <v>0.20300751879699247</v>
      </c>
      <c r="H57" s="3">
        <f>802/112445</f>
        <v>7.1323758281826672E-3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4" x14ac:dyDescent="0.2">
      <c r="A58" s="1">
        <v>57</v>
      </c>
      <c r="B58" s="1">
        <v>1</v>
      </c>
      <c r="C58" s="5">
        <f>23177/(203+4538979)</f>
        <v>5.1059860565185536E-3</v>
      </c>
      <c r="D58" s="5">
        <f>((579346/(1+0.03))/(621059/(1+0.043)))*100%</f>
        <v>0.94460934304242017</v>
      </c>
      <c r="E58" s="5">
        <f>(4538979+203)/4562299</f>
        <v>0.99493303704996094</v>
      </c>
      <c r="F58" s="5">
        <f>523687/579346</f>
        <v>0.90392787729612356</v>
      </c>
      <c r="G58" s="5">
        <v>0</v>
      </c>
      <c r="H58" s="3">
        <f>3688/109463</f>
        <v>3.3691749723650917E-2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4" x14ac:dyDescent="0.2">
      <c r="A59" s="1">
        <v>58</v>
      </c>
      <c r="B59" s="1">
        <v>1</v>
      </c>
      <c r="C59" s="5">
        <f>1048/302483</f>
        <v>3.464657517943157E-3</v>
      </c>
      <c r="D59" s="5">
        <f>((135094/(1+0.043))/(76157/(1+0.025)))*100%</f>
        <v>1.7432745502488041</v>
      </c>
      <c r="E59" s="5">
        <f>302483/330531</f>
        <v>0.91514260387074131</v>
      </c>
      <c r="F59" s="5">
        <f>127255/135094</f>
        <v>0.94197373680548357</v>
      </c>
      <c r="G59" s="5">
        <f>132/530</f>
        <v>0.24905660377358491</v>
      </c>
      <c r="H59" s="5">
        <f>2762/105087</f>
        <v>2.6282984574685735E-2</v>
      </c>
      <c r="I59" s="1">
        <v>0</v>
      </c>
      <c r="J59" s="1">
        <v>1</v>
      </c>
      <c r="K59" s="1">
        <v>0</v>
      </c>
      <c r="L59" s="1">
        <v>0</v>
      </c>
      <c r="M59" s="1">
        <v>1</v>
      </c>
    </row>
    <row r="60" spans="1:14" x14ac:dyDescent="0.2">
      <c r="A60" s="1">
        <v>59</v>
      </c>
      <c r="B60" s="1">
        <v>1</v>
      </c>
      <c r="C60" s="5">
        <f>952/(472+10625)</f>
        <v>8.5788951969000632E-2</v>
      </c>
      <c r="D60" s="5">
        <f>((217877/(1+0.049))/(164363/(1+0.03)))*100%</f>
        <v>1.3015745966777585</v>
      </c>
      <c r="E60" s="5">
        <f>(10625+472)/12049</f>
        <v>0.92098929371732097</v>
      </c>
      <c r="F60" s="5">
        <f>206635/217877</f>
        <v>0.94840208007270155</v>
      </c>
      <c r="G60" s="5">
        <f>-114/569</f>
        <v>-0.20035149384885764</v>
      </c>
      <c r="H60" s="3">
        <f>724/104927</f>
        <v>6.9000352626111486E-3</v>
      </c>
      <c r="I60" s="1">
        <v>0</v>
      </c>
      <c r="J60" s="1">
        <v>1</v>
      </c>
      <c r="K60" s="1">
        <v>1</v>
      </c>
      <c r="L60" s="1">
        <v>0</v>
      </c>
      <c r="M60" s="1">
        <v>0</v>
      </c>
    </row>
    <row r="61" spans="1:14" x14ac:dyDescent="0.2">
      <c r="A61" s="1">
        <v>60</v>
      </c>
      <c r="B61" s="1">
        <v>1</v>
      </c>
      <c r="C61" s="5">
        <f>900/(20036+5618)</f>
        <v>3.5082248382318548E-2</v>
      </c>
      <c r="D61" s="5">
        <f>((124818/(1+0.03))/(159983/(1+0^43)))*100%</f>
        <v>0.75747125802019377</v>
      </c>
      <c r="E61" s="5">
        <f>(20036+5618)/26554</f>
        <v>0.96610680123521875</v>
      </c>
      <c r="F61" s="5">
        <f>109993/124818</f>
        <v>0.88122706660898265</v>
      </c>
      <c r="G61" s="5">
        <v>0</v>
      </c>
      <c r="H61" s="3">
        <f>2214/109463</f>
        <v>2.02260124425605E-2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</row>
    <row r="62" spans="1:14" x14ac:dyDescent="0.2">
      <c r="A62" s="1">
        <v>61</v>
      </c>
      <c r="B62" s="1">
        <v>1</v>
      </c>
      <c r="C62" s="5">
        <f>-142240/(972+266938)</f>
        <v>-0.53092456421932743</v>
      </c>
      <c r="D62" s="5">
        <f>((54742/(1+0.03))/(2023974/(1+0.043)))*100%</f>
        <v>2.7388157380777586E-2</v>
      </c>
      <c r="E62" s="5">
        <f>125670/(972+266938)</f>
        <v>0.46907543578067262</v>
      </c>
      <c r="F62" s="5">
        <f>323356/54742</f>
        <v>5.906908772058018</v>
      </c>
      <c r="G62" s="5">
        <v>0</v>
      </c>
      <c r="H62" s="3">
        <f>3688/109463</f>
        <v>3.3691749723650917E-2</v>
      </c>
      <c r="I62" s="1">
        <v>1</v>
      </c>
      <c r="J62" s="1">
        <v>1</v>
      </c>
      <c r="K62" s="1">
        <v>0</v>
      </c>
      <c r="L62" s="1">
        <v>0</v>
      </c>
      <c r="M62" s="1">
        <v>1</v>
      </c>
    </row>
    <row r="63" spans="1:14" x14ac:dyDescent="0.2">
      <c r="A63" s="1">
        <v>62</v>
      </c>
      <c r="B63" s="1">
        <v>1</v>
      </c>
      <c r="C63" s="5">
        <f>35974/96936</f>
        <v>0.37111083601551537</v>
      </c>
      <c r="D63" s="5">
        <f>((177839/(1+0.03))/(89626/(1+0.043)))*100%</f>
        <v>2.0092782217538727</v>
      </c>
      <c r="E63" s="5">
        <f>96936/132910</f>
        <v>0.72933564065909262</v>
      </c>
      <c r="F63" s="5">
        <f>44318/839</f>
        <v>52.822407628128722</v>
      </c>
      <c r="G63" s="5">
        <f>-85/25427</f>
        <v>-3.3429032131199118E-3</v>
      </c>
      <c r="H63" s="3">
        <f>917/109463</f>
        <v>8.3772598960379311E-3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</row>
    <row r="64" spans="1:14" x14ac:dyDescent="0.2">
      <c r="A64" s="1">
        <v>63</v>
      </c>
      <c r="B64" s="1">
        <v>1</v>
      </c>
      <c r="C64" s="5">
        <f>-198520/(50+332468)</f>
        <v>-0.59702031168237513</v>
      </c>
      <c r="D64" s="5">
        <f>((59733/(1+0.049))/(215012/(1+0.03)))*100%</f>
        <v>0.27278052736258923</v>
      </c>
      <c r="E64" s="5">
        <f>194227/(3522+368625)</f>
        <v>0.52190935302447694</v>
      </c>
      <c r="F64" s="5">
        <f>54716/59733</f>
        <v>0.9160095759462944</v>
      </c>
      <c r="G64" s="5">
        <v>-0.20009955201592833</v>
      </c>
      <c r="H64" s="3">
        <f>3757/104927</f>
        <v>3.5805845969102329E-2</v>
      </c>
      <c r="I64" s="1">
        <v>1</v>
      </c>
      <c r="J64" s="1">
        <v>1</v>
      </c>
      <c r="K64" s="1">
        <v>1</v>
      </c>
      <c r="L64" s="1">
        <v>0</v>
      </c>
      <c r="M64" s="1">
        <v>0</v>
      </c>
    </row>
    <row r="65" spans="1:14" x14ac:dyDescent="0.2">
      <c r="A65" s="1">
        <v>64</v>
      </c>
      <c r="B65" s="1">
        <v>1</v>
      </c>
      <c r="C65" s="5">
        <f>34988/(2300+62963)</f>
        <v>0.53610774864777899</v>
      </c>
      <c r="D65" s="5">
        <f>((74045/(1+0.03))/(187505/(1+0.043)))*100%</f>
        <v>0.39988026209268718</v>
      </c>
      <c r="E65" s="5">
        <f>(2300+62963)/100251</f>
        <v>0.65099600003989988</v>
      </c>
      <c r="F65" s="5">
        <f>65916/74045</f>
        <v>0.89021540954824774</v>
      </c>
      <c r="G65" s="5">
        <v>0</v>
      </c>
      <c r="H65" s="3">
        <f>1245/109463</f>
        <v>1.1373706183824672E-2</v>
      </c>
      <c r="I65" s="1">
        <v>1</v>
      </c>
      <c r="J65" s="1">
        <v>1</v>
      </c>
      <c r="K65" s="1">
        <v>0</v>
      </c>
      <c r="L65" s="1">
        <v>1</v>
      </c>
      <c r="M65" s="1">
        <v>1</v>
      </c>
    </row>
    <row r="66" spans="1:14" x14ac:dyDescent="0.2">
      <c r="A66" s="1">
        <v>65</v>
      </c>
      <c r="B66" s="1">
        <v>1</v>
      </c>
      <c r="C66" s="5">
        <f>48437/(184071+812653)</f>
        <v>4.8596201154983726E-2</v>
      </c>
      <c r="D66" s="5">
        <f>((914014/(1+0.03))/(425601/(1+0.043)))*100%</f>
        <v>2.1746896718502216</v>
      </c>
      <c r="E66" s="5">
        <f>(184071+812653)/1045161</f>
        <v>0.95365594391677455</v>
      </c>
      <c r="F66" s="5">
        <f>809407/914014</f>
        <v>0.88555208125914919</v>
      </c>
      <c r="G66" s="5">
        <v>0.27461783192364397</v>
      </c>
      <c r="H66" s="3">
        <f>2214/109463</f>
        <v>2.02260124425605E-2</v>
      </c>
      <c r="I66" s="1">
        <v>1</v>
      </c>
      <c r="J66" s="1">
        <v>1</v>
      </c>
      <c r="K66" s="1">
        <v>0</v>
      </c>
      <c r="L66" s="1">
        <v>1</v>
      </c>
      <c r="M66" s="1">
        <v>1</v>
      </c>
    </row>
    <row r="67" spans="1:14" x14ac:dyDescent="0.2">
      <c r="A67" s="1">
        <v>66</v>
      </c>
      <c r="B67" s="1">
        <v>1</v>
      </c>
      <c r="C67" s="5">
        <f>236/(5137+96992)</f>
        <v>2.3108030040439051E-3</v>
      </c>
      <c r="D67" s="5">
        <f>((179443/(1+0.049))/(741044/(1+0.03)))*100%</f>
        <v>0.23776299491091304</v>
      </c>
      <c r="E67" s="5">
        <f>102365/(5137+96992)</f>
        <v>1.002310803004044</v>
      </c>
      <c r="F67" s="5">
        <f>179290/179443</f>
        <v>0.99914736155770911</v>
      </c>
      <c r="G67" s="5">
        <f>56/278</f>
        <v>0.20143884892086331</v>
      </c>
      <c r="H67" s="3">
        <f>2064/104927</f>
        <v>1.9670818759709132E-2</v>
      </c>
      <c r="I67" s="1">
        <v>1</v>
      </c>
      <c r="J67" s="1">
        <v>1</v>
      </c>
      <c r="K67" s="1">
        <v>1</v>
      </c>
      <c r="L67" s="1">
        <v>1</v>
      </c>
      <c r="M67" s="1">
        <v>0</v>
      </c>
    </row>
    <row r="68" spans="1:14" customFormat="1" x14ac:dyDescent="0.2">
      <c r="A68" s="1">
        <v>67</v>
      </c>
      <c r="B68" s="1">
        <v>0</v>
      </c>
      <c r="C68" s="3">
        <f>974/(2489+67)</f>
        <v>0.3810641627543036</v>
      </c>
      <c r="D68" s="3">
        <f>((4142/(1+0.054))/(4854/(1+0.129)))*100%</f>
        <v>0.91403674193470197</v>
      </c>
      <c r="E68" s="3">
        <f>(2489+64)/3463</f>
        <v>0.73722206179613048</v>
      </c>
      <c r="F68" s="3">
        <v>0</v>
      </c>
      <c r="G68" s="3">
        <f>(248)/4142</f>
        <v>5.9874456784162242E-2</v>
      </c>
      <c r="H68" s="3">
        <f>3313/112445</f>
        <v>2.9463293165547601E-2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/>
    </row>
    <row r="69" spans="1:14" customFormat="1" x14ac:dyDescent="0.2">
      <c r="A69" s="1">
        <v>68</v>
      </c>
      <c r="B69" s="1">
        <v>0</v>
      </c>
      <c r="C69" s="3">
        <f>288/62</f>
        <v>4.645161290322581</v>
      </c>
      <c r="D69" s="3">
        <f>((787/(1+0.054))/(476/(1+0.129)))*100%</f>
        <v>1.7710103965684945</v>
      </c>
      <c r="E69" s="3">
        <f>62/350</f>
        <v>0.17714285714285713</v>
      </c>
      <c r="F69" s="3">
        <f>(714)/787</f>
        <v>0.9072426937738246</v>
      </c>
      <c r="G69" s="3">
        <v>0</v>
      </c>
      <c r="H69" s="3">
        <f>3313/112445</f>
        <v>2.9463293165547601E-2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/>
    </row>
    <row r="70" spans="1:14" customFormat="1" x14ac:dyDescent="0.2">
      <c r="A70" s="1">
        <v>69</v>
      </c>
      <c r="B70" s="1">
        <v>0</v>
      </c>
      <c r="C70" s="3">
        <f>9320/7189</f>
        <v>1.2964250938934483</v>
      </c>
      <c r="D70" s="3">
        <f>((10288/(1+0.054))/(12463/(1+0.129)))*100%</f>
        <v>0.88422276427789825</v>
      </c>
      <c r="E70" s="3">
        <f>7189/16509</f>
        <v>0.4354594463625901</v>
      </c>
      <c r="F70" s="3">
        <f>(8667)/10288</f>
        <v>0.84243779160186627</v>
      </c>
      <c r="G70" s="3">
        <f>0</f>
        <v>0</v>
      </c>
      <c r="H70" s="3">
        <f>3313/112445</f>
        <v>2.9463293165547601E-2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/>
    </row>
    <row r="71" spans="1:14" customFormat="1" x14ac:dyDescent="0.2">
      <c r="A71" s="1">
        <v>70</v>
      </c>
      <c r="B71" s="1">
        <v>0</v>
      </c>
      <c r="C71" s="3">
        <f>223724/(190940+173330)</f>
        <v>0.61417080736816099</v>
      </c>
      <c r="D71" s="3">
        <f>((656031/(1+0.049))/(812646/(1+0.03)))*100%</f>
        <v>0.79265589977657913</v>
      </c>
      <c r="E71" s="3">
        <f>(190940+173330)/587995</f>
        <v>0.61951207068087311</v>
      </c>
      <c r="F71" s="3">
        <f>(582527)/656031</f>
        <v>0.88795651425008881</v>
      </c>
      <c r="G71" s="3">
        <f>(206)/991</f>
        <v>0.20787083753784055</v>
      </c>
      <c r="H71" s="3">
        <f>2526/104927</f>
        <v>2.4073879935574256E-2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/>
    </row>
    <row r="72" spans="1:14" customFormat="1" x14ac:dyDescent="0.2">
      <c r="A72" s="1">
        <v>71</v>
      </c>
      <c r="B72" s="1">
        <v>0</v>
      </c>
      <c r="C72" s="3">
        <f>36/23</f>
        <v>1.5652173913043479</v>
      </c>
      <c r="D72" s="3">
        <f>((1268/(1+0.049))/(1383/(1+0.03)))*100%</f>
        <v>0.9002410449093482</v>
      </c>
      <c r="E72" s="3">
        <f>21/117</f>
        <v>0.17948717948717949</v>
      </c>
      <c r="F72" s="3">
        <f>(1065)/1268</f>
        <v>0.83990536277602523</v>
      </c>
      <c r="G72" s="3">
        <v>0</v>
      </c>
      <c r="H72" s="3">
        <f>2526/104927</f>
        <v>2.4073879935574256E-2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/>
    </row>
    <row r="73" spans="1:14" customFormat="1" x14ac:dyDescent="0.2">
      <c r="A73" s="1">
        <v>72</v>
      </c>
      <c r="B73" s="1">
        <v>0</v>
      </c>
      <c r="C73" s="3">
        <f>12186/8026</f>
        <v>1.5183154747072016</v>
      </c>
      <c r="D73" s="3">
        <f>((322764/(1+0.043))/(300646/(1+0.025)))*100%</f>
        <v>1.0550407056038977</v>
      </c>
      <c r="E73" s="3">
        <f>8026/60212</f>
        <v>0.13329568856706303</v>
      </c>
      <c r="F73" s="3">
        <f>(248665)/322764</f>
        <v>0.77042359123074444</v>
      </c>
      <c r="G73" s="3">
        <v>0</v>
      </c>
      <c r="H73" s="5">
        <f>2574/105087</f>
        <v>2.4493990693425449E-2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/>
    </row>
    <row r="74" spans="1:14" customFormat="1" x14ac:dyDescent="0.2">
      <c r="A74" s="1">
        <v>73</v>
      </c>
      <c r="B74" s="1">
        <v>0</v>
      </c>
      <c r="C74" s="3">
        <f>108/278</f>
        <v>0.38848920863309355</v>
      </c>
      <c r="D74" s="3">
        <f>((122/(1+0.043))/(394/(1+0.025)))*100%</f>
        <v>0.30430085024163994</v>
      </c>
      <c r="E74" s="3">
        <f>278/385</f>
        <v>0.7220779220779221</v>
      </c>
      <c r="F74" s="3">
        <f>(61)/122</f>
        <v>0.5</v>
      </c>
      <c r="G74" s="3">
        <f>0</f>
        <v>0</v>
      </c>
      <c r="H74" s="5">
        <f>2574/105087</f>
        <v>2.4493990693425449E-2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/>
    </row>
    <row r="75" spans="1:14" customFormat="1" x14ac:dyDescent="0.2">
      <c r="A75" s="1">
        <v>74</v>
      </c>
      <c r="B75" s="1">
        <v>0</v>
      </c>
      <c r="C75" s="3">
        <f>1875/1527</f>
        <v>1.2278978388998036</v>
      </c>
      <c r="D75" s="3">
        <f>((1689/(1+0.03))/(540/(1+0.043)))*100%</f>
        <v>3.1672545846817686</v>
      </c>
      <c r="E75" s="3">
        <f>1527/3402</f>
        <v>0.44885361552028219</v>
      </c>
      <c r="F75" s="3">
        <f>(1240)/1689</f>
        <v>0.73416222616933091</v>
      </c>
      <c r="G75" s="3">
        <f>0</f>
        <v>0</v>
      </c>
      <c r="H75" s="3">
        <f>1483/109463</f>
        <v>1.3547956843865051E-2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/>
    </row>
    <row r="76" spans="1:14" customFormat="1" x14ac:dyDescent="0.2">
      <c r="A76" s="1">
        <v>75</v>
      </c>
      <c r="B76" s="1">
        <v>0</v>
      </c>
      <c r="C76" s="3">
        <f>1.71326164874552</f>
        <v>1.7132616487455199</v>
      </c>
      <c r="D76" s="3">
        <f>((10904/(1+0.03))/(125940/(1+0.043)))*100%</f>
        <v>8.767368033167279E-2</v>
      </c>
      <c r="E76" s="3">
        <f>558/5956</f>
        <v>9.3687038280725318E-2</v>
      </c>
      <c r="F76" s="3">
        <f>(10303)/10904</f>
        <v>0.94488261188554656</v>
      </c>
      <c r="G76" s="3">
        <f>0</f>
        <v>0</v>
      </c>
      <c r="H76" s="3">
        <f>1483/109463</f>
        <v>1.3547956843865051E-2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/>
    </row>
    <row r="77" spans="1:14" customFormat="1" x14ac:dyDescent="0.2">
      <c r="A77" s="1">
        <v>76</v>
      </c>
      <c r="B77" s="1">
        <v>0</v>
      </c>
      <c r="C77" s="3">
        <f>1235/(2806+623)</f>
        <v>0.36016331291921844</v>
      </c>
      <c r="D77" s="3">
        <f>((6420/(1+0.054))/(7996/(1+0.129)))*100%</f>
        <v>0.86003390689652226</v>
      </c>
      <c r="E77" s="3">
        <f>(623+2806)/4664</f>
        <v>0.73520583190394506</v>
      </c>
      <c r="F77" s="3">
        <f>(6360)/6420</f>
        <v>0.99065420560747663</v>
      </c>
      <c r="G77" s="3">
        <v>0</v>
      </c>
      <c r="H77" s="3">
        <f>802/112445</f>
        <v>7.1323758281826672E-3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/>
    </row>
    <row r="78" spans="1:14" customFormat="1" x14ac:dyDescent="0.2">
      <c r="A78" s="1">
        <v>77</v>
      </c>
      <c r="B78" s="1">
        <v>0</v>
      </c>
      <c r="C78" s="3">
        <f>170135/110752</f>
        <v>1.5361799335452182</v>
      </c>
      <c r="D78" s="3">
        <f>((482885/(1+0.054))/(381497/(1+0.129)))*100%</f>
        <v>1.35583212213143</v>
      </c>
      <c r="E78" s="3">
        <f>110752/380887</f>
        <v>0.29077390407128623</v>
      </c>
      <c r="F78" s="3">
        <f>(466578)/482885</f>
        <v>0.96623005477494639</v>
      </c>
      <c r="G78" s="3">
        <f>0</f>
        <v>0</v>
      </c>
      <c r="H78" s="3">
        <f>802/112445</f>
        <v>7.1323758281826672E-3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/>
    </row>
    <row r="79" spans="1:14" customFormat="1" x14ac:dyDescent="0.2">
      <c r="A79" s="1">
        <v>78</v>
      </c>
      <c r="B79" s="1">
        <v>0</v>
      </c>
      <c r="C79" s="3">
        <f>1.14211920529801</f>
        <v>1.14211920529801</v>
      </c>
      <c r="D79" s="3">
        <f>((9494/(1+0.03))/(9108/(1+0.043)))*100%</f>
        <v>1.055536581518008</v>
      </c>
      <c r="E79" s="3">
        <f>755/12073</f>
        <v>6.2536237886192336E-2</v>
      </c>
      <c r="F79" s="3">
        <f>(1291)/9494</f>
        <v>0.13598061933852959</v>
      </c>
      <c r="G79" s="3">
        <v>0</v>
      </c>
      <c r="H79" s="3">
        <f>3688/109463</f>
        <v>3.3691749723650917E-2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/>
    </row>
    <row r="80" spans="1:14" customFormat="1" x14ac:dyDescent="0.2">
      <c r="A80" s="1">
        <v>79</v>
      </c>
      <c r="B80" s="1">
        <v>0</v>
      </c>
      <c r="C80" s="3">
        <f>6087/-(475)/10</f>
        <v>-1.2814736842105263</v>
      </c>
      <c r="D80" s="3">
        <f>((2818/(1+0.03))/(5830/(1+0.043)))*100%</f>
        <v>0.48946260553880994</v>
      </c>
      <c r="E80" s="3">
        <f>(475)/5612</f>
        <v>8.4640057020669998E-2</v>
      </c>
      <c r="F80" s="3">
        <f>(1813)/2818</f>
        <v>0.64336408800567779</v>
      </c>
      <c r="G80" s="3">
        <f>6/29</f>
        <v>0.20689655172413793</v>
      </c>
      <c r="H80" s="3">
        <f>3688/109463</f>
        <v>3.3691749723650917E-2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/>
    </row>
    <row r="81" spans="1:14" customFormat="1" x14ac:dyDescent="0.2">
      <c r="A81" s="1">
        <v>80</v>
      </c>
      <c r="B81" s="1">
        <v>0</v>
      </c>
      <c r="C81" s="3">
        <f>34872/(27814+800)</f>
        <v>1.2187041308450408</v>
      </c>
      <c r="D81" s="3">
        <v>0</v>
      </c>
      <c r="E81" s="3">
        <f>(800+27814)/63486</f>
        <v>0.4507135431433702</v>
      </c>
      <c r="F81" s="3">
        <f>0</f>
        <v>0</v>
      </c>
      <c r="G81" s="3">
        <v>0</v>
      </c>
      <c r="H81" s="5">
        <f>2762/105087</f>
        <v>2.6282984574685735E-2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/>
    </row>
    <row r="82" spans="1:14" customFormat="1" x14ac:dyDescent="0.2">
      <c r="A82" s="1">
        <v>81</v>
      </c>
      <c r="B82" s="1">
        <v>0</v>
      </c>
      <c r="C82" s="3">
        <f>17419/9295</f>
        <v>1.8740182894029047</v>
      </c>
      <c r="D82" s="3">
        <f>((420640/(1+0.043))/(432595/(1+0.025)))*100%</f>
        <v>0.95558347366481067</v>
      </c>
      <c r="E82" s="3">
        <f>9295/36714</f>
        <v>0.25317317644495285</v>
      </c>
      <c r="F82" s="3">
        <f>(386269)/420640</f>
        <v>0.91828879802206165</v>
      </c>
      <c r="G82" s="3">
        <f>(4848-3778)/4848</f>
        <v>0.2207095709570957</v>
      </c>
      <c r="H82" s="5">
        <f>2762/105087</f>
        <v>2.6282984574685735E-2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/>
    </row>
    <row r="83" spans="1:14" customFormat="1" x14ac:dyDescent="0.2">
      <c r="A83" s="1">
        <v>82</v>
      </c>
      <c r="B83" s="1">
        <v>0</v>
      </c>
      <c r="C83" s="3">
        <f>15068/(11313+2700)</f>
        <v>1.0752872332833798</v>
      </c>
      <c r="D83" s="3">
        <f>((318951/(1+0.049))/(236430/(1+0.03)))*100%</f>
        <v>1.3245950336808165</v>
      </c>
      <c r="E83" s="3">
        <f>(11313+2700)/29081</f>
        <v>0.48186100890615868</v>
      </c>
      <c r="F83" s="3">
        <f>(302699)/318951</f>
        <v>0.9490454646638512</v>
      </c>
      <c r="G83" s="3">
        <f>(1581)/7908</f>
        <v>0.19992412746585736</v>
      </c>
      <c r="H83" s="3">
        <f>724/104927</f>
        <v>6.9000352626111486E-3</v>
      </c>
      <c r="I83" s="1">
        <v>0</v>
      </c>
      <c r="J83" s="1">
        <v>1</v>
      </c>
      <c r="K83" s="1">
        <v>1</v>
      </c>
      <c r="L83" s="1">
        <v>0</v>
      </c>
      <c r="M83" s="1">
        <v>0</v>
      </c>
      <c r="N83" s="1"/>
    </row>
    <row r="84" spans="1:14" customFormat="1" x14ac:dyDescent="0.2">
      <c r="A84" s="1">
        <v>83</v>
      </c>
      <c r="B84" s="1">
        <v>0</v>
      </c>
      <c r="C84" s="3">
        <f>8592/(8927+3415)</f>
        <v>0.69615945551774427</v>
      </c>
      <c r="D84" s="3">
        <f>((70749/(1+0.049))/(77471/(1+0.03)))*100%</f>
        <v>0.8966911435318109</v>
      </c>
      <c r="E84" s="3">
        <f>(8927+3415)/20934</f>
        <v>0.58956721123531097</v>
      </c>
      <c r="F84" s="3">
        <f>(63436)/70749</f>
        <v>0.89663458140751107</v>
      </c>
      <c r="G84" s="3">
        <f>(52)/264</f>
        <v>0.19696969696969696</v>
      </c>
      <c r="H84" s="3">
        <f>724/104927</f>
        <v>6.9000352626111486E-3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/>
    </row>
    <row r="85" spans="1:14" customFormat="1" x14ac:dyDescent="0.2">
      <c r="A85" s="1">
        <v>84</v>
      </c>
      <c r="B85" s="1">
        <v>0</v>
      </c>
      <c r="C85" s="3">
        <f>20228/(57436+131)</f>
        <v>0.35138186808414545</v>
      </c>
      <c r="D85" s="3">
        <f>((118693/(1+0.049))/(179643/(1+0.03)))*100%</f>
        <v>0.64874876533936154</v>
      </c>
      <c r="E85" s="3">
        <f>(57436+131)/77795</f>
        <v>0.73998328941448677</v>
      </c>
      <c r="F85" s="3">
        <f>(111998)/118693</f>
        <v>0.9435939777408946</v>
      </c>
      <c r="G85" s="3">
        <f>(3133)/7497</f>
        <v>0.41790049353074565</v>
      </c>
      <c r="H85" s="3">
        <f>724/104927</f>
        <v>6.9000352626111486E-3</v>
      </c>
      <c r="I85" s="1">
        <v>0</v>
      </c>
      <c r="J85" s="1">
        <v>1</v>
      </c>
      <c r="K85" s="1">
        <v>1</v>
      </c>
      <c r="L85" s="1">
        <v>0</v>
      </c>
      <c r="M85" s="1">
        <v>0</v>
      </c>
      <c r="N85" s="1"/>
    </row>
    <row r="86" spans="1:14" customFormat="1" x14ac:dyDescent="0.2">
      <c r="A86" s="1">
        <v>85</v>
      </c>
      <c r="B86" s="1">
        <v>0</v>
      </c>
      <c r="C86" s="3">
        <f>35987/(31443+57301)</f>
        <v>0.4055147390246101</v>
      </c>
      <c r="D86" s="3">
        <f>((115501/(1+0.03))/(41422/(1+0.043)))*100%</f>
        <v>2.8235908360690085</v>
      </c>
      <c r="E86" s="3">
        <f>(57301+31443)/124731</f>
        <v>0.71148311165628431</v>
      </c>
      <c r="F86" s="3">
        <f>(97720)/115501</f>
        <v>0.84605328092397469</v>
      </c>
      <c r="G86" s="3">
        <f>(545)/2904</f>
        <v>0.18767217630853994</v>
      </c>
      <c r="H86" s="3">
        <f>917/109463</f>
        <v>8.3772598960379311E-3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/>
    </row>
    <row r="87" spans="1:14" customFormat="1" x14ac:dyDescent="0.2">
      <c r="A87" s="1">
        <v>86</v>
      </c>
      <c r="B87" s="1">
        <v>0</v>
      </c>
      <c r="C87" s="3">
        <f>-(8551)/10931</f>
        <v>-0.78227060653188185</v>
      </c>
      <c r="D87" s="3">
        <f>((1168/(1+0.03))/(1421/(1+0.043)))*100%</f>
        <v>0.8323305753503274</v>
      </c>
      <c r="E87" s="3">
        <f>2380/10931</f>
        <v>0.2177293934681182</v>
      </c>
      <c r="F87" s="3">
        <f>(1138)/1168</f>
        <v>0.97431506849315064</v>
      </c>
      <c r="G87" s="3">
        <f>0</f>
        <v>0</v>
      </c>
      <c r="H87" s="3">
        <f>917/109463</f>
        <v>8.3772598960379311E-3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/>
    </row>
    <row r="88" spans="1:14" customFormat="1" x14ac:dyDescent="0.2">
      <c r="A88" s="1">
        <v>87</v>
      </c>
      <c r="B88" s="1">
        <v>0</v>
      </c>
      <c r="C88" s="3">
        <f>-(4918)/(802+9012)</f>
        <v>-0.50112084776849397</v>
      </c>
      <c r="D88" s="3">
        <f>((3064/(1+0.03))/(5830/(1+0.043)))*100%</f>
        <v>0.53219071091941572</v>
      </c>
      <c r="E88" s="3">
        <f>4896/(9012+802)</f>
        <v>0.49887915223150603</v>
      </c>
      <c r="F88" s="3">
        <f>(1640)/3064</f>
        <v>0.53524804177545693</v>
      </c>
      <c r="G88" s="3">
        <f>21/659</f>
        <v>3.1866464339908952E-2</v>
      </c>
      <c r="H88" s="3">
        <f>917/109463</f>
        <v>8.3772598960379311E-3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/>
    </row>
    <row r="89" spans="1:14" customFormat="1" x14ac:dyDescent="0.2">
      <c r="A89" s="1">
        <v>88</v>
      </c>
      <c r="B89" s="1">
        <v>0</v>
      </c>
      <c r="C89" s="3">
        <f>4260/31603</f>
        <v>0.13479732936746511</v>
      </c>
      <c r="D89" s="3">
        <f>((39479/(1+0.049))/(29077/(1+0.03)))*100%</f>
        <v>1.333147748493178</v>
      </c>
      <c r="E89" s="3">
        <f>31603/35863</f>
        <v>0.88121462231268999</v>
      </c>
      <c r="F89" s="3">
        <f>(35775)/39479</f>
        <v>0.90617796803363815</v>
      </c>
      <c r="G89" s="3">
        <f>(213)/1067</f>
        <v>0.19962511715089035</v>
      </c>
      <c r="H89" s="3">
        <f>724/104927</f>
        <v>6.9000352626111486E-3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/>
    </row>
    <row r="90" spans="1:14" customFormat="1" x14ac:dyDescent="0.2">
      <c r="A90" s="1">
        <v>89</v>
      </c>
      <c r="B90" s="1">
        <v>0</v>
      </c>
      <c r="C90" s="3">
        <f>78651/(166562+504)</f>
        <v>0.470778015873966</v>
      </c>
      <c r="D90" s="3">
        <f>((614134/(1+0.49))/(481258/(1+0.03)))*100%</f>
        <v>0.88213719853512551</v>
      </c>
      <c r="E90" s="3">
        <f>(166562+504)/245717</f>
        <v>0.67991225678320999</v>
      </c>
      <c r="F90" s="3">
        <f>(565828)/614134</f>
        <v>0.92134289910670963</v>
      </c>
      <c r="G90" s="3">
        <f>(2987)/12087</f>
        <v>0.24712501034168941</v>
      </c>
      <c r="H90" s="3">
        <f>724/104927</f>
        <v>6.9000352626111486E-3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/>
    </row>
    <row r="91" spans="1:14" customFormat="1" x14ac:dyDescent="0.2">
      <c r="A91" s="1">
        <v>90</v>
      </c>
      <c r="B91" s="1">
        <v>0</v>
      </c>
      <c r="C91" s="3">
        <f>7556/5844</f>
        <v>1.2929500342231348</v>
      </c>
      <c r="D91" s="3">
        <f>((54716/(1+0.049))/(42067/(1+0^3)))*100%</f>
        <v>1.2399304092570291</v>
      </c>
      <c r="E91" s="3">
        <f>5844/13400</f>
        <v>0.43611940298507462</v>
      </c>
      <c r="F91" s="3">
        <f>(30894)/54716</f>
        <v>0.56462460706191975</v>
      </c>
      <c r="G91" s="3">
        <f>(2480)/11695</f>
        <v>0.21205643437366395</v>
      </c>
      <c r="H91" s="3">
        <f>724/104927</f>
        <v>6.9000352626111486E-3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/>
    </row>
    <row r="92" spans="1:14" customFormat="1" x14ac:dyDescent="0.2">
      <c r="A92" s="1">
        <v>91</v>
      </c>
      <c r="B92" s="1">
        <v>0</v>
      </c>
      <c r="C92" s="3">
        <f>1239/1003</f>
        <v>1.2352941176470589</v>
      </c>
      <c r="D92" s="3">
        <f>((35056/(1+0.129))/(32613/(1+0.1135)))*100%</f>
        <v>1.0601513951206565</v>
      </c>
      <c r="E92" s="3">
        <f>1003/45242</f>
        <v>2.2169665355200919E-2</v>
      </c>
      <c r="F92" s="3">
        <f>(27609)/35056</f>
        <v>0.7875684618895481</v>
      </c>
      <c r="G92" s="3">
        <f>0</f>
        <v>0</v>
      </c>
      <c r="H92" s="3">
        <f>2449/107797</f>
        <v>2.2718628533261592E-2</v>
      </c>
      <c r="I92" s="1">
        <v>0</v>
      </c>
      <c r="J92" s="1">
        <v>1</v>
      </c>
      <c r="K92" s="1">
        <v>1</v>
      </c>
      <c r="L92" s="1">
        <v>0</v>
      </c>
      <c r="M92" s="1">
        <v>0</v>
      </c>
      <c r="N92" s="1"/>
    </row>
    <row r="93" spans="1:14" customFormat="1" x14ac:dyDescent="0.2">
      <c r="A93" s="1">
        <v>92</v>
      </c>
      <c r="B93" s="1">
        <v>0</v>
      </c>
      <c r="C93" s="3">
        <f>3110/7343</f>
        <v>0.42353261609696308</v>
      </c>
      <c r="D93" s="3">
        <f>((15240/(1+0.129))/(20170/(1+0.1135)))*100%</f>
        <v>0.74520429318024428</v>
      </c>
      <c r="E93" s="3">
        <f>7343/38453</f>
        <v>0.19096039320729202</v>
      </c>
      <c r="F93" s="3">
        <f>(11093)/15240</f>
        <v>0.7278871391076116</v>
      </c>
      <c r="G93" s="3">
        <f>(384)/516</f>
        <v>0.7441860465116279</v>
      </c>
      <c r="H93" s="3">
        <f>2449/107797</f>
        <v>2.2718628533261592E-2</v>
      </c>
      <c r="I93" s="1">
        <v>0</v>
      </c>
      <c r="J93" s="1">
        <v>0</v>
      </c>
      <c r="K93" s="1">
        <v>1</v>
      </c>
      <c r="L93" s="1">
        <v>1</v>
      </c>
      <c r="M93" s="1">
        <v>0</v>
      </c>
      <c r="N93" s="1"/>
    </row>
    <row r="94" spans="1:14" customFormat="1" x14ac:dyDescent="0.2">
      <c r="A94" s="1">
        <v>93</v>
      </c>
      <c r="B94" s="1">
        <v>0</v>
      </c>
      <c r="C94" s="3">
        <f>17489/180000</f>
        <v>9.7161111111111115E-2</v>
      </c>
      <c r="D94" s="3">
        <f>((21094/(1+0.03))/(19870/(1+0.043)))*100%</f>
        <v>1.0749992426500408</v>
      </c>
      <c r="E94" s="3">
        <f>180/17669</f>
        <v>1.0187333748372857E-2</v>
      </c>
      <c r="F94" s="3">
        <f>(16416)/21094</f>
        <v>0.77823077652413009</v>
      </c>
      <c r="G94" s="3">
        <f>48/2783</f>
        <v>1.7247574559827523E-2</v>
      </c>
      <c r="H94" s="3">
        <f>2214/109463</f>
        <v>2.02260124425605E-2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  <c r="N94" s="1"/>
    </row>
    <row r="95" spans="1:14" customFormat="1" x14ac:dyDescent="0.2">
      <c r="A95" s="1">
        <v>94</v>
      </c>
      <c r="B95" s="1">
        <v>0</v>
      </c>
      <c r="C95" s="3">
        <f>-(447)/(283+274)</f>
        <v>-0.80251346499102338</v>
      </c>
      <c r="D95" s="3">
        <v>0</v>
      </c>
      <c r="E95" s="3">
        <f>110/(274+283)</f>
        <v>0.19748653500897667</v>
      </c>
      <c r="F95" s="3">
        <v>0</v>
      </c>
      <c r="G95" s="3">
        <v>0</v>
      </c>
      <c r="H95" s="3">
        <f>2214/109463</f>
        <v>2.02260124425605E-2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/>
    </row>
    <row r="96" spans="1:14" customFormat="1" x14ac:dyDescent="0.2">
      <c r="A96" s="1">
        <v>95</v>
      </c>
      <c r="B96" s="1">
        <v>0</v>
      </c>
      <c r="C96" s="3">
        <f>47093/(70462+186977)</f>
        <v>0.18292877147596129</v>
      </c>
      <c r="D96" s="3">
        <f>((181/(1+0.0839))/(467/(1+0.049)))*100%</f>
        <v>0.37510077910819695</v>
      </c>
      <c r="E96" s="3">
        <f>(186977+70462)/304531</f>
        <v>0.8453622127139766</v>
      </c>
      <c r="F96" s="3">
        <f>149/181</f>
        <v>0.82320441988950277</v>
      </c>
      <c r="G96" s="3">
        <f>(10)/(10+41)</f>
        <v>0.19607843137254902</v>
      </c>
      <c r="H96" s="3">
        <f>730/105480</f>
        <v>6.920743268866136E-3</v>
      </c>
      <c r="I96" s="1">
        <v>1</v>
      </c>
      <c r="J96" s="1">
        <v>0</v>
      </c>
      <c r="K96" s="1">
        <v>1</v>
      </c>
      <c r="L96" s="1">
        <v>0</v>
      </c>
      <c r="M96" s="1">
        <v>0</v>
      </c>
      <c r="N96" s="1"/>
    </row>
    <row r="97" spans="1:14" customFormat="1" x14ac:dyDescent="0.2">
      <c r="A97" s="1">
        <v>96</v>
      </c>
      <c r="B97" s="1">
        <v>0</v>
      </c>
      <c r="C97" s="3">
        <f>12205/(8324+7041)</f>
        <v>0.79433778067035465</v>
      </c>
      <c r="D97" s="3">
        <f>((3876/(1+0.0839))/(2014/(1+0^49)))*100%</f>
        <v>1.7755589093890509</v>
      </c>
      <c r="E97" s="3">
        <f>(8324+7041)/27570</f>
        <v>0.55730866884294528</v>
      </c>
      <c r="F97" s="3">
        <f>(2303)/3876</f>
        <v>0.59416924664602688</v>
      </c>
      <c r="G97" s="3">
        <f>(136)/214</f>
        <v>0.63551401869158874</v>
      </c>
      <c r="H97" s="3">
        <f>730/105480</f>
        <v>6.920743268866136E-3</v>
      </c>
      <c r="I97" s="1">
        <v>1</v>
      </c>
      <c r="J97" s="1">
        <v>1</v>
      </c>
      <c r="K97" s="1">
        <v>1</v>
      </c>
      <c r="L97" s="1">
        <v>0</v>
      </c>
      <c r="M97" s="1">
        <v>0</v>
      </c>
      <c r="N97" s="1"/>
    </row>
    <row r="98" spans="1:14" customFormat="1" x14ac:dyDescent="0.2">
      <c r="A98" s="1">
        <v>97</v>
      </c>
      <c r="B98" s="1">
        <v>0</v>
      </c>
      <c r="C98" s="3">
        <f>870/1980</f>
        <v>0.43939393939393939</v>
      </c>
      <c r="D98" s="3">
        <f>((7789/(1+0.043))/(3436/(1+0.025)))*100%</f>
        <v>2.2277584807860373</v>
      </c>
      <c r="E98" s="3">
        <f>1980/2850</f>
        <v>0.69473684210526321</v>
      </c>
      <c r="F98" s="3">
        <f>(7462)/7789</f>
        <v>0.95801771729361918</v>
      </c>
      <c r="G98" s="3">
        <f>46/229</f>
        <v>0.20087336244541484</v>
      </c>
      <c r="H98" s="3">
        <f>1598/105087</f>
        <v>1.5206447990712458E-2</v>
      </c>
      <c r="I98" s="1">
        <v>1</v>
      </c>
      <c r="J98" s="1">
        <v>1</v>
      </c>
      <c r="K98" s="1">
        <v>0</v>
      </c>
      <c r="L98" s="1">
        <v>0</v>
      </c>
      <c r="M98" s="1">
        <v>0</v>
      </c>
      <c r="N98" s="1"/>
    </row>
    <row r="99" spans="1:14" customFormat="1" x14ac:dyDescent="0.2">
      <c r="A99" s="1">
        <v>98</v>
      </c>
      <c r="B99" s="1">
        <v>0</v>
      </c>
      <c r="C99" s="3">
        <f>66/1120</f>
        <v>5.8928571428571427E-2</v>
      </c>
      <c r="D99" s="3">
        <f>((3732/(1+0.043))/(3974/(1+0.025)))*100%</f>
        <v>0.92289720189863056</v>
      </c>
      <c r="E99" s="3">
        <f>1120/1186</f>
        <v>0.94435075885328834</v>
      </c>
      <c r="F99" s="3">
        <f>(3418)/3732</f>
        <v>0.91586280814576637</v>
      </c>
      <c r="G99" s="3">
        <f>16/50</f>
        <v>0.32</v>
      </c>
      <c r="H99" s="3">
        <f>1598/105087</f>
        <v>1.5206447990712458E-2</v>
      </c>
      <c r="I99" s="1">
        <v>1</v>
      </c>
      <c r="J99" s="1">
        <v>1</v>
      </c>
      <c r="K99" s="1">
        <v>0</v>
      </c>
      <c r="L99" s="1">
        <v>1</v>
      </c>
      <c r="M99" s="1">
        <v>0</v>
      </c>
      <c r="N99" s="1"/>
    </row>
    <row r="100" spans="1:14" customFormat="1" x14ac:dyDescent="0.2">
      <c r="A100" s="1">
        <v>99</v>
      </c>
      <c r="B100" s="1">
        <v>0</v>
      </c>
      <c r="C100" s="3">
        <v>1</v>
      </c>
      <c r="D100" s="3">
        <v>1</v>
      </c>
      <c r="E100" s="3">
        <v>1</v>
      </c>
      <c r="F100" s="3">
        <f>41/50</f>
        <v>0.82</v>
      </c>
      <c r="G100" s="3">
        <f>2/9</f>
        <v>0.22222222222222221</v>
      </c>
      <c r="H100" s="3">
        <f>2064/104927</f>
        <v>1.9670818759709132E-2</v>
      </c>
      <c r="I100" s="1">
        <v>1</v>
      </c>
      <c r="J100" s="1">
        <v>1</v>
      </c>
      <c r="K100" s="1">
        <v>0</v>
      </c>
      <c r="L100" s="1">
        <v>0</v>
      </c>
      <c r="M100" s="1">
        <v>0</v>
      </c>
      <c r="N100" s="1"/>
    </row>
    <row r="101" spans="1:14" customFormat="1" x14ac:dyDescent="0.2">
      <c r="A101" s="1">
        <v>100</v>
      </c>
      <c r="B101" s="1">
        <v>0</v>
      </c>
      <c r="C101" s="3">
        <f>25039/(12749+957)</f>
        <v>1.8268641470888662</v>
      </c>
      <c r="D101" s="3">
        <v>-1</v>
      </c>
      <c r="E101" s="3">
        <f>(12749+957)/68745</f>
        <v>0.19937449996363371</v>
      </c>
      <c r="F101" s="3">
        <f>0</f>
        <v>0</v>
      </c>
      <c r="G101" s="3">
        <f>(722)/4482</f>
        <v>0.16108879964301651</v>
      </c>
      <c r="H101" s="3">
        <f>2064/104927</f>
        <v>1.9670818759709132E-2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/>
    </row>
    <row r="102" spans="1:14" customFormat="1" x14ac:dyDescent="0.2">
      <c r="A102" s="1">
        <v>101</v>
      </c>
      <c r="B102" s="1">
        <v>0</v>
      </c>
      <c r="C102" s="3">
        <f>1641/1034</f>
        <v>1.5870406189555126</v>
      </c>
      <c r="D102" s="3">
        <f>((41492/(1+0.1135))/(25732/(1+0.065)))*100%</f>
        <v>1.5422337854228985</v>
      </c>
      <c r="E102" s="3">
        <f>1034/2675</f>
        <v>0.38654205607476638</v>
      </c>
      <c r="F102" s="3">
        <f>(2716)/25732</f>
        <v>0.10554951033732318</v>
      </c>
      <c r="G102" s="3">
        <f>(229)/20145</f>
        <v>1.1367585008687019E-2</v>
      </c>
      <c r="H102" s="3">
        <f>961/141229</f>
        <v>6.8045514731393695E-3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/>
    </row>
    <row r="103" spans="1:14" customFormat="1" x14ac:dyDescent="0.2">
      <c r="A103" s="1">
        <v>102</v>
      </c>
      <c r="B103" s="1">
        <v>0</v>
      </c>
      <c r="C103" s="3">
        <f>1.33333333333333</f>
        <v>1.3333333333333299</v>
      </c>
      <c r="D103" s="3">
        <f>((9218/(1+0.1135))/(8856/(1+0.065)))*100%</f>
        <v>0.99553946819216732</v>
      </c>
      <c r="E103" s="3">
        <f>438/1146</f>
        <v>0.38219895287958117</v>
      </c>
      <c r="F103" s="3">
        <f>(8967)/9218</f>
        <v>0.97277066608808849</v>
      </c>
      <c r="G103" s="3">
        <f>1/57</f>
        <v>1.7543859649122806E-2</v>
      </c>
      <c r="H103" s="3">
        <f>961/141229</f>
        <v>6.8045514731393695E-3</v>
      </c>
      <c r="I103" s="1">
        <v>1</v>
      </c>
      <c r="J103" s="1">
        <v>1</v>
      </c>
      <c r="K103" s="1">
        <v>0</v>
      </c>
      <c r="L103" s="1">
        <v>0</v>
      </c>
      <c r="M103" s="1">
        <v>0</v>
      </c>
      <c r="N103" s="1"/>
    </row>
    <row r="104" spans="1:14" customFormat="1" x14ac:dyDescent="0.2">
      <c r="A104" s="1">
        <v>103</v>
      </c>
      <c r="B104" s="1">
        <v>0</v>
      </c>
      <c r="C104" s="3">
        <f>(323)/(142+195+145)</f>
        <v>0.67012448132780078</v>
      </c>
      <c r="D104" s="3">
        <f>((70/(1+0.054))/(5040/(1+0.129)))*100%</f>
        <v>1.4877187434113429E-2</v>
      </c>
      <c r="E104" s="3">
        <f>159/(142+195+145)</f>
        <v>0.32987551867219916</v>
      </c>
      <c r="F104" s="3">
        <v>0</v>
      </c>
      <c r="G104" s="3">
        <f>3/8</f>
        <v>0.375</v>
      </c>
      <c r="H104" s="3">
        <f>441/112445</f>
        <v>3.9219173818311175E-3</v>
      </c>
      <c r="I104" s="1">
        <v>1</v>
      </c>
      <c r="J104" s="1">
        <v>1</v>
      </c>
      <c r="K104" s="1">
        <v>0</v>
      </c>
      <c r="L104" s="1">
        <v>0</v>
      </c>
      <c r="M104" s="1">
        <v>0</v>
      </c>
      <c r="N104" s="1"/>
    </row>
    <row r="105" spans="1:14" customFormat="1" x14ac:dyDescent="0.2">
      <c r="A105" s="1">
        <v>104</v>
      </c>
      <c r="B105" s="1">
        <v>0</v>
      </c>
      <c r="C105" s="3">
        <f>7120/8824</f>
        <v>0.80689029918404354</v>
      </c>
      <c r="D105" s="3">
        <f>((37102/(1+0.054))/(40690/(1+0.129)))*100%</f>
        <v>0.97670399088214077</v>
      </c>
      <c r="E105" s="3">
        <f>8824/15944</f>
        <v>0.55343702960361263</v>
      </c>
      <c r="F105" s="3">
        <f>(34505)/37102</f>
        <v>0.93000377338148887</v>
      </c>
      <c r="G105" s="3">
        <f>(988)/2550</f>
        <v>0.38745098039215686</v>
      </c>
      <c r="H105" s="3">
        <f>441/112445</f>
        <v>3.9219173818311175E-3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/>
    </row>
    <row r="106" spans="1:14" customFormat="1" x14ac:dyDescent="0.2">
      <c r="A106" s="1">
        <v>105</v>
      </c>
      <c r="B106" s="1">
        <v>0</v>
      </c>
      <c r="C106" s="3">
        <f>6657/4065</f>
        <v>1.6376383763837639</v>
      </c>
      <c r="D106" s="3">
        <f>((21482/(1+0.054))/(16967/(1+0.129)))*100%</f>
        <v>1.3561976373603453</v>
      </c>
      <c r="E106" s="3">
        <f>4065/10722</f>
        <v>0.37912702853945157</v>
      </c>
      <c r="F106" s="3">
        <f>(16352)/21482</f>
        <v>0.76119541942091051</v>
      </c>
      <c r="G106" s="3">
        <v>0</v>
      </c>
      <c r="H106" s="3">
        <f>1033/112445</f>
        <v>9.1867135043799189E-3</v>
      </c>
      <c r="I106" s="1">
        <v>1</v>
      </c>
      <c r="J106" s="1">
        <v>1</v>
      </c>
      <c r="K106" s="1">
        <v>0</v>
      </c>
      <c r="L106" s="1">
        <v>0</v>
      </c>
      <c r="M106" s="1">
        <v>0</v>
      </c>
      <c r="N106" s="1"/>
    </row>
    <row r="107" spans="1:14" customFormat="1" x14ac:dyDescent="0.2">
      <c r="A107" s="1">
        <v>106</v>
      </c>
      <c r="B107" s="1">
        <v>0</v>
      </c>
      <c r="C107" s="3">
        <f>1.403</f>
        <v>1.403</v>
      </c>
      <c r="D107" s="3">
        <f>((4997/(1+0.054))/(6201/(1+0.129)))*100%</f>
        <v>0.86317916526287153</v>
      </c>
      <c r="E107" s="3">
        <f>0</f>
        <v>0</v>
      </c>
      <c r="F107" s="3">
        <f>(4670)/4997</f>
        <v>0.9345607364418651</v>
      </c>
      <c r="G107" s="3">
        <v>0</v>
      </c>
      <c r="H107" s="3">
        <f>1033/112445</f>
        <v>9.1867135043799189E-3</v>
      </c>
      <c r="I107" s="1">
        <v>1</v>
      </c>
      <c r="J107" s="1">
        <v>1</v>
      </c>
      <c r="K107" s="1">
        <v>0</v>
      </c>
      <c r="L107" s="1">
        <v>0</v>
      </c>
      <c r="M107" s="1">
        <v>0</v>
      </c>
      <c r="N107" s="1"/>
    </row>
    <row r="108" spans="1:14" customFormat="1" x14ac:dyDescent="0.2">
      <c r="A108" s="1">
        <v>107</v>
      </c>
      <c r="B108" s="1">
        <v>0</v>
      </c>
      <c r="C108" s="3">
        <f>-(64777)/(408258+616715)</f>
        <v>-6.3198737917974424E-2</v>
      </c>
      <c r="D108" s="3">
        <f>((10252/(1+0.049))/(1281/(1+0.03)))*100%</f>
        <v>7.8581660984886552</v>
      </c>
      <c r="E108" s="3">
        <f>960196/(616715+408258)</f>
        <v>0.93680126208202552</v>
      </c>
      <c r="F108" s="3">
        <f>(4435)/10252</f>
        <v>0.43259851736246585</v>
      </c>
      <c r="G108" s="3">
        <v>0</v>
      </c>
      <c r="H108" s="3">
        <f>1627/104927</f>
        <v>1.5506018469983894E-2</v>
      </c>
      <c r="I108" s="1">
        <v>1</v>
      </c>
      <c r="J108" s="1">
        <v>1</v>
      </c>
      <c r="K108" s="1">
        <v>1</v>
      </c>
      <c r="L108" s="1">
        <v>0</v>
      </c>
      <c r="M108" s="1">
        <v>0</v>
      </c>
      <c r="N108" s="1"/>
    </row>
    <row r="109" spans="1:14" customFormat="1" x14ac:dyDescent="0.2">
      <c r="A109" s="1">
        <v>108</v>
      </c>
      <c r="B109" s="1">
        <v>0</v>
      </c>
      <c r="C109" s="3">
        <v>1</v>
      </c>
      <c r="D109" s="3">
        <f>((11643/(1+0.049))/(4472/(1+0.03)))*100%</f>
        <v>2.5563766326563675</v>
      </c>
      <c r="E109" s="3">
        <f>1</f>
        <v>1</v>
      </c>
      <c r="F109" s="3">
        <f>(1680)/11643</f>
        <v>0.14429270806493172</v>
      </c>
      <c r="G109" s="3">
        <v>0</v>
      </c>
      <c r="H109" s="3">
        <f>1627/104927</f>
        <v>1.5506018469983894E-2</v>
      </c>
      <c r="I109" s="1">
        <v>1</v>
      </c>
      <c r="J109" s="1">
        <v>1</v>
      </c>
      <c r="K109" s="1">
        <v>1</v>
      </c>
      <c r="L109" s="1">
        <v>0</v>
      </c>
      <c r="M109" s="1">
        <v>0</v>
      </c>
      <c r="N109" s="1"/>
    </row>
    <row r="110" spans="1:14" customFormat="1" x14ac:dyDescent="0.2">
      <c r="A110" s="1">
        <v>109</v>
      </c>
      <c r="B110" s="1">
        <v>0</v>
      </c>
      <c r="C110" s="3">
        <f>2211/5994</f>
        <v>0.36886886886886888</v>
      </c>
      <c r="D110" s="3">
        <v>-1</v>
      </c>
      <c r="E110" s="3">
        <f>5994/8206</f>
        <v>0.73044114062880816</v>
      </c>
      <c r="F110" s="3">
        <v>0</v>
      </c>
      <c r="G110" s="3">
        <v>0</v>
      </c>
      <c r="H110" s="3">
        <f>3688/109463</f>
        <v>3.3691749723650917E-2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/>
    </row>
    <row r="111" spans="1:14" customFormat="1" x14ac:dyDescent="0.2">
      <c r="A111" s="1">
        <v>110</v>
      </c>
      <c r="B111" s="1">
        <v>0</v>
      </c>
      <c r="C111" s="3">
        <f>613480/(369400+467245)</f>
        <v>0.73326201674545355</v>
      </c>
      <c r="D111" s="3">
        <f>((341732/(1+0.054))/(178443/(1+0.129)))*100%</f>
        <v>2.0513485716384525</v>
      </c>
      <c r="E111" s="3">
        <f>(467245+369400)/1450125</f>
        <v>0.57694681492974742</v>
      </c>
      <c r="F111" s="3">
        <f>(298238)/341732</f>
        <v>0.87272482530169837</v>
      </c>
      <c r="G111" s="3">
        <f>(925)/1355</f>
        <v>0.68265682656826565</v>
      </c>
      <c r="H111" s="3">
        <f>3946/112445</f>
        <v>3.5092711992529682E-2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/>
    </row>
    <row r="112" spans="1:14" customFormat="1" x14ac:dyDescent="0.2">
      <c r="A112" s="1">
        <v>111</v>
      </c>
      <c r="B112" s="1">
        <v>0</v>
      </c>
      <c r="C112" s="3">
        <f>39716/103698</f>
        <v>0.38299677910856528</v>
      </c>
      <c r="D112" s="3">
        <f>((571571/(1+0.03))/(277887/(1+0.043)))*100%</f>
        <v>2.0828070507530807</v>
      </c>
      <c r="E112" s="3">
        <f>103698/143415</f>
        <v>0.72306244116724194</v>
      </c>
      <c r="F112" s="3">
        <f>(492926)/571571</f>
        <v>0.86240554541780456</v>
      </c>
      <c r="G112" s="3">
        <f>(3106)/12640</f>
        <v>0.24572784810126583</v>
      </c>
      <c r="H112" s="3">
        <f>3688/109463</f>
        <v>3.3691749723650917E-2</v>
      </c>
      <c r="I112" s="1">
        <v>1</v>
      </c>
      <c r="J112" s="1">
        <v>1</v>
      </c>
      <c r="K112" s="1">
        <v>0</v>
      </c>
      <c r="L112" s="1">
        <v>0</v>
      </c>
      <c r="M112" s="1">
        <v>0</v>
      </c>
      <c r="N112" s="1"/>
    </row>
    <row r="113" spans="1:14" customFormat="1" x14ac:dyDescent="0.2">
      <c r="A113" s="1">
        <v>112</v>
      </c>
      <c r="B113" s="1">
        <v>0</v>
      </c>
      <c r="C113" s="3">
        <f>9908/(4025+745)</f>
        <v>2.0771488469601675</v>
      </c>
      <c r="D113" s="3">
        <f>((3784/(1+0.03))/(32133/(1+0.043)))*100%</f>
        <v>0.11924685598297609</v>
      </c>
      <c r="E113" s="3">
        <f>(4025+745)/29677</f>
        <v>0.1607305320618661</v>
      </c>
      <c r="F113" s="3">
        <f>(1266)/3784</f>
        <v>0.33456659619450319</v>
      </c>
      <c r="G113" s="3">
        <v>0</v>
      </c>
      <c r="H113" s="3">
        <f>3688/109463</f>
        <v>3.3691749723650917E-2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/>
    </row>
    <row r="114" spans="1:14" customFormat="1" x14ac:dyDescent="0.2">
      <c r="A114" s="1">
        <v>113</v>
      </c>
      <c r="B114" s="1">
        <v>0</v>
      </c>
      <c r="C114" s="3">
        <f>264/1285</f>
        <v>0.20544747081712061</v>
      </c>
      <c r="D114" s="3">
        <f>((7133/(1+0.054))/(6855/(1+0.129)))*100%</f>
        <v>1.1145975804029524</v>
      </c>
      <c r="E114" s="3">
        <f>1285/1549</f>
        <v>0.82956746287927696</v>
      </c>
      <c r="F114" s="3">
        <f>(401)/7133</f>
        <v>5.6217580260759847E-2</v>
      </c>
      <c r="G114" s="3">
        <f>0</f>
        <v>0</v>
      </c>
      <c r="H114" s="3">
        <f>3946/112445</f>
        <v>3.5092711992529682E-2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/>
    </row>
    <row r="115" spans="1:14" customFormat="1" x14ac:dyDescent="0.2">
      <c r="A115" s="1">
        <v>114</v>
      </c>
      <c r="B115" s="1">
        <v>0</v>
      </c>
      <c r="C115" s="3">
        <f>9368/(5197+142300)</f>
        <v>6.3513156199787119E-2</v>
      </c>
      <c r="D115" s="3">
        <f>((149808/(1+0.054))/(341295/(1+0.129)))*100%</f>
        <v>0.47017378528644088</v>
      </c>
      <c r="E115" s="3">
        <f>(142300+5197)/156865</f>
        <v>0.94027985847703444</v>
      </c>
      <c r="F115" s="3">
        <f>(150005)/149808</f>
        <v>1.001315016554523</v>
      </c>
      <c r="G115" s="3">
        <f>0</f>
        <v>0</v>
      </c>
      <c r="H115" s="3">
        <f>3946/112445</f>
        <v>3.5092711992529682E-2</v>
      </c>
      <c r="I115" s="1">
        <v>1</v>
      </c>
      <c r="J115" s="1">
        <v>1</v>
      </c>
      <c r="K115" s="1">
        <v>0</v>
      </c>
      <c r="L115" s="1">
        <v>0</v>
      </c>
      <c r="M115" s="1">
        <v>0</v>
      </c>
      <c r="N115" s="1"/>
    </row>
    <row r="116" spans="1:14" customFormat="1" x14ac:dyDescent="0.2">
      <c r="A116" s="1">
        <v>115</v>
      </c>
      <c r="B116" s="1">
        <v>0</v>
      </c>
      <c r="C116" s="3">
        <f>192/32902</f>
        <v>5.8355115190565927E-3</v>
      </c>
      <c r="D116" s="3">
        <f>((1204/(1+0.049))/(13243/(1+0.03)))*100%</f>
        <v>8.9269241436758837E-2</v>
      </c>
      <c r="E116" s="3">
        <f>32902/33094</f>
        <v>0.99419834411071495</v>
      </c>
      <c r="F116" s="3">
        <f>(1194)/1204</f>
        <v>0.99169435215946844</v>
      </c>
      <c r="G116" s="3">
        <f>2/8</f>
        <v>0.25</v>
      </c>
      <c r="H116" s="3">
        <f>2551/104927</f>
        <v>2.4312140821714144E-2</v>
      </c>
      <c r="I116" s="1">
        <v>1</v>
      </c>
      <c r="J116" s="1">
        <v>0</v>
      </c>
      <c r="K116" s="1">
        <v>1</v>
      </c>
      <c r="L116" s="1">
        <v>0</v>
      </c>
      <c r="M116" s="1">
        <v>0</v>
      </c>
      <c r="N116" s="1"/>
    </row>
    <row r="117" spans="1:14" customFormat="1" x14ac:dyDescent="0.2">
      <c r="A117" s="1">
        <v>116</v>
      </c>
      <c r="B117" s="1">
        <v>0</v>
      </c>
      <c r="C117" s="3">
        <f>26415/14013</f>
        <v>1.8850353243416826</v>
      </c>
      <c r="D117" s="3">
        <f>((16630/(1+0.049))/(7667/(1+0.03)))*100%</f>
        <v>2.1297494878263885</v>
      </c>
      <c r="E117" s="3">
        <f>14013/90428</f>
        <v>0.15496306453753261</v>
      </c>
      <c r="F117" s="3">
        <f>0</f>
        <v>0</v>
      </c>
      <c r="G117" s="3">
        <f>(657)/16079</f>
        <v>4.0860750046644689E-2</v>
      </c>
      <c r="H117" s="3">
        <f>2551/104927</f>
        <v>2.4312140821714144E-2</v>
      </c>
      <c r="I117" s="1">
        <v>1</v>
      </c>
      <c r="J117" s="1">
        <v>1</v>
      </c>
      <c r="K117" s="1">
        <v>1</v>
      </c>
      <c r="L117" s="1">
        <v>0</v>
      </c>
      <c r="M117" s="1">
        <v>0</v>
      </c>
      <c r="N117" s="1"/>
    </row>
    <row r="118" spans="1:14" customFormat="1" x14ac:dyDescent="0.2">
      <c r="A118" s="1">
        <v>117</v>
      </c>
      <c r="B118" s="1">
        <v>0</v>
      </c>
      <c r="C118" s="3">
        <f>-(398)/134716</f>
        <v>-2.9543632530657088E-3</v>
      </c>
      <c r="D118" s="3">
        <f>((1451/(1+0.03))/(34918/(1+0.043)))*100%</f>
        <v>4.2078973372845226E-2</v>
      </c>
      <c r="E118" s="3">
        <f>134318/134716</f>
        <v>0.99704563674693425</v>
      </c>
      <c r="F118" s="3">
        <f>(1451)/(1451)</f>
        <v>1</v>
      </c>
      <c r="G118" s="3">
        <v>0</v>
      </c>
      <c r="H118" s="3">
        <f>650/109463</f>
        <v>5.9380795337237238E-3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/>
    </row>
    <row r="119" spans="1:14" customFormat="1" x14ac:dyDescent="0.2">
      <c r="A119" s="1">
        <v>118</v>
      </c>
      <c r="B119" s="1">
        <v>0</v>
      </c>
      <c r="C119" s="3">
        <f>7885/(18470+230)</f>
        <v>0.42165775401069516</v>
      </c>
      <c r="D119" s="3">
        <f>((19073/(1+0.03))/(20609/(1+0.043)))*100%</f>
        <v>0.93715013753534948</v>
      </c>
      <c r="E119" s="3">
        <f>(18470+230)/26585</f>
        <v>0.70340417528681587</v>
      </c>
      <c r="F119" s="3">
        <f>(18742)/19073</f>
        <v>0.98264562470508043</v>
      </c>
      <c r="G119" s="3">
        <f>(60)/298</f>
        <v>0.20134228187919462</v>
      </c>
      <c r="H119" s="3">
        <f>650/109463</f>
        <v>5.9380795337237238E-3</v>
      </c>
      <c r="I119" s="1">
        <v>1</v>
      </c>
      <c r="J119" s="1">
        <v>1</v>
      </c>
      <c r="K119" s="1">
        <v>0</v>
      </c>
      <c r="L119" s="1">
        <v>0</v>
      </c>
      <c r="M119" s="1">
        <v>0</v>
      </c>
      <c r="N119" s="1"/>
    </row>
    <row r="120" spans="1:14" customFormat="1" x14ac:dyDescent="0.2">
      <c r="A120" s="1">
        <v>119</v>
      </c>
      <c r="B120" s="1">
        <v>0</v>
      </c>
      <c r="C120" s="3">
        <f>63488/28306</f>
        <v>2.2429166961068323</v>
      </c>
      <c r="D120" s="3">
        <f>((182918/(1+0.03))/(196883/(1+0.043)))*100%</f>
        <v>0.94079566944026538</v>
      </c>
      <c r="E120" s="3">
        <f>28306/151794</f>
        <v>0.18647640881721281</v>
      </c>
      <c r="F120" s="3">
        <f>(149598)/182918</f>
        <v>0.81784187450114254</v>
      </c>
      <c r="G120" s="3">
        <v>0</v>
      </c>
      <c r="H120" s="3">
        <f>650/109463</f>
        <v>5.9380795337237238E-3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/>
    </row>
    <row r="121" spans="1:14" customFormat="1" x14ac:dyDescent="0.2">
      <c r="A121" s="1">
        <v>120</v>
      </c>
      <c r="B121" s="1">
        <v>0</v>
      </c>
      <c r="C121" s="3">
        <f>5485/(12918+1308)</f>
        <v>0.38556164768733303</v>
      </c>
      <c r="D121" s="3">
        <f>((52553/(1+0.03))/(48407/(0.043)))*100%</f>
        <v>4.5323201069571696E-2</v>
      </c>
      <c r="E121" s="3">
        <f>(12918+1308)/19711</f>
        <v>0.72172898381614325</v>
      </c>
      <c r="F121" s="3">
        <f>(49250)/52553</f>
        <v>0.93714916370140622</v>
      </c>
      <c r="G121" s="3">
        <f>19/525</f>
        <v>3.619047619047619E-2</v>
      </c>
      <c r="H121" s="3">
        <f>650/109463</f>
        <v>5.9380795337237238E-3</v>
      </c>
      <c r="I121" s="1">
        <v>1</v>
      </c>
      <c r="J121" s="1">
        <v>1</v>
      </c>
      <c r="K121" s="1">
        <v>0</v>
      </c>
      <c r="L121" s="1">
        <v>0</v>
      </c>
      <c r="M121" s="1">
        <v>0</v>
      </c>
      <c r="N121" s="1"/>
    </row>
    <row r="122" spans="1:14" customFormat="1" x14ac:dyDescent="0.2">
      <c r="A122" s="1">
        <v>121</v>
      </c>
      <c r="B122" s="1">
        <v>0</v>
      </c>
      <c r="C122" s="3">
        <f>-(25257)/(85971+457)</f>
        <v>-0.29223168417642431</v>
      </c>
      <c r="D122" s="3">
        <f>((210601/(1+0.03))/(174276/(1+0.043)))*100%</f>
        <v>1.2236858252070646</v>
      </c>
      <c r="E122" s="3">
        <f>61170/(85971+457)</f>
        <v>0.7077567454991438</v>
      </c>
      <c r="F122" s="3">
        <f>(242411)/210601</f>
        <v>1.1510439171703839</v>
      </c>
      <c r="G122" s="3">
        <f>6286/(31850)</f>
        <v>0.19736263736263737</v>
      </c>
      <c r="H122" s="3">
        <f>3688/109463</f>
        <v>3.3691749723650917E-2</v>
      </c>
      <c r="I122" s="1">
        <v>1</v>
      </c>
      <c r="J122" s="1">
        <v>1</v>
      </c>
      <c r="K122" s="1">
        <v>0</v>
      </c>
      <c r="L122" s="1">
        <v>0</v>
      </c>
      <c r="M122" s="1">
        <v>0</v>
      </c>
      <c r="N122" s="1"/>
    </row>
    <row r="123" spans="1:14" customFormat="1" x14ac:dyDescent="0.2">
      <c r="A123" s="1">
        <v>122</v>
      </c>
      <c r="B123" s="1">
        <v>0</v>
      </c>
      <c r="C123" s="3">
        <f>362/138
-99.7%</f>
        <v>1.6261884057971017</v>
      </c>
      <c r="D123" s="3">
        <v>-1</v>
      </c>
      <c r="E123" s="3">
        <f>138/900</f>
        <v>0.15333333333333332</v>
      </c>
      <c r="F123" s="3">
        <v>0</v>
      </c>
      <c r="G123" s="3">
        <v>0</v>
      </c>
      <c r="H123" s="3">
        <f>3688/109463</f>
        <v>3.3691749723650917E-2</v>
      </c>
      <c r="I123" s="1">
        <v>1</v>
      </c>
      <c r="J123" s="1">
        <v>1</v>
      </c>
      <c r="K123" s="1">
        <v>0</v>
      </c>
      <c r="L123" s="1">
        <v>0</v>
      </c>
      <c r="M123" s="1">
        <v>0</v>
      </c>
      <c r="N123" s="1"/>
    </row>
    <row r="124" spans="1:14" customFormat="1" x14ac:dyDescent="0.2">
      <c r="A124" s="1">
        <v>123</v>
      </c>
      <c r="B124" s="1">
        <v>0</v>
      </c>
      <c r="C124" s="3">
        <f>159/10600</f>
        <v>1.4999999999999999E-2</v>
      </c>
      <c r="D124" s="3">
        <f>((10675/(1+0.049))/(2079/(1+0.03)))*100%</f>
        <v>5.041678301926158</v>
      </c>
      <c r="E124" s="3">
        <f>10600/10759</f>
        <v>0.98522167487684731</v>
      </c>
      <c r="F124" s="3">
        <f>(10552)/10675</f>
        <v>0.98847775175644026</v>
      </c>
      <c r="G124" s="3">
        <f>(22)/110</f>
        <v>0.2</v>
      </c>
      <c r="H124" s="3">
        <f>3757/104927</f>
        <v>3.5805845969102329E-2</v>
      </c>
      <c r="I124" s="1">
        <v>1</v>
      </c>
      <c r="J124" s="1">
        <v>1</v>
      </c>
      <c r="K124" s="1">
        <v>1</v>
      </c>
      <c r="L124" s="1">
        <v>0</v>
      </c>
      <c r="M124" s="1">
        <v>0</v>
      </c>
      <c r="N124" s="1"/>
    </row>
    <row r="125" spans="1:14" customFormat="1" x14ac:dyDescent="0.2">
      <c r="A125" s="1">
        <v>124</v>
      </c>
      <c r="B125" s="1">
        <v>0</v>
      </c>
      <c r="C125" s="3">
        <f>142394/(440099+22090)</f>
        <v>0.30808608599512322</v>
      </c>
      <c r="D125" s="3">
        <f>((587103/(1+0.049))/(948041/(1+0.03)))*100%</f>
        <v>0.60806347395153204</v>
      </c>
      <c r="E125" s="3">
        <f>(440099+22090)/604591</f>
        <v>0.7644655643236502</v>
      </c>
      <c r="F125" s="3">
        <f>(544566)/587103</f>
        <v>0.92754763644539373</v>
      </c>
      <c r="G125" s="3">
        <f>(1469)/7509</f>
        <v>0.19563190837661473</v>
      </c>
      <c r="H125" s="3">
        <f>3757/104927</f>
        <v>3.5805845969102329E-2</v>
      </c>
      <c r="I125" s="1">
        <v>1</v>
      </c>
      <c r="J125" s="1">
        <v>1</v>
      </c>
      <c r="K125" s="1">
        <v>1</v>
      </c>
      <c r="L125" s="1">
        <v>0</v>
      </c>
      <c r="M125" s="1">
        <v>0</v>
      </c>
      <c r="N125" s="1"/>
    </row>
    <row r="126" spans="1:14" customFormat="1" x14ac:dyDescent="0.2">
      <c r="A126" s="1">
        <v>125</v>
      </c>
      <c r="B126" s="1">
        <v>0</v>
      </c>
      <c r="C126" s="3">
        <f>391/2339</f>
        <v>0.16716545532278751</v>
      </c>
      <c r="D126" s="3">
        <f>((8262/(1+0.03))/(3917/(1+0.043)))*100%</f>
        <v>2.1358891166461351</v>
      </c>
      <c r="E126" s="3">
        <f>2339/2730</f>
        <v>0.85677655677655673</v>
      </c>
      <c r="F126" s="3">
        <f>(8126)/8262</f>
        <v>0.98353909465020573</v>
      </c>
      <c r="G126" s="3">
        <f>8/114</f>
        <v>7.0175438596491224E-2</v>
      </c>
      <c r="H126" s="3">
        <f>1245/109463</f>
        <v>1.1373706183824672E-2</v>
      </c>
      <c r="I126" s="1">
        <v>1</v>
      </c>
      <c r="J126" s="1">
        <v>1</v>
      </c>
      <c r="K126" s="1">
        <v>0</v>
      </c>
      <c r="L126" s="1">
        <v>1</v>
      </c>
      <c r="M126" s="1">
        <v>0</v>
      </c>
      <c r="N126" s="1"/>
    </row>
    <row r="127" spans="1:14" customFormat="1" x14ac:dyDescent="0.2">
      <c r="A127" s="1">
        <v>126</v>
      </c>
      <c r="B127" s="1">
        <v>0</v>
      </c>
      <c r="C127" s="3">
        <v>1.5269999999999999</v>
      </c>
      <c r="D127" s="3">
        <f>((31511/(1+0.03))/(10972/(1+0.043)))*100%</f>
        <v>2.9081946455054166</v>
      </c>
      <c r="E127" s="3">
        <v>1</v>
      </c>
      <c r="F127" s="3">
        <f>0</f>
        <v>0</v>
      </c>
      <c r="G127" s="3">
        <f>(384)/(384+1537)</f>
        <v>0.19989588755856325</v>
      </c>
      <c r="H127" s="3">
        <f>1245/109463</f>
        <v>1.1373706183824672E-2</v>
      </c>
      <c r="I127" s="1">
        <v>1</v>
      </c>
      <c r="J127" s="1">
        <v>1</v>
      </c>
      <c r="K127" s="1">
        <v>0</v>
      </c>
      <c r="L127" s="1">
        <v>0</v>
      </c>
      <c r="M127" s="1">
        <v>0</v>
      </c>
      <c r="N127" s="1"/>
    </row>
    <row r="128" spans="1:14" customFormat="1" x14ac:dyDescent="0.2">
      <c r="A128" s="1">
        <v>127</v>
      </c>
      <c r="B128" s="1">
        <v>0</v>
      </c>
      <c r="C128" s="3">
        <f>674/3712</f>
        <v>0.18157327586206898</v>
      </c>
      <c r="D128" s="3">
        <f>((22731/(1+0.03))/(590/(1+0.043)))*100%</f>
        <v>39.013383248313311</v>
      </c>
      <c r="E128" s="3">
        <f>3712/4386</f>
        <v>0.84632922936616506</v>
      </c>
      <c r="F128" s="3">
        <f>(21696)/22731</f>
        <v>0.95446746733535703</v>
      </c>
      <c r="G128" s="3">
        <f>(240)/878</f>
        <v>0.27334851936218679</v>
      </c>
      <c r="H128" s="3">
        <f>2214/109463</f>
        <v>2.02260124425605E-2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/>
    </row>
    <row r="129" spans="1:14" customFormat="1" x14ac:dyDescent="0.2">
      <c r="A129" s="1">
        <v>128</v>
      </c>
      <c r="B129" s="1">
        <v>0</v>
      </c>
      <c r="C129" s="3">
        <f>3268/(13465+86+12)</f>
        <v>0.24094964240949643</v>
      </c>
      <c r="D129" s="3">
        <f>((47300/(1+0.03))/(8481/(1+0.043)))*100%</f>
        <v>5.6475640008562822</v>
      </c>
      <c r="E129" s="3">
        <f>(13465+86+12)/16831</f>
        <v>0.80583447210504422</v>
      </c>
      <c r="F129" s="3">
        <f>0</f>
        <v>0</v>
      </c>
      <c r="G129" s="3">
        <f>(124)/(124+3042)</f>
        <v>3.9166140240050537E-2</v>
      </c>
      <c r="H129" s="3">
        <f>2214/109463</f>
        <v>2.02260124425605E-2</v>
      </c>
      <c r="I129" s="1">
        <v>1</v>
      </c>
      <c r="J129" s="1">
        <v>1</v>
      </c>
      <c r="K129" s="1">
        <v>0</v>
      </c>
      <c r="L129" s="1">
        <v>0</v>
      </c>
      <c r="M129" s="1">
        <v>0</v>
      </c>
      <c r="N129" s="1"/>
    </row>
    <row r="130" spans="1:14" customFormat="1" x14ac:dyDescent="0.2">
      <c r="A130" s="1">
        <v>129</v>
      </c>
      <c r="B130" s="1">
        <v>0</v>
      </c>
      <c r="C130" s="3">
        <v>1</v>
      </c>
      <c r="D130" s="3">
        <v>0</v>
      </c>
      <c r="E130" s="3">
        <v>1</v>
      </c>
      <c r="F130" s="3">
        <v>0</v>
      </c>
      <c r="G130" s="3">
        <v>0</v>
      </c>
      <c r="H130" s="3">
        <f>2064/104927</f>
        <v>1.9670818759709132E-2</v>
      </c>
      <c r="I130" s="1">
        <v>1</v>
      </c>
      <c r="J130" s="1">
        <v>1</v>
      </c>
      <c r="K130" s="1">
        <v>1</v>
      </c>
      <c r="L130" s="1">
        <v>0</v>
      </c>
      <c r="M130" s="1">
        <v>0</v>
      </c>
      <c r="N130" s="1"/>
    </row>
    <row r="131" spans="1:14" customFormat="1" x14ac:dyDescent="0.2">
      <c r="A131" s="1">
        <v>130</v>
      </c>
      <c r="B131" s="1">
        <v>0</v>
      </c>
      <c r="C131" s="3">
        <f>1</f>
        <v>1</v>
      </c>
      <c r="D131" s="3">
        <v>-1</v>
      </c>
      <c r="E131" s="3">
        <f>(12749+967)/68745</f>
        <v>0.19951996508837005</v>
      </c>
      <c r="F131" s="3">
        <f>0</f>
        <v>0</v>
      </c>
      <c r="G131" s="3">
        <f>(722)/4482</f>
        <v>0.16108879964301651</v>
      </c>
      <c r="H131" s="3">
        <f>2064/104927</f>
        <v>1.9670818759709132E-2</v>
      </c>
      <c r="I131" s="1">
        <v>1</v>
      </c>
      <c r="J131" s="1">
        <v>1</v>
      </c>
      <c r="K131" s="1">
        <v>1</v>
      </c>
      <c r="L131" s="1">
        <v>0</v>
      </c>
      <c r="M131" s="1">
        <v>0</v>
      </c>
      <c r="N131" s="1"/>
    </row>
    <row r="132" spans="1:14" x14ac:dyDescent="0.2">
      <c r="B132" s="1"/>
      <c r="I132" s="1"/>
    </row>
    <row r="133" spans="1:14" x14ac:dyDescent="0.2">
      <c r="B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Обозначения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Торохов</dc:creator>
  <cp:lastModifiedBy>Антон Торохов</cp:lastModifiedBy>
  <dcterms:created xsi:type="dcterms:W3CDTF">2024-05-16T15:48:39Z</dcterms:created>
  <dcterms:modified xsi:type="dcterms:W3CDTF">2024-05-17T07:05:44Z</dcterms:modified>
</cp:coreProperties>
</file>